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603700_宁水集团\"/>
    </mc:Choice>
  </mc:AlternateContent>
  <bookViews>
    <workbookView xWindow="0" yWindow="0" windowWidth="28800" windowHeight="12240" firstSheet="4" activeTab="6"/>
  </bookViews>
  <sheets>
    <sheet name="DCF速算" sheetId="1" r:id="rId1"/>
    <sheet name="增速估值" sheetId="2" r:id="rId2"/>
    <sheet name="真实数据估值" sheetId="11" r:id="rId3"/>
    <sheet name="在建工程历史" sheetId="12" r:id="rId4"/>
    <sheet name="财务分析" sheetId="14" r:id="rId5"/>
    <sheet name="宋城发展史" sheetId="13" r:id="rId6"/>
    <sheet name="分产品营业收入成本分析" sheetId="6" r:id="rId7"/>
    <sheet name="营业收入分析" sheetId="3" r:id="rId8"/>
    <sheet name="营业成本分析" sheetId="5" r:id="rId9"/>
    <sheet name="合并利润表预估" sheetId="10" r:id="rId10"/>
    <sheet name="合并资产表" sheetId="8" r:id="rId11"/>
    <sheet name="合并利润表" sheetId="7" r:id="rId12"/>
    <sheet name="合并现金流表" sheetId="9" r:id="rId13"/>
  </sheets>
  <definedNames>
    <definedName name="_xlnm._FilterDatabase" localSheetId="3" hidden="1">在建工程历史!$A$1:$P$120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4" i="6" l="1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75" i="6"/>
  <c r="K12" i="6"/>
  <c r="K13" i="6"/>
  <c r="K14" i="6"/>
  <c r="K15" i="6"/>
  <c r="K16" i="6"/>
  <c r="K17" i="6"/>
  <c r="K18" i="6"/>
  <c r="K19" i="6"/>
  <c r="K20" i="6"/>
  <c r="K21" i="6"/>
  <c r="K22" i="6"/>
  <c r="K11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11" i="6"/>
  <c r="J12" i="6"/>
  <c r="J13" i="6"/>
  <c r="J14" i="6"/>
  <c r="D9" i="3" l="1"/>
  <c r="C9" i="3"/>
  <c r="D9" i="5"/>
  <c r="C9" i="5"/>
  <c r="E9" i="5"/>
  <c r="E9" i="3"/>
  <c r="P2" i="3"/>
  <c r="P3" i="3"/>
  <c r="P4" i="3"/>
  <c r="P5" i="3"/>
  <c r="P6" i="3"/>
  <c r="P7" i="3"/>
  <c r="P8" i="3"/>
  <c r="P12" i="3"/>
  <c r="F1" i="9" l="1"/>
  <c r="G1" i="9" s="1"/>
  <c r="H1" i="9" s="1"/>
  <c r="I1" i="9" s="1"/>
  <c r="J1" i="9" s="1"/>
  <c r="K1" i="9" s="1"/>
  <c r="E15" i="7"/>
  <c r="F15" i="7"/>
  <c r="G15" i="7"/>
  <c r="H15" i="7"/>
  <c r="I15" i="7"/>
  <c r="J15" i="7"/>
  <c r="K15" i="7"/>
  <c r="L15" i="7"/>
  <c r="M15" i="7"/>
  <c r="D15" i="7"/>
  <c r="A84" i="14" l="1"/>
  <c r="A85" i="14" s="1"/>
  <c r="A86" i="14" s="1"/>
  <c r="A87" i="14" s="1"/>
  <c r="A83" i="14"/>
  <c r="A67" i="14"/>
  <c r="A68" i="14" s="1"/>
  <c r="A69" i="14" s="1"/>
  <c r="A70" i="14" s="1"/>
  <c r="A71" i="14" s="1"/>
  <c r="A51" i="14"/>
  <c r="A52" i="14" s="1"/>
  <c r="A53" i="14" s="1"/>
  <c r="A54" i="14" s="1"/>
  <c r="A50" i="14"/>
  <c r="A37" i="14"/>
  <c r="A38" i="14" s="1"/>
  <c r="A39" i="14" s="1"/>
  <c r="A40" i="14" s="1"/>
  <c r="A36" i="14"/>
  <c r="A22" i="14"/>
  <c r="A23" i="14" s="1"/>
  <c r="A24" i="14" s="1"/>
  <c r="A25" i="14" s="1"/>
  <c r="A21" i="14"/>
  <c r="A7" i="14"/>
  <c r="A4" i="14"/>
  <c r="A5" i="14" s="1"/>
  <c r="A6" i="14" s="1"/>
  <c r="A3" i="14"/>
  <c r="C55" i="11"/>
  <c r="I228" i="6"/>
  <c r="I190" i="6"/>
  <c r="A165" i="6"/>
  <c r="I163" i="6"/>
  <c r="I137" i="6"/>
  <c r="I112" i="6"/>
  <c r="I44" i="6"/>
  <c r="I45" i="6"/>
  <c r="I26" i="6"/>
  <c r="I20" i="6"/>
  <c r="I21" i="6"/>
  <c r="I22" i="6"/>
  <c r="I23" i="6"/>
  <c r="I24" i="6"/>
  <c r="I25" i="6"/>
  <c r="H21" i="3"/>
  <c r="H22" i="3"/>
  <c r="J21" i="3"/>
  <c r="J22" i="3"/>
  <c r="I18" i="3"/>
  <c r="I20" i="3"/>
  <c r="I21" i="3"/>
  <c r="O17" i="3"/>
  <c r="O18" i="3"/>
  <c r="O19" i="3"/>
  <c r="O20" i="3"/>
  <c r="O21" i="3"/>
  <c r="O22" i="3"/>
  <c r="O23" i="3"/>
  <c r="O24" i="3"/>
  <c r="O25" i="3"/>
  <c r="O26" i="3"/>
  <c r="O27" i="3"/>
  <c r="N5" i="3"/>
  <c r="G20" i="3" s="1"/>
  <c r="N6" i="3"/>
  <c r="G21" i="3" s="1"/>
  <c r="N7" i="3"/>
  <c r="I22" i="3" s="1"/>
  <c r="N8" i="3"/>
  <c r="H23" i="3" s="1"/>
  <c r="N7" i="5"/>
  <c r="N8" i="5"/>
  <c r="A1" i="6"/>
  <c r="B14" i="6"/>
  <c r="B13" i="6"/>
  <c r="A24" i="6"/>
  <c r="G22" i="3" l="1"/>
  <c r="D23" i="3"/>
  <c r="I23" i="3"/>
  <c r="J20" i="3"/>
  <c r="H20" i="3"/>
  <c r="G23" i="3"/>
  <c r="D22" i="3"/>
  <c r="J23" i="3"/>
  <c r="J88" i="7"/>
  <c r="E87" i="7"/>
  <c r="F87" i="7"/>
  <c r="G87" i="7"/>
  <c r="G88" i="7" s="1"/>
  <c r="H87" i="7"/>
  <c r="H88" i="7" s="1"/>
  <c r="I87" i="7"/>
  <c r="J87" i="7"/>
  <c r="I88" i="7" s="1"/>
  <c r="K87" i="7"/>
  <c r="L87" i="7"/>
  <c r="M87" i="7"/>
  <c r="N87" i="7"/>
  <c r="O87" i="7"/>
  <c r="D87" i="7"/>
  <c r="D88" i="7" s="1"/>
  <c r="J58" i="7"/>
  <c r="C14" i="11"/>
  <c r="D14" i="11" s="1"/>
  <c r="E14" i="11" s="1"/>
  <c r="F14" i="11" s="1"/>
  <c r="G14" i="11" s="1"/>
  <c r="E63" i="7"/>
  <c r="F63" i="7"/>
  <c r="G63" i="7"/>
  <c r="H63" i="7"/>
  <c r="I63" i="7"/>
  <c r="J63" i="7"/>
  <c r="K63" i="7"/>
  <c r="L63" i="7"/>
  <c r="M63" i="7"/>
  <c r="N63" i="7"/>
  <c r="O63" i="7"/>
  <c r="D63" i="7"/>
  <c r="E62" i="7"/>
  <c r="F62" i="7"/>
  <c r="G62" i="7"/>
  <c r="H62" i="7"/>
  <c r="I62" i="7"/>
  <c r="J62" i="7"/>
  <c r="K62" i="7"/>
  <c r="L62" i="7"/>
  <c r="M62" i="7"/>
  <c r="N62" i="7"/>
  <c r="O62" i="7"/>
  <c r="D62" i="7"/>
  <c r="E59" i="7"/>
  <c r="F59" i="7"/>
  <c r="G59" i="7"/>
  <c r="H59" i="7"/>
  <c r="I59" i="7"/>
  <c r="J59" i="7"/>
  <c r="K59" i="7"/>
  <c r="L59" i="7"/>
  <c r="M59" i="7"/>
  <c r="N59" i="7"/>
  <c r="O59" i="7"/>
  <c r="E57" i="7"/>
  <c r="E58" i="7" s="1"/>
  <c r="F57" i="7"/>
  <c r="G57" i="7"/>
  <c r="F58" i="7" s="1"/>
  <c r="H57" i="7"/>
  <c r="I57" i="7"/>
  <c r="I58" i="7" s="1"/>
  <c r="J57" i="7"/>
  <c r="K57" i="7"/>
  <c r="L57" i="7"/>
  <c r="M57" i="7"/>
  <c r="N57" i="7"/>
  <c r="O57" i="7"/>
  <c r="D57" i="7"/>
  <c r="D59" i="7"/>
  <c r="F88" i="7" l="1"/>
  <c r="E88" i="7"/>
  <c r="G58" i="7"/>
  <c r="D58" i="7"/>
  <c r="H58" i="7"/>
  <c r="B189" i="6"/>
  <c r="B188" i="6"/>
  <c r="B187" i="6"/>
  <c r="B186" i="6"/>
  <c r="A82" i="6"/>
  <c r="B185" i="6"/>
  <c r="A185" i="6"/>
  <c r="B15" i="6"/>
  <c r="B31" i="6" l="1"/>
  <c r="D31" i="6"/>
  <c r="M110" i="12" l="1"/>
  <c r="L107" i="12"/>
  <c r="P107" i="12" s="1"/>
  <c r="M106" i="12"/>
  <c r="M107" i="12" s="1"/>
  <c r="M99" i="12"/>
  <c r="L99" i="12"/>
  <c r="N99" i="12" s="1"/>
  <c r="L85" i="12"/>
  <c r="M82" i="12"/>
  <c r="L82" i="12"/>
  <c r="P82" i="12" s="1"/>
  <c r="M75" i="12"/>
  <c r="L75" i="12"/>
  <c r="P75" i="12" s="1"/>
  <c r="M66" i="12"/>
  <c r="L66" i="12"/>
  <c r="N66" i="12" s="1"/>
  <c r="L41" i="12"/>
  <c r="P41" i="12" s="1"/>
  <c r="N41" i="12"/>
  <c r="M49" i="12"/>
  <c r="L16" i="12"/>
  <c r="N16" i="12" s="1"/>
  <c r="M16" i="12"/>
  <c r="L21" i="12"/>
  <c r="L22" i="12" s="1"/>
  <c r="M22" i="12"/>
  <c r="M97" i="12"/>
  <c r="M98" i="12" s="1"/>
  <c r="M87" i="12"/>
  <c r="M88" i="12" s="1"/>
  <c r="M89" i="12" s="1"/>
  <c r="M81" i="12"/>
  <c r="L81" i="12"/>
  <c r="P81" i="12" s="1"/>
  <c r="M74" i="12"/>
  <c r="L74" i="12"/>
  <c r="N74" i="12" s="1"/>
  <c r="P99" i="12" l="1"/>
  <c r="P74" i="12"/>
  <c r="P66" i="12"/>
  <c r="P16" i="12"/>
  <c r="P22" i="12"/>
  <c r="N81" i="12"/>
  <c r="N75" i="12"/>
  <c r="N82" i="12"/>
  <c r="N107" i="12"/>
  <c r="N22" i="12"/>
  <c r="M40" i="12"/>
  <c r="M41" i="12" s="1"/>
  <c r="L40" i="12"/>
  <c r="P40" i="12" s="1"/>
  <c r="M48" i="12"/>
  <c r="P48" i="12" s="1"/>
  <c r="L48" i="12"/>
  <c r="L49" i="12" s="1"/>
  <c r="N49" i="12" s="1"/>
  <c r="N21" i="12"/>
  <c r="M21" i="12"/>
  <c r="P21" i="12" s="1"/>
  <c r="M23" i="12"/>
  <c r="P23" i="12" s="1"/>
  <c r="L23" i="12"/>
  <c r="N23" i="12" s="1"/>
  <c r="M19" i="12"/>
  <c r="M20" i="12" s="1"/>
  <c r="M73" i="12"/>
  <c r="M72" i="12"/>
  <c r="L73" i="12"/>
  <c r="N73" i="12" s="1"/>
  <c r="L72" i="12"/>
  <c r="N72" i="12" s="1"/>
  <c r="L61" i="12"/>
  <c r="L34" i="12"/>
  <c r="P34" i="12" s="1"/>
  <c r="L19" i="12"/>
  <c r="L20" i="12" s="1"/>
  <c r="L18" i="12"/>
  <c r="P18" i="12" s="1"/>
  <c r="M10" i="12"/>
  <c r="P118" i="12"/>
  <c r="N118" i="12"/>
  <c r="L100" i="12"/>
  <c r="N100" i="12" s="1"/>
  <c r="L104" i="12"/>
  <c r="N104" i="12" s="1"/>
  <c r="L108" i="12"/>
  <c r="L111" i="12"/>
  <c r="L112" i="12" s="1"/>
  <c r="L113" i="12" s="1"/>
  <c r="L114" i="12"/>
  <c r="L116" i="12"/>
  <c r="P116" i="12" s="1"/>
  <c r="L117" i="12"/>
  <c r="P117" i="12" s="1"/>
  <c r="L86" i="12"/>
  <c r="P86" i="12" s="1"/>
  <c r="M47" i="12"/>
  <c r="M50" i="12" s="1"/>
  <c r="L47" i="12"/>
  <c r="N47" i="12" s="1"/>
  <c r="L36" i="12"/>
  <c r="N36" i="12" s="1"/>
  <c r="L33" i="12"/>
  <c r="P33" i="12" s="1"/>
  <c r="L17" i="12"/>
  <c r="N17" i="12" s="1"/>
  <c r="L9" i="12"/>
  <c r="L10" i="12" s="1"/>
  <c r="N10" i="12" s="1"/>
  <c r="M9" i="12"/>
  <c r="P9" i="12" s="1"/>
  <c r="L95" i="12"/>
  <c r="N95" i="12" s="1"/>
  <c r="L90" i="12"/>
  <c r="L91" i="12" s="1"/>
  <c r="N85" i="12"/>
  <c r="M71" i="12"/>
  <c r="L62" i="12"/>
  <c r="L35" i="12"/>
  <c r="N35" i="12" s="1"/>
  <c r="L32" i="12"/>
  <c r="N32" i="12" s="1"/>
  <c r="M8" i="12"/>
  <c r="L8" i="12"/>
  <c r="N8" i="12" s="1"/>
  <c r="M70" i="12"/>
  <c r="N61" i="12"/>
  <c r="M61" i="12"/>
  <c r="M62" i="12" s="1"/>
  <c r="M63" i="12" s="1"/>
  <c r="M64" i="12" s="1"/>
  <c r="M65" i="12" s="1"/>
  <c r="L56" i="12"/>
  <c r="N56" i="12" s="1"/>
  <c r="L31" i="12"/>
  <c r="N31" i="12" s="1"/>
  <c r="M46" i="12"/>
  <c r="L60" i="12"/>
  <c r="M60" i="12"/>
  <c r="L55" i="12"/>
  <c r="P55" i="12" s="1"/>
  <c r="L30" i="12"/>
  <c r="P30" i="12" s="1"/>
  <c r="L77" i="12"/>
  <c r="N68" i="12"/>
  <c r="L68" i="12"/>
  <c r="L69" i="12" s="1"/>
  <c r="L59" i="12"/>
  <c r="N59" i="12" s="1"/>
  <c r="L54" i="12"/>
  <c r="N54" i="12" s="1"/>
  <c r="L53" i="12"/>
  <c r="P53" i="12" s="1"/>
  <c r="L26" i="12"/>
  <c r="P26" i="12" s="1"/>
  <c r="L27" i="12"/>
  <c r="N27" i="12" s="1"/>
  <c r="L29" i="12"/>
  <c r="P29" i="12" s="1"/>
  <c r="L43" i="12"/>
  <c r="N43" i="12" s="1"/>
  <c r="L12" i="12"/>
  <c r="N12" i="12" s="1"/>
  <c r="L4" i="12"/>
  <c r="P4" i="12" s="1"/>
  <c r="L11" i="12"/>
  <c r="N11" i="12" s="1"/>
  <c r="L25" i="12"/>
  <c r="N25" i="12" s="1"/>
  <c r="L28" i="12"/>
  <c r="N28" i="12" s="1"/>
  <c r="L42" i="12"/>
  <c r="N42" i="12" s="1"/>
  <c r="L52" i="12"/>
  <c r="N52" i="12" s="1"/>
  <c r="L57" i="12"/>
  <c r="P57" i="12" s="1"/>
  <c r="L58" i="12"/>
  <c r="P58" i="12" s="1"/>
  <c r="L67" i="12"/>
  <c r="N67" i="12" s="1"/>
  <c r="L76" i="12"/>
  <c r="N76" i="12" s="1"/>
  <c r="P77" i="12"/>
  <c r="L78" i="12"/>
  <c r="N78" i="12" s="1"/>
  <c r="L83" i="12"/>
  <c r="N83" i="12" s="1"/>
  <c r="P85" i="12"/>
  <c r="L3" i="12"/>
  <c r="P3" i="12" s="1"/>
  <c r="L2" i="12"/>
  <c r="N2" i="12" s="1"/>
  <c r="K190" i="6"/>
  <c r="M190" i="6" s="1"/>
  <c r="A186" i="6"/>
  <c r="A187" i="6" s="1"/>
  <c r="A188" i="6" s="1"/>
  <c r="A189" i="6" s="1"/>
  <c r="D184" i="6"/>
  <c r="B184" i="6"/>
  <c r="C190" i="6" s="1"/>
  <c r="D183" i="6"/>
  <c r="B183" i="6"/>
  <c r="D182" i="6"/>
  <c r="B182" i="6"/>
  <c r="D181" i="6"/>
  <c r="E181" i="6" s="1"/>
  <c r="B181" i="6"/>
  <c r="D180" i="6"/>
  <c r="B180" i="6"/>
  <c r="D179" i="6"/>
  <c r="B179" i="6"/>
  <c r="D178" i="6"/>
  <c r="B178" i="6"/>
  <c r="D177" i="6"/>
  <c r="K177" i="6" s="1"/>
  <c r="M177" i="6" s="1"/>
  <c r="B177" i="6"/>
  <c r="D176" i="6"/>
  <c r="B176" i="6"/>
  <c r="K176" i="6" s="1"/>
  <c r="M176" i="6" s="1"/>
  <c r="D175" i="6"/>
  <c r="B175" i="6"/>
  <c r="D174" i="6"/>
  <c r="B174" i="6"/>
  <c r="C174" i="6" s="1"/>
  <c r="M165" i="6"/>
  <c r="K165" i="6"/>
  <c r="G165" i="6"/>
  <c r="E165" i="6"/>
  <c r="C165" i="6"/>
  <c r="M164" i="6"/>
  <c r="K164" i="6"/>
  <c r="C15" i="11"/>
  <c r="C16" i="11" s="1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K266" i="6"/>
  <c r="M266" i="6" s="1"/>
  <c r="K267" i="6"/>
  <c r="M267" i="6" s="1"/>
  <c r="K268" i="6"/>
  <c r="M268" i="6" s="1"/>
  <c r="K269" i="6"/>
  <c r="M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M204" i="6"/>
  <c r="K204" i="6"/>
  <c r="K206" i="6"/>
  <c r="M206" i="6" s="1"/>
  <c r="K207" i="6"/>
  <c r="M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K291" i="6"/>
  <c r="K271" i="6"/>
  <c r="K272" i="6"/>
  <c r="K273" i="6"/>
  <c r="K247" i="6"/>
  <c r="M247" i="6" s="1"/>
  <c r="K248" i="6"/>
  <c r="M248" i="6" s="1"/>
  <c r="K249" i="6"/>
  <c r="M249" i="6" s="1"/>
  <c r="K250" i="6"/>
  <c r="M250" i="6" s="1"/>
  <c r="K251" i="6"/>
  <c r="M251" i="6" s="1"/>
  <c r="K252" i="6"/>
  <c r="M252" i="6" s="1"/>
  <c r="K253" i="6"/>
  <c r="M253" i="6" s="1"/>
  <c r="K228" i="6"/>
  <c r="M228" i="6" s="1"/>
  <c r="K229" i="6"/>
  <c r="M229" i="6" s="1"/>
  <c r="K209" i="6"/>
  <c r="M209" i="6" s="1"/>
  <c r="K210" i="6"/>
  <c r="M210" i="6" s="1"/>
  <c r="K137" i="6"/>
  <c r="M137" i="6" s="1"/>
  <c r="K138" i="6"/>
  <c r="M138" i="6" s="1"/>
  <c r="K163" i="6"/>
  <c r="M163" i="6" s="1"/>
  <c r="K191" i="6"/>
  <c r="M191" i="6" s="1"/>
  <c r="K112" i="6"/>
  <c r="M112" i="6" s="1"/>
  <c r="K113" i="6"/>
  <c r="M113" i="6" s="1"/>
  <c r="K67" i="6"/>
  <c r="M67" i="6" s="1"/>
  <c r="K68" i="6"/>
  <c r="M68" i="6" s="1"/>
  <c r="K87" i="6"/>
  <c r="M87" i="6" s="1"/>
  <c r="K88" i="6"/>
  <c r="M88" i="6" s="1"/>
  <c r="K46" i="6"/>
  <c r="M46" i="6" s="1"/>
  <c r="K47" i="6"/>
  <c r="M47" i="6" s="1"/>
  <c r="K66" i="6"/>
  <c r="M66" i="6" s="1"/>
  <c r="M20" i="6"/>
  <c r="M21" i="6"/>
  <c r="M22" i="6"/>
  <c r="K23" i="6"/>
  <c r="M23" i="6" s="1"/>
  <c r="K24" i="6"/>
  <c r="M24" i="6" s="1"/>
  <c r="K44" i="6"/>
  <c r="M44" i="6" s="1"/>
  <c r="K45" i="6"/>
  <c r="M45" i="6" s="1"/>
  <c r="N2" i="3"/>
  <c r="N3" i="3"/>
  <c r="N4" i="3"/>
  <c r="N9" i="3"/>
  <c r="P9" i="3" s="1"/>
  <c r="N10" i="3"/>
  <c r="P10" i="3" s="1"/>
  <c r="N11" i="3"/>
  <c r="P11" i="3" s="1"/>
  <c r="N12" i="3"/>
  <c r="J19" i="3" l="1"/>
  <c r="I19" i="3"/>
  <c r="I26" i="3"/>
  <c r="H26" i="3"/>
  <c r="J26" i="3"/>
  <c r="G26" i="3"/>
  <c r="J25" i="3"/>
  <c r="G25" i="3"/>
  <c r="H25" i="3"/>
  <c r="I25" i="3"/>
  <c r="G24" i="3"/>
  <c r="I24" i="3"/>
  <c r="H24" i="3"/>
  <c r="J24" i="3"/>
  <c r="E179" i="6"/>
  <c r="E180" i="6"/>
  <c r="E183" i="6"/>
  <c r="F179" i="6"/>
  <c r="F181" i="6"/>
  <c r="E177" i="6"/>
  <c r="E184" i="6"/>
  <c r="E175" i="6"/>
  <c r="E176" i="6"/>
  <c r="F183" i="6"/>
  <c r="H183" i="6" s="1"/>
  <c r="F175" i="6"/>
  <c r="F177" i="6"/>
  <c r="K180" i="6"/>
  <c r="M180" i="6" s="1"/>
  <c r="E190" i="6"/>
  <c r="K181" i="6"/>
  <c r="M181" i="6" s="1"/>
  <c r="C175" i="6"/>
  <c r="C179" i="6"/>
  <c r="C183" i="6"/>
  <c r="C178" i="6"/>
  <c r="C182" i="6"/>
  <c r="K175" i="6"/>
  <c r="M175" i="6" s="1"/>
  <c r="K179" i="6"/>
  <c r="M179" i="6" s="1"/>
  <c r="K183" i="6"/>
  <c r="M183" i="6" s="1"/>
  <c r="N9" i="12"/>
  <c r="P20" i="12"/>
  <c r="P73" i="12"/>
  <c r="N19" i="12"/>
  <c r="P8" i="12"/>
  <c r="P90" i="12"/>
  <c r="L50" i="12"/>
  <c r="P60" i="12"/>
  <c r="P17" i="12"/>
  <c r="P61" i="12"/>
  <c r="L84" i="12"/>
  <c r="N84" i="12" s="1"/>
  <c r="L92" i="12"/>
  <c r="P91" i="12"/>
  <c r="N91" i="12"/>
  <c r="P69" i="12"/>
  <c r="N69" i="12"/>
  <c r="L70" i="12"/>
  <c r="L5" i="12"/>
  <c r="P62" i="12"/>
  <c r="P68" i="12"/>
  <c r="N60" i="12"/>
  <c r="L79" i="12"/>
  <c r="P47" i="12"/>
  <c r="N18" i="12"/>
  <c r="P19" i="12"/>
  <c r="P72" i="12"/>
  <c r="L44" i="12"/>
  <c r="P113" i="12"/>
  <c r="N113" i="12"/>
  <c r="L96" i="12"/>
  <c r="N48" i="12"/>
  <c r="N40" i="12"/>
  <c r="N90" i="12"/>
  <c r="P49" i="12"/>
  <c r="P114" i="12"/>
  <c r="L115" i="12"/>
  <c r="P115" i="12" s="1"/>
  <c r="L87" i="12"/>
  <c r="N86" i="12"/>
  <c r="P111" i="12"/>
  <c r="P108" i="12"/>
  <c r="L109" i="12"/>
  <c r="L110" i="12" s="1"/>
  <c r="N33" i="12"/>
  <c r="N34" i="12"/>
  <c r="N55" i="12"/>
  <c r="P52" i="12"/>
  <c r="P35" i="12"/>
  <c r="P59" i="12"/>
  <c r="P56" i="12"/>
  <c r="P36" i="12"/>
  <c r="L37" i="12"/>
  <c r="N30" i="12"/>
  <c r="P31" i="12"/>
  <c r="P32" i="12"/>
  <c r="L101" i="12"/>
  <c r="N20" i="12"/>
  <c r="L105" i="12"/>
  <c r="L63" i="12"/>
  <c r="N116" i="12"/>
  <c r="N108" i="12"/>
  <c r="N115" i="12"/>
  <c r="P10" i="12"/>
  <c r="N114" i="12"/>
  <c r="N117" i="12"/>
  <c r="N111" i="12"/>
  <c r="P104" i="12"/>
  <c r="P100" i="12"/>
  <c r="P95" i="12"/>
  <c r="N62" i="12"/>
  <c r="P54" i="12"/>
  <c r="P12" i="12"/>
  <c r="P83" i="12"/>
  <c r="P43" i="12"/>
  <c r="P27" i="12"/>
  <c r="L13" i="12"/>
  <c r="L14" i="12" s="1"/>
  <c r="P28" i="12"/>
  <c r="P79" i="12"/>
  <c r="P42" i="12"/>
  <c r="N29" i="12"/>
  <c r="N53" i="12"/>
  <c r="P78" i="12"/>
  <c r="P25" i="12"/>
  <c r="P76" i="12"/>
  <c r="P67" i="12"/>
  <c r="N4" i="12"/>
  <c r="N77" i="12"/>
  <c r="N57" i="12"/>
  <c r="N26" i="12"/>
  <c r="N58" i="12"/>
  <c r="P2" i="12"/>
  <c r="P11" i="12"/>
  <c r="N3" i="12"/>
  <c r="F176" i="6"/>
  <c r="F184" i="6"/>
  <c r="E174" i="6"/>
  <c r="K174" i="6"/>
  <c r="M174" i="6" s="1"/>
  <c r="C176" i="6"/>
  <c r="E178" i="6"/>
  <c r="K178" i="6"/>
  <c r="M178" i="6" s="1"/>
  <c r="C180" i="6"/>
  <c r="E182" i="6"/>
  <c r="K182" i="6"/>
  <c r="M182" i="6" s="1"/>
  <c r="C184" i="6"/>
  <c r="F174" i="6"/>
  <c r="C177" i="6"/>
  <c r="F178" i="6"/>
  <c r="C181" i="6"/>
  <c r="F182" i="6"/>
  <c r="F180" i="6"/>
  <c r="K184" i="6"/>
  <c r="M184" i="6" s="1"/>
  <c r="K205" i="6"/>
  <c r="M205" i="6" s="1"/>
  <c r="G207" i="6"/>
  <c r="G206" i="6"/>
  <c r="E270" i="6"/>
  <c r="G269" i="6"/>
  <c r="H208" i="6"/>
  <c r="H207" i="6"/>
  <c r="K208" i="6"/>
  <c r="M208" i="6" s="1"/>
  <c r="H206" i="6"/>
  <c r="G205" i="6"/>
  <c r="H269" i="6"/>
  <c r="H268" i="6"/>
  <c r="F270" i="6"/>
  <c r="K270" i="6"/>
  <c r="M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3" i="6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L1" i="9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O15" i="7"/>
  <c r="O72" i="7" s="1"/>
  <c r="E72" i="7"/>
  <c r="F72" i="7"/>
  <c r="G72" i="7"/>
  <c r="H72" i="7"/>
  <c r="I72" i="7"/>
  <c r="J72" i="7"/>
  <c r="K72" i="7"/>
  <c r="L72" i="7"/>
  <c r="M72" i="7"/>
  <c r="N15" i="7"/>
  <c r="N72" i="7" s="1"/>
  <c r="D72" i="7"/>
  <c r="E65" i="7"/>
  <c r="F65" i="7"/>
  <c r="G65" i="7"/>
  <c r="H65" i="7"/>
  <c r="I65" i="7"/>
  <c r="J65" i="7"/>
  <c r="K65" i="7"/>
  <c r="L65" i="7"/>
  <c r="M65" i="7"/>
  <c r="N65" i="7"/>
  <c r="O65" i="7"/>
  <c r="E64" i="7"/>
  <c r="F64" i="7"/>
  <c r="G64" i="7"/>
  <c r="H64" i="7"/>
  <c r="I64" i="7"/>
  <c r="J64" i="7"/>
  <c r="K64" i="7"/>
  <c r="L64" i="7"/>
  <c r="M64" i="7"/>
  <c r="N64" i="7"/>
  <c r="O64" i="7"/>
  <c r="D64" i="7"/>
  <c r="D65" i="7"/>
  <c r="E69" i="7"/>
  <c r="F69" i="7"/>
  <c r="G69" i="7"/>
  <c r="H69" i="7"/>
  <c r="I69" i="7"/>
  <c r="J69" i="7"/>
  <c r="K69" i="7"/>
  <c r="L69" i="7"/>
  <c r="M69" i="7"/>
  <c r="N69" i="7"/>
  <c r="O69" i="7"/>
  <c r="E68" i="7"/>
  <c r="F68" i="7"/>
  <c r="G68" i="7"/>
  <c r="H68" i="7"/>
  <c r="I68" i="7"/>
  <c r="J68" i="7"/>
  <c r="K68" i="7"/>
  <c r="L68" i="7"/>
  <c r="M68" i="7"/>
  <c r="N68" i="7"/>
  <c r="O68" i="7"/>
  <c r="E67" i="7"/>
  <c r="F67" i="7"/>
  <c r="G67" i="7"/>
  <c r="H67" i="7"/>
  <c r="I67" i="7"/>
  <c r="J67" i="7"/>
  <c r="K67" i="7"/>
  <c r="L67" i="7"/>
  <c r="M67" i="7"/>
  <c r="N67" i="7"/>
  <c r="O67" i="7"/>
  <c r="D69" i="7"/>
  <c r="D68" i="7"/>
  <c r="D67" i="7"/>
  <c r="E66" i="7"/>
  <c r="F66" i="7"/>
  <c r="G66" i="7"/>
  <c r="H66" i="7"/>
  <c r="I66" i="7"/>
  <c r="J66" i="7"/>
  <c r="K66" i="7"/>
  <c r="L66" i="7"/>
  <c r="M66" i="7"/>
  <c r="N66" i="7"/>
  <c r="O66" i="7"/>
  <c r="D66" i="7"/>
  <c r="N86" i="7"/>
  <c r="O86" i="7"/>
  <c r="E86" i="7"/>
  <c r="F86" i="7"/>
  <c r="G86" i="7"/>
  <c r="H86" i="7"/>
  <c r="I86" i="7"/>
  <c r="J86" i="7"/>
  <c r="K86" i="7"/>
  <c r="L86" i="7"/>
  <c r="M86" i="7"/>
  <c r="D86" i="7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M273" i="6"/>
  <c r="G273" i="6"/>
  <c r="E273" i="6"/>
  <c r="C273" i="6"/>
  <c r="M271" i="6"/>
  <c r="M272" i="6"/>
  <c r="M291" i="6"/>
  <c r="G21" i="6"/>
  <c r="G22" i="6"/>
  <c r="G23" i="6"/>
  <c r="G24" i="6"/>
  <c r="G45" i="6"/>
  <c r="G46" i="6"/>
  <c r="G47" i="6"/>
  <c r="G67" i="6"/>
  <c r="G68" i="6"/>
  <c r="G88" i="6"/>
  <c r="G113" i="6"/>
  <c r="G138" i="6"/>
  <c r="G191" i="6"/>
  <c r="G210" i="6"/>
  <c r="G229" i="6"/>
  <c r="G248" i="6"/>
  <c r="G249" i="6"/>
  <c r="G250" i="6"/>
  <c r="G251" i="6"/>
  <c r="G252" i="6"/>
  <c r="G253" i="6"/>
  <c r="G272" i="6"/>
  <c r="E21" i="6"/>
  <c r="E22" i="6"/>
  <c r="E23" i="6"/>
  <c r="E24" i="6"/>
  <c r="E45" i="6"/>
  <c r="E46" i="6"/>
  <c r="E47" i="6"/>
  <c r="E67" i="6"/>
  <c r="E68" i="6"/>
  <c r="E88" i="6"/>
  <c r="E113" i="6"/>
  <c r="E138" i="6"/>
  <c r="E191" i="6"/>
  <c r="E210" i="6"/>
  <c r="E229" i="6"/>
  <c r="E248" i="6"/>
  <c r="E249" i="6"/>
  <c r="E250" i="6"/>
  <c r="E251" i="6"/>
  <c r="E252" i="6"/>
  <c r="E253" i="6"/>
  <c r="E272" i="6"/>
  <c r="C229" i="6"/>
  <c r="C248" i="6"/>
  <c r="C249" i="6"/>
  <c r="C250" i="6"/>
  <c r="C251" i="6"/>
  <c r="C252" i="6"/>
  <c r="C253" i="6"/>
  <c r="C210" i="6"/>
  <c r="C191" i="6"/>
  <c r="C138" i="6"/>
  <c r="C113" i="6"/>
  <c r="C88" i="6"/>
  <c r="C45" i="6"/>
  <c r="C46" i="6"/>
  <c r="C47" i="6"/>
  <c r="C67" i="6"/>
  <c r="C68" i="6"/>
  <c r="C21" i="6"/>
  <c r="C22" i="6"/>
  <c r="C23" i="6"/>
  <c r="C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3" i="6" s="1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2" i="6" s="1"/>
  <c r="B133" i="6" s="1"/>
  <c r="B134" i="6" s="1"/>
  <c r="B135" i="6" s="1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83" i="6" s="1"/>
  <c r="B84" i="6" s="1"/>
  <c r="B85" i="6" s="1"/>
  <c r="B86" i="6" s="1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1" i="6" s="1"/>
  <c r="B60" i="6"/>
  <c r="B50" i="6"/>
  <c r="D29" i="6"/>
  <c r="D30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2" i="6"/>
  <c r="B33" i="6"/>
  <c r="B34" i="6"/>
  <c r="B35" i="6"/>
  <c r="B36" i="6"/>
  <c r="B37" i="6"/>
  <c r="B39" i="6" s="1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4" i="6"/>
  <c r="B264" i="6"/>
  <c r="B265" i="6"/>
  <c r="C266" i="6" s="1"/>
  <c r="D264" i="6"/>
  <c r="D265" i="6"/>
  <c r="N2" i="5"/>
  <c r="O18" i="5"/>
  <c r="O19" i="5"/>
  <c r="O20" i="5"/>
  <c r="O21" i="5"/>
  <c r="O22" i="5"/>
  <c r="O23" i="5"/>
  <c r="O24" i="5"/>
  <c r="O25" i="5"/>
  <c r="O26" i="5"/>
  <c r="O27" i="5"/>
  <c r="O17" i="5"/>
  <c r="N11" i="5"/>
  <c r="P11" i="5" s="1"/>
  <c r="N12" i="5"/>
  <c r="L27" i="5" s="1"/>
  <c r="N10" i="5"/>
  <c r="K25" i="5" s="1"/>
  <c r="N9" i="5"/>
  <c r="L24" i="5" s="1"/>
  <c r="J23" i="5"/>
  <c r="K22" i="5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K21" i="3"/>
  <c r="K22" i="3"/>
  <c r="K23" i="3"/>
  <c r="K24" i="3"/>
  <c r="K25" i="3"/>
  <c r="K26" i="3"/>
  <c r="K20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H177" i="6" l="1"/>
  <c r="H179" i="6"/>
  <c r="I183" i="6"/>
  <c r="I180" i="6"/>
  <c r="H181" i="6"/>
  <c r="H175" i="6"/>
  <c r="N25" i="3"/>
  <c r="N24" i="3"/>
  <c r="N23" i="3"/>
  <c r="N21" i="3"/>
  <c r="N26" i="3"/>
  <c r="N22" i="3"/>
  <c r="P10" i="5"/>
  <c r="L26" i="5"/>
  <c r="N20" i="3"/>
  <c r="B158" i="6"/>
  <c r="B159" i="6" s="1"/>
  <c r="B160" i="6" s="1"/>
  <c r="B161" i="6" s="1"/>
  <c r="B108" i="6"/>
  <c r="B109" i="6" s="1"/>
  <c r="B110" i="6" s="1"/>
  <c r="B107" i="6"/>
  <c r="P84" i="12"/>
  <c r="N50" i="12"/>
  <c r="L51" i="12"/>
  <c r="P50" i="12"/>
  <c r="P70" i="12"/>
  <c r="N70" i="12"/>
  <c r="L71" i="12"/>
  <c r="N44" i="12"/>
  <c r="P44" i="12"/>
  <c r="L45" i="12"/>
  <c r="L93" i="12"/>
  <c r="P92" i="12"/>
  <c r="N92" i="12"/>
  <c r="P14" i="12"/>
  <c r="N14" i="12"/>
  <c r="L15" i="12"/>
  <c r="L97" i="12"/>
  <c r="N96" i="12"/>
  <c r="P96" i="12"/>
  <c r="L80" i="12"/>
  <c r="N79" i="12"/>
  <c r="N5" i="12"/>
  <c r="L6" i="12"/>
  <c r="P5" i="12"/>
  <c r="P110" i="12"/>
  <c r="N110" i="12"/>
  <c r="L88" i="12"/>
  <c r="P87" i="12"/>
  <c r="N87" i="12"/>
  <c r="P112" i="12"/>
  <c r="N112" i="12"/>
  <c r="P101" i="12"/>
  <c r="L102" i="12"/>
  <c r="L103" i="12" s="1"/>
  <c r="P105" i="12"/>
  <c r="L106" i="12"/>
  <c r="P109" i="12"/>
  <c r="N109" i="12"/>
  <c r="N101" i="12"/>
  <c r="N105" i="12"/>
  <c r="L38" i="12"/>
  <c r="L39" i="12" s="1"/>
  <c r="P37" i="12"/>
  <c r="N37" i="12"/>
  <c r="P63" i="12"/>
  <c r="N63" i="12"/>
  <c r="L64" i="12"/>
  <c r="L65" i="12" s="1"/>
  <c r="P13" i="12"/>
  <c r="N13" i="12"/>
  <c r="H180" i="6"/>
  <c r="G180" i="6"/>
  <c r="G178" i="6"/>
  <c r="H178" i="6"/>
  <c r="H184" i="6"/>
  <c r="G190" i="6"/>
  <c r="G184" i="6"/>
  <c r="G181" i="6"/>
  <c r="C185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K242" i="6" s="1"/>
  <c r="M242" i="6" s="1"/>
  <c r="B243" i="6"/>
  <c r="B16" i="6"/>
  <c r="B62" i="6"/>
  <c r="B63" i="6" s="1"/>
  <c r="B64" i="6" s="1"/>
  <c r="B65" i="6" s="1"/>
  <c r="E209" i="6"/>
  <c r="E204" i="6"/>
  <c r="E271" i="6"/>
  <c r="E266" i="6"/>
  <c r="B40" i="6"/>
  <c r="B41" i="6" s="1"/>
  <c r="B42" i="6" s="1"/>
  <c r="B43" i="6" s="1"/>
  <c r="C132" i="6"/>
  <c r="D132" i="6"/>
  <c r="E132" i="6" s="1"/>
  <c r="C81" i="6"/>
  <c r="B82" i="6"/>
  <c r="B224" i="6"/>
  <c r="D15" i="11"/>
  <c r="D16" i="11" s="1"/>
  <c r="H270" i="6"/>
  <c r="G270" i="6"/>
  <c r="F280" i="6"/>
  <c r="H280" i="6" s="1"/>
  <c r="F276" i="6"/>
  <c r="I175" i="6" s="1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K212" i="6"/>
  <c r="M212" i="6" s="1"/>
  <c r="K215" i="6"/>
  <c r="M215" i="6" s="1"/>
  <c r="E153" i="6"/>
  <c r="E149" i="6"/>
  <c r="E198" i="6"/>
  <c r="F194" i="6"/>
  <c r="E220" i="6"/>
  <c r="E216" i="6"/>
  <c r="E238" i="6"/>
  <c r="E234" i="6"/>
  <c r="M13" i="6"/>
  <c r="K9" i="6"/>
  <c r="M9" i="6" s="1"/>
  <c r="K28" i="6"/>
  <c r="M28" i="6" s="1"/>
  <c r="K31" i="6"/>
  <c r="M31" i="6" s="1"/>
  <c r="E257" i="6"/>
  <c r="K104" i="6"/>
  <c r="M104" i="6" s="1"/>
  <c r="K100" i="6"/>
  <c r="M100" i="6" s="1"/>
  <c r="F275" i="6"/>
  <c r="I174" i="6" s="1"/>
  <c r="F279" i="6"/>
  <c r="I178" i="6" s="1"/>
  <c r="L285" i="6"/>
  <c r="F285" i="6"/>
  <c r="I184" i="6" s="1"/>
  <c r="L277" i="6"/>
  <c r="F277" i="6"/>
  <c r="I176" i="6" s="1"/>
  <c r="M14" i="6"/>
  <c r="K60" i="6"/>
  <c r="M60" i="6" s="1"/>
  <c r="K56" i="6"/>
  <c r="M56" i="6" s="1"/>
  <c r="K52" i="6"/>
  <c r="M52" i="6" s="1"/>
  <c r="K262" i="6"/>
  <c r="M262" i="6" s="1"/>
  <c r="K260" i="6"/>
  <c r="M260" i="6" s="1"/>
  <c r="K258" i="6"/>
  <c r="M258" i="6" s="1"/>
  <c r="K81" i="6"/>
  <c r="M81" i="6" s="1"/>
  <c r="K77" i="6"/>
  <c r="M77" i="6" s="1"/>
  <c r="K73" i="6"/>
  <c r="M73" i="6" s="1"/>
  <c r="K101" i="6"/>
  <c r="M101" i="6" s="1"/>
  <c r="K97" i="6"/>
  <c r="M97" i="6" s="1"/>
  <c r="F126" i="6"/>
  <c r="K193" i="6"/>
  <c r="M193" i="6" s="1"/>
  <c r="K200" i="6"/>
  <c r="M200" i="6" s="1"/>
  <c r="K196" i="6"/>
  <c r="M196" i="6" s="1"/>
  <c r="K218" i="6"/>
  <c r="M218" i="6" s="1"/>
  <c r="K232" i="6"/>
  <c r="M232" i="6" s="1"/>
  <c r="C284" i="6"/>
  <c r="K265" i="6"/>
  <c r="M265" i="6" s="1"/>
  <c r="K5" i="6"/>
  <c r="M5" i="6" s="1"/>
  <c r="K35" i="6"/>
  <c r="E37" i="6"/>
  <c r="E33" i="6"/>
  <c r="E57" i="6"/>
  <c r="E53" i="6"/>
  <c r="E78" i="6"/>
  <c r="E74" i="6"/>
  <c r="E106" i="6"/>
  <c r="E102" i="6"/>
  <c r="E131" i="6"/>
  <c r="F127" i="6"/>
  <c r="F123" i="6"/>
  <c r="F156" i="6"/>
  <c r="F282" i="6"/>
  <c r="H282" i="6" s="1"/>
  <c r="F278" i="6"/>
  <c r="I177" i="6" s="1"/>
  <c r="C129" i="6"/>
  <c r="K129" i="6"/>
  <c r="M129" i="6" s="1"/>
  <c r="C125" i="6"/>
  <c r="K125" i="6"/>
  <c r="M125" i="6" s="1"/>
  <c r="C222" i="6"/>
  <c r="K222" i="6"/>
  <c r="M222" i="6" s="1"/>
  <c r="C214" i="6"/>
  <c r="K214" i="6"/>
  <c r="M214" i="6" s="1"/>
  <c r="C240" i="6"/>
  <c r="K240" i="6"/>
  <c r="M240" i="6" s="1"/>
  <c r="C236" i="6"/>
  <c r="K236" i="6"/>
  <c r="M236" i="6" s="1"/>
  <c r="L283" i="6"/>
  <c r="M12" i="6"/>
  <c r="K8" i="6"/>
  <c r="M8" i="6" s="1"/>
  <c r="C44" i="6"/>
  <c r="K38" i="6"/>
  <c r="M38" i="6" s="1"/>
  <c r="C34" i="6"/>
  <c r="K34" i="6"/>
  <c r="M34" i="6" s="1"/>
  <c r="C30" i="6"/>
  <c r="K30" i="6"/>
  <c r="M30" i="6" s="1"/>
  <c r="K58" i="6"/>
  <c r="M58" i="6" s="1"/>
  <c r="K54" i="6"/>
  <c r="M54" i="6" s="1"/>
  <c r="K99" i="6"/>
  <c r="M99" i="6" s="1"/>
  <c r="C121" i="6"/>
  <c r="K121" i="6"/>
  <c r="M121" i="6" s="1"/>
  <c r="K154" i="6"/>
  <c r="M154" i="6" s="1"/>
  <c r="K150" i="6"/>
  <c r="M150" i="6" s="1"/>
  <c r="C199" i="6"/>
  <c r="K199" i="6"/>
  <c r="M199" i="6" s="1"/>
  <c r="K213" i="6"/>
  <c r="M213" i="6" s="1"/>
  <c r="F4" i="6"/>
  <c r="K4" i="6"/>
  <c r="M4" i="6" s="1"/>
  <c r="M11" i="6"/>
  <c r="K7" i="6"/>
  <c r="M7" i="6" s="1"/>
  <c r="K37" i="6"/>
  <c r="K33" i="6"/>
  <c r="M33" i="6" s="1"/>
  <c r="K29" i="6"/>
  <c r="M29" i="6" s="1"/>
  <c r="E36" i="6"/>
  <c r="C50" i="6"/>
  <c r="K50" i="6"/>
  <c r="M50" i="6" s="1"/>
  <c r="K57" i="6"/>
  <c r="M57" i="6" s="1"/>
  <c r="K53" i="6"/>
  <c r="M53" i="6" s="1"/>
  <c r="K71" i="6"/>
  <c r="M71" i="6" s="1"/>
  <c r="K78" i="6"/>
  <c r="M78" i="6" s="1"/>
  <c r="K74" i="6"/>
  <c r="M74" i="6" s="1"/>
  <c r="K106" i="6"/>
  <c r="M106" i="6" s="1"/>
  <c r="K102" i="6"/>
  <c r="M102" i="6" s="1"/>
  <c r="K98" i="6"/>
  <c r="M98" i="6" s="1"/>
  <c r="K131" i="6"/>
  <c r="M131" i="6" s="1"/>
  <c r="K127" i="6"/>
  <c r="M127" i="6" s="1"/>
  <c r="K123" i="6"/>
  <c r="M123" i="6" s="1"/>
  <c r="K157" i="6"/>
  <c r="M157" i="6" s="1"/>
  <c r="K153" i="6"/>
  <c r="M153" i="6" s="1"/>
  <c r="K149" i="6"/>
  <c r="M149" i="6" s="1"/>
  <c r="K202" i="6"/>
  <c r="M202" i="6" s="1"/>
  <c r="K198" i="6"/>
  <c r="M198" i="6" s="1"/>
  <c r="K194" i="6"/>
  <c r="M194" i="6" s="1"/>
  <c r="K220" i="6"/>
  <c r="M220" i="6" s="1"/>
  <c r="K216" i="6"/>
  <c r="M216" i="6" s="1"/>
  <c r="K231" i="6"/>
  <c r="M231" i="6" s="1"/>
  <c r="K238" i="6"/>
  <c r="M238" i="6" s="1"/>
  <c r="K234" i="6"/>
  <c r="M234" i="6" s="1"/>
  <c r="L275" i="6"/>
  <c r="L279" i="6"/>
  <c r="C59" i="6"/>
  <c r="K59" i="6"/>
  <c r="M59" i="6" s="1"/>
  <c r="C55" i="6"/>
  <c r="K55" i="6"/>
  <c r="M55" i="6" s="1"/>
  <c r="C51" i="6"/>
  <c r="K51" i="6"/>
  <c r="M51" i="6" s="1"/>
  <c r="C80" i="6"/>
  <c r="K80" i="6"/>
  <c r="M80" i="6" s="1"/>
  <c r="C76" i="6"/>
  <c r="K76" i="6"/>
  <c r="M76" i="6" s="1"/>
  <c r="C72" i="6"/>
  <c r="K72" i="6"/>
  <c r="M72" i="6" s="1"/>
  <c r="C155" i="6"/>
  <c r="K155" i="6"/>
  <c r="M155" i="6" s="1"/>
  <c r="C151" i="6"/>
  <c r="K151" i="6"/>
  <c r="M151" i="6" s="1"/>
  <c r="L281" i="6"/>
  <c r="C264" i="6"/>
  <c r="K264" i="6"/>
  <c r="M264" i="6" s="1"/>
  <c r="K263" i="6"/>
  <c r="M263" i="6" s="1"/>
  <c r="K261" i="6"/>
  <c r="M261" i="6" s="1"/>
  <c r="K259" i="6"/>
  <c r="M259" i="6" s="1"/>
  <c r="K257" i="6"/>
  <c r="M257" i="6" s="1"/>
  <c r="C255" i="6"/>
  <c r="K255" i="6"/>
  <c r="M255" i="6" s="1"/>
  <c r="C79" i="6"/>
  <c r="K79" i="6"/>
  <c r="M79" i="6" s="1"/>
  <c r="C75" i="6"/>
  <c r="K75" i="6"/>
  <c r="M75" i="6" s="1"/>
  <c r="K96" i="6"/>
  <c r="M96" i="6" s="1"/>
  <c r="C103" i="6"/>
  <c r="K103" i="6"/>
  <c r="M103" i="6" s="1"/>
  <c r="C128" i="6"/>
  <c r="K128" i="6"/>
  <c r="M128" i="6" s="1"/>
  <c r="C124" i="6"/>
  <c r="K124" i="6"/>
  <c r="M124" i="6" s="1"/>
  <c r="C147" i="6"/>
  <c r="K147" i="6"/>
  <c r="M147" i="6" s="1"/>
  <c r="C203" i="6"/>
  <c r="K203" i="6"/>
  <c r="M203" i="6" s="1"/>
  <c r="C195" i="6"/>
  <c r="K195" i="6"/>
  <c r="M195" i="6" s="1"/>
  <c r="C221" i="6"/>
  <c r="K221" i="6"/>
  <c r="M221" i="6" s="1"/>
  <c r="C217" i="6"/>
  <c r="K217" i="6"/>
  <c r="M217" i="6" s="1"/>
  <c r="K239" i="6"/>
  <c r="M239" i="6" s="1"/>
  <c r="K235" i="6"/>
  <c r="M235" i="6" s="1"/>
  <c r="L280" i="6"/>
  <c r="L276" i="6"/>
  <c r="F10" i="6"/>
  <c r="K10" i="6"/>
  <c r="M10" i="6" s="1"/>
  <c r="F6" i="6"/>
  <c r="I6" i="6" s="1"/>
  <c r="K6" i="6"/>
  <c r="M6" i="6" s="1"/>
  <c r="E13" i="6"/>
  <c r="E9" i="6"/>
  <c r="C36" i="6"/>
  <c r="K36" i="6"/>
  <c r="C32" i="6"/>
  <c r="K32" i="6"/>
  <c r="M32" i="6" s="1"/>
  <c r="E35" i="6"/>
  <c r="E31" i="6"/>
  <c r="F256" i="6"/>
  <c r="H256" i="6" s="1"/>
  <c r="K256" i="6"/>
  <c r="M256" i="6" s="1"/>
  <c r="E72" i="6"/>
  <c r="C105" i="6"/>
  <c r="K105" i="6"/>
  <c r="M105" i="6" s="1"/>
  <c r="E104" i="6"/>
  <c r="E100" i="6"/>
  <c r="K130" i="6"/>
  <c r="M130" i="6" s="1"/>
  <c r="K126" i="6"/>
  <c r="M126" i="6" s="1"/>
  <c r="K122" i="6"/>
  <c r="M122" i="6" s="1"/>
  <c r="K156" i="6"/>
  <c r="M156" i="6" s="1"/>
  <c r="C153" i="6"/>
  <c r="K152" i="6"/>
  <c r="M152" i="6" s="1"/>
  <c r="F148" i="6"/>
  <c r="H148" i="6" s="1"/>
  <c r="K148" i="6"/>
  <c r="M148" i="6" s="1"/>
  <c r="E155" i="6"/>
  <c r="E151" i="6"/>
  <c r="K201" i="6"/>
  <c r="M201" i="6" s="1"/>
  <c r="K197" i="6"/>
  <c r="M197" i="6" s="1"/>
  <c r="E200" i="6"/>
  <c r="E196" i="6"/>
  <c r="C219" i="6"/>
  <c r="K219" i="6"/>
  <c r="M219" i="6" s="1"/>
  <c r="E222" i="6"/>
  <c r="E218" i="6"/>
  <c r="C241" i="6"/>
  <c r="K241" i="6"/>
  <c r="M241" i="6" s="1"/>
  <c r="C237" i="6"/>
  <c r="K237" i="6"/>
  <c r="M237" i="6" s="1"/>
  <c r="C233" i="6"/>
  <c r="K233" i="6"/>
  <c r="M233" i="6" s="1"/>
  <c r="F240" i="6"/>
  <c r="H240" i="6" s="1"/>
  <c r="F232" i="6"/>
  <c r="H232" i="6" s="1"/>
  <c r="L282" i="6"/>
  <c r="L278" i="6"/>
  <c r="L284" i="6"/>
  <c r="F193" i="6"/>
  <c r="C12" i="6"/>
  <c r="F12" i="6"/>
  <c r="I12" i="6" s="1"/>
  <c r="F96" i="6"/>
  <c r="I96" i="6" s="1"/>
  <c r="F202" i="6"/>
  <c r="I202" i="6" s="1"/>
  <c r="E202" i="6"/>
  <c r="E240" i="6"/>
  <c r="E276" i="6"/>
  <c r="E279" i="6"/>
  <c r="C20" i="6"/>
  <c r="F14" i="6"/>
  <c r="I14" i="6" s="1"/>
  <c r="F236" i="6"/>
  <c r="E236" i="6"/>
  <c r="E232" i="6"/>
  <c r="C278" i="6"/>
  <c r="F13" i="6"/>
  <c r="I13" i="6" s="1"/>
  <c r="F9" i="6"/>
  <c r="F5" i="6"/>
  <c r="I5" i="6" s="1"/>
  <c r="C201" i="6"/>
  <c r="C197" i="6"/>
  <c r="C8" i="6"/>
  <c r="F8" i="6"/>
  <c r="E29" i="6"/>
  <c r="C263" i="6"/>
  <c r="C261" i="6"/>
  <c r="C11" i="6"/>
  <c r="F11" i="6"/>
  <c r="C7" i="6"/>
  <c r="F7" i="6"/>
  <c r="I7" i="6" s="1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I130" i="6" s="1"/>
  <c r="E130" i="6"/>
  <c r="C277" i="6"/>
  <c r="C285" i="6"/>
  <c r="F157" i="6"/>
  <c r="F153" i="6"/>
  <c r="I153" i="6" s="1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I79" i="6" s="1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I51" i="6" s="1"/>
  <c r="C99" i="6"/>
  <c r="F99" i="6"/>
  <c r="I99" i="6" s="1"/>
  <c r="F98" i="6"/>
  <c r="I98" i="6" s="1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I218" i="6" s="1"/>
  <c r="C218" i="6"/>
  <c r="F264" i="6"/>
  <c r="C54" i="6"/>
  <c r="F257" i="6"/>
  <c r="F105" i="6"/>
  <c r="I105" i="6" s="1"/>
  <c r="F101" i="6"/>
  <c r="C154" i="6"/>
  <c r="C150" i="6"/>
  <c r="F221" i="6"/>
  <c r="I221" i="6" s="1"/>
  <c r="C213" i="6"/>
  <c r="C232" i="6"/>
  <c r="C101" i="6"/>
  <c r="E137" i="6"/>
  <c r="E87" i="6"/>
  <c r="C58" i="6"/>
  <c r="F97" i="6"/>
  <c r="I97" i="6" s="1"/>
  <c r="C265" i="6"/>
  <c r="C14" i="6"/>
  <c r="C10" i="6"/>
  <c r="C5" i="6"/>
  <c r="F28" i="6"/>
  <c r="I28" i="6" s="1"/>
  <c r="F35" i="6"/>
  <c r="C31" i="6"/>
  <c r="F38" i="6"/>
  <c r="I38" i="6" s="1"/>
  <c r="F34" i="6"/>
  <c r="I34" i="6" s="1"/>
  <c r="F30" i="6"/>
  <c r="I30" i="6" s="1"/>
  <c r="C60" i="6"/>
  <c r="C56" i="6"/>
  <c r="C260" i="6"/>
  <c r="F71" i="6"/>
  <c r="I71" i="6" s="1"/>
  <c r="C78" i="6"/>
  <c r="F74" i="6"/>
  <c r="I74" i="6" s="1"/>
  <c r="C104" i="6"/>
  <c r="C100" i="6"/>
  <c r="C130" i="6"/>
  <c r="C126" i="6"/>
  <c r="F122" i="6"/>
  <c r="I122" i="6" s="1"/>
  <c r="F147" i="6"/>
  <c r="F203" i="6"/>
  <c r="F199" i="6"/>
  <c r="I199" i="6" s="1"/>
  <c r="F195" i="6"/>
  <c r="I195" i="6" s="1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I52" i="6" s="1"/>
  <c r="F262" i="6"/>
  <c r="F77" i="6"/>
  <c r="I77" i="6" s="1"/>
  <c r="F73" i="6"/>
  <c r="I73" i="6" s="1"/>
  <c r="F103" i="6"/>
  <c r="I103" i="6" s="1"/>
  <c r="F102" i="6"/>
  <c r="I102" i="6" s="1"/>
  <c r="F196" i="6"/>
  <c r="I196" i="6" s="1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I121" i="6" s="1"/>
  <c r="F217" i="6"/>
  <c r="I217" i="6" s="1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I59" i="6" s="1"/>
  <c r="F57" i="6"/>
  <c r="I57" i="6" s="1"/>
  <c r="F53" i="6"/>
  <c r="I53" i="6" s="1"/>
  <c r="F259" i="6"/>
  <c r="F128" i="6"/>
  <c r="I128" i="6" s="1"/>
  <c r="F124" i="6"/>
  <c r="I124" i="6" s="1"/>
  <c r="F152" i="6"/>
  <c r="I152" i="6" s="1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I37" i="6" s="1"/>
  <c r="F33" i="6"/>
  <c r="F29" i="6"/>
  <c r="I29" i="6" s="1"/>
  <c r="F50" i="6"/>
  <c r="I50" i="6" s="1"/>
  <c r="F80" i="6"/>
  <c r="I80" i="6" s="1"/>
  <c r="F72" i="6"/>
  <c r="I72" i="6" s="1"/>
  <c r="F75" i="6"/>
  <c r="I75" i="6" s="1"/>
  <c r="F131" i="6"/>
  <c r="I131" i="6" s="1"/>
  <c r="F198" i="6"/>
  <c r="F55" i="6"/>
  <c r="F78" i="6"/>
  <c r="I78" i="6" s="1"/>
  <c r="F106" i="6"/>
  <c r="I106" i="6" s="1"/>
  <c r="F154" i="6"/>
  <c r="I154" i="6" s="1"/>
  <c r="F150" i="6"/>
  <c r="F219" i="6"/>
  <c r="I219" i="6" s="1"/>
  <c r="F31" i="6"/>
  <c r="I31" i="6" s="1"/>
  <c r="F260" i="6"/>
  <c r="F81" i="6"/>
  <c r="F200" i="6"/>
  <c r="I200" i="6" s="1"/>
  <c r="F238" i="6"/>
  <c r="F234" i="6"/>
  <c r="F60" i="6"/>
  <c r="I27" i="5"/>
  <c r="M27" i="5"/>
  <c r="P12" i="5"/>
  <c r="E27" i="5"/>
  <c r="F56" i="6"/>
  <c r="I56" i="6" s="1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I220" i="6" s="1"/>
  <c r="F216" i="6"/>
  <c r="I216" i="6" s="1"/>
  <c r="F201" i="6"/>
  <c r="I201" i="6" s="1"/>
  <c r="F197" i="6"/>
  <c r="I197" i="6" s="1"/>
  <c r="F155" i="6"/>
  <c r="I155" i="6" s="1"/>
  <c r="F151" i="6"/>
  <c r="I151" i="6" s="1"/>
  <c r="F129" i="6"/>
  <c r="I129" i="6" s="1"/>
  <c r="F125" i="6"/>
  <c r="I125" i="6" s="1"/>
  <c r="F104" i="6"/>
  <c r="I104" i="6" s="1"/>
  <c r="F100" i="6"/>
  <c r="I100" i="6" s="1"/>
  <c r="F58" i="6"/>
  <c r="I58" i="6" s="1"/>
  <c r="F54" i="6"/>
  <c r="I54" i="6" s="1"/>
  <c r="F36" i="6"/>
  <c r="I36" i="6" s="1"/>
  <c r="F32" i="6"/>
  <c r="I32" i="6" s="1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I35" i="6" l="1"/>
  <c r="I193" i="6"/>
  <c r="I179" i="6"/>
  <c r="I182" i="6"/>
  <c r="I60" i="6"/>
  <c r="I81" i="6"/>
  <c r="I55" i="6"/>
  <c r="I33" i="6"/>
  <c r="I101" i="6"/>
  <c r="I181" i="6"/>
  <c r="I76" i="6"/>
  <c r="I222" i="6"/>
  <c r="I198" i="6"/>
  <c r="H4" i="6"/>
  <c r="I4" i="6"/>
  <c r="H194" i="6"/>
  <c r="I194" i="6"/>
  <c r="H9" i="6"/>
  <c r="I9" i="6"/>
  <c r="H10" i="6"/>
  <c r="I10" i="6"/>
  <c r="H127" i="6"/>
  <c r="I127" i="6"/>
  <c r="H11" i="6"/>
  <c r="I11" i="6"/>
  <c r="H156" i="6"/>
  <c r="I156" i="6"/>
  <c r="H8" i="6"/>
  <c r="I8" i="6"/>
  <c r="H123" i="6"/>
  <c r="I123" i="6"/>
  <c r="H126" i="6"/>
  <c r="I126" i="6"/>
  <c r="G204" i="6"/>
  <c r="I203" i="6"/>
  <c r="H157" i="6"/>
  <c r="I157" i="6"/>
  <c r="N27" i="3"/>
  <c r="D158" i="6"/>
  <c r="E158" i="6" s="1"/>
  <c r="C158" i="6"/>
  <c r="B286" i="6"/>
  <c r="C164" i="6"/>
  <c r="B287" i="6"/>
  <c r="K185" i="6"/>
  <c r="M185" i="6" s="1"/>
  <c r="F185" i="6"/>
  <c r="N51" i="12"/>
  <c r="P51" i="12"/>
  <c r="P80" i="12"/>
  <c r="N80" i="12"/>
  <c r="P6" i="12"/>
  <c r="N6" i="12"/>
  <c r="L7" i="12"/>
  <c r="P93" i="12"/>
  <c r="L94" i="12"/>
  <c r="N93" i="12"/>
  <c r="N71" i="12"/>
  <c r="P71" i="12"/>
  <c r="N15" i="12"/>
  <c r="P15" i="12"/>
  <c r="L46" i="12"/>
  <c r="P45" i="12"/>
  <c r="N45" i="12"/>
  <c r="N65" i="12"/>
  <c r="P65" i="12"/>
  <c r="L98" i="12"/>
  <c r="N97" i="12"/>
  <c r="P97" i="12"/>
  <c r="N103" i="12"/>
  <c r="P103" i="12"/>
  <c r="L89" i="12"/>
  <c r="N88" i="12"/>
  <c r="P88" i="12"/>
  <c r="P39" i="12"/>
  <c r="N39" i="12"/>
  <c r="P106" i="12"/>
  <c r="N106" i="12"/>
  <c r="N102" i="12"/>
  <c r="P102" i="12"/>
  <c r="N38" i="12"/>
  <c r="P38" i="12"/>
  <c r="P64" i="12"/>
  <c r="N64" i="12"/>
  <c r="D186" i="6"/>
  <c r="E186" i="6" s="1"/>
  <c r="C186" i="6"/>
  <c r="G185" i="6"/>
  <c r="H185" i="6"/>
  <c r="C286" i="6"/>
  <c r="K132" i="6"/>
  <c r="M132" i="6" s="1"/>
  <c r="F132" i="6"/>
  <c r="G132" i="6" s="1"/>
  <c r="G280" i="6"/>
  <c r="B225" i="6"/>
  <c r="D224" i="6"/>
  <c r="K224" i="6" s="1"/>
  <c r="M224" i="6" s="1"/>
  <c r="C224" i="6"/>
  <c r="C83" i="6"/>
  <c r="D83" i="6"/>
  <c r="F83" i="6" s="1"/>
  <c r="D40" i="6"/>
  <c r="C40" i="6"/>
  <c r="C159" i="6"/>
  <c r="D159" i="6"/>
  <c r="F159" i="6" s="1"/>
  <c r="C15" i="6"/>
  <c r="D15" i="6"/>
  <c r="E242" i="6"/>
  <c r="D107" i="6"/>
  <c r="E107" i="6" s="1"/>
  <c r="C107" i="6"/>
  <c r="C133" i="6"/>
  <c r="D133" i="6"/>
  <c r="E133" i="6" s="1"/>
  <c r="D62" i="6"/>
  <c r="F62" i="6" s="1"/>
  <c r="C62" i="6"/>
  <c r="B244" i="6"/>
  <c r="D243" i="6"/>
  <c r="C243" i="6"/>
  <c r="D223" i="6"/>
  <c r="F223" i="6" s="1"/>
  <c r="C223" i="6"/>
  <c r="C84" i="6"/>
  <c r="D84" i="6"/>
  <c r="D16" i="6"/>
  <c r="B17" i="6"/>
  <c r="C16" i="6"/>
  <c r="C108" i="6"/>
  <c r="D108" i="6"/>
  <c r="F108" i="6" s="1"/>
  <c r="C82" i="6"/>
  <c r="D82" i="6"/>
  <c r="E82" i="6" s="1"/>
  <c r="D39" i="6"/>
  <c r="E39" i="6" s="1"/>
  <c r="C39" i="6"/>
  <c r="D61" i="6"/>
  <c r="C61" i="6"/>
  <c r="F242" i="6"/>
  <c r="E17" i="11"/>
  <c r="E15" i="11"/>
  <c r="E16" i="11" s="1"/>
  <c r="M35" i="6"/>
  <c r="G232" i="6"/>
  <c r="M36" i="6"/>
  <c r="M37" i="6"/>
  <c r="G163" i="6"/>
  <c r="G157" i="6"/>
  <c r="G240" i="6"/>
  <c r="G279" i="6"/>
  <c r="G127" i="6"/>
  <c r="G194" i="6"/>
  <c r="G256" i="6"/>
  <c r="M276" i="6"/>
  <c r="M277" i="6"/>
  <c r="M279" i="6"/>
  <c r="M281" i="6"/>
  <c r="M280" i="6"/>
  <c r="M275" i="6"/>
  <c r="M285" i="6"/>
  <c r="M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F158" i="6" l="1"/>
  <c r="H158" i="6" s="1"/>
  <c r="E164" i="6"/>
  <c r="K158" i="6"/>
  <c r="M158" i="6" s="1"/>
  <c r="B288" i="6"/>
  <c r="M15" i="6"/>
  <c r="D286" i="6"/>
  <c r="F84" i="6"/>
  <c r="H84" i="6" s="1"/>
  <c r="N94" i="12"/>
  <c r="P94" i="12"/>
  <c r="N98" i="12"/>
  <c r="P98" i="12"/>
  <c r="N46" i="12"/>
  <c r="P46" i="12"/>
  <c r="P7" i="12"/>
  <c r="N7" i="12"/>
  <c r="P89" i="12"/>
  <c r="N89" i="12"/>
  <c r="G164" i="6"/>
  <c r="C187" i="6"/>
  <c r="D187" i="6"/>
  <c r="E187" i="6" s="1"/>
  <c r="K187" i="6"/>
  <c r="M187" i="6" s="1"/>
  <c r="F186" i="6"/>
  <c r="H132" i="6"/>
  <c r="K186" i="6"/>
  <c r="M186" i="6" s="1"/>
  <c r="E16" i="6"/>
  <c r="M16" i="6"/>
  <c r="K62" i="6"/>
  <c r="M62" i="6" s="1"/>
  <c r="K133" i="6"/>
  <c r="M133" i="6" s="1"/>
  <c r="F224" i="6"/>
  <c r="G224" i="6" s="1"/>
  <c r="K84" i="6"/>
  <c r="M84" i="6" s="1"/>
  <c r="K61" i="6"/>
  <c r="M61" i="6" s="1"/>
  <c r="E61" i="6"/>
  <c r="D17" i="6"/>
  <c r="F17" i="6" s="1"/>
  <c r="C17" i="6"/>
  <c r="B18" i="6"/>
  <c r="G223" i="6"/>
  <c r="H223" i="6"/>
  <c r="H62" i="6"/>
  <c r="E40" i="6"/>
  <c r="H83" i="6"/>
  <c r="H224" i="6"/>
  <c r="G242" i="6"/>
  <c r="H242" i="6"/>
  <c r="F39" i="6"/>
  <c r="H108" i="6"/>
  <c r="K223" i="6"/>
  <c r="M223" i="6" s="1"/>
  <c r="E223" i="6"/>
  <c r="E243" i="6"/>
  <c r="D287" i="6"/>
  <c r="L287" i="6" s="1"/>
  <c r="D63" i="6"/>
  <c r="E63" i="6" s="1"/>
  <c r="C63" i="6"/>
  <c r="D134" i="6"/>
  <c r="E134" i="6" s="1"/>
  <c r="C134" i="6"/>
  <c r="F15" i="6"/>
  <c r="E15" i="6"/>
  <c r="H159" i="6"/>
  <c r="G159" i="6"/>
  <c r="F40" i="6"/>
  <c r="K40" i="6"/>
  <c r="M40" i="6" s="1"/>
  <c r="K83" i="6"/>
  <c r="M83" i="6" s="1"/>
  <c r="E83" i="6"/>
  <c r="F61" i="6"/>
  <c r="K39" i="6"/>
  <c r="M39" i="6" s="1"/>
  <c r="F82" i="6"/>
  <c r="D109" i="6"/>
  <c r="E109" i="6" s="1"/>
  <c r="C109" i="6"/>
  <c r="F16" i="6"/>
  <c r="D85" i="6"/>
  <c r="C85" i="6"/>
  <c r="C287" i="6"/>
  <c r="B245" i="6"/>
  <c r="D244" i="6"/>
  <c r="F244" i="6" s="1"/>
  <c r="C244" i="6"/>
  <c r="K107" i="6"/>
  <c r="M107" i="6" s="1"/>
  <c r="D160" i="6"/>
  <c r="E160" i="6" s="1"/>
  <c r="C160" i="6"/>
  <c r="E224" i="6"/>
  <c r="K82" i="6"/>
  <c r="M82" i="6" s="1"/>
  <c r="K108" i="6"/>
  <c r="M108" i="6" s="1"/>
  <c r="E108" i="6"/>
  <c r="E84" i="6"/>
  <c r="K243" i="6"/>
  <c r="M243" i="6" s="1"/>
  <c r="F243" i="6"/>
  <c r="E62" i="6"/>
  <c r="F133" i="6"/>
  <c r="F107" i="6"/>
  <c r="G108" i="6" s="1"/>
  <c r="K159" i="6"/>
  <c r="M159" i="6" s="1"/>
  <c r="E159" i="6"/>
  <c r="D41" i="6"/>
  <c r="E41" i="6" s="1"/>
  <c r="C41" i="6"/>
  <c r="C225" i="6"/>
  <c r="D225" i="6"/>
  <c r="E225" i="6" s="1"/>
  <c r="B226" i="6"/>
  <c r="E18" i="11"/>
  <c r="E22" i="11" s="1"/>
  <c r="F15" i="11"/>
  <c r="F16" i="11" s="1"/>
  <c r="M282" i="6"/>
  <c r="M283" i="6"/>
  <c r="M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G158" i="6" l="1"/>
  <c r="G84" i="6"/>
  <c r="B289" i="6"/>
  <c r="M286" i="6"/>
  <c r="D288" i="6"/>
  <c r="E288" i="6" s="1"/>
  <c r="M287" i="6"/>
  <c r="E85" i="6"/>
  <c r="D188" i="6"/>
  <c r="E188" i="6" s="1"/>
  <c r="C188" i="6"/>
  <c r="H186" i="6"/>
  <c r="G186" i="6"/>
  <c r="F187" i="6"/>
  <c r="F160" i="6"/>
  <c r="F225" i="6"/>
  <c r="H225" i="6" s="1"/>
  <c r="K85" i="6"/>
  <c r="M85" i="6" s="1"/>
  <c r="F134" i="6"/>
  <c r="H134" i="6" s="1"/>
  <c r="K134" i="6"/>
  <c r="M134" i="6" s="1"/>
  <c r="K225" i="6"/>
  <c r="M225" i="6" s="1"/>
  <c r="K41" i="6"/>
  <c r="M41" i="6" s="1"/>
  <c r="K160" i="6"/>
  <c r="M160" i="6" s="1"/>
  <c r="E287" i="6"/>
  <c r="H244" i="6"/>
  <c r="G244" i="6"/>
  <c r="B227" i="6"/>
  <c r="D226" i="6"/>
  <c r="E226" i="6" s="1"/>
  <c r="C226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M17" i="6"/>
  <c r="E17" i="6"/>
  <c r="B246" i="6"/>
  <c r="D245" i="6"/>
  <c r="K245" i="6" s="1"/>
  <c r="M245" i="6" s="1"/>
  <c r="C245" i="6"/>
  <c r="D86" i="6"/>
  <c r="F86" i="6" s="1"/>
  <c r="C86" i="6"/>
  <c r="K109" i="6"/>
  <c r="M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H243" i="6"/>
  <c r="G243" i="6"/>
  <c r="E286" i="6"/>
  <c r="L286" i="6"/>
  <c r="F286" i="6"/>
  <c r="K244" i="6"/>
  <c r="M244" i="6" s="1"/>
  <c r="B111" i="6"/>
  <c r="D110" i="6"/>
  <c r="E110" i="6" s="1"/>
  <c r="C110" i="6"/>
  <c r="G82" i="6"/>
  <c r="H82" i="6"/>
  <c r="C64" i="6"/>
  <c r="D64" i="6"/>
  <c r="E64" i="6" s="1"/>
  <c r="K63" i="6"/>
  <c r="M63" i="6" s="1"/>
  <c r="G83" i="6"/>
  <c r="C18" i="6"/>
  <c r="B19" i="6"/>
  <c r="D18" i="6"/>
  <c r="E18" i="6" s="1"/>
  <c r="L6" i="11"/>
  <c r="G17" i="11"/>
  <c r="G15" i="11"/>
  <c r="G16" i="11" s="1"/>
  <c r="H16" i="11" s="1"/>
  <c r="H16" i="2"/>
  <c r="G18" i="2" s="1"/>
  <c r="G22" i="2" s="1"/>
  <c r="E18" i="2"/>
  <c r="C8" i="1"/>
  <c r="D8" i="1" s="1"/>
  <c r="K4" i="1"/>
  <c r="I4" i="1"/>
  <c r="G225" i="6" l="1"/>
  <c r="I83" i="6"/>
  <c r="I62" i="6"/>
  <c r="I224" i="6"/>
  <c r="I16" i="6"/>
  <c r="I205" i="6"/>
  <c r="I133" i="6"/>
  <c r="I40" i="6"/>
  <c r="I186" i="6"/>
  <c r="I108" i="6"/>
  <c r="I159" i="6"/>
  <c r="G160" i="6"/>
  <c r="I132" i="6"/>
  <c r="I107" i="6"/>
  <c r="I82" i="6"/>
  <c r="I61" i="6"/>
  <c r="I223" i="6"/>
  <c r="I39" i="6"/>
  <c r="I15" i="6"/>
  <c r="I204" i="6"/>
  <c r="I185" i="6"/>
  <c r="I158" i="6"/>
  <c r="M288" i="6"/>
  <c r="B290" i="6"/>
  <c r="D289" i="6"/>
  <c r="E86" i="6"/>
  <c r="H160" i="6"/>
  <c r="G187" i="6"/>
  <c r="H187" i="6"/>
  <c r="C189" i="6"/>
  <c r="D189" i="6"/>
  <c r="E189" i="6" s="1"/>
  <c r="F188" i="6"/>
  <c r="K188" i="6"/>
  <c r="M188" i="6" s="1"/>
  <c r="K110" i="6"/>
  <c r="M110" i="6" s="1"/>
  <c r="G134" i="6"/>
  <c r="F110" i="6"/>
  <c r="H110" i="6" s="1"/>
  <c r="E245" i="6"/>
  <c r="K42" i="6"/>
  <c r="M42" i="6" s="1"/>
  <c r="F288" i="6"/>
  <c r="I160" i="6" s="1"/>
  <c r="K86" i="6"/>
  <c r="M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K246" i="6" s="1"/>
  <c r="M246" i="6" s="1"/>
  <c r="C246" i="6"/>
  <c r="H109" i="6"/>
  <c r="G109" i="6"/>
  <c r="G287" i="6"/>
  <c r="H287" i="6"/>
  <c r="D227" i="6"/>
  <c r="E227" i="6" s="1"/>
  <c r="C227" i="6"/>
  <c r="F135" i="6"/>
  <c r="F18" i="6"/>
  <c r="K64" i="6"/>
  <c r="M64" i="6" s="1"/>
  <c r="H286" i="6"/>
  <c r="G286" i="6"/>
  <c r="K135" i="6"/>
  <c r="M135" i="6" s="1"/>
  <c r="H63" i="6"/>
  <c r="G63" i="6"/>
  <c r="F226" i="6"/>
  <c r="D111" i="6"/>
  <c r="E111" i="6" s="1"/>
  <c r="C111" i="6"/>
  <c r="K161" i="6"/>
  <c r="M161" i="6" s="1"/>
  <c r="C289" i="6"/>
  <c r="H85" i="6"/>
  <c r="G85" i="6"/>
  <c r="M18" i="6"/>
  <c r="F64" i="6"/>
  <c r="D162" i="6"/>
  <c r="E162" i="6" s="1"/>
  <c r="C162" i="6"/>
  <c r="E289" i="6"/>
  <c r="L288" i="6"/>
  <c r="G41" i="6"/>
  <c r="H41" i="6"/>
  <c r="K226" i="6"/>
  <c r="M226" i="6" s="1"/>
  <c r="G18" i="11"/>
  <c r="G22" i="11" s="1"/>
  <c r="L24" i="2"/>
  <c r="L6" i="2"/>
  <c r="E22" i="2"/>
  <c r="E8" i="1"/>
  <c r="D9" i="1"/>
  <c r="H288" i="6" l="1"/>
  <c r="I206" i="6"/>
  <c r="I187" i="6"/>
  <c r="I109" i="6"/>
  <c r="I41" i="6"/>
  <c r="I84" i="6"/>
  <c r="I63" i="6"/>
  <c r="I134" i="6"/>
  <c r="I225" i="6"/>
  <c r="I17" i="6"/>
  <c r="M289" i="6"/>
  <c r="D290" i="6"/>
  <c r="E290" i="6" s="1"/>
  <c r="K189" i="6"/>
  <c r="M189" i="6" s="1"/>
  <c r="F189" i="6"/>
  <c r="H189" i="6" s="1"/>
  <c r="G288" i="6"/>
  <c r="H188" i="6"/>
  <c r="G188" i="6"/>
  <c r="K65" i="6"/>
  <c r="M65" i="6" s="1"/>
  <c r="F43" i="6"/>
  <c r="G43" i="6" s="1"/>
  <c r="G42" i="6"/>
  <c r="G110" i="6"/>
  <c r="F111" i="6"/>
  <c r="H111" i="6" s="1"/>
  <c r="F162" i="6"/>
  <c r="F246" i="6"/>
  <c r="G246" i="6" s="1"/>
  <c r="F65" i="6"/>
  <c r="H65" i="6" s="1"/>
  <c r="F19" i="6"/>
  <c r="G19" i="6" s="1"/>
  <c r="K43" i="6"/>
  <c r="M43" i="6" s="1"/>
  <c r="C290" i="6"/>
  <c r="F289" i="6"/>
  <c r="I161" i="6" s="1"/>
  <c r="K111" i="6"/>
  <c r="M111" i="6" s="1"/>
  <c r="G18" i="6"/>
  <c r="H18" i="6"/>
  <c r="E246" i="6"/>
  <c r="K136" i="6"/>
  <c r="M136" i="6" s="1"/>
  <c r="H161" i="6"/>
  <c r="G161" i="6"/>
  <c r="M19" i="6"/>
  <c r="H226" i="6"/>
  <c r="G226" i="6"/>
  <c r="H135" i="6"/>
  <c r="G135" i="6"/>
  <c r="K162" i="6"/>
  <c r="M162" i="6" s="1"/>
  <c r="L289" i="6"/>
  <c r="F227" i="6"/>
  <c r="G245" i="6"/>
  <c r="H245" i="6"/>
  <c r="H64" i="6"/>
  <c r="G64" i="6"/>
  <c r="K227" i="6"/>
  <c r="M227" i="6" s="1"/>
  <c r="F136" i="6"/>
  <c r="L24" i="11"/>
  <c r="F8" i="1"/>
  <c r="F9" i="1" s="1"/>
  <c r="E9" i="1"/>
  <c r="I226" i="6" l="1"/>
  <c r="I42" i="6"/>
  <c r="I18" i="6"/>
  <c r="I207" i="6"/>
  <c r="I188" i="6"/>
  <c r="I135" i="6"/>
  <c r="I110" i="6"/>
  <c r="I85" i="6"/>
  <c r="I64" i="6"/>
  <c r="H162" i="6"/>
  <c r="I162" i="6"/>
  <c r="H19" i="6"/>
  <c r="G111" i="6"/>
  <c r="H246" i="6"/>
  <c r="G189" i="6"/>
  <c r="M290" i="6"/>
  <c r="H43" i="6"/>
  <c r="G162" i="6"/>
  <c r="G65" i="6"/>
  <c r="H289" i="6"/>
  <c r="G289" i="6"/>
  <c r="F290" i="6"/>
  <c r="H227" i="6"/>
  <c r="G227" i="6"/>
  <c r="H136" i="6"/>
  <c r="G136" i="6"/>
  <c r="L290" i="6"/>
  <c r="G8" i="1"/>
  <c r="I208" i="6" l="1"/>
  <c r="I189" i="6"/>
  <c r="I136" i="6"/>
  <c r="I227" i="6"/>
  <c r="I43" i="6"/>
  <c r="I19" i="6"/>
  <c r="I111" i="6"/>
  <c r="I86" i="6"/>
  <c r="I65" i="6"/>
  <c r="H290" i="6"/>
  <c r="G290" i="6"/>
  <c r="G9" i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新增10个室内外剧院、10000多个座位数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  <comment ref="C56" authorId="0" shapeId="0">
      <text>
        <r>
          <rPr>
            <b/>
            <sz val="9"/>
            <color indexed="81"/>
            <rFont val="宋体"/>
            <family val="3"/>
            <charset val="134"/>
          </rPr>
          <t>清算注销泰安募投项目，将清算后结余的募投资金
349,361,178.92 元补充流动资金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2013建成营业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2018建成营业</t>
        </r>
      </text>
    </comment>
    <comment ref="C106" authorId="0" shapeId="0">
      <text>
        <r>
          <rPr>
            <b/>
            <sz val="9"/>
            <color indexed="81"/>
            <rFont val="宋体"/>
            <family val="3"/>
            <charset val="134"/>
          </rPr>
          <t>2019建成营业</t>
        </r>
      </text>
    </comment>
    <comment ref="C110" authorId="0" shapeId="0">
      <text>
        <r>
          <rPr>
            <b/>
            <sz val="9"/>
            <color indexed="81"/>
            <rFont val="宋体"/>
            <family val="3"/>
            <charset val="134"/>
          </rPr>
          <t>2020建成营业</t>
        </r>
      </text>
    </comment>
    <comment ref="A111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4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6" authorId="0" shapeId="0">
      <text>
        <r>
          <rPr>
            <b/>
            <sz val="9"/>
            <color indexed="81"/>
            <rFont val="宋体"/>
            <family val="3"/>
            <charset val="134"/>
          </rPr>
          <t>未来的旗舰型产品，公司寄予厚望，将从项目的规划设计、工程建设、艺术创作等各方面投入大量精力，确保将珠
海项目打造成为世界级的演艺度假目的地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营业成本+三费+研发+其他成本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园区平台服务费即公司通过大数据系统平台整合物流、信息流、资金流、数据流、产品
流、服务流，进行六流合一的管理，同时收取服务费。公司在取得对方确认的结算信息后，
确认园区服务费收入。</t>
        </r>
      </text>
    </comment>
    <comment ref="K16" authorId="0" shapeId="0">
      <text>
        <r>
          <rPr>
            <b/>
            <sz val="9"/>
            <color indexed="81"/>
            <rFont val="宋体"/>
            <family val="3"/>
            <charset val="134"/>
          </rPr>
          <t>园区平台服务费即公司通过大数据系统平台整合物流、信息流、资金流、数据流、产品
流、服务流，进行六流合一的管理，同时收取服务费。公司在取得对方确认的结算信息后，
确认园区服务费收入。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8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1.宁波水表（集团）股份有限公司 15%
2. 兴远仪表、慈溪宁水与杭州云润为小型微利企业，根据国务院常务会议通过的针对小微企业
的普惠性减税措施，对其年应纳税所得额不超过 100 万元、100 万元到 300 万元的部分，分别减
按 25%、50%计入应纳税所得额，并按 20%税率计缴。
3. 公司本期享受软件产品增值税即征即退的税收优惠。
4. 按照当期可抵扣进项税额加计 10%，抵减应纳税额。
所以总税率为14%左右
</t>
        </r>
      </text>
    </comment>
  </commentList>
</comments>
</file>

<file path=xl/sharedStrings.xml><?xml version="1.0" encoding="utf-8"?>
<sst xmlns="http://schemas.openxmlformats.org/spreadsheetml/2006/main" count="824" uniqueCount="445">
  <si>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</si>
  <si>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</si>
  <si>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</si>
  <si>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</si>
  <si>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</si>
  <si>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</si>
  <si>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</si>
  <si>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</si>
  <si>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</si>
  <si>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</si>
  <si>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</si>
  <si>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</si>
  <si>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</si>
  <si>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</si>
  <si>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</si>
  <si>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</si>
  <si>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</si>
  <si>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</si>
  <si>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</si>
  <si>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</si>
  <si>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</si>
  <si>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</si>
  <si>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</si>
  <si>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</si>
  <si>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</si>
  <si>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</si>
  <si>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</si>
  <si>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</si>
  <si>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</si>
  <si>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</si>
  <si>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</si>
  <si>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</si>
  <si>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</si>
  <si>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</si>
  <si>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</si>
  <si>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</si>
  <si>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</si>
  <si>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</si>
  <si>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</si>
  <si>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</si>
  <si>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</si>
  <si>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</si>
  <si>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</si>
  <si>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</si>
  <si>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</si>
  <si>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</si>
  <si>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</si>
  <si>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</si>
  <si>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</si>
  <si>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</si>
  <si>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</si>
  <si>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</si>
  <si>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</si>
  <si>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</si>
  <si>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</si>
  <si>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</si>
  <si>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</si>
  <si>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</si>
  <si>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</si>
  <si>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</si>
  <si>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</si>
  <si>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</si>
  <si>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</si>
  <si>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</si>
  <si>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</si>
  <si>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</si>
  <si>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</si>
  <si>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</si>
  <si>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</si>
  <si>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</si>
  <si>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</si>
  <si>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</si>
  <si>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</si>
  <si>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</si>
  <si>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</si>
  <si>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</si>
  <si>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</si>
  <si>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</si>
  <si>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</si>
  <si>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</si>
  <si>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</si>
  <si>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</si>
  <si>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</si>
  <si>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</si>
  <si>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</si>
  <si>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</si>
  <si>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</si>
  <si>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</si>
  <si>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</si>
  <si>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</si>
  <si>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</si>
  <si>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</si>
  <si>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</si>
  <si>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</si>
  <si>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</si>
  <si>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</si>
  <si>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</si>
  <si>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</si>
  <si>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</si>
  <si>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</si>
  <si>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</si>
  <si>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</si>
  <si>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</si>
  <si>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</si>
  <si>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</si>
  <si>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</si>
  <si>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</si>
  <si>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</si>
  <si>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</si>
  <si>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</si>
  <si>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</si>
  <si>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</si>
  <si>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</si>
  <si>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</si>
  <si>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</si>
  <si>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</si>
  <si>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</si>
  <si>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</si>
  <si>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</si>
  <si>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</si>
  <si>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</si>
  <si>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</si>
  <si>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</si>
  <si>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</si>
  <si>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</si>
  <si>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</si>
  <si>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</si>
  <si>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</si>
  <si>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</si>
  <si>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</si>
  <si>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</si>
  <si>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</si>
  <si>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</si>
  <si>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</si>
  <si>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</si>
  <si>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</si>
  <si>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</si>
  <si>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</si>
  <si>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</si>
  <si>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</si>
  <si>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</si>
  <si>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</si>
  <si>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</si>
  <si>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</si>
  <si>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</si>
  <si>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</si>
  <si>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</si>
  <si>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</si>
  <si>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</si>
  <si>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</si>
  <si>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</si>
  <si>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</si>
  <si>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</si>
  <si>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</si>
  <si>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</si>
  <si>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</si>
  <si>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交易性金融资产 </t>
  </si>
  <si>
    <t xml:space="preserve">预付款项  </t>
  </si>
  <si>
    <t xml:space="preserve">存货  </t>
  </si>
  <si>
    <t xml:space="preserve">其他应收款  </t>
    <phoneticPr fontId="2" type="noConversion"/>
  </si>
  <si>
    <t xml:space="preserve">其他流动资产  </t>
    <phoneticPr fontId="2" type="noConversion"/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</si>
  <si>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</si>
  <si>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</si>
  <si>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</si>
  <si>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</si>
  <si>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</si>
  <si>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</si>
  <si>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</si>
  <si>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</si>
  <si>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</si>
  <si>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</si>
  <si>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</si>
  <si>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</si>
  <si>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</si>
  <si>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</si>
  <si>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</si>
  <si>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其他应付款  </t>
  </si>
  <si>
    <t xml:space="preserve">一年内到期的非流动负债 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</si>
  <si>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</si>
  <si>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</si>
  <si>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</si>
  <si>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</si>
  <si>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</si>
  <si>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</si>
  <si>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</si>
  <si>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</si>
  <si>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</si>
  <si>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</si>
  <si>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</si>
  <si>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</si>
  <si>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</si>
  <si>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</si>
  <si>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</si>
  <si>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</si>
  <si>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</si>
  <si>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</si>
  <si>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</si>
  <si>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</si>
  <si>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</si>
  <si>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</si>
  <si>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</si>
  <si>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</si>
  <si>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</si>
  <si>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</si>
  <si>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</si>
  <si>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</si>
  <si>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</si>
  <si>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</si>
  <si>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</si>
  <si>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</si>
  <si>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</si>
  <si>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</si>
  <si>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</si>
  <si>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</si>
  <si>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</si>
  <si>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</si>
  <si>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</si>
  <si>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</si>
  <si>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</si>
  <si>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</si>
  <si>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</si>
  <si>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</si>
  <si>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</si>
  <si>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</si>
  <si>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可供出售金融资产</t>
    <phoneticPr fontId="2" type="noConversion"/>
  </si>
  <si>
    <t xml:space="preserve">长期股权投资 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</si>
  <si>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</si>
  <si>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</si>
  <si>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</si>
  <si>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</si>
  <si>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预计负债</t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</si>
  <si>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</si>
  <si>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</si>
  <si>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</si>
  <si>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</si>
  <si>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</si>
  <si>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>以公允价值计量且其变动计入当
期损益的金融资产</t>
    <phoneticPr fontId="2" type="noConversion"/>
  </si>
  <si>
    <t>应收利息</t>
  </si>
  <si>
    <t xml:space="preserve">划分为持有待售的资产  </t>
    <phoneticPr fontId="2" type="noConversion"/>
  </si>
  <si>
    <t xml:space="preserve">应付利息  </t>
  </si>
  <si>
    <t>减：库存股</t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</si>
  <si>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</si>
  <si>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</si>
  <si>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</si>
  <si>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</si>
  <si>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</si>
  <si>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</si>
  <si>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</si>
  <si>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</si>
  <si>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</si>
  <si>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</si>
  <si>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</si>
  <si>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</si>
  <si>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</si>
  <si>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</si>
  <si>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</si>
  <si>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</si>
  <si>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</si>
  <si>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</si>
  <si>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</si>
  <si>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</si>
  <si>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</si>
  <si>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</si>
  <si>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</si>
  <si>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</si>
  <si>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</si>
  <si>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</si>
  <si>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</si>
  <si>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</si>
  <si>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</si>
  <si>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</si>
  <si>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</si>
  <si>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</si>
  <si>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</si>
  <si>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</si>
  <si>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</si>
  <si>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</si>
  <si>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</si>
  <si>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</si>
  <si>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</si>
  <si>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</si>
  <si>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</si>
  <si>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</si>
  <si>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</si>
  <si>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</si>
  <si>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</si>
  <si>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</si>
  <si>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</si>
  <si>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</si>
  <si>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</si>
  <si>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</si>
  <si>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</si>
  <si>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</si>
  <si>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</si>
  <si>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</si>
  <si>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</si>
  <si>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</si>
  <si>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</si>
  <si>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</si>
  <si>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</si>
  <si>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</si>
  <si>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</si>
  <si>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</si>
  <si>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</si>
  <si>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</si>
  <si>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</si>
  <si>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</si>
  <si>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</si>
  <si>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</si>
  <si>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</si>
  <si>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</si>
  <si>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</si>
  <si>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</si>
  <si>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</si>
  <si>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</si>
  <si>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</si>
  <si>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</si>
  <si>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</si>
  <si>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</si>
  <si>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</si>
  <si>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</si>
  <si>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</si>
  <si>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</si>
  <si>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</si>
  <si>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丽江茶马古城项目二期</t>
    <phoneticPr fontId="2" type="noConversion"/>
  </si>
  <si>
    <t>丽江茶马古城项目2019</t>
    <phoneticPr fontId="2" type="noConversion"/>
  </si>
  <si>
    <t>九寨千古情项目</t>
    <phoneticPr fontId="2" type="noConversion"/>
  </si>
  <si>
    <t>西塘演艺谷项目</t>
    <phoneticPr fontId="2" type="noConversion"/>
  </si>
  <si>
    <t>杭州乐园提升改造工程2020</t>
    <phoneticPr fontId="2" type="noConversion"/>
  </si>
  <si>
    <t>杭州乐园提升改造工程2019</t>
    <phoneticPr fontId="2" type="noConversion"/>
  </si>
  <si>
    <t>三亚千古情二期</t>
    <phoneticPr fontId="2" type="noConversion"/>
  </si>
  <si>
    <t>三亚千古情2020</t>
    <phoneticPr fontId="2" type="noConversion"/>
  </si>
  <si>
    <t>丽江茶马古城项目2020</t>
    <phoneticPr fontId="2" type="noConversion"/>
  </si>
  <si>
    <t>九寨千古情整改项目</t>
    <phoneticPr fontId="2" type="noConversion"/>
  </si>
  <si>
    <t>九寨千古情整改项目2020</t>
    <phoneticPr fontId="2" type="noConversion"/>
  </si>
  <si>
    <t>桂林漓江千古情整改项目</t>
    <phoneticPr fontId="2" type="noConversion"/>
  </si>
  <si>
    <t>珠海演艺王国项目</t>
    <phoneticPr fontId="2" type="noConversion"/>
  </si>
  <si>
    <t>珠海</t>
    <phoneticPr fontId="2" type="noConversion"/>
  </si>
  <si>
    <t>轻资产</t>
    <phoneticPr fontId="2" type="noConversion"/>
  </si>
  <si>
    <t>郑州</t>
    <phoneticPr fontId="2" type="noConversion"/>
  </si>
  <si>
    <t>首演</t>
    <phoneticPr fontId="2" type="noConversion"/>
  </si>
  <si>
    <t>宋城景区整改项目2020</t>
    <phoneticPr fontId="2" type="noConversion"/>
  </si>
  <si>
    <t>项目</t>
    <phoneticPr fontId="2" type="noConversion"/>
  </si>
  <si>
    <t>时间</t>
    <phoneticPr fontId="2" type="noConversion"/>
  </si>
  <si>
    <t>事件</t>
    <phoneticPr fontId="2" type="noConversion"/>
  </si>
  <si>
    <t>影响</t>
    <phoneticPr fontId="2" type="noConversion"/>
  </si>
  <si>
    <t>杭州宋城</t>
    <phoneticPr fontId="2" type="noConversion"/>
  </si>
  <si>
    <t>1、利用疫情闭园期就新增10个室内外剧院、10000多个座位数
2、新建的两个大型美食广场能够同时容纳1500
人就餐与休息</t>
    <phoneticPr fontId="2" type="noConversion"/>
  </si>
  <si>
    <t>西安宋城</t>
    <phoneticPr fontId="2" type="noConversion"/>
  </si>
  <si>
    <t>佛山</t>
    <phoneticPr fontId="2" type="noConversion"/>
  </si>
  <si>
    <t>西塘</t>
    <phoneticPr fontId="2" type="noConversion"/>
  </si>
  <si>
    <t>武汉</t>
    <phoneticPr fontId="2" type="noConversion"/>
  </si>
  <si>
    <t>泰安千古情</t>
    <phoneticPr fontId="2" type="noConversion"/>
  </si>
  <si>
    <t>规划建设</t>
    <phoneticPr fontId="2" type="noConversion"/>
  </si>
  <si>
    <t>宣布终止建设，以轻资产形式和政府托管，推进泰安千古情</t>
    <phoneticPr fontId="2" type="noConversion"/>
  </si>
  <si>
    <t>因收益不急预期，宣布终止托管，结束，正是宣告失败
失败原因：线路规划不合理，爬泰山不会跑远路看</t>
    <phoneticPr fontId="2" type="noConversion"/>
  </si>
  <si>
    <t>石林千古情</t>
    <phoneticPr fontId="2" type="noConversion"/>
  </si>
  <si>
    <t>终止建设
未进在建工程
失败原因：离市区太远，观看演出需求不强烈</t>
    <phoneticPr fontId="2" type="noConversion"/>
  </si>
  <si>
    <t>后来一直强调项目选址很重要的根本原因</t>
    <phoneticPr fontId="2" type="noConversion"/>
  </si>
  <si>
    <t>武夷山千古情</t>
    <phoneticPr fontId="2" type="noConversion"/>
  </si>
  <si>
    <t>规划建设，3.5亿</t>
    <phoneticPr fontId="2" type="noConversion"/>
  </si>
  <si>
    <t>规划建设，2亿</t>
    <phoneticPr fontId="2" type="noConversion"/>
  </si>
  <si>
    <t>终止建设
未进在建工程
失败原因：远离核心景区</t>
    <phoneticPr fontId="2" type="noConversion"/>
  </si>
  <si>
    <t>吴越千古情</t>
    <phoneticPr fontId="2" type="noConversion"/>
  </si>
  <si>
    <t>规划杭州乐园演出</t>
    <phoneticPr fontId="2" type="noConversion"/>
  </si>
  <si>
    <t>Q1推出演出</t>
    <phoneticPr fontId="2" type="noConversion"/>
  </si>
  <si>
    <t>半年报解释停止演出，无人观看，不赚钱</t>
    <phoneticPr fontId="2" type="noConversion"/>
  </si>
  <si>
    <t>澳洲传奇</t>
    <phoneticPr fontId="2" type="noConversion"/>
  </si>
  <si>
    <t>11月，规划建设，4亿澳元，打造3大演艺秀和4大主题公园</t>
    <phoneticPr fontId="2" type="noConversion"/>
  </si>
  <si>
    <t>明确表示规划中，基本要黄</t>
    <phoneticPr fontId="2" type="noConversion"/>
  </si>
  <si>
    <t>三亚千古情</t>
    <phoneticPr fontId="2" type="noConversion"/>
  </si>
  <si>
    <t>规划建设，投资3.3亿</t>
    <phoneticPr fontId="2" type="noConversion"/>
  </si>
  <si>
    <t>投入营业</t>
    <phoneticPr fontId="2" type="noConversion"/>
  </si>
  <si>
    <t>当年营收三千多万，利润700多万</t>
    <phoneticPr fontId="2" type="noConversion"/>
  </si>
  <si>
    <t>营收增至4亿，净利润越2.2亿，增长放缓</t>
    <phoneticPr fontId="2" type="noConversion"/>
  </si>
  <si>
    <t>丽江千古情</t>
    <phoneticPr fontId="2" type="noConversion"/>
  </si>
  <si>
    <t>规划建设，预算2.2亿</t>
    <phoneticPr fontId="2" type="noConversion"/>
  </si>
  <si>
    <t>投入营业</t>
    <phoneticPr fontId="2" type="noConversion"/>
  </si>
  <si>
    <t>当年营收七千多万，利润五千多万</t>
    <phoneticPr fontId="2" type="noConversion"/>
  </si>
  <si>
    <t>营收增至3.3亿，净利润越1.8亿，增长放缓</t>
    <phoneticPr fontId="2" type="noConversion"/>
  </si>
  <si>
    <t>九寨千古情</t>
    <phoneticPr fontId="2" type="noConversion"/>
  </si>
  <si>
    <t>规划建设，预算2.4亿</t>
    <phoneticPr fontId="2" type="noConversion"/>
  </si>
  <si>
    <t>当前营收六千多万，利润五千多万</t>
    <phoneticPr fontId="2" type="noConversion"/>
  </si>
  <si>
    <t>2017/8/8 九寨沟地震</t>
    <phoneticPr fontId="2" type="noConversion"/>
  </si>
  <si>
    <t>营收定格在九千万，正常发展预估全年1.5亿</t>
    <phoneticPr fontId="2" type="noConversion"/>
  </si>
  <si>
    <t>重新开业，碰上ncov</t>
    <phoneticPr fontId="2" type="noConversion"/>
  </si>
  <si>
    <t>当年营收2.5千万</t>
    <phoneticPr fontId="2" type="noConversion"/>
  </si>
  <si>
    <t>规划建设，预算8.3亿</t>
    <phoneticPr fontId="2" type="noConversion"/>
  </si>
  <si>
    <t>开业，评价略低于预期</t>
    <phoneticPr fontId="2" type="noConversion"/>
  </si>
  <si>
    <t>规划建设，预算6.9亿</t>
    <phoneticPr fontId="2" type="noConversion"/>
  </si>
  <si>
    <t>开始营业</t>
    <phoneticPr fontId="2" type="noConversion"/>
  </si>
  <si>
    <t>当年营收四千多万，略微亏损</t>
    <phoneticPr fontId="2" type="noConversion"/>
  </si>
  <si>
    <t>告诉增长，营收1.6亿，净利润。6。7千万</t>
    <phoneticPr fontId="2" type="noConversion"/>
  </si>
  <si>
    <t>张家界千古情</t>
    <phoneticPr fontId="2" type="noConversion"/>
  </si>
  <si>
    <t>规划建设，预算5.3亿</t>
    <phoneticPr fontId="2" type="noConversion"/>
  </si>
  <si>
    <t>开始营业</t>
    <phoneticPr fontId="2" type="noConversion"/>
  </si>
  <si>
    <t>当年营收6.5千万，利润2.3千万</t>
    <phoneticPr fontId="2" type="noConversion"/>
  </si>
  <si>
    <t>规划建设，预算4.8亿</t>
    <phoneticPr fontId="2" type="noConversion"/>
  </si>
  <si>
    <t>当年营收2.5千万，净利润1.8千万</t>
    <phoneticPr fontId="2" type="noConversion"/>
  </si>
  <si>
    <t>开业，西安千古情开演，碰到ncov</t>
    <phoneticPr fontId="2" type="noConversion"/>
  </si>
  <si>
    <t>佛山千古情</t>
    <phoneticPr fontId="2" type="noConversion"/>
  </si>
  <si>
    <t>规划建设，预算7亿</t>
    <phoneticPr fontId="2" type="noConversion"/>
  </si>
  <si>
    <t>西塘千古情</t>
    <phoneticPr fontId="2" type="noConversion"/>
  </si>
  <si>
    <t>规划建设，预算4亿</t>
    <phoneticPr fontId="2" type="noConversion"/>
  </si>
  <si>
    <t>珠海千古情</t>
    <phoneticPr fontId="2" type="noConversion"/>
  </si>
  <si>
    <t>规划建设，预算25亿
未来的旗舰型产品，公司寄予厚望，将从项目的规划设计、工程建设、艺术创作等各方面投入大量精力，确保将珠
海项目打造成为世界级的演艺度假目的地</t>
    <phoneticPr fontId="2" type="noConversion"/>
  </si>
  <si>
    <t xml:space="preserve">应收账款 </t>
    <phoneticPr fontId="2" type="noConversion"/>
  </si>
  <si>
    <t xml:space="preserve">一年内到期的非流动资产  </t>
  </si>
  <si>
    <t xml:space="preserve">收到其他与筹资活动有关的现金  </t>
  </si>
  <si>
    <t>其中</t>
    <phoneticPr fontId="2" type="noConversion"/>
  </si>
  <si>
    <t xml:space="preserve">应收融资租赁款  </t>
  </si>
  <si>
    <t xml:space="preserve">应收保理款  </t>
  </si>
  <si>
    <t>应收票据</t>
    <phoneticPr fontId="2" type="noConversion"/>
  </si>
  <si>
    <t>毛利率</t>
    <phoneticPr fontId="2" type="noConversion"/>
  </si>
  <si>
    <t xml:space="preserve"> </t>
    <phoneticPr fontId="2" type="noConversion"/>
  </si>
  <si>
    <t>营收增速</t>
    <phoneticPr fontId="2" type="noConversion"/>
  </si>
  <si>
    <t>净利润增速</t>
    <phoneticPr fontId="2" type="noConversion"/>
  </si>
  <si>
    <t>毛利占比</t>
    <phoneticPr fontId="2" type="noConversion"/>
  </si>
  <si>
    <t>成交日</t>
  </si>
  <si>
    <t>到期日</t>
  </si>
  <si>
    <t>价格</t>
  </si>
  <si>
    <t>清偿价值</t>
    <phoneticPr fontId="2" type="noConversion"/>
  </si>
  <si>
    <r>
      <rPr>
        <sz val="11"/>
        <color rgb="FF555555"/>
        <rFont val="等线"/>
        <family val="2"/>
        <charset val="134"/>
      </rPr>
      <t>以实际天数</t>
    </r>
    <r>
      <rPr>
        <sz val="11"/>
        <color rgb="FF555555"/>
        <rFont val="Arial"/>
        <family val="2"/>
      </rPr>
      <t xml:space="preserve">/360 </t>
    </r>
    <r>
      <rPr>
        <sz val="11"/>
        <color rgb="FF555555"/>
        <rFont val="等线"/>
        <family val="2"/>
        <charset val="134"/>
      </rPr>
      <t>为日计数基准</t>
    </r>
    <phoneticPr fontId="2" type="noConversion"/>
  </si>
  <si>
    <t>年份</t>
    <phoneticPr fontId="2" type="noConversion"/>
  </si>
  <si>
    <t>ROE</t>
    <phoneticPr fontId="2" type="noConversion"/>
  </si>
  <si>
    <t>净利润率</t>
    <phoneticPr fontId="2" type="noConversion"/>
  </si>
  <si>
    <t>总资产周转率</t>
    <phoneticPr fontId="2" type="noConversion"/>
  </si>
  <si>
    <t>杠杆率</t>
    <phoneticPr fontId="2" type="noConversion"/>
  </si>
  <si>
    <t>GMV</t>
    <phoneticPr fontId="2" type="noConversion"/>
  </si>
  <si>
    <t>净利润</t>
    <phoneticPr fontId="2" type="noConversion"/>
  </si>
  <si>
    <t>合同资产</t>
    <phoneticPr fontId="2" type="noConversion"/>
  </si>
  <si>
    <t>长期应收款</t>
    <phoneticPr fontId="2" type="noConversion"/>
  </si>
  <si>
    <t>投资性房地产</t>
    <phoneticPr fontId="2" type="noConversion"/>
  </si>
  <si>
    <t>应付票据</t>
    <phoneticPr fontId="2" type="noConversion"/>
  </si>
  <si>
    <t>应付股利</t>
    <phoneticPr fontId="2" type="noConversion"/>
  </si>
  <si>
    <t xml:space="preserve">长期应付款  </t>
    <phoneticPr fontId="2" type="noConversion"/>
  </si>
  <si>
    <t>其他非流动负债</t>
    <phoneticPr fontId="2" type="noConversion"/>
  </si>
  <si>
    <t>专项储备</t>
    <phoneticPr fontId="2" type="noConversion"/>
  </si>
  <si>
    <t>智能水表</t>
  </si>
  <si>
    <t>机械水表</t>
  </si>
  <si>
    <t>水表配件及其他</t>
    <phoneticPr fontId="2" type="noConversion"/>
  </si>
  <si>
    <t>水表配件及其他</t>
    <phoneticPr fontId="2" type="noConversion"/>
  </si>
  <si>
    <t>差值</t>
    <phoneticPr fontId="2" type="noConversion"/>
  </si>
  <si>
    <t>预估成本
（加上三费）</t>
    <phoneticPr fontId="2" type="noConversion"/>
  </si>
  <si>
    <t>预估真实毛利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</si>
</sst>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  <numFmt numFmtId="188" formatCode="#,##0.0_ 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等线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8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0" fontId="0" fillId="14" borderId="0" xfId="0" applyNumberFormat="1" applyFill="1">
      <alignment vertical="center"/>
    </xf>
    <xf numFmtId="10" fontId="0" fillId="0" borderId="0" xfId="0" applyNumberFormat="1" applyFill="1">
      <alignment vertical="center"/>
    </xf>
    <xf numFmtId="0" fontId="17" fillId="0" borderId="0" xfId="0" applyFont="1">
      <alignment vertical="center"/>
    </xf>
    <xf numFmtId="10" fontId="14" fillId="0" borderId="0" xfId="0" applyNumberFormat="1" applyFont="1" applyAlignment="1">
      <alignment horizontal="left" vertical="center"/>
    </xf>
    <xf numFmtId="185" fontId="14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185" fontId="0" fillId="0" borderId="0" xfId="0" applyNumberFormat="1" applyFill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85" fontId="0" fillId="14" borderId="0" xfId="0" applyNumberForma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财务分析!$B$1</c:f>
              <c:strCache>
                <c:ptCount val="1"/>
                <c:pt idx="0">
                  <c:v>ROE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财务分析!$B$2:$B$7</c:f>
              <c:numCache>
                <c:formatCode>0.00%</c:formatCode>
                <c:ptCount val="6"/>
                <c:pt idx="0">
                  <c:v>0.223301</c:v>
                </c:pt>
                <c:pt idx="1">
                  <c:v>0.21762000000000001</c:v>
                </c:pt>
                <c:pt idx="2">
                  <c:v>0.234567</c:v>
                </c:pt>
                <c:pt idx="3">
                  <c:v>0.26228000000000001</c:v>
                </c:pt>
                <c:pt idx="4">
                  <c:v>0.28058499999999997</c:v>
                </c:pt>
                <c:pt idx="5">
                  <c:v>0.22329299999999999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7-41E4-A5DD-4AF3052A94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1391935"/>
        <c:axId val="1761408575"/>
      </c:lineChart>
      <c:catAx>
        <c:axId val="176139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408575"/>
        <c:crosses val="autoZero"/>
        <c:auto val="1"/>
        <c:lblAlgn val="ctr"/>
        <c:lblOffset val="100"/>
        <c:noMultiLvlLbl val="0"/>
      </c:catAx>
      <c:valAx>
        <c:axId val="17614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39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财务分析!$B$19</c:f>
              <c:strCache>
                <c:ptCount val="1"/>
                <c:pt idx="0">
                  <c:v>净利润率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财务分析!$A$20:$A$25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财务分析!$B$20:$B$25</c:f>
              <c:numCache>
                <c:formatCode>0.00%</c:formatCode>
                <c:ptCount val="6"/>
                <c:pt idx="0">
                  <c:v>0.44143500000000002</c:v>
                </c:pt>
                <c:pt idx="1">
                  <c:v>0.57803300000000002</c:v>
                </c:pt>
                <c:pt idx="2">
                  <c:v>0.541995</c:v>
                </c:pt>
                <c:pt idx="3">
                  <c:v>0.26439299999999999</c:v>
                </c:pt>
                <c:pt idx="4">
                  <c:v>0.308724</c:v>
                </c:pt>
                <c:pt idx="5">
                  <c:v>0.28475899999999998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F-462F-8B37-A82F56FDF2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2386879"/>
        <c:axId val="1922396447"/>
      </c:lineChart>
      <c:catAx>
        <c:axId val="19223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2396447"/>
        <c:crosses val="autoZero"/>
        <c:auto val="1"/>
        <c:lblAlgn val="ctr"/>
        <c:lblOffset val="100"/>
        <c:noMultiLvlLbl val="0"/>
      </c:catAx>
      <c:valAx>
        <c:axId val="19223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238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财务分析!$B$34</c:f>
              <c:strCache>
                <c:ptCount val="1"/>
                <c:pt idx="0">
                  <c:v>总资产周转率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财务分析!$A$35:$A$40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财务分析!$B$35:$B$40</c:f>
              <c:numCache>
                <c:formatCode>0.00%</c:formatCode>
                <c:ptCount val="6"/>
                <c:pt idx="0">
                  <c:v>0.43890899999999999</c:v>
                </c:pt>
                <c:pt idx="1">
                  <c:v>0.30470399999999997</c:v>
                </c:pt>
                <c:pt idx="2">
                  <c:v>0.33602599999999999</c:v>
                </c:pt>
                <c:pt idx="3">
                  <c:v>0.80118299999999998</c:v>
                </c:pt>
                <c:pt idx="4">
                  <c:v>0.77871699999999999</c:v>
                </c:pt>
                <c:pt idx="5">
                  <c:v>0.69583099999999998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0-4E50-A9E0-508F959906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2415167"/>
        <c:axId val="1922411423"/>
      </c:lineChart>
      <c:catAx>
        <c:axId val="192241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2411423"/>
        <c:crosses val="autoZero"/>
        <c:auto val="1"/>
        <c:lblAlgn val="ctr"/>
        <c:lblOffset val="100"/>
        <c:noMultiLvlLbl val="0"/>
      </c:catAx>
      <c:valAx>
        <c:axId val="19224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241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财务分析!$B$48</c:f>
              <c:strCache>
                <c:ptCount val="1"/>
                <c:pt idx="0">
                  <c:v>杠杆率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财务分析!$A$49:$A$54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财务分析!$B$49:$B$54</c:f>
              <c:numCache>
                <c:formatCode>0.00%</c:formatCode>
                <c:ptCount val="6"/>
                <c:pt idx="0">
                  <c:v>0.71909100000000004</c:v>
                </c:pt>
                <c:pt idx="1">
                  <c:v>1.11432</c:v>
                </c:pt>
                <c:pt idx="2">
                  <c:v>0.97103499999999998</c:v>
                </c:pt>
                <c:pt idx="3">
                  <c:v>1.119378</c:v>
                </c:pt>
                <c:pt idx="4">
                  <c:v>1.0325820000000001</c:v>
                </c:pt>
                <c:pt idx="5">
                  <c:v>1.0369520000000001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0-42F9-A87D-DA566E8DCB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464943"/>
        <c:axId val="1750455375"/>
      </c:lineChart>
      <c:catAx>
        <c:axId val="175046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55375"/>
        <c:crosses val="autoZero"/>
        <c:auto val="1"/>
        <c:lblAlgn val="ctr"/>
        <c:lblOffset val="100"/>
        <c:noMultiLvlLbl val="0"/>
      </c:catAx>
      <c:valAx>
        <c:axId val="175045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6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财务分析!$B$65</c:f>
              <c:strCache>
                <c:ptCount val="1"/>
                <c:pt idx="0">
                  <c:v>GMV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财务分析!$A$66:$A$71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财务分析!$B$66:$B$71</c:f>
              <c:numCache>
                <c:formatCode>#,##0.00_ </c:formatCode>
                <c:ptCount val="6"/>
                <c:pt idx="0">
                  <c:v>12.8</c:v>
                </c:pt>
                <c:pt idx="1">
                  <c:v>72.06</c:v>
                </c:pt>
                <c:pt idx="2">
                  <c:v>124.03</c:v>
                </c:pt>
                <c:pt idx="3">
                  <c:v>205.21</c:v>
                </c:pt>
                <c:pt idx="4">
                  <c:v>305.58999999999997</c:v>
                </c:pt>
                <c:pt idx="5">
                  <c:v>402.09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2-4E83-9659-1BAEA19E6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0451215"/>
        <c:axId val="1750457039"/>
      </c:barChart>
      <c:catAx>
        <c:axId val="17504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57039"/>
        <c:crosses val="autoZero"/>
        <c:auto val="1"/>
        <c:lblAlgn val="ctr"/>
        <c:lblOffset val="100"/>
        <c:noMultiLvlLbl val="0"/>
      </c:catAx>
      <c:valAx>
        <c:axId val="17504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5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财务分析!$B$81</c:f>
              <c:strCache>
                <c:ptCount val="1"/>
                <c:pt idx="0">
                  <c:v>净利润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财务分析!$A$82:$A$87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财务分析!$B$82:$B$87</c:f>
              <c:numCache>
                <c:formatCode>#,##0.00_ </c:formatCode>
                <c:ptCount val="6"/>
                <c:pt idx="0">
                  <c:v>1.71</c:v>
                </c:pt>
                <c:pt idx="1">
                  <c:v>3.01</c:v>
                </c:pt>
                <c:pt idx="2">
                  <c:v>5.34</c:v>
                </c:pt>
                <c:pt idx="3">
                  <c:v>8.85</c:v>
                </c:pt>
                <c:pt idx="4">
                  <c:v>12.06</c:v>
                </c:pt>
                <c:pt idx="5">
                  <c:v>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3-4134-8217-B756AE014E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0451631"/>
        <c:axId val="1750453295"/>
      </c:barChart>
      <c:catAx>
        <c:axId val="175045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53295"/>
        <c:crosses val="autoZero"/>
        <c:auto val="1"/>
        <c:lblAlgn val="ctr"/>
        <c:lblOffset val="100"/>
        <c:noMultiLvlLbl val="0"/>
      </c:catAx>
      <c:valAx>
        <c:axId val="17504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45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37</xdr:row>
      <xdr:rowOff>95250</xdr:rowOff>
    </xdr:from>
    <xdr:ext cx="11603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8582025" y="7496175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B69F08E2-8E51-4995-8A09-D4B96166F404}" type="mathplaceholder">
                      <a:rPr lang="zh-CN" altLang="en-US" sz="1100" i="1">
                        <a:latin typeface="Cambria Math" panose="02040503050406030204" pitchFamily="18" charset="0"/>
                      </a:rPr>
                      <a:t>在此处键入公式。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8582025" y="7496175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"在此处键入公式。"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0</xdr:rowOff>
    </xdr:from>
    <xdr:to>
      <xdr:col>9</xdr:col>
      <xdr:colOff>419100</xdr:colOff>
      <xdr:row>13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14</xdr:row>
      <xdr:rowOff>152400</xdr:rowOff>
    </xdr:from>
    <xdr:to>
      <xdr:col>9</xdr:col>
      <xdr:colOff>552450</xdr:colOff>
      <xdr:row>28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171450</xdr:colOff>
      <xdr:row>30</xdr:row>
      <xdr:rowOff>85725</xdr:rowOff>
    </xdr:from>
    <xdr:to>
      <xdr:col>9</xdr:col>
      <xdr:colOff>628650</xdr:colOff>
      <xdr:row>44</xdr:row>
      <xdr:rowOff>28575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133350</xdr:colOff>
      <xdr:row>46</xdr:row>
      <xdr:rowOff>152400</xdr:rowOff>
    </xdr:from>
    <xdr:to>
      <xdr:col>9</xdr:col>
      <xdr:colOff>590550</xdr:colOff>
      <xdr:row>60</xdr:row>
      <xdr:rowOff>95250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62</xdr:row>
      <xdr:rowOff>171450</xdr:rowOff>
    </xdr:from>
    <xdr:to>
      <xdr:col>9</xdr:col>
      <xdr:colOff>457200</xdr:colOff>
      <xdr:row>76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581025</xdr:colOff>
      <xdr:row>78</xdr:row>
      <xdr:rowOff>0</xdr:rowOff>
    </xdr:from>
    <xdr:to>
      <xdr:col>9</xdr:col>
      <xdr:colOff>352425</xdr:colOff>
      <xdr:row>91</xdr:row>
      <xdr:rowOff>142875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125" t="str">
        <f>G2</f>
        <v>Apple Inc.</v>
      </c>
      <c r="Q2" s="126"/>
      <c r="R2" s="127"/>
      <c r="S2" s="35"/>
      <c r="T2" s="125" t="str">
        <f>G2</f>
        <v>Apple Inc.</v>
      </c>
      <c r="U2" s="127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 ca="1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55"/>
  <sheetViews>
    <sheetView topLeftCell="A25" workbookViewId="0">
      <selection activeCell="E53" sqref="E53"/>
    </sheetView>
  </sheetViews>
  <sheetFormatPr defaultRowHeight="15.75" x14ac:dyDescent="0.25"/>
  <cols>
    <col min="2" max="2" width="13.25" customWidth="1"/>
    <col min="3" max="4" width="16.75" bestFit="1" customWidth="1"/>
    <col min="5" max="5" width="17.875" bestFit="1" customWidth="1"/>
    <col min="6" max="6" width="16.75" bestFit="1" customWidth="1"/>
    <col min="7" max="7" width="17.875" bestFit="1" customWidth="1"/>
    <col min="8" max="8" width="16.75" bestFit="1" customWidth="1"/>
    <col min="13" max="13" width="17.75" customWidth="1"/>
    <col min="14" max="24" width="17.7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 s="87">
        <v>1185134815.74</v>
      </c>
      <c r="L6">
        <f>E18</f>
        <v>43604620478.473457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 s="69">
        <f t="dataTable" ref="M7:X15" dt2D="1" dtr="1" r1="C5" r2="C7" ca="1"/>
        <v>22916003824.11179</v>
      </c>
      <c r="N7" s="69">
        <v>27168267542.986908</v>
      </c>
      <c r="O7" s="69">
        <v>33546663121.299587</v>
      </c>
      <c r="P7" s="69">
        <v>39925058699.612274</v>
      </c>
      <c r="Q7" s="69">
        <v>44177322418.487396</v>
      </c>
      <c r="R7" s="69">
        <v>48429586137.362511</v>
      </c>
      <c r="S7" s="69">
        <v>54807981715.675194</v>
      </c>
      <c r="T7" s="69">
        <v>65438641012.862991</v>
      </c>
      <c r="U7" s="69">
        <v>76069300310.050797</v>
      </c>
      <c r="V7" s="69">
        <v>86699959607.238602</v>
      </c>
      <c r="W7" s="69">
        <v>97330618904.426392</v>
      </c>
      <c r="X7" s="69">
        <v>107961278201.6142</v>
      </c>
    </row>
    <row r="8" spans="2:24" x14ac:dyDescent="0.25">
      <c r="C8" s="57"/>
      <c r="L8" s="57">
        <v>0.06</v>
      </c>
      <c r="M8" s="69">
        <v>19316626013.752708</v>
      </c>
      <c r="N8" s="69">
        <v>22886908628.658905</v>
      </c>
      <c r="O8" s="69">
        <v>28242332551.018196</v>
      </c>
      <c r="P8" s="69">
        <v>33597756473.377495</v>
      </c>
      <c r="Q8" s="69">
        <v>37168039088.283699</v>
      </c>
      <c r="R8" s="69">
        <v>40738321703.189888</v>
      </c>
      <c r="S8" s="69">
        <v>46093745625.549187</v>
      </c>
      <c r="T8" s="69">
        <v>55019452162.814682</v>
      </c>
      <c r="U8" s="69">
        <v>63945158700.080177</v>
      </c>
      <c r="V8" s="69">
        <v>72870865237.345673</v>
      </c>
      <c r="W8" s="69">
        <v>81796571774.61116</v>
      </c>
      <c r="X8" s="69">
        <v>90722278311.876648</v>
      </c>
    </row>
    <row r="9" spans="2:24" x14ac:dyDescent="0.25">
      <c r="C9" s="57"/>
      <c r="L9" s="57">
        <v>7.0000000000000007E-2</v>
      </c>
      <c r="M9" s="69">
        <v>18792648090.105991</v>
      </c>
      <c r="N9" s="69">
        <v>22263761935.803749</v>
      </c>
      <c r="O9" s="69">
        <v>27470432704.350388</v>
      </c>
      <c r="P9" s="69">
        <v>32677103472.897026</v>
      </c>
      <c r="Q9" s="69">
        <v>36148217318.594788</v>
      </c>
      <c r="R9" s="69">
        <v>39619331164.292542</v>
      </c>
      <c r="S9" s="69">
        <v>44826001932.83918</v>
      </c>
      <c r="T9" s="69">
        <v>53503786547.08358</v>
      </c>
      <c r="U9" s="69">
        <v>62181571161.32798</v>
      </c>
      <c r="V9" s="69">
        <v>70859355775.572372</v>
      </c>
      <c r="W9" s="69">
        <v>79537140389.816757</v>
      </c>
      <c r="X9" s="69">
        <v>88214925004.061157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 s="69">
        <v>18287740198.247978</v>
      </c>
      <c r="N10" s="69">
        <v>21663324235.611374</v>
      </c>
      <c r="O10" s="69">
        <v>26726700291.656467</v>
      </c>
      <c r="P10" s="69">
        <v>31790076347.701569</v>
      </c>
      <c r="Q10" s="69">
        <v>35165660385.064964</v>
      </c>
      <c r="R10" s="69">
        <v>38541244422.42836</v>
      </c>
      <c r="S10" s="69">
        <v>43604620478.473457</v>
      </c>
      <c r="T10" s="69">
        <v>52043580571.881943</v>
      </c>
      <c r="U10" s="69">
        <v>60482540665.290443</v>
      </c>
      <c r="V10" s="69">
        <v>68921500758.698944</v>
      </c>
      <c r="W10" s="69">
        <v>77360460852.107422</v>
      </c>
      <c r="X10" s="69">
        <v>85799420945.515915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 s="69">
        <v>17801039210.317783</v>
      </c>
      <c r="N11" s="69">
        <v>21084567006.896172</v>
      </c>
      <c r="O11" s="69">
        <v>26009858701.76376</v>
      </c>
      <c r="P11" s="69">
        <v>30935150396.631351</v>
      </c>
      <c r="Q11" s="69">
        <v>34218678193.209747</v>
      </c>
      <c r="R11" s="69">
        <v>37502205989.788132</v>
      </c>
      <c r="S11" s="69">
        <v>42427497684.655724</v>
      </c>
      <c r="T11" s="69">
        <v>50636317176.1017</v>
      </c>
      <c r="U11" s="69">
        <v>58845136667.547691</v>
      </c>
      <c r="V11" s="69">
        <v>67053956158.993675</v>
      </c>
      <c r="W11" s="69">
        <v>75262775650.439651</v>
      </c>
      <c r="X11" s="69">
        <v>83471595141.885635</v>
      </c>
    </row>
    <row r="12" spans="2:24" x14ac:dyDescent="0.25">
      <c r="B12" t="s">
        <v>40</v>
      </c>
      <c r="C12" s="57">
        <v>0.3</v>
      </c>
      <c r="D12" s="57">
        <v>0.2</v>
      </c>
      <c r="E12" s="57">
        <v>0.15</v>
      </c>
      <c r="F12" s="57">
        <v>0.2</v>
      </c>
      <c r="G12" s="57">
        <v>0.15</v>
      </c>
      <c r="L12" s="57">
        <v>0.1</v>
      </c>
      <c r="M12" s="69">
        <v>17331728531.10257</v>
      </c>
      <c r="N12" s="69">
        <v>20526517200.430237</v>
      </c>
      <c r="O12" s="69">
        <v>25318700204.42173</v>
      </c>
      <c r="P12" s="69">
        <v>30110883208.413223</v>
      </c>
      <c r="Q12" s="69">
        <v>33305671877.740887</v>
      </c>
      <c r="R12" s="69">
        <v>36500460547.068542</v>
      </c>
      <c r="S12" s="69">
        <v>41292643551.060036</v>
      </c>
      <c r="T12" s="69">
        <v>49279615224.379196</v>
      </c>
      <c r="U12" s="69">
        <v>57266586897.698357</v>
      </c>
      <c r="V12" s="69">
        <v>65253558571.017509</v>
      </c>
      <c r="W12" s="69">
        <v>73240530244.33667</v>
      </c>
      <c r="X12" s="69">
        <v>81227501917.655823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 s="69">
        <v>16442227168.397387</v>
      </c>
      <c r="N13" s="69">
        <v>19468904491.986294</v>
      </c>
      <c r="O13" s="69">
        <v>24008920477.369656</v>
      </c>
      <c r="P13" s="69">
        <v>28548936462.753021</v>
      </c>
      <c r="Q13" s="69">
        <v>31575613786.341934</v>
      </c>
      <c r="R13" s="69">
        <v>34602291109.93084</v>
      </c>
      <c r="S13" s="69">
        <v>39142307095.314209</v>
      </c>
      <c r="T13" s="69">
        <v>46709000404.286476</v>
      </c>
      <c r="U13" s="69">
        <v>54275693713.258759</v>
      </c>
      <c r="V13" s="69">
        <v>61842387022.231033</v>
      </c>
      <c r="W13" s="69">
        <v>69409080331.203278</v>
      </c>
      <c r="X13" s="69">
        <v>76975773640.175568</v>
      </c>
    </row>
    <row r="14" spans="2:24" x14ac:dyDescent="0.25">
      <c r="B14" t="s">
        <v>49</v>
      </c>
      <c r="C14" s="87">
        <f>C6*(1+C12)</f>
        <v>1540675260.4620001</v>
      </c>
      <c r="D14" s="87">
        <f>C14*(1+D12)</f>
        <v>1848810312.5544002</v>
      </c>
      <c r="E14" s="87">
        <f t="shared" ref="E14:G14" si="0">D14*(1+E12)</f>
        <v>2126131859.4375601</v>
      </c>
      <c r="F14" s="87">
        <f t="shared" si="0"/>
        <v>2551358231.3250718</v>
      </c>
      <c r="G14" s="87">
        <f t="shared" si="0"/>
        <v>2934061966.0238323</v>
      </c>
      <c r="H14" s="104"/>
      <c r="L14" s="57">
        <v>0.15</v>
      </c>
      <c r="M14" s="69">
        <v>15220357109.970539</v>
      </c>
      <c r="N14" s="69">
        <v>18016289529.712543</v>
      </c>
      <c r="O14" s="69">
        <v>22210188159.32555</v>
      </c>
      <c r="P14" s="69">
        <v>26404086788.938557</v>
      </c>
      <c r="Q14" s="69">
        <v>29200019208.680565</v>
      </c>
      <c r="R14" s="69">
        <v>31995951628.422565</v>
      </c>
      <c r="S14" s="69">
        <v>36189850258.035583</v>
      </c>
      <c r="T14" s="69">
        <v>43179681307.390594</v>
      </c>
      <c r="U14" s="69">
        <v>50169512356.745605</v>
      </c>
      <c r="V14" s="69">
        <v>57159343406.100624</v>
      </c>
      <c r="W14" s="69">
        <v>64149174455.455627</v>
      </c>
      <c r="X14" s="69">
        <v>71139005504.810638</v>
      </c>
    </row>
    <row r="15" spans="2:24" x14ac:dyDescent="0.25">
      <c r="B15" t="s">
        <v>52</v>
      </c>
      <c r="C15" s="104">
        <f>C14*C13</f>
        <v>462202578.13860005</v>
      </c>
      <c r="D15" s="104">
        <f>D14*D13</f>
        <v>554643093.76631999</v>
      </c>
      <c r="E15" s="104">
        <f>E14*E13</f>
        <v>637839557.83126795</v>
      </c>
      <c r="F15" s="104">
        <f>F14*F13</f>
        <v>765407469.3975215</v>
      </c>
      <c r="G15" s="104">
        <f>G14*G13</f>
        <v>880218589.80714965</v>
      </c>
      <c r="H15" s="104"/>
      <c r="L15" s="57">
        <v>0.2</v>
      </c>
      <c r="M15" s="69">
        <v>13443461560.906271</v>
      </c>
      <c r="N15" s="69">
        <v>15904262324.144188</v>
      </c>
      <c r="O15" s="69">
        <v>19595463469.001064</v>
      </c>
      <c r="P15" s="69">
        <v>23286664613.857941</v>
      </c>
      <c r="Q15" s="69">
        <v>25747465377.09586</v>
      </c>
      <c r="R15" s="69">
        <v>28208266140.333775</v>
      </c>
      <c r="S15" s="69">
        <v>31899467285.190651</v>
      </c>
      <c r="T15" s="69">
        <v>38051469193.285439</v>
      </c>
      <c r="U15" s="69">
        <v>44203471101.380234</v>
      </c>
      <c r="V15" s="69">
        <v>50355473009.475029</v>
      </c>
      <c r="W15" s="69">
        <v>56507474917.569817</v>
      </c>
      <c r="X15" s="69">
        <v>62659476825.664612</v>
      </c>
    </row>
    <row r="16" spans="2:24" x14ac:dyDescent="0.25">
      <c r="B16" t="s">
        <v>53</v>
      </c>
      <c r="C16" s="104">
        <f>C15/(1+C7)</f>
        <v>427965350.12833333</v>
      </c>
      <c r="D16" s="104">
        <f>D15/(1+C7)^(D11)</f>
        <v>475517055.69814807</v>
      </c>
      <c r="E16" s="104">
        <f>E15/(1+C7)^(E11)</f>
        <v>506337605.60450947</v>
      </c>
      <c r="F16" s="104">
        <f>F15/(1+C7)^(F11)</f>
        <v>562597339.56056607</v>
      </c>
      <c r="G16" s="104">
        <f>G15/(1+C7)^(G11)</f>
        <v>599061981.93949151</v>
      </c>
      <c r="H16" s="104">
        <f>SUM(C16:G16)</f>
        <v>2571479332.9310484</v>
      </c>
    </row>
    <row r="17" spans="2:24" x14ac:dyDescent="0.25">
      <c r="B17" t="s">
        <v>54</v>
      </c>
      <c r="C17" s="104"/>
      <c r="D17" s="104"/>
      <c r="E17" s="104">
        <f>E14*C5/(1+C7)^E11</f>
        <v>42194800467.042465</v>
      </c>
      <c r="F17" s="104"/>
      <c r="G17" s="104">
        <f>G14*C5/(1+C7)^G11</f>
        <v>49921831828.29097</v>
      </c>
      <c r="H17" s="104"/>
    </row>
    <row r="18" spans="2:24" x14ac:dyDescent="0.25">
      <c r="B18" t="s">
        <v>55</v>
      </c>
      <c r="C18" s="104"/>
      <c r="D18" s="104"/>
      <c r="E18" s="104">
        <f>E17+C16+D16+E16</f>
        <v>43604620478.473457</v>
      </c>
      <c r="F18" s="104"/>
      <c r="G18" s="104">
        <f>G17+H16</f>
        <v>52493311161.222015</v>
      </c>
      <c r="H18" s="104"/>
    </row>
    <row r="19" spans="2:24" x14ac:dyDescent="0.25">
      <c r="C19" s="104"/>
      <c r="D19" s="104"/>
      <c r="E19" s="104"/>
      <c r="F19" s="104"/>
      <c r="G19" s="104"/>
      <c r="H19" s="104"/>
    </row>
    <row r="20" spans="2:24" x14ac:dyDescent="0.25">
      <c r="B20" t="s">
        <v>64</v>
      </c>
      <c r="C20" s="70">
        <v>417326994</v>
      </c>
      <c r="D20" s="104"/>
      <c r="E20" s="104"/>
      <c r="F20" s="104"/>
      <c r="G20" s="104"/>
      <c r="H20" s="104"/>
    </row>
    <row r="21" spans="2:24" x14ac:dyDescent="0.25">
      <c r="B21" t="s">
        <v>66</v>
      </c>
      <c r="C21" s="104">
        <v>239</v>
      </c>
      <c r="D21" s="104"/>
      <c r="E21" s="104"/>
      <c r="F21" s="104"/>
      <c r="G21" s="104"/>
      <c r="H21" s="104"/>
    </row>
    <row r="22" spans="2:24" x14ac:dyDescent="0.25">
      <c r="B22" t="s">
        <v>65</v>
      </c>
      <c r="C22" s="104"/>
      <c r="D22" s="104"/>
      <c r="E22" s="104">
        <f>E18/C20</f>
        <v>104.48550202931148</v>
      </c>
      <c r="F22" s="104"/>
      <c r="G22" s="104">
        <f>G18/C20</f>
        <v>125.78460515597996</v>
      </c>
      <c r="H22" s="104"/>
      <c r="K22" t="s">
        <v>58</v>
      </c>
    </row>
    <row r="23" spans="2:24" x14ac:dyDescent="0.25">
      <c r="C23" s="104"/>
      <c r="D23" s="104"/>
      <c r="E23" s="104"/>
      <c r="F23" s="104"/>
      <c r="G23" s="104"/>
      <c r="H23" s="104"/>
      <c r="M23" t="s">
        <v>57</v>
      </c>
    </row>
    <row r="24" spans="2:24" x14ac:dyDescent="0.25">
      <c r="G24" t="s">
        <v>93</v>
      </c>
      <c r="L24">
        <f>G18</f>
        <v>52493311161.222015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 s="69">
        <f t="dataTable" ref="M25:X33" dt2D="1" dtr="1" r1="C5" r2="C7"/>
        <v>32640930949.179184</v>
      </c>
      <c r="N25" s="69">
        <v>38509054881.226845</v>
      </c>
      <c r="O25" s="69">
        <v>47311240779.29834</v>
      </c>
      <c r="P25" s="69">
        <v>56113426677.369843</v>
      </c>
      <c r="Q25" s="69">
        <v>61981550609.417503</v>
      </c>
      <c r="R25" s="69">
        <v>67849674541.465164</v>
      </c>
      <c r="S25" s="69">
        <v>76651860439.536667</v>
      </c>
      <c r="T25" s="69">
        <v>91322170269.655823</v>
      </c>
      <c r="U25" s="69">
        <v>105992480099.77499</v>
      </c>
      <c r="V25" s="69">
        <v>120662789929.89415</v>
      </c>
      <c r="W25" s="69">
        <v>135333099760.01331</v>
      </c>
      <c r="X25" s="69">
        <v>150003409590.13248</v>
      </c>
    </row>
    <row r="26" spans="2:24" x14ac:dyDescent="0.25">
      <c r="L26" s="57">
        <v>0.04</v>
      </c>
      <c r="M26" s="69">
        <v>27017860977.968483</v>
      </c>
      <c r="N26" s="69">
        <v>31841031103.541725</v>
      </c>
      <c r="O26" s="69">
        <v>39075786291.901596</v>
      </c>
      <c r="P26" s="69">
        <v>46310541480.261475</v>
      </c>
      <c r="Q26" s="69">
        <v>51133711605.834717</v>
      </c>
      <c r="R26" s="69">
        <v>55956881731.407959</v>
      </c>
      <c r="S26" s="69">
        <v>63191636919.76783</v>
      </c>
      <c r="T26" s="69">
        <v>75249562233.700943</v>
      </c>
      <c r="U26" s="69">
        <v>87307487547.634064</v>
      </c>
      <c r="V26" s="69">
        <v>99365412861.567184</v>
      </c>
      <c r="W26" s="69">
        <v>111423338175.50029</v>
      </c>
      <c r="X26" s="69">
        <v>123481263489.43341</v>
      </c>
    </row>
    <row r="27" spans="2:24" x14ac:dyDescent="0.25">
      <c r="C27" s="69"/>
      <c r="L27" s="57">
        <v>0.05</v>
      </c>
      <c r="M27" s="69">
        <v>25802780520.334171</v>
      </c>
      <c r="N27" s="69">
        <v>30400609169.173298</v>
      </c>
      <c r="O27" s="69">
        <v>37297352142.431992</v>
      </c>
      <c r="P27" s="69">
        <v>44194095115.690674</v>
      </c>
      <c r="Q27" s="69">
        <v>48791923764.5298</v>
      </c>
      <c r="R27" s="69">
        <v>53389752413.368927</v>
      </c>
      <c r="S27" s="69">
        <v>60286495386.627625</v>
      </c>
      <c r="T27" s="69">
        <v>71781067008.725433</v>
      </c>
      <c r="U27" s="69">
        <v>83275638630.823257</v>
      </c>
      <c r="V27" s="69">
        <v>94770210252.921066</v>
      </c>
      <c r="W27" s="69">
        <v>106264781875.01888</v>
      </c>
      <c r="X27" s="69">
        <v>117759353497.1167</v>
      </c>
    </row>
    <row r="28" spans="2:24" x14ac:dyDescent="0.25">
      <c r="C28" s="69"/>
      <c r="L28" s="57">
        <v>0.06</v>
      </c>
      <c r="M28" s="69">
        <v>24654255718.736172</v>
      </c>
      <c r="N28" s="69">
        <v>29039259286.349689</v>
      </c>
      <c r="O28" s="69">
        <v>35616764637.769974</v>
      </c>
      <c r="P28" s="69">
        <v>42194269989.190247</v>
      </c>
      <c r="Q28" s="69">
        <v>46579273556.803772</v>
      </c>
      <c r="R28" s="69">
        <v>50964277124.417282</v>
      </c>
      <c r="S28" s="69">
        <v>57541782475.83757</v>
      </c>
      <c r="T28" s="69">
        <v>68504291394.871368</v>
      </c>
      <c r="U28" s="69">
        <v>79466800313.905167</v>
      </c>
      <c r="V28" s="69">
        <v>90429309232.938965</v>
      </c>
      <c r="W28" s="69">
        <v>101391818151.97276</v>
      </c>
      <c r="X28" s="69">
        <v>112354327071.00656</v>
      </c>
    </row>
    <row r="29" spans="2:24" x14ac:dyDescent="0.25">
      <c r="C29" s="69"/>
      <c r="L29" s="57">
        <v>7.0000000000000007E-2</v>
      </c>
      <c r="M29" s="69">
        <v>23568044559.979809</v>
      </c>
      <c r="N29" s="69">
        <v>27751935823.027157</v>
      </c>
      <c r="O29" s="69">
        <v>34027772717.598171</v>
      </c>
      <c r="P29" s="69">
        <v>40303609612.169197</v>
      </c>
      <c r="Q29" s="69">
        <v>44487500875.216537</v>
      </c>
      <c r="R29" s="69">
        <v>48671392138.263885</v>
      </c>
      <c r="S29" s="69">
        <v>54947229032.834908</v>
      </c>
      <c r="T29" s="69">
        <v>65406957190.453262</v>
      </c>
      <c r="U29" s="69">
        <v>75866685348.071625</v>
      </c>
      <c r="V29" s="69">
        <v>86326413505.689987</v>
      </c>
      <c r="W29" s="69">
        <v>96786141663.30835</v>
      </c>
      <c r="X29" s="69">
        <v>107245869820.92673</v>
      </c>
    </row>
    <row r="30" spans="2:24" x14ac:dyDescent="0.25">
      <c r="C30" s="69"/>
      <c r="L30" s="57">
        <v>0.1</v>
      </c>
      <c r="M30" s="69">
        <v>20645331655.074646</v>
      </c>
      <c r="N30" s="69">
        <v>24288974930.836773</v>
      </c>
      <c r="O30" s="69">
        <v>29754439844.479961</v>
      </c>
      <c r="P30" s="69">
        <v>35219904758.123154</v>
      </c>
      <c r="Q30" s="69">
        <v>38863548033.885284</v>
      </c>
      <c r="R30" s="69">
        <v>42507191309.6474</v>
      </c>
      <c r="S30" s="69">
        <v>47972656223.290588</v>
      </c>
      <c r="T30" s="69">
        <v>57081764412.695908</v>
      </c>
      <c r="U30" s="69">
        <v>66190872602.101227</v>
      </c>
      <c r="V30" s="69">
        <v>75299980791.506546</v>
      </c>
      <c r="W30" s="69">
        <v>84409088980.91185</v>
      </c>
      <c r="X30" s="69">
        <v>93518197170.317169</v>
      </c>
    </row>
    <row r="31" spans="2:24" x14ac:dyDescent="0.25">
      <c r="C31" s="69"/>
      <c r="L31" s="57">
        <v>0.12</v>
      </c>
      <c r="M31" s="69">
        <v>18943386060.004734</v>
      </c>
      <c r="N31" s="69">
        <v>22273117171.733601</v>
      </c>
      <c r="O31" s="69">
        <v>27267713839.326904</v>
      </c>
      <c r="P31" s="69">
        <v>32262310506.920212</v>
      </c>
      <c r="Q31" s="69">
        <v>35592041618.649078</v>
      </c>
      <c r="R31" s="69">
        <v>38921772730.377953</v>
      </c>
      <c r="S31" s="69">
        <v>43916369397.97126</v>
      </c>
      <c r="T31" s="69">
        <v>52240697177.293427</v>
      </c>
      <c r="U31" s="69">
        <v>60565024956.615608</v>
      </c>
      <c r="V31" s="69">
        <v>68889352735.937775</v>
      </c>
      <c r="W31" s="69">
        <v>77213680515.259933</v>
      </c>
      <c r="X31" s="69">
        <v>85538008294.582123</v>
      </c>
    </row>
    <row r="32" spans="2:24" x14ac:dyDescent="0.25">
      <c r="F32" t="s">
        <v>414</v>
      </c>
      <c r="L32" s="57">
        <v>0.15</v>
      </c>
      <c r="M32" s="69">
        <v>16703416915.224989</v>
      </c>
      <c r="N32" s="69">
        <v>19620911614.086212</v>
      </c>
      <c r="O32" s="69">
        <v>23997153662.378044</v>
      </c>
      <c r="P32" s="69">
        <v>28373395710.66988</v>
      </c>
      <c r="Q32" s="69">
        <v>31290890409.531097</v>
      </c>
      <c r="R32" s="69">
        <v>34208385108.392319</v>
      </c>
      <c r="S32" s="69">
        <v>38584627156.684158</v>
      </c>
      <c r="T32" s="69">
        <v>45878363903.837212</v>
      </c>
      <c r="U32" s="69">
        <v>53172100650.990265</v>
      </c>
      <c r="V32" s="69">
        <v>60465837398.143318</v>
      </c>
      <c r="W32" s="69">
        <v>67759574145.296371</v>
      </c>
      <c r="X32" s="69">
        <v>75053310892.449432</v>
      </c>
    </row>
    <row r="33" spans="12:24" x14ac:dyDescent="0.25">
      <c r="L33" s="57">
        <v>0.27</v>
      </c>
      <c r="M33" s="69">
        <v>10460623360.42943</v>
      </c>
      <c r="N33" s="69">
        <v>12236777582.739311</v>
      </c>
      <c r="O33" s="69">
        <v>14901008916.204132</v>
      </c>
      <c r="P33" s="69">
        <v>17565240249.668957</v>
      </c>
      <c r="Q33" s="69">
        <v>19341394471.978836</v>
      </c>
      <c r="R33" s="69">
        <v>21117548694.288715</v>
      </c>
      <c r="S33" s="69">
        <v>23781780027.75354</v>
      </c>
      <c r="T33" s="69">
        <v>28222165583.52824</v>
      </c>
      <c r="U33" s="69">
        <v>32662551139.302944</v>
      </c>
      <c r="V33" s="69">
        <v>37102936695.077652</v>
      </c>
      <c r="W33" s="69">
        <v>41543322250.852348</v>
      </c>
      <c r="X33" s="69">
        <v>45983707806.62706</v>
      </c>
    </row>
    <row r="50" spans="2:3" x14ac:dyDescent="0.25">
      <c r="B50" s="120" t="s">
        <v>418</v>
      </c>
      <c r="C50" s="97">
        <v>44381</v>
      </c>
    </row>
    <row r="51" spans="2:3" x14ac:dyDescent="0.25">
      <c r="B51" s="120" t="s">
        <v>419</v>
      </c>
      <c r="C51" s="97">
        <v>44746</v>
      </c>
    </row>
    <row r="52" spans="2:3" x14ac:dyDescent="0.25">
      <c r="B52" s="120" t="s">
        <v>420</v>
      </c>
      <c r="C52">
        <v>1</v>
      </c>
    </row>
    <row r="53" spans="2:3" x14ac:dyDescent="0.25">
      <c r="B53" t="s">
        <v>421</v>
      </c>
      <c r="C53">
        <v>1.7</v>
      </c>
    </row>
    <row r="54" spans="2:3" x14ac:dyDescent="0.25">
      <c r="B54" s="120" t="s">
        <v>422</v>
      </c>
      <c r="C54">
        <v>1</v>
      </c>
    </row>
    <row r="55" spans="2:3" x14ac:dyDescent="0.25">
      <c r="C55">
        <f>DISC(C50,C51,C52,C53,C54)</f>
        <v>0.41176470588235292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"/>
  <sheetViews>
    <sheetView zoomScaleNormal="100" workbookViewId="0">
      <pane ySplit="1" topLeftCell="A98" activePane="bottomLeft" state="frozen"/>
      <selection pane="bottomLeft" activeCell="A116" sqref="A116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98" customWidth="1"/>
    <col min="4" max="5" width="11.125" hidden="1" customWidth="1"/>
    <col min="6" max="6" width="16.125" bestFit="1" customWidth="1"/>
    <col min="7" max="7" width="13.625" style="100" customWidth="1"/>
    <col min="8" max="10" width="14.375" bestFit="1" customWidth="1"/>
    <col min="11" max="11" width="13.375" style="100" customWidth="1"/>
    <col min="12" max="12" width="13.375" customWidth="1"/>
    <col min="13" max="13" width="16.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262</v>
      </c>
      <c r="B1" s="75" t="s">
        <v>265</v>
      </c>
      <c r="C1" s="98" t="s">
        <v>272</v>
      </c>
      <c r="D1" t="s">
        <v>263</v>
      </c>
      <c r="E1" t="s">
        <v>264</v>
      </c>
      <c r="F1" t="s">
        <v>270</v>
      </c>
      <c r="G1" s="100" t="s">
        <v>279</v>
      </c>
      <c r="H1" t="s">
        <v>271</v>
      </c>
      <c r="I1" t="s">
        <v>273</v>
      </c>
      <c r="J1" t="s">
        <v>274</v>
      </c>
      <c r="K1" s="100" t="s">
        <v>280</v>
      </c>
      <c r="L1" t="s">
        <v>278</v>
      </c>
      <c r="M1" t="s">
        <v>294</v>
      </c>
      <c r="N1" s="75" t="s">
        <v>275</v>
      </c>
      <c r="O1" s="75" t="s">
        <v>276</v>
      </c>
      <c r="P1" t="s">
        <v>277</v>
      </c>
    </row>
    <row r="2" spans="1:16" x14ac:dyDescent="0.25">
      <c r="A2" s="109" t="s">
        <v>266</v>
      </c>
      <c r="B2" s="75" t="s">
        <v>267</v>
      </c>
      <c r="C2" s="98">
        <v>2010</v>
      </c>
      <c r="D2">
        <v>2010</v>
      </c>
      <c r="E2" s="97">
        <v>40543</v>
      </c>
      <c r="F2" s="104">
        <v>40644136.289999999</v>
      </c>
      <c r="G2" s="101">
        <v>4423240</v>
      </c>
      <c r="H2" s="70">
        <v>42852422.789999999</v>
      </c>
      <c r="I2" s="70">
        <v>39792835.520000003</v>
      </c>
      <c r="J2" s="70">
        <v>7482827.2699999996</v>
      </c>
      <c r="K2" s="101"/>
      <c r="L2" s="70">
        <f>H2+G2</f>
        <v>47275662.789999999</v>
      </c>
      <c r="M2" s="70"/>
      <c r="N2" s="63">
        <f t="shared" ref="N2:N32" si="0">L2/F2</f>
        <v>1.1631607189948237</v>
      </c>
      <c r="O2" s="102">
        <v>1</v>
      </c>
      <c r="P2" s="63">
        <f>I2/L2</f>
        <v>0.84171925197032238</v>
      </c>
    </row>
    <row r="3" spans="1:16" x14ac:dyDescent="0.25">
      <c r="B3" s="75" t="s">
        <v>292</v>
      </c>
      <c r="C3" s="98">
        <v>2011</v>
      </c>
      <c r="D3">
        <v>2011</v>
      </c>
      <c r="E3" s="97"/>
      <c r="F3" s="104">
        <v>152700000</v>
      </c>
      <c r="G3" s="101"/>
      <c r="H3" s="70">
        <v>63599945.149999999</v>
      </c>
      <c r="I3" s="70">
        <v>2341645</v>
      </c>
      <c r="J3" s="70">
        <v>587090</v>
      </c>
      <c r="K3" s="101">
        <v>60671210.149999999</v>
      </c>
      <c r="L3" s="70">
        <f>H3+G3</f>
        <v>63599945.149999999</v>
      </c>
      <c r="M3" s="70"/>
      <c r="N3" s="63">
        <f t="shared" si="0"/>
        <v>0.41650258775376553</v>
      </c>
      <c r="O3" s="57">
        <v>0.6</v>
      </c>
      <c r="P3" s="63">
        <f>I3/L3</f>
        <v>3.6818349362994697E-2</v>
      </c>
    </row>
    <row r="4" spans="1:16" x14ac:dyDescent="0.25">
      <c r="C4" s="98">
        <v>2012</v>
      </c>
      <c r="E4" s="97"/>
      <c r="F4" s="104">
        <v>152700000</v>
      </c>
      <c r="G4" s="101">
        <v>60671210.149999999</v>
      </c>
      <c r="H4" s="70">
        <v>103082875</v>
      </c>
      <c r="I4" s="70">
        <v>130743924</v>
      </c>
      <c r="J4" s="70">
        <v>3254078.15</v>
      </c>
      <c r="K4" s="101">
        <v>29756083</v>
      </c>
      <c r="L4" s="70">
        <f>H3+H4</f>
        <v>166682820.15000001</v>
      </c>
      <c r="M4" s="70"/>
      <c r="N4" s="63">
        <f t="shared" si="0"/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291</v>
      </c>
      <c r="C5" s="98">
        <v>2013</v>
      </c>
      <c r="E5" s="97"/>
      <c r="F5" s="104">
        <v>302700000</v>
      </c>
      <c r="G5" s="101">
        <v>29756083</v>
      </c>
      <c r="H5" s="70">
        <v>108010985.70999999</v>
      </c>
      <c r="I5" s="70">
        <v>3990875</v>
      </c>
      <c r="J5" s="70">
        <v>2123415.2799999998</v>
      </c>
      <c r="K5" s="101">
        <v>131652778.43000001</v>
      </c>
      <c r="L5" s="70">
        <f>H5+L4</f>
        <v>274693805.86000001</v>
      </c>
      <c r="M5" s="70"/>
      <c r="N5" s="63">
        <f t="shared" si="0"/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298</v>
      </c>
      <c r="C6" s="98">
        <v>2014</v>
      </c>
      <c r="E6" s="97"/>
      <c r="F6" s="104">
        <v>336900000</v>
      </c>
      <c r="G6" s="101">
        <v>131652778.43000001</v>
      </c>
      <c r="H6" s="70">
        <v>59641075.119999997</v>
      </c>
      <c r="I6" s="70">
        <v>136286857.68000001</v>
      </c>
      <c r="J6" s="70">
        <v>1599864</v>
      </c>
      <c r="K6" s="101">
        <v>53407131.869999997</v>
      </c>
      <c r="L6" s="70">
        <f>H6+L5</f>
        <v>334334880.98000002</v>
      </c>
      <c r="M6" s="70"/>
      <c r="N6" s="63">
        <f t="shared" si="0"/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98">
        <v>2015</v>
      </c>
      <c r="E7" s="97"/>
      <c r="F7" s="104">
        <v>336900000</v>
      </c>
      <c r="G7" s="101">
        <v>53407131.869999997</v>
      </c>
      <c r="H7" s="70">
        <v>40155676.710000001</v>
      </c>
      <c r="I7" s="70">
        <v>52468941.899999999</v>
      </c>
      <c r="J7" s="70">
        <v>15962675.380000001</v>
      </c>
      <c r="K7" s="101">
        <v>25131191.300000001</v>
      </c>
      <c r="L7" s="70">
        <f>H7+L6</f>
        <v>374490557.69</v>
      </c>
      <c r="M7" s="70"/>
      <c r="N7" s="63">
        <f t="shared" si="0"/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297</v>
      </c>
      <c r="C8" s="98">
        <v>2016</v>
      </c>
      <c r="E8" s="97"/>
      <c r="F8" s="104">
        <v>80000000</v>
      </c>
      <c r="G8" s="101">
        <v>25131191.300000001</v>
      </c>
      <c r="H8" s="70">
        <v>31186532.399999999</v>
      </c>
      <c r="I8" s="70">
        <v>27026862.399999999</v>
      </c>
      <c r="J8" s="70">
        <v>1500000</v>
      </c>
      <c r="K8" s="101">
        <v>27790861.300000001</v>
      </c>
      <c r="L8" s="70">
        <f>G8+H8</f>
        <v>56317723.700000003</v>
      </c>
      <c r="M8" s="70">
        <f>I8</f>
        <v>27026862.399999999</v>
      </c>
      <c r="N8" s="63">
        <f t="shared" si="0"/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308</v>
      </c>
      <c r="C9" s="98">
        <v>2017</v>
      </c>
      <c r="E9" s="97"/>
      <c r="F9" s="104">
        <v>50000000</v>
      </c>
      <c r="G9" s="101">
        <v>27790861.300000001</v>
      </c>
      <c r="H9" s="70">
        <v>6889880.5999999996</v>
      </c>
      <c r="I9" s="70">
        <v>9658145.5999999996</v>
      </c>
      <c r="J9" s="70">
        <v>454005</v>
      </c>
      <c r="K9" s="101">
        <v>24568591.300000001</v>
      </c>
      <c r="L9" s="70">
        <f>G9+H9</f>
        <v>34680741.899999999</v>
      </c>
      <c r="M9" s="70">
        <f>I9</f>
        <v>9658145.5999999996</v>
      </c>
      <c r="N9" s="63">
        <f t="shared" si="0"/>
        <v>0.69361483800000001</v>
      </c>
      <c r="O9" s="57">
        <v>0.7</v>
      </c>
      <c r="P9" s="63">
        <f>M9/L9</f>
        <v>0.2784872834568744</v>
      </c>
    </row>
    <row r="10" spans="1:16" x14ac:dyDescent="0.25">
      <c r="C10" s="98">
        <v>2018</v>
      </c>
      <c r="E10" s="97"/>
      <c r="F10" s="104">
        <v>50000000</v>
      </c>
      <c r="G10" s="101">
        <v>24568591.300000001</v>
      </c>
      <c r="H10" s="70"/>
      <c r="I10" s="70">
        <v>24568591.300000001</v>
      </c>
      <c r="J10" s="70"/>
      <c r="K10" s="101"/>
      <c r="L10" s="70">
        <f>H10+L9</f>
        <v>34680741.899999999</v>
      </c>
      <c r="M10" s="70">
        <f>I10</f>
        <v>24568591.300000001</v>
      </c>
      <c r="N10" s="63">
        <f t="shared" si="0"/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281</v>
      </c>
      <c r="C11" s="98">
        <v>2011</v>
      </c>
      <c r="D11">
        <v>2011</v>
      </c>
      <c r="E11" s="97"/>
      <c r="F11" s="104">
        <v>70000000</v>
      </c>
      <c r="G11" s="101"/>
      <c r="H11" s="70">
        <v>22085315.850000001</v>
      </c>
      <c r="I11" s="70"/>
      <c r="J11" s="70"/>
      <c r="K11" s="101">
        <v>22085315.850000001</v>
      </c>
      <c r="L11" s="70">
        <f>H11+G11</f>
        <v>22085315.850000001</v>
      </c>
      <c r="M11" s="70"/>
      <c r="N11" s="63">
        <f t="shared" si="0"/>
        <v>0.31550451214285719</v>
      </c>
      <c r="O11" s="57">
        <v>0.6</v>
      </c>
      <c r="P11" s="63">
        <f>I11/L11</f>
        <v>0</v>
      </c>
    </row>
    <row r="12" spans="1:16" x14ac:dyDescent="0.25">
      <c r="C12" s="98">
        <v>2012</v>
      </c>
      <c r="E12" s="97"/>
      <c r="F12" s="104">
        <v>70000000</v>
      </c>
      <c r="G12" s="101">
        <v>22085315.850000001</v>
      </c>
      <c r="H12" s="70">
        <v>31551314.25</v>
      </c>
      <c r="I12" s="70">
        <v>24637405.5</v>
      </c>
      <c r="J12" s="70">
        <v>2038000</v>
      </c>
      <c r="K12" s="101">
        <v>26961224.600000001</v>
      </c>
      <c r="L12" s="70">
        <f>H11+H12</f>
        <v>53636630.100000001</v>
      </c>
      <c r="M12" s="70"/>
      <c r="N12" s="63">
        <f t="shared" si="0"/>
        <v>0.76623757285714289</v>
      </c>
      <c r="O12" s="57">
        <v>0.85</v>
      </c>
      <c r="P12" s="63">
        <f t="shared" ref="P12:P84" si="1">I12/L12</f>
        <v>0.45933917649311828</v>
      </c>
    </row>
    <row r="13" spans="1:16" x14ac:dyDescent="0.25">
      <c r="C13" s="98">
        <v>2013</v>
      </c>
      <c r="E13" s="97"/>
      <c r="F13" s="104">
        <v>70000000</v>
      </c>
      <c r="G13" s="101">
        <v>26961224.600000001</v>
      </c>
      <c r="H13" s="70">
        <v>12293380.51</v>
      </c>
      <c r="I13" s="70">
        <v>38487626.600000001</v>
      </c>
      <c r="J13" s="70">
        <v>466978.51</v>
      </c>
      <c r="K13" s="101"/>
      <c r="L13" s="70">
        <f>L12+H13</f>
        <v>65930010.609999999</v>
      </c>
      <c r="M13" s="70"/>
      <c r="N13" s="63">
        <f t="shared" si="0"/>
        <v>0.94185729442857147</v>
      </c>
      <c r="O13" s="57">
        <v>0.95</v>
      </c>
      <c r="P13" s="63">
        <f t="shared" si="1"/>
        <v>0.58376490833087102</v>
      </c>
    </row>
    <row r="14" spans="1:16" x14ac:dyDescent="0.25">
      <c r="C14" s="98">
        <v>2014</v>
      </c>
      <c r="E14" s="97"/>
      <c r="F14" s="104">
        <v>70000000</v>
      </c>
      <c r="G14" s="101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 t="shared" si="0"/>
        <v>0.98305808714285703</v>
      </c>
      <c r="O14" s="57">
        <v>0.96</v>
      </c>
      <c r="P14" s="63">
        <f t="shared" si="1"/>
        <v>4.6270416361866469E-2</v>
      </c>
    </row>
    <row r="15" spans="1:16" x14ac:dyDescent="0.25">
      <c r="C15" s="98">
        <v>2015</v>
      </c>
      <c r="E15" s="97"/>
      <c r="F15" s="104">
        <v>70000000</v>
      </c>
      <c r="G15" s="101"/>
      <c r="H15" s="70">
        <v>-2958311</v>
      </c>
      <c r="I15" s="70">
        <v>-2958311</v>
      </c>
      <c r="L15" s="70">
        <f>L14+H15</f>
        <v>65855755.099999994</v>
      </c>
      <c r="M15" s="70"/>
      <c r="N15" s="63">
        <f t="shared" si="0"/>
        <v>0.9407965014285713</v>
      </c>
      <c r="O15" s="57">
        <v>0.96</v>
      </c>
      <c r="P15" s="63">
        <f t="shared" si="1"/>
        <v>-4.4921070231567356E-2</v>
      </c>
    </row>
    <row r="16" spans="1:16" x14ac:dyDescent="0.25">
      <c r="B16" s="99" t="s">
        <v>341</v>
      </c>
      <c r="C16" s="98">
        <v>2020</v>
      </c>
      <c r="E16" s="97"/>
      <c r="F16" s="104">
        <v>188344300</v>
      </c>
      <c r="G16" s="101"/>
      <c r="H16" s="103">
        <v>125023727.11</v>
      </c>
      <c r="I16" s="70">
        <v>60896475.200000003</v>
      </c>
      <c r="J16" s="70">
        <v>32672076.609999999</v>
      </c>
      <c r="K16" s="101">
        <v>31455175.300000001</v>
      </c>
      <c r="L16" s="70">
        <f>H16</f>
        <v>125023727.11</v>
      </c>
      <c r="M16" s="70">
        <f>I16</f>
        <v>60896475.200000003</v>
      </c>
      <c r="N16" s="63">
        <f>L16/F16</f>
        <v>0.66380414544002664</v>
      </c>
      <c r="O16" s="57">
        <v>0.8</v>
      </c>
      <c r="P16" s="63">
        <f>M16/L16</f>
        <v>0.48707934571828332</v>
      </c>
    </row>
    <row r="17" spans="1:16" ht="31.5" x14ac:dyDescent="0.25">
      <c r="B17" s="75" t="s">
        <v>309</v>
      </c>
      <c r="C17" s="98">
        <v>2017</v>
      </c>
      <c r="E17" s="97"/>
      <c r="F17" s="104">
        <v>13766600</v>
      </c>
      <c r="G17" s="101"/>
      <c r="H17" s="70">
        <v>6632053</v>
      </c>
      <c r="I17" s="70"/>
      <c r="K17" s="101">
        <v>6632053</v>
      </c>
      <c r="L17" s="70">
        <f>H17</f>
        <v>6632053</v>
      </c>
      <c r="M17" s="70"/>
      <c r="N17" s="63">
        <f t="shared" si="0"/>
        <v>0.481749524210771</v>
      </c>
      <c r="O17" s="57">
        <v>0.4</v>
      </c>
      <c r="P17" s="63">
        <f t="shared" si="1"/>
        <v>0</v>
      </c>
    </row>
    <row r="18" spans="1:16" x14ac:dyDescent="0.25">
      <c r="C18" s="98">
        <v>2018</v>
      </c>
      <c r="E18" s="97"/>
      <c r="F18" s="104">
        <v>35000000</v>
      </c>
      <c r="G18" s="101">
        <v>6632053</v>
      </c>
      <c r="H18" s="70">
        <v>25365145.100000001</v>
      </c>
      <c r="I18" s="70">
        <v>31747198.100000001</v>
      </c>
      <c r="J18" s="70">
        <v>250000</v>
      </c>
      <c r="K18" s="101"/>
      <c r="L18" s="70">
        <f>H18+K17</f>
        <v>31997198.100000001</v>
      </c>
      <c r="M18" s="70"/>
      <c r="N18" s="63">
        <f t="shared" si="0"/>
        <v>0.91420566000000003</v>
      </c>
      <c r="O18" s="57">
        <v>1</v>
      </c>
      <c r="P18" s="63">
        <f>I18/L18</f>
        <v>0.99218681588248192</v>
      </c>
    </row>
    <row r="19" spans="1:16" ht="47.25" x14ac:dyDescent="0.25">
      <c r="B19" s="75" t="s">
        <v>314</v>
      </c>
      <c r="C19" s="98">
        <v>2018</v>
      </c>
      <c r="E19" s="97"/>
      <c r="F19" s="104">
        <v>75000000</v>
      </c>
      <c r="G19" s="101"/>
      <c r="H19" s="70">
        <v>72663604.590000004</v>
      </c>
      <c r="I19" s="70">
        <v>47438897.390000001</v>
      </c>
      <c r="J19" s="70">
        <v>22099707.199999999</v>
      </c>
      <c r="K19" s="101">
        <v>3125000</v>
      </c>
      <c r="L19" s="70">
        <f>H19+K18</f>
        <v>72663604.590000004</v>
      </c>
      <c r="M19" s="70">
        <f>I19</f>
        <v>47438897.390000001</v>
      </c>
      <c r="N19" s="63">
        <f t="shared" si="0"/>
        <v>0.9688480612</v>
      </c>
      <c r="O19" s="57">
        <v>0.95</v>
      </c>
      <c r="P19" s="63">
        <f>I19/L19</f>
        <v>0.65285637366424509</v>
      </c>
    </row>
    <row r="20" spans="1:16" x14ac:dyDescent="0.25">
      <c r="C20" s="98">
        <v>2019</v>
      </c>
      <c r="E20" s="97"/>
      <c r="F20" s="104">
        <v>75000000</v>
      </c>
      <c r="G20" s="101">
        <v>3125000</v>
      </c>
      <c r="H20" s="70">
        <v>6995274.4400000004</v>
      </c>
      <c r="I20" s="70">
        <v>4398004.4400000004</v>
      </c>
      <c r="J20" s="70">
        <v>5722270</v>
      </c>
      <c r="K20" s="101"/>
      <c r="L20" s="70">
        <f>H20+L19</f>
        <v>79658879.030000001</v>
      </c>
      <c r="M20" s="70">
        <f>I20+M19</f>
        <v>51836901.829999998</v>
      </c>
      <c r="N20" s="63">
        <f t="shared" si="0"/>
        <v>1.0621183870666666</v>
      </c>
      <c r="O20" s="102">
        <v>1</v>
      </c>
      <c r="P20" s="63">
        <f>M20/L20</f>
        <v>0.65073601915083334</v>
      </c>
    </row>
    <row r="21" spans="1:16" ht="31.5" x14ac:dyDescent="0.25">
      <c r="B21" s="75" t="s">
        <v>322</v>
      </c>
      <c r="C21" s="98">
        <v>2019</v>
      </c>
      <c r="E21" s="97"/>
      <c r="F21" s="104">
        <v>159840000</v>
      </c>
      <c r="G21" s="101"/>
      <c r="H21" s="70">
        <v>58199776.600000001</v>
      </c>
      <c r="I21" s="70"/>
      <c r="J21" s="70">
        <v>58199776.600000001</v>
      </c>
      <c r="K21" s="101"/>
      <c r="L21" s="70">
        <f>H21</f>
        <v>58199776.600000001</v>
      </c>
      <c r="M21" s="70">
        <f>I21</f>
        <v>0</v>
      </c>
      <c r="N21" s="63">
        <f t="shared" si="0"/>
        <v>0.36411271646646648</v>
      </c>
      <c r="O21" s="57">
        <v>0.5</v>
      </c>
      <c r="P21" s="63">
        <f>M21/L21</f>
        <v>0</v>
      </c>
    </row>
    <row r="22" spans="1:16" x14ac:dyDescent="0.25">
      <c r="B22" s="99"/>
      <c r="C22" s="98">
        <v>2020</v>
      </c>
      <c r="E22" s="97"/>
      <c r="F22" s="104">
        <v>160790000</v>
      </c>
      <c r="G22" s="101">
        <v>58199776.600000001</v>
      </c>
      <c r="H22" s="70">
        <v>112842927.40000001</v>
      </c>
      <c r="I22" s="70">
        <v>170294743</v>
      </c>
      <c r="J22" s="70">
        <v>747961</v>
      </c>
      <c r="K22" s="101"/>
      <c r="L22" s="70">
        <f>H22+L21</f>
        <v>171042704</v>
      </c>
      <c r="M22" s="70">
        <f>I22</f>
        <v>170294743</v>
      </c>
      <c r="N22" s="63">
        <f t="shared" si="0"/>
        <v>1.0637645624727905</v>
      </c>
      <c r="O22" s="102">
        <v>1</v>
      </c>
      <c r="P22" s="63">
        <f>M22/L22</f>
        <v>0.99562705112519734</v>
      </c>
    </row>
    <row r="23" spans="1:16" ht="31.5" x14ac:dyDescent="0.25">
      <c r="B23" s="75" t="s">
        <v>321</v>
      </c>
      <c r="C23" s="98">
        <v>2019</v>
      </c>
      <c r="E23" s="97"/>
      <c r="F23" s="104">
        <v>58821929.100000001</v>
      </c>
      <c r="G23" s="101"/>
      <c r="H23" s="70">
        <v>55495841.659999996</v>
      </c>
      <c r="I23" s="70">
        <v>27413276.710000001</v>
      </c>
      <c r="J23" s="70">
        <v>28082564.949999999</v>
      </c>
      <c r="K23" s="101"/>
      <c r="L23" s="70">
        <f>H23</f>
        <v>55495841.659999996</v>
      </c>
      <c r="M23" s="70">
        <f>I23</f>
        <v>27413276.710000001</v>
      </c>
      <c r="N23" s="63">
        <f t="shared" si="0"/>
        <v>0.94345497519563659</v>
      </c>
      <c r="O23" s="102">
        <v>1</v>
      </c>
      <c r="P23" s="63">
        <f>M23/L23</f>
        <v>0.49396992441253124</v>
      </c>
    </row>
    <row r="25" spans="1:16" ht="31.5" x14ac:dyDescent="0.25">
      <c r="A25" s="109" t="s">
        <v>269</v>
      </c>
      <c r="B25" s="75" t="s">
        <v>268</v>
      </c>
      <c r="C25" s="98">
        <v>2010</v>
      </c>
      <c r="D25" s="97">
        <v>40179</v>
      </c>
      <c r="F25" s="104">
        <v>313000000</v>
      </c>
      <c r="G25" s="101">
        <v>6632053</v>
      </c>
      <c r="H25" s="70">
        <v>5411520</v>
      </c>
      <c r="I25" s="70">
        <v>1239953</v>
      </c>
      <c r="K25" s="101">
        <v>4171567</v>
      </c>
      <c r="L25" s="70">
        <f>H25+G25</f>
        <v>12043573</v>
      </c>
      <c r="M25" s="70" t="s">
        <v>320</v>
      </c>
      <c r="N25" s="63">
        <f t="shared" si="0"/>
        <v>3.8477869009584664E-2</v>
      </c>
      <c r="O25" s="57">
        <v>0.1</v>
      </c>
      <c r="P25" s="63">
        <f t="shared" si="1"/>
        <v>0.10295557638916623</v>
      </c>
    </row>
    <row r="26" spans="1:16" x14ac:dyDescent="0.25">
      <c r="C26" s="98">
        <v>2011</v>
      </c>
      <c r="D26" s="97"/>
      <c r="F26" s="104">
        <v>313000000</v>
      </c>
      <c r="G26" s="101">
        <v>2411520</v>
      </c>
      <c r="H26" s="70">
        <v>259521089.56</v>
      </c>
      <c r="I26" s="70">
        <v>213194378.75999999</v>
      </c>
      <c r="J26" s="70">
        <v>8622850.8000000007</v>
      </c>
      <c r="K26" s="101">
        <v>40115380</v>
      </c>
      <c r="L26" s="70">
        <f>H26+G26</f>
        <v>261932609.56</v>
      </c>
      <c r="M26" s="70"/>
      <c r="N26" s="63">
        <f t="shared" si="0"/>
        <v>0.83684539795527157</v>
      </c>
      <c r="O26" s="57">
        <v>0.84</v>
      </c>
      <c r="P26" s="63">
        <f t="shared" si="1"/>
        <v>0.81392835782504691</v>
      </c>
    </row>
    <row r="27" spans="1:16" x14ac:dyDescent="0.25">
      <c r="C27" s="98">
        <v>2012</v>
      </c>
      <c r="D27" s="97"/>
      <c r="F27" s="104">
        <v>313000000</v>
      </c>
      <c r="G27" s="101">
        <v>40115380</v>
      </c>
      <c r="H27" s="70">
        <v>27016538.43</v>
      </c>
      <c r="I27" s="70">
        <v>65679303.43</v>
      </c>
      <c r="J27" s="70">
        <v>1452615</v>
      </c>
      <c r="K27" s="101"/>
      <c r="L27" s="70">
        <f>L26+H27</f>
        <v>288949147.99000001</v>
      </c>
      <c r="M27" s="70"/>
      <c r="N27" s="63">
        <f t="shared" si="0"/>
        <v>0.92316021722044728</v>
      </c>
      <c r="O27" s="57">
        <v>0.94</v>
      </c>
      <c r="P27" s="63">
        <f t="shared" si="1"/>
        <v>0.22730402178681294</v>
      </c>
    </row>
    <row r="28" spans="1:16" ht="31.5" x14ac:dyDescent="0.25">
      <c r="B28" s="75" t="s">
        <v>283</v>
      </c>
      <c r="C28" s="98">
        <v>2011</v>
      </c>
      <c r="D28">
        <v>2011</v>
      </c>
      <c r="F28" s="104">
        <v>4000000</v>
      </c>
      <c r="G28" s="101">
        <v>1760047</v>
      </c>
      <c r="H28" s="70"/>
      <c r="I28" s="70"/>
      <c r="J28" s="70">
        <v>672470</v>
      </c>
      <c r="K28" s="101">
        <v>1087577</v>
      </c>
      <c r="L28" s="70">
        <f t="shared" ref="L28:L36" si="2">H28+G28</f>
        <v>1760047</v>
      </c>
      <c r="M28" s="70"/>
      <c r="N28" s="63">
        <f t="shared" si="0"/>
        <v>0.44001174999999998</v>
      </c>
      <c r="O28" s="57">
        <v>0.5</v>
      </c>
      <c r="P28" s="63">
        <f t="shared" si="1"/>
        <v>0</v>
      </c>
    </row>
    <row r="29" spans="1:16" x14ac:dyDescent="0.25">
      <c r="C29" s="98">
        <v>2012</v>
      </c>
      <c r="F29" s="104">
        <v>7500000</v>
      </c>
      <c r="G29" s="101">
        <v>1087577</v>
      </c>
      <c r="H29" s="70">
        <v>6171263.4199999999</v>
      </c>
      <c r="I29" s="70">
        <v>6304020.4199999999</v>
      </c>
      <c r="J29" s="70">
        <v>954820</v>
      </c>
      <c r="K29" s="101"/>
      <c r="L29" s="70">
        <f t="shared" si="2"/>
        <v>7258840.4199999999</v>
      </c>
      <c r="M29" s="70"/>
      <c r="N29" s="63">
        <f t="shared" si="0"/>
        <v>0.96784538933333331</v>
      </c>
      <c r="O29" s="102">
        <v>1</v>
      </c>
      <c r="P29" s="63">
        <f t="shared" si="1"/>
        <v>0.86846108403633981</v>
      </c>
    </row>
    <row r="30" spans="1:16" x14ac:dyDescent="0.25">
      <c r="B30" s="75" t="s">
        <v>293</v>
      </c>
      <c r="C30" s="98">
        <v>2014</v>
      </c>
      <c r="F30" s="104">
        <v>45000000</v>
      </c>
      <c r="G30" s="101"/>
      <c r="H30" s="70">
        <v>43164362.240000002</v>
      </c>
      <c r="I30" s="70">
        <v>41164362.240000002</v>
      </c>
      <c r="J30" s="70">
        <v>2000000</v>
      </c>
      <c r="K30" s="101"/>
      <c r="L30" s="70">
        <f t="shared" si="2"/>
        <v>43164362.240000002</v>
      </c>
      <c r="M30" s="70"/>
      <c r="N30" s="63">
        <f t="shared" si="0"/>
        <v>0.95920804977777785</v>
      </c>
      <c r="O30" s="102">
        <v>1</v>
      </c>
      <c r="P30" s="63">
        <f t="shared" si="1"/>
        <v>0.95366548012733943</v>
      </c>
    </row>
    <row r="31" spans="1:16" ht="31.5" x14ac:dyDescent="0.25">
      <c r="B31" s="75" t="s">
        <v>295</v>
      </c>
      <c r="C31" s="98">
        <v>2015</v>
      </c>
      <c r="F31" s="104">
        <v>68000000</v>
      </c>
      <c r="G31" s="101"/>
      <c r="H31" s="70">
        <v>4550475</v>
      </c>
      <c r="I31" s="70">
        <v>4550475</v>
      </c>
      <c r="J31" s="70"/>
      <c r="K31" s="101"/>
      <c r="L31" s="70">
        <f t="shared" si="2"/>
        <v>4550475</v>
      </c>
      <c r="M31" s="70"/>
      <c r="N31" s="63">
        <f t="shared" si="0"/>
        <v>6.6918749999999999E-2</v>
      </c>
      <c r="O31" s="106">
        <v>0.1</v>
      </c>
      <c r="P31" s="63">
        <f t="shared" si="1"/>
        <v>1</v>
      </c>
    </row>
    <row r="32" spans="1:16" x14ac:dyDescent="0.25">
      <c r="C32" s="98">
        <v>2016</v>
      </c>
      <c r="F32" s="104">
        <v>68000000</v>
      </c>
      <c r="G32" s="101"/>
      <c r="H32" s="70">
        <v>67792976.200000003</v>
      </c>
      <c r="I32" s="70">
        <v>47199023.200000003</v>
      </c>
      <c r="J32" s="70">
        <v>20593953</v>
      </c>
      <c r="K32" s="101"/>
      <c r="L32" s="70">
        <f t="shared" si="2"/>
        <v>67792976.200000003</v>
      </c>
      <c r="M32" s="70"/>
      <c r="N32" s="63">
        <f t="shared" si="0"/>
        <v>0.99695553235294121</v>
      </c>
      <c r="O32" s="102">
        <v>1</v>
      </c>
      <c r="P32" s="63">
        <f t="shared" si="1"/>
        <v>0.69622291047903573</v>
      </c>
    </row>
    <row r="33" spans="1:16" ht="31.5" x14ac:dyDescent="0.25">
      <c r="B33" s="75" t="s">
        <v>310</v>
      </c>
      <c r="C33" s="98">
        <v>2017</v>
      </c>
      <c r="F33" s="104"/>
      <c r="G33" s="101"/>
      <c r="H33" s="70">
        <v>22017556</v>
      </c>
      <c r="I33" s="70">
        <v>19001398</v>
      </c>
      <c r="J33" s="70">
        <v>3016158</v>
      </c>
      <c r="K33" s="101"/>
      <c r="L33" s="70">
        <f t="shared" si="2"/>
        <v>22017556</v>
      </c>
      <c r="M33" s="70"/>
      <c r="N33" s="63" t="e">
        <f>L33/F33</f>
        <v>#DIV/0!</v>
      </c>
      <c r="O33" s="102"/>
      <c r="P33" s="63">
        <f t="shared" si="1"/>
        <v>0.8630112261324554</v>
      </c>
    </row>
    <row r="34" spans="1:16" x14ac:dyDescent="0.25">
      <c r="B34" s="75" t="s">
        <v>315</v>
      </c>
      <c r="C34" s="98">
        <v>2018</v>
      </c>
      <c r="F34" s="104">
        <v>20000000</v>
      </c>
      <c r="G34" s="101"/>
      <c r="H34" s="70">
        <v>18929175.600000001</v>
      </c>
      <c r="I34" s="103">
        <v>3206358</v>
      </c>
      <c r="J34" s="70">
        <v>15022817.6</v>
      </c>
      <c r="K34" s="101">
        <v>700000</v>
      </c>
      <c r="L34" s="70">
        <f t="shared" si="2"/>
        <v>18929175.600000001</v>
      </c>
      <c r="M34" s="70"/>
      <c r="N34" s="63">
        <f>L34/F34</f>
        <v>0.94645878000000006</v>
      </c>
      <c r="O34" s="106">
        <v>0.9</v>
      </c>
      <c r="P34" s="63">
        <f t="shared" si="1"/>
        <v>0.16938709153292444</v>
      </c>
    </row>
    <row r="35" spans="1:16" x14ac:dyDescent="0.25">
      <c r="B35" s="75" t="s">
        <v>300</v>
      </c>
      <c r="C35" s="98">
        <v>2016</v>
      </c>
      <c r="F35" s="104">
        <v>85770000</v>
      </c>
      <c r="G35" s="101"/>
      <c r="H35" s="70">
        <v>13450000</v>
      </c>
      <c r="I35" s="70"/>
      <c r="J35" s="70"/>
      <c r="K35" s="101">
        <v>13450000</v>
      </c>
      <c r="L35" s="70">
        <f t="shared" si="2"/>
        <v>13450000</v>
      </c>
      <c r="M35" s="70"/>
      <c r="N35" s="63">
        <f t="shared" ref="N35:N46" si="3">L35/F35</f>
        <v>0.15681473708755975</v>
      </c>
      <c r="O35" s="106">
        <v>0.15</v>
      </c>
      <c r="P35" s="63">
        <f t="shared" si="1"/>
        <v>0</v>
      </c>
    </row>
    <row r="36" spans="1:16" x14ac:dyDescent="0.25">
      <c r="B36" s="75" t="s">
        <v>300</v>
      </c>
      <c r="C36" s="98">
        <v>2017</v>
      </c>
      <c r="F36" s="104">
        <v>22185540</v>
      </c>
      <c r="G36" s="101">
        <v>13450000</v>
      </c>
      <c r="H36" s="70">
        <v>1350000</v>
      </c>
      <c r="I36" s="70"/>
      <c r="J36" s="70"/>
      <c r="K36" s="101">
        <v>14800000</v>
      </c>
      <c r="L36" s="70">
        <f t="shared" si="2"/>
        <v>14800000</v>
      </c>
      <c r="M36" s="70"/>
      <c r="N36" s="63">
        <f t="shared" si="3"/>
        <v>0.66710118392430384</v>
      </c>
      <c r="O36" s="106">
        <v>0.7</v>
      </c>
      <c r="P36" s="63">
        <f t="shared" si="1"/>
        <v>0</v>
      </c>
    </row>
    <row r="37" spans="1:16" x14ac:dyDescent="0.25">
      <c r="C37" s="98">
        <v>2018</v>
      </c>
      <c r="F37" s="104">
        <v>22185540</v>
      </c>
      <c r="G37" s="101">
        <v>14800000</v>
      </c>
      <c r="H37" s="70">
        <v>2619000</v>
      </c>
      <c r="I37" s="70"/>
      <c r="J37" s="70"/>
      <c r="K37" s="101">
        <v>17419000</v>
      </c>
      <c r="L37" s="70">
        <f>H37+L36</f>
        <v>17419000</v>
      </c>
      <c r="M37" s="70"/>
      <c r="N37" s="63">
        <f t="shared" si="3"/>
        <v>0.78515104883631415</v>
      </c>
      <c r="O37" s="106">
        <v>0.7</v>
      </c>
      <c r="P37" s="63">
        <f t="shared" si="1"/>
        <v>0</v>
      </c>
    </row>
    <row r="38" spans="1:16" x14ac:dyDescent="0.25">
      <c r="C38" s="98">
        <v>2019</v>
      </c>
      <c r="F38" s="104">
        <v>22185540</v>
      </c>
      <c r="G38" s="101">
        <v>17419000</v>
      </c>
      <c r="H38" s="70">
        <v>3958209</v>
      </c>
      <c r="I38" s="70"/>
      <c r="J38" s="70"/>
      <c r="K38" s="101">
        <v>21377209</v>
      </c>
      <c r="L38" s="70">
        <f>H38+L37</f>
        <v>21377209</v>
      </c>
      <c r="M38" s="70"/>
      <c r="N38" s="63">
        <f t="shared" si="3"/>
        <v>0.96356496168224892</v>
      </c>
      <c r="O38" s="106">
        <v>0.8</v>
      </c>
      <c r="P38" s="63">
        <f t="shared" si="1"/>
        <v>0</v>
      </c>
    </row>
    <row r="39" spans="1:16" x14ac:dyDescent="0.25">
      <c r="B39" s="99"/>
      <c r="C39" s="98">
        <v>2020</v>
      </c>
      <c r="F39" s="104">
        <v>22185540</v>
      </c>
      <c r="G39" s="101">
        <v>21377209</v>
      </c>
      <c r="H39" s="70">
        <v>578660</v>
      </c>
      <c r="I39" s="70">
        <v>21955869</v>
      </c>
      <c r="J39" s="70"/>
      <c r="K39" s="101"/>
      <c r="L39" s="70">
        <f>H39+L38</f>
        <v>21955869</v>
      </c>
      <c r="M39" s="70"/>
      <c r="N39" s="63">
        <f t="shared" si="3"/>
        <v>0.98964771648560279</v>
      </c>
      <c r="O39" s="106">
        <v>1</v>
      </c>
      <c r="P39" s="63">
        <f t="shared" si="1"/>
        <v>1</v>
      </c>
    </row>
    <row r="40" spans="1:16" ht="31.5" x14ac:dyDescent="0.25">
      <c r="B40" s="75" t="s">
        <v>329</v>
      </c>
      <c r="C40" s="98">
        <v>2019</v>
      </c>
      <c r="F40" s="104">
        <v>38858885.299999997</v>
      </c>
      <c r="G40" s="101">
        <v>700000</v>
      </c>
      <c r="H40" s="70">
        <v>34855744.5</v>
      </c>
      <c r="I40" s="70">
        <v>29054143.300000001</v>
      </c>
      <c r="J40" s="70">
        <v>5162761.2</v>
      </c>
      <c r="K40" s="101">
        <v>1338840</v>
      </c>
      <c r="L40" s="70">
        <f>H40+G40</f>
        <v>35555744.5</v>
      </c>
      <c r="M40" s="70">
        <f>I40</f>
        <v>29054143.300000001</v>
      </c>
      <c r="N40" s="63">
        <f t="shared" si="3"/>
        <v>0.91499651175017116</v>
      </c>
      <c r="O40" s="106">
        <v>0.9</v>
      </c>
      <c r="P40" s="63">
        <f t="shared" si="1"/>
        <v>0.81714343796119926</v>
      </c>
    </row>
    <row r="41" spans="1:16" ht="31.5" x14ac:dyDescent="0.25">
      <c r="B41" s="99" t="s">
        <v>328</v>
      </c>
      <c r="C41" s="98">
        <v>2020</v>
      </c>
      <c r="F41" s="104">
        <v>28383000</v>
      </c>
      <c r="G41" s="101">
        <v>1338840</v>
      </c>
      <c r="H41" s="70">
        <v>18392930.050000001</v>
      </c>
      <c r="I41" s="70">
        <v>14372889.699999999</v>
      </c>
      <c r="J41" s="70">
        <v>5358880.3499999996</v>
      </c>
      <c r="K41" s="101"/>
      <c r="L41" s="70">
        <f>H41</f>
        <v>18392930.050000001</v>
      </c>
      <c r="M41" s="70">
        <f>I41+M40</f>
        <v>43427033</v>
      </c>
      <c r="N41" s="63">
        <f t="shared" si="3"/>
        <v>0.64802628510023608</v>
      </c>
      <c r="O41" s="106">
        <v>1</v>
      </c>
      <c r="P41" s="63">
        <f t="shared" si="1"/>
        <v>0.78143556578142903</v>
      </c>
    </row>
    <row r="42" spans="1:16" x14ac:dyDescent="0.25">
      <c r="A42" s="109" t="s">
        <v>288</v>
      </c>
      <c r="B42" s="75" t="s">
        <v>282</v>
      </c>
      <c r="C42" s="98">
        <v>2011</v>
      </c>
      <c r="D42">
        <v>2011</v>
      </c>
      <c r="F42" s="104">
        <v>217600000</v>
      </c>
      <c r="H42" s="70">
        <v>227988</v>
      </c>
      <c r="K42" s="101">
        <v>227988</v>
      </c>
      <c r="L42" s="70">
        <f>H42+G42</f>
        <v>227988</v>
      </c>
      <c r="M42" s="70"/>
      <c r="N42" s="63">
        <f t="shared" si="3"/>
        <v>1.0477389705882353E-3</v>
      </c>
      <c r="O42" s="57">
        <v>0.01</v>
      </c>
      <c r="P42" s="63">
        <f t="shared" si="1"/>
        <v>0</v>
      </c>
    </row>
    <row r="43" spans="1:16" x14ac:dyDescent="0.25">
      <c r="C43" s="98">
        <v>2012</v>
      </c>
      <c r="F43" s="104">
        <v>217600000</v>
      </c>
      <c r="G43" s="101">
        <v>227988</v>
      </c>
      <c r="H43" s="70">
        <v>142686470.75999999</v>
      </c>
      <c r="I43" s="70">
        <v>142914458.75999999</v>
      </c>
      <c r="K43" s="101"/>
      <c r="L43" s="70">
        <f>H43+G43</f>
        <v>142914458.75999999</v>
      </c>
      <c r="M43" s="70"/>
      <c r="N43" s="63">
        <f t="shared" si="3"/>
        <v>0.65677600533088232</v>
      </c>
      <c r="O43" s="57">
        <v>0.85</v>
      </c>
      <c r="P43" s="63">
        <f t="shared" si="1"/>
        <v>1</v>
      </c>
    </row>
    <row r="44" spans="1:16" x14ac:dyDescent="0.25">
      <c r="C44" s="98">
        <v>2013</v>
      </c>
      <c r="F44" s="104">
        <v>217600000</v>
      </c>
      <c r="G44" s="101"/>
      <c r="H44" s="70">
        <v>2735742</v>
      </c>
      <c r="I44" s="70">
        <v>2735742</v>
      </c>
      <c r="K44" s="101"/>
      <c r="L44" s="70">
        <f>H44+L43</f>
        <v>145650200.75999999</v>
      </c>
      <c r="M44" s="70"/>
      <c r="N44" s="63">
        <f t="shared" si="3"/>
        <v>0.66934834908088225</v>
      </c>
      <c r="O44" s="57">
        <v>0.95</v>
      </c>
      <c r="P44" s="63">
        <f>(I44+I43)/L44</f>
        <v>1</v>
      </c>
    </row>
    <row r="45" spans="1:16" x14ac:dyDescent="0.25">
      <c r="C45" s="98">
        <v>2014</v>
      </c>
      <c r="F45" s="104">
        <v>217600000</v>
      </c>
      <c r="G45" s="101"/>
      <c r="H45" s="70">
        <v>-2820026</v>
      </c>
      <c r="I45" s="70">
        <v>-2820026</v>
      </c>
      <c r="K45" s="101"/>
      <c r="L45" s="70">
        <f>H45+L44</f>
        <v>142830174.75999999</v>
      </c>
      <c r="M45" s="70"/>
      <c r="N45" s="63">
        <f t="shared" si="3"/>
        <v>0.65638867077205876</v>
      </c>
      <c r="O45" s="102">
        <v>1</v>
      </c>
      <c r="P45" s="63">
        <f>(I45+I44+I43)/L45</f>
        <v>1</v>
      </c>
    </row>
    <row r="46" spans="1:16" x14ac:dyDescent="0.25">
      <c r="C46" s="98">
        <v>2015</v>
      </c>
      <c r="F46" s="105">
        <v>217600000</v>
      </c>
      <c r="G46" s="101"/>
      <c r="H46" s="70">
        <v>-2279000</v>
      </c>
      <c r="I46" s="70">
        <v>-2279000</v>
      </c>
      <c r="K46" s="101"/>
      <c r="L46" s="70">
        <f>H46+L45</f>
        <v>140551174.75999999</v>
      </c>
      <c r="M46" s="70">
        <f>I43+I44+I45+I46</f>
        <v>140551174.75999999</v>
      </c>
      <c r="N46" s="63">
        <f t="shared" si="3"/>
        <v>0.64591532518382344</v>
      </c>
      <c r="O46" s="102">
        <v>1</v>
      </c>
      <c r="P46" s="63">
        <f t="shared" ref="P46:P51" si="4">M46/L46</f>
        <v>1</v>
      </c>
    </row>
    <row r="47" spans="1:16" ht="31.5" x14ac:dyDescent="0.25">
      <c r="B47" s="75" t="s">
        <v>299</v>
      </c>
      <c r="C47" s="98">
        <v>2016</v>
      </c>
      <c r="F47" s="105"/>
      <c r="G47" s="101"/>
      <c r="H47" s="70">
        <v>6286549</v>
      </c>
      <c r="I47" s="70">
        <v>5990612.3700000001</v>
      </c>
      <c r="J47" s="70">
        <v>295936.63</v>
      </c>
      <c r="K47" s="101"/>
      <c r="L47" s="70">
        <f>H47</f>
        <v>6286549</v>
      </c>
      <c r="M47" s="70">
        <f>I47</f>
        <v>5990612.3700000001</v>
      </c>
      <c r="N47" s="63" t="e">
        <f>L47/F47</f>
        <v>#DIV/0!</v>
      </c>
      <c r="O47" s="102"/>
      <c r="P47" s="63">
        <f t="shared" si="4"/>
        <v>0.95292542378974543</v>
      </c>
    </row>
    <row r="48" spans="1:16" x14ac:dyDescent="0.25">
      <c r="B48" s="75" t="s">
        <v>323</v>
      </c>
      <c r="C48" s="98">
        <v>2019</v>
      </c>
      <c r="F48" s="105">
        <v>3000000</v>
      </c>
      <c r="G48" s="101"/>
      <c r="H48" s="70">
        <v>1131346</v>
      </c>
      <c r="I48" s="70"/>
      <c r="J48" s="70"/>
      <c r="K48" s="101">
        <v>1131346</v>
      </c>
      <c r="L48" s="70">
        <f>H48</f>
        <v>1131346</v>
      </c>
      <c r="M48" s="70">
        <f>I48</f>
        <v>0</v>
      </c>
      <c r="N48" s="63">
        <f>L48/F48</f>
        <v>0.37711533333333336</v>
      </c>
      <c r="O48" s="106">
        <v>0.5</v>
      </c>
      <c r="P48" s="63">
        <f t="shared" si="4"/>
        <v>0</v>
      </c>
    </row>
    <row r="49" spans="1:16" x14ac:dyDescent="0.25">
      <c r="B49" s="99"/>
      <c r="C49" s="98">
        <v>2020</v>
      </c>
      <c r="F49" s="105">
        <v>3000000</v>
      </c>
      <c r="G49" s="101">
        <v>1131346</v>
      </c>
      <c r="H49" s="70">
        <v>1293492</v>
      </c>
      <c r="I49" s="70">
        <v>1947928</v>
      </c>
      <c r="J49" s="70">
        <v>476910</v>
      </c>
      <c r="K49" s="101"/>
      <c r="L49" s="70">
        <f>H49+L48</f>
        <v>2424838</v>
      </c>
      <c r="M49" s="70">
        <f>I49</f>
        <v>1947928</v>
      </c>
      <c r="N49" s="63">
        <f>L49/F49</f>
        <v>0.80827933333333335</v>
      </c>
      <c r="O49" s="106">
        <v>1</v>
      </c>
      <c r="P49" s="63">
        <f t="shared" si="4"/>
        <v>0.80332294363582224</v>
      </c>
    </row>
    <row r="50" spans="1:16" x14ac:dyDescent="0.25">
      <c r="A50" t="s">
        <v>301</v>
      </c>
      <c r="B50" s="75" t="s">
        <v>302</v>
      </c>
      <c r="C50" s="98">
        <v>2016</v>
      </c>
      <c r="F50" s="105">
        <v>4000000</v>
      </c>
      <c r="G50" s="101"/>
      <c r="H50" s="70">
        <v>1032414.89</v>
      </c>
      <c r="I50" s="70"/>
      <c r="J50" s="70"/>
      <c r="K50" s="101">
        <v>1032414.89</v>
      </c>
      <c r="L50" s="70">
        <f>H50+L47</f>
        <v>7318963.8899999997</v>
      </c>
      <c r="M50" s="70">
        <f>I50+M47</f>
        <v>5990612.3700000001</v>
      </c>
      <c r="N50" s="63">
        <f>L50/F50</f>
        <v>1.8297409725</v>
      </c>
      <c r="O50" s="102"/>
      <c r="P50" s="63">
        <f t="shared" si="4"/>
        <v>0.81850552346419625</v>
      </c>
    </row>
    <row r="51" spans="1:16" x14ac:dyDescent="0.25">
      <c r="F51" s="105">
        <v>4000000</v>
      </c>
      <c r="G51" s="101">
        <v>1032414.89</v>
      </c>
      <c r="H51" s="70">
        <v>100329.41</v>
      </c>
      <c r="I51" s="70">
        <v>1132744.3</v>
      </c>
      <c r="J51" s="70"/>
      <c r="K51" s="101"/>
      <c r="L51" s="70">
        <f>H51+L50</f>
        <v>7419293.2999999998</v>
      </c>
      <c r="M51" s="70"/>
      <c r="N51" s="63">
        <f>L51/F51</f>
        <v>1.8548233249999999</v>
      </c>
      <c r="O51" s="102">
        <v>1</v>
      </c>
      <c r="P51" s="63">
        <f t="shared" si="4"/>
        <v>0</v>
      </c>
    </row>
    <row r="52" spans="1:16" x14ac:dyDescent="0.25">
      <c r="A52" s="111" t="s">
        <v>286</v>
      </c>
      <c r="B52" s="75" t="s">
        <v>284</v>
      </c>
      <c r="C52" s="98">
        <v>2011</v>
      </c>
      <c r="D52">
        <v>2011</v>
      </c>
      <c r="F52" s="104">
        <v>233390000</v>
      </c>
      <c r="H52" s="70">
        <v>1989206</v>
      </c>
      <c r="L52" s="70">
        <f t="shared" ref="L52:L59" si="5">H52+G52</f>
        <v>1989206</v>
      </c>
      <c r="M52" s="70"/>
      <c r="N52" s="63">
        <f t="shared" ref="N52:N71" si="6">L52/F52</f>
        <v>8.5230986760358191E-3</v>
      </c>
      <c r="O52" s="57">
        <v>0.01</v>
      </c>
      <c r="P52" s="63">
        <f t="shared" si="1"/>
        <v>0</v>
      </c>
    </row>
    <row r="53" spans="1:16" x14ac:dyDescent="0.25">
      <c r="C53" s="98">
        <v>2012</v>
      </c>
      <c r="F53" s="104">
        <v>233390000</v>
      </c>
      <c r="G53" s="101">
        <v>1989206</v>
      </c>
      <c r="H53" s="70">
        <v>2148461.12</v>
      </c>
      <c r="K53" s="101">
        <v>4137667.12</v>
      </c>
      <c r="L53" s="70">
        <f t="shared" si="5"/>
        <v>4137667.12</v>
      </c>
      <c r="M53" s="70"/>
      <c r="N53" s="63">
        <f t="shared" si="6"/>
        <v>1.7728553579844895E-2</v>
      </c>
      <c r="O53" s="57">
        <v>0.05</v>
      </c>
      <c r="P53" s="63">
        <f t="shared" si="1"/>
        <v>0</v>
      </c>
    </row>
    <row r="54" spans="1:16" x14ac:dyDescent="0.25">
      <c r="C54" s="98">
        <v>2013</v>
      </c>
      <c r="F54" s="104">
        <v>233390000</v>
      </c>
      <c r="G54" s="101">
        <v>4137667.12</v>
      </c>
      <c r="H54" s="70">
        <v>5584001.8600000003</v>
      </c>
      <c r="K54" s="101">
        <v>9721668.9800000004</v>
      </c>
      <c r="L54" s="70">
        <f t="shared" si="5"/>
        <v>9721668.9800000004</v>
      </c>
      <c r="M54" s="70"/>
      <c r="N54" s="63">
        <f t="shared" si="6"/>
        <v>4.1654179613522434E-2</v>
      </c>
      <c r="O54" s="57">
        <v>0.05</v>
      </c>
      <c r="P54" s="63">
        <f t="shared" si="1"/>
        <v>0</v>
      </c>
    </row>
    <row r="55" spans="1:16" x14ac:dyDescent="0.25">
      <c r="C55" s="98">
        <v>2014</v>
      </c>
      <c r="F55" s="104">
        <v>233390000</v>
      </c>
      <c r="G55" s="101">
        <v>9721668.9800000004</v>
      </c>
      <c r="H55" s="70">
        <v>924708</v>
      </c>
      <c r="K55" s="101">
        <v>10646376.98</v>
      </c>
      <c r="L55" s="70">
        <f t="shared" si="5"/>
        <v>10646376.98</v>
      </c>
      <c r="M55" s="70"/>
      <c r="N55" s="63">
        <f t="shared" si="6"/>
        <v>4.5616251681734436E-2</v>
      </c>
      <c r="O55" s="57">
        <v>0.05</v>
      </c>
      <c r="P55" s="63">
        <f t="shared" si="1"/>
        <v>0</v>
      </c>
    </row>
    <row r="56" spans="1:16" x14ac:dyDescent="0.25">
      <c r="C56" s="98">
        <v>2015</v>
      </c>
      <c r="F56" s="104">
        <v>233390000</v>
      </c>
      <c r="G56" s="101">
        <v>10646376.98</v>
      </c>
      <c r="H56" s="70">
        <v>30000</v>
      </c>
      <c r="J56" s="70">
        <v>10676376.98</v>
      </c>
      <c r="K56" s="101"/>
      <c r="L56" s="70">
        <f t="shared" si="5"/>
        <v>10676376.98</v>
      </c>
      <c r="M56" s="70"/>
      <c r="N56" s="63">
        <f t="shared" si="6"/>
        <v>4.5744791893397321E-2</v>
      </c>
      <c r="O56" s="57">
        <v>0.05</v>
      </c>
      <c r="P56" s="63">
        <f t="shared" si="1"/>
        <v>0</v>
      </c>
    </row>
    <row r="57" spans="1:16" x14ac:dyDescent="0.25">
      <c r="A57" s="109" t="s">
        <v>287</v>
      </c>
      <c r="B57" s="75" t="s">
        <v>285</v>
      </c>
      <c r="C57" s="98">
        <v>2011</v>
      </c>
      <c r="D57">
        <v>2011</v>
      </c>
      <c r="F57" s="104">
        <v>335890000</v>
      </c>
      <c r="H57" s="70">
        <v>1242500</v>
      </c>
      <c r="L57" s="70">
        <f t="shared" si="5"/>
        <v>1242500</v>
      </c>
      <c r="M57" s="70"/>
      <c r="N57" s="63">
        <f t="shared" si="6"/>
        <v>3.6991276906129982E-3</v>
      </c>
      <c r="O57" s="57">
        <v>0.01</v>
      </c>
      <c r="P57" s="63">
        <f t="shared" si="1"/>
        <v>0</v>
      </c>
    </row>
    <row r="58" spans="1:16" x14ac:dyDescent="0.25">
      <c r="C58" s="98">
        <v>2012</v>
      </c>
      <c r="F58" s="104">
        <v>335890000</v>
      </c>
      <c r="G58" s="101">
        <v>1242500</v>
      </c>
      <c r="H58" s="70">
        <v>69025833.340000004</v>
      </c>
      <c r="K58" s="101">
        <v>70268333.340000004</v>
      </c>
      <c r="L58" s="70">
        <f t="shared" si="5"/>
        <v>70268333.340000004</v>
      </c>
      <c r="M58" s="70"/>
      <c r="N58" s="63">
        <f t="shared" si="6"/>
        <v>0.20920043270118194</v>
      </c>
      <c r="O58" s="57">
        <v>0.5</v>
      </c>
      <c r="P58" s="63">
        <f t="shared" si="1"/>
        <v>0</v>
      </c>
    </row>
    <row r="59" spans="1:16" x14ac:dyDescent="0.25">
      <c r="C59" s="98">
        <v>2013</v>
      </c>
      <c r="F59" s="104">
        <v>335890000</v>
      </c>
      <c r="G59" s="101">
        <v>70268333.340000004</v>
      </c>
      <c r="H59" s="70">
        <v>242945702.38999999</v>
      </c>
      <c r="I59" s="70">
        <v>243369150.00999999</v>
      </c>
      <c r="J59" s="70">
        <v>2266034.7200000002</v>
      </c>
      <c r="K59" s="101">
        <v>67578851</v>
      </c>
      <c r="L59" s="70">
        <f t="shared" si="5"/>
        <v>313214035.73000002</v>
      </c>
      <c r="M59" s="70"/>
      <c r="N59" s="63">
        <f t="shared" si="6"/>
        <v>0.93248990958349465</v>
      </c>
      <c r="O59" s="57">
        <v>0.95</v>
      </c>
      <c r="P59" s="63">
        <f t="shared" si="1"/>
        <v>0.7770058881390346</v>
      </c>
    </row>
    <row r="60" spans="1:16" x14ac:dyDescent="0.25">
      <c r="C60" s="98">
        <v>2014</v>
      </c>
      <c r="F60" s="104">
        <v>335890000</v>
      </c>
      <c r="G60" s="101">
        <v>67578851</v>
      </c>
      <c r="H60" s="70">
        <v>20646797.640000001</v>
      </c>
      <c r="I60" s="70">
        <v>25707111.140000001</v>
      </c>
      <c r="J60" s="70">
        <v>1000000</v>
      </c>
      <c r="K60" s="101">
        <v>61518537.5</v>
      </c>
      <c r="L60" s="70">
        <f>H60+H59+H58+H57</f>
        <v>333860833.37</v>
      </c>
      <c r="M60" s="70">
        <f>I60+I59</f>
        <v>269076261.14999998</v>
      </c>
      <c r="N60" s="63">
        <f t="shared" si="6"/>
        <v>0.99395883583911404</v>
      </c>
      <c r="O60" s="57">
        <v>0.95</v>
      </c>
      <c r="P60" s="63">
        <f t="shared" ref="P60:P66" si="7">M60/L60</f>
        <v>0.80595336216571778</v>
      </c>
    </row>
    <row r="61" spans="1:16" x14ac:dyDescent="0.25">
      <c r="B61" s="75" t="s">
        <v>330</v>
      </c>
      <c r="C61" s="98">
        <v>2015</v>
      </c>
      <c r="F61" s="104">
        <v>190000000</v>
      </c>
      <c r="G61" s="101">
        <v>61518537.5</v>
      </c>
      <c r="H61" s="70">
        <v>52105005.469999999</v>
      </c>
      <c r="I61" s="70">
        <v>28502939.170000002</v>
      </c>
      <c r="J61" s="70">
        <v>8604374</v>
      </c>
      <c r="K61" s="101">
        <v>76516229.799999997</v>
      </c>
      <c r="L61" s="70">
        <f>H61+G61</f>
        <v>113623542.97</v>
      </c>
      <c r="M61" s="70">
        <f>I61</f>
        <v>28502939.170000002</v>
      </c>
      <c r="N61" s="63">
        <f t="shared" si="6"/>
        <v>0.59801864721052633</v>
      </c>
      <c r="O61" s="57">
        <v>0.5</v>
      </c>
      <c r="P61" s="63">
        <f t="shared" si="7"/>
        <v>0.25085416653066017</v>
      </c>
    </row>
    <row r="62" spans="1:16" x14ac:dyDescent="0.25">
      <c r="C62" s="98">
        <v>2016</v>
      </c>
      <c r="F62" s="104">
        <v>190000000</v>
      </c>
      <c r="G62" s="101">
        <v>76516229.799999997</v>
      </c>
      <c r="H62" s="70">
        <v>75471969.760000005</v>
      </c>
      <c r="I62" s="70">
        <v>84078939.700000003</v>
      </c>
      <c r="J62" s="70">
        <v>13138372.359999999</v>
      </c>
      <c r="K62" s="101">
        <v>54770887.5</v>
      </c>
      <c r="L62" s="70">
        <f>H62+L61</f>
        <v>189095512.73000002</v>
      </c>
      <c r="M62" s="70">
        <f>M61+I62</f>
        <v>112581878.87</v>
      </c>
      <c r="N62" s="63">
        <f t="shared" si="6"/>
        <v>0.99523954068421061</v>
      </c>
      <c r="O62" s="57">
        <v>0.9</v>
      </c>
      <c r="P62" s="63">
        <f t="shared" si="7"/>
        <v>0.59537044134278327</v>
      </c>
    </row>
    <row r="63" spans="1:16" x14ac:dyDescent="0.25">
      <c r="C63" s="98">
        <v>2017</v>
      </c>
      <c r="F63" s="104">
        <v>190000000</v>
      </c>
      <c r="G63" s="101">
        <v>54770887.5</v>
      </c>
      <c r="H63" s="70">
        <v>12238873.050000001</v>
      </c>
      <c r="I63" s="70">
        <v>8135982.0499999998</v>
      </c>
      <c r="J63" s="70"/>
      <c r="K63" s="101">
        <v>58873778.5</v>
      </c>
      <c r="L63" s="70">
        <f>H63+L62</f>
        <v>201334385.78000003</v>
      </c>
      <c r="M63" s="70">
        <f>M62+I63</f>
        <v>120717860.92</v>
      </c>
      <c r="N63" s="63">
        <f t="shared" si="6"/>
        <v>1.0596546620000002</v>
      </c>
      <c r="O63" s="57">
        <v>0.95</v>
      </c>
      <c r="P63" s="63">
        <f t="shared" si="7"/>
        <v>0.59958889015565153</v>
      </c>
    </row>
    <row r="64" spans="1:16" x14ac:dyDescent="0.25">
      <c r="C64" s="98">
        <v>2018</v>
      </c>
      <c r="F64" s="104">
        <v>190000000</v>
      </c>
      <c r="G64" s="101">
        <v>58873778.5</v>
      </c>
      <c r="H64" s="70">
        <v>9942509.9700000007</v>
      </c>
      <c r="I64" s="70">
        <v>19620283.710000001</v>
      </c>
      <c r="J64" s="70">
        <v>1615556.76</v>
      </c>
      <c r="K64" s="101">
        <v>47580448</v>
      </c>
      <c r="L64" s="70">
        <f>H64+L63</f>
        <v>211276895.75000003</v>
      </c>
      <c r="M64" s="70">
        <f>M63+I64</f>
        <v>140338144.63</v>
      </c>
      <c r="N64" s="63">
        <f t="shared" si="6"/>
        <v>1.1119836618421055</v>
      </c>
      <c r="O64" s="57">
        <v>0.95</v>
      </c>
      <c r="P64" s="63">
        <f t="shared" si="7"/>
        <v>0.66423800923343501</v>
      </c>
    </row>
    <row r="65" spans="1:16" x14ac:dyDescent="0.25">
      <c r="C65" s="98">
        <v>2019</v>
      </c>
      <c r="F65" s="104">
        <v>190000000</v>
      </c>
      <c r="G65" s="101">
        <v>47580448</v>
      </c>
      <c r="H65" s="70">
        <v>59002023.670000002</v>
      </c>
      <c r="I65" s="70">
        <v>33594558.149999999</v>
      </c>
      <c r="J65" s="70">
        <v>4908365.55</v>
      </c>
      <c r="K65" s="101">
        <v>68079547.969999999</v>
      </c>
      <c r="L65" s="70">
        <f>H65+L64</f>
        <v>270278919.42000002</v>
      </c>
      <c r="M65" s="70">
        <f>M64+I65</f>
        <v>173932702.78</v>
      </c>
      <c r="N65" s="63">
        <f t="shared" si="6"/>
        <v>1.4225206285263159</v>
      </c>
      <c r="O65" s="57">
        <v>0.95</v>
      </c>
      <c r="P65" s="63">
        <f t="shared" si="7"/>
        <v>0.64353040611989876</v>
      </c>
    </row>
    <row r="66" spans="1:16" x14ac:dyDescent="0.25">
      <c r="B66" s="99" t="s">
        <v>331</v>
      </c>
      <c r="C66" s="98">
        <v>2020</v>
      </c>
      <c r="F66" s="104">
        <v>90000000</v>
      </c>
      <c r="G66" s="101">
        <v>68079547.969999999</v>
      </c>
      <c r="H66" s="70">
        <v>14174485.289999999</v>
      </c>
      <c r="I66" s="70">
        <v>12261137</v>
      </c>
      <c r="J66" s="70">
        <v>2193458</v>
      </c>
      <c r="K66" s="101">
        <v>67799438.260000005</v>
      </c>
      <c r="L66" s="70">
        <f>H66+G66</f>
        <v>82254033.25999999</v>
      </c>
      <c r="M66" s="70">
        <f>I66</f>
        <v>12261137</v>
      </c>
      <c r="N66" s="63">
        <f t="shared" si="6"/>
        <v>0.91393370288888875</v>
      </c>
      <c r="O66" s="57">
        <v>0.95</v>
      </c>
      <c r="P66" s="63">
        <f t="shared" si="7"/>
        <v>0.14906426486398902</v>
      </c>
    </row>
    <row r="67" spans="1:16" x14ac:dyDescent="0.25">
      <c r="A67" s="109" t="s">
        <v>289</v>
      </c>
      <c r="B67" s="75" t="s">
        <v>316</v>
      </c>
      <c r="C67" s="98">
        <v>2012</v>
      </c>
      <c r="F67" s="104">
        <v>227390000</v>
      </c>
      <c r="H67" s="70">
        <v>40833187.259999998</v>
      </c>
      <c r="K67" s="101">
        <v>40833187.259999998</v>
      </c>
      <c r="L67" s="70">
        <f>H67+G67</f>
        <v>40833187.259999998</v>
      </c>
      <c r="M67" s="70"/>
      <c r="N67" s="63">
        <f t="shared" si="6"/>
        <v>0.17957336408813052</v>
      </c>
      <c r="O67" s="57">
        <v>0.3</v>
      </c>
      <c r="P67" s="63">
        <f t="shared" si="1"/>
        <v>0</v>
      </c>
    </row>
    <row r="68" spans="1:16" x14ac:dyDescent="0.25">
      <c r="C68" s="98">
        <v>2013</v>
      </c>
      <c r="F68" s="104">
        <v>227390000</v>
      </c>
      <c r="G68" s="101">
        <v>40833187.259999998</v>
      </c>
      <c r="H68" s="70">
        <v>148339449.71000001</v>
      </c>
      <c r="I68" s="70">
        <v>13117574</v>
      </c>
      <c r="K68" s="101">
        <v>176055062.97</v>
      </c>
      <c r="L68" s="70">
        <f>H68+G68</f>
        <v>189172636.97</v>
      </c>
      <c r="M68" s="70"/>
      <c r="N68" s="63">
        <f t="shared" si="6"/>
        <v>0.83193032661946431</v>
      </c>
      <c r="O68" s="57">
        <v>0.85</v>
      </c>
      <c r="P68" s="63">
        <f t="shared" si="1"/>
        <v>6.9341815022012171E-2</v>
      </c>
    </row>
    <row r="69" spans="1:16" x14ac:dyDescent="0.25">
      <c r="C69" s="98">
        <v>2014</v>
      </c>
      <c r="F69" s="104">
        <v>480000000</v>
      </c>
      <c r="G69" s="101">
        <v>176055062.97</v>
      </c>
      <c r="H69" s="70">
        <v>266005068.93000001</v>
      </c>
      <c r="I69" s="70">
        <v>329336274.41000003</v>
      </c>
      <c r="J69" s="70">
        <v>34199284.869999997</v>
      </c>
      <c r="K69" s="101">
        <v>78524572.620000005</v>
      </c>
      <c r="L69" s="70">
        <f>H69+L68</f>
        <v>455177705.89999998</v>
      </c>
      <c r="M69" s="70"/>
      <c r="N69" s="63">
        <f t="shared" si="6"/>
        <v>0.94828688729166666</v>
      </c>
      <c r="O69" s="57">
        <v>0.95</v>
      </c>
      <c r="P69" s="63">
        <f t="shared" si="1"/>
        <v>0.72353340275930256</v>
      </c>
    </row>
    <row r="70" spans="1:16" x14ac:dyDescent="0.25">
      <c r="C70" s="98">
        <v>2015</v>
      </c>
      <c r="F70" s="104">
        <v>480000000</v>
      </c>
      <c r="G70" s="101">
        <v>78524572.620000005</v>
      </c>
      <c r="H70" s="70">
        <v>10115752.77</v>
      </c>
      <c r="I70" s="70">
        <v>70844583.670000002</v>
      </c>
      <c r="J70" s="70">
        <v>14466173.220000001</v>
      </c>
      <c r="K70" s="101">
        <v>3329568.5</v>
      </c>
      <c r="L70" s="70">
        <f>H70+L69</f>
        <v>465293458.66999996</v>
      </c>
      <c r="M70" s="70">
        <f>I70+I69+I68</f>
        <v>413298432.08000004</v>
      </c>
      <c r="N70" s="63">
        <f t="shared" si="6"/>
        <v>0.96936137222916663</v>
      </c>
      <c r="O70" s="57">
        <v>0.95</v>
      </c>
      <c r="P70" s="63">
        <f t="shared" ref="P70:P75" si="8">M70/L70</f>
        <v>0.88825326120289105</v>
      </c>
    </row>
    <row r="71" spans="1:16" x14ac:dyDescent="0.25">
      <c r="C71" s="98">
        <v>2016</v>
      </c>
      <c r="F71" s="104">
        <v>480000000</v>
      </c>
      <c r="G71" s="101">
        <v>3329568.5</v>
      </c>
      <c r="H71" s="70">
        <v>11163750.359999999</v>
      </c>
      <c r="I71" s="70">
        <v>12960468.859999999</v>
      </c>
      <c r="J71" s="70">
        <v>1532850</v>
      </c>
      <c r="K71" s="101"/>
      <c r="L71" s="70">
        <f>H71+L70</f>
        <v>476457209.02999997</v>
      </c>
      <c r="M71" s="70">
        <f>I71+I70+I69+I68</f>
        <v>426258900.94000006</v>
      </c>
      <c r="N71" s="63">
        <f t="shared" si="6"/>
        <v>0.99261918547916661</v>
      </c>
      <c r="O71" s="102">
        <v>1</v>
      </c>
      <c r="P71" s="63">
        <f t="shared" si="8"/>
        <v>0.89464256781380924</v>
      </c>
    </row>
    <row r="72" spans="1:16" x14ac:dyDescent="0.25">
      <c r="C72" s="98">
        <v>2017</v>
      </c>
      <c r="F72" s="104"/>
      <c r="G72" s="101"/>
      <c r="H72" s="70">
        <v>19065166.23</v>
      </c>
      <c r="I72" s="70">
        <v>11142654.23</v>
      </c>
      <c r="J72" s="70">
        <v>7922512</v>
      </c>
      <c r="K72" s="101"/>
      <c r="L72" s="70">
        <f t="shared" ref="L72:M74" si="9">H72</f>
        <v>19065166.23</v>
      </c>
      <c r="M72" s="70">
        <f t="shared" si="9"/>
        <v>11142654.23</v>
      </c>
      <c r="N72" s="63" t="e">
        <f t="shared" ref="N72:N82" si="10">L72/F72</f>
        <v>#DIV/0!</v>
      </c>
      <c r="O72" s="102"/>
      <c r="P72" s="63">
        <f t="shared" si="8"/>
        <v>0.5844509350496232</v>
      </c>
    </row>
    <row r="73" spans="1:16" x14ac:dyDescent="0.25">
      <c r="B73" s="75" t="s">
        <v>324</v>
      </c>
      <c r="C73" s="98">
        <v>2018</v>
      </c>
      <c r="F73" s="104">
        <v>73000000</v>
      </c>
      <c r="G73" s="101"/>
      <c r="H73" s="70">
        <v>60347313.369999997</v>
      </c>
      <c r="I73" s="70">
        <v>51552125.039999999</v>
      </c>
      <c r="J73" s="70">
        <v>8795188.3300000001</v>
      </c>
      <c r="K73" s="101"/>
      <c r="L73" s="70">
        <f t="shared" si="9"/>
        <v>60347313.369999997</v>
      </c>
      <c r="M73" s="70">
        <f t="shared" si="9"/>
        <v>51552125.039999999</v>
      </c>
      <c r="N73" s="63">
        <f t="shared" si="10"/>
        <v>0.82667552561643831</v>
      </c>
      <c r="O73" s="102">
        <v>1</v>
      </c>
      <c r="P73" s="63">
        <f t="shared" si="8"/>
        <v>0.85425716839993937</v>
      </c>
    </row>
    <row r="74" spans="1:16" x14ac:dyDescent="0.25">
      <c r="B74" s="99" t="s">
        <v>325</v>
      </c>
      <c r="C74" s="98">
        <v>2019</v>
      </c>
      <c r="F74" s="104">
        <v>8391000</v>
      </c>
      <c r="G74" s="101"/>
      <c r="H74" s="70">
        <v>6548798.6500000004</v>
      </c>
      <c r="I74" s="70">
        <v>3015172</v>
      </c>
      <c r="J74" s="70">
        <v>3449146.65</v>
      </c>
      <c r="K74" s="101">
        <v>84480</v>
      </c>
      <c r="L74" s="70">
        <f t="shared" si="9"/>
        <v>6548798.6500000004</v>
      </c>
      <c r="M74" s="70">
        <f t="shared" si="9"/>
        <v>3015172</v>
      </c>
      <c r="N74" s="63">
        <f t="shared" si="10"/>
        <v>0.78045508878560366</v>
      </c>
      <c r="O74" s="106">
        <v>0.8</v>
      </c>
      <c r="P74" s="63">
        <f t="shared" si="8"/>
        <v>0.4604160489802202</v>
      </c>
    </row>
    <row r="75" spans="1:16" x14ac:dyDescent="0.25">
      <c r="B75" s="99" t="s">
        <v>332</v>
      </c>
      <c r="C75" s="98">
        <v>2020</v>
      </c>
      <c r="F75" s="104">
        <v>12226191.93</v>
      </c>
      <c r="G75" s="101">
        <v>84480</v>
      </c>
      <c r="H75" s="70">
        <v>11163785.09</v>
      </c>
      <c r="I75" s="70">
        <v>4900996.6900000004</v>
      </c>
      <c r="J75" s="103">
        <v>6347268.4000000004</v>
      </c>
      <c r="K75" s="101"/>
      <c r="L75" s="70">
        <f>H75+G75</f>
        <v>11248265.09</v>
      </c>
      <c r="M75" s="70">
        <f>I75</f>
        <v>4900996.6900000004</v>
      </c>
      <c r="N75" s="63">
        <f t="shared" si="10"/>
        <v>0.92001378306515758</v>
      </c>
      <c r="O75" s="102">
        <v>1</v>
      </c>
      <c r="P75" s="63">
        <f t="shared" si="8"/>
        <v>0.4357113431081131</v>
      </c>
    </row>
    <row r="76" spans="1:16" x14ac:dyDescent="0.25">
      <c r="A76" s="109" t="s">
        <v>290</v>
      </c>
      <c r="B76" s="75" t="s">
        <v>326</v>
      </c>
      <c r="C76" s="98">
        <v>2012</v>
      </c>
      <c r="F76" s="104">
        <v>245850000</v>
      </c>
      <c r="H76" s="70">
        <v>2141600</v>
      </c>
      <c r="K76" s="101">
        <v>2141600</v>
      </c>
      <c r="L76" s="70">
        <f>H76+G76</f>
        <v>2141600</v>
      </c>
      <c r="M76" s="70"/>
      <c r="N76" s="63">
        <f t="shared" si="10"/>
        <v>8.7110026438885508E-3</v>
      </c>
      <c r="O76" s="57">
        <v>0.1</v>
      </c>
      <c r="P76" s="63">
        <f t="shared" si="1"/>
        <v>0</v>
      </c>
    </row>
    <row r="77" spans="1:16" x14ac:dyDescent="0.25">
      <c r="C77" s="98">
        <v>2013</v>
      </c>
      <c r="F77" s="104">
        <v>245850000</v>
      </c>
      <c r="G77" s="101">
        <v>2141600</v>
      </c>
      <c r="H77" s="70">
        <v>59505519</v>
      </c>
      <c r="K77" s="101">
        <v>61647119</v>
      </c>
      <c r="L77" s="70">
        <f>H77+G77</f>
        <v>61647119</v>
      </c>
      <c r="M77" s="70"/>
      <c r="N77" s="63">
        <f t="shared" si="10"/>
        <v>0.25075094163107586</v>
      </c>
      <c r="O77" s="57">
        <v>0.4</v>
      </c>
      <c r="P77" s="63">
        <f t="shared" si="1"/>
        <v>0</v>
      </c>
    </row>
    <row r="78" spans="1:16" x14ac:dyDescent="0.25">
      <c r="C78" s="98">
        <v>2014</v>
      </c>
      <c r="F78" s="104">
        <v>245850000</v>
      </c>
      <c r="G78" s="101">
        <v>61647119</v>
      </c>
      <c r="H78" s="70">
        <v>156942211.52000001</v>
      </c>
      <c r="I78" s="70">
        <v>187992250.97999999</v>
      </c>
      <c r="J78" s="70">
        <v>12994448.6</v>
      </c>
      <c r="K78" s="101">
        <v>17602630.940000001</v>
      </c>
      <c r="L78" s="70">
        <f>H78+G78</f>
        <v>218589330.52000001</v>
      </c>
      <c r="M78" s="70"/>
      <c r="N78" s="63">
        <f t="shared" si="10"/>
        <v>0.8891166586129754</v>
      </c>
      <c r="O78" s="57">
        <v>0.95</v>
      </c>
      <c r="P78" s="63">
        <f t="shared" si="1"/>
        <v>0.86002482615591103</v>
      </c>
    </row>
    <row r="79" spans="1:16" x14ac:dyDescent="0.25">
      <c r="C79" s="98">
        <v>2015</v>
      </c>
      <c r="F79" s="104">
        <v>245850000</v>
      </c>
      <c r="G79" s="101">
        <v>17602630.940000001</v>
      </c>
      <c r="H79" s="70">
        <v>24370000</v>
      </c>
      <c r="I79" s="70">
        <v>41972630.939999998</v>
      </c>
      <c r="L79" s="70">
        <f>H79+L78</f>
        <v>242959330.52000001</v>
      </c>
      <c r="M79" s="70"/>
      <c r="N79" s="63">
        <f t="shared" si="10"/>
        <v>0.98824214163107593</v>
      </c>
      <c r="O79" s="57">
        <v>0.98</v>
      </c>
      <c r="P79" s="63">
        <f t="shared" si="1"/>
        <v>0.17275578941614214</v>
      </c>
    </row>
    <row r="80" spans="1:16" x14ac:dyDescent="0.25">
      <c r="C80" s="98">
        <v>2017</v>
      </c>
      <c r="F80" s="104"/>
      <c r="G80" s="101"/>
      <c r="H80" s="70">
        <v>6547916.5</v>
      </c>
      <c r="I80" s="70">
        <v>6547916.5</v>
      </c>
      <c r="L80" s="70">
        <f>H80+L79</f>
        <v>249507247.02000001</v>
      </c>
      <c r="M80" s="70"/>
      <c r="N80" s="63" t="e">
        <f t="shared" si="10"/>
        <v>#DIV/0!</v>
      </c>
      <c r="O80" s="57"/>
      <c r="P80" s="63">
        <f t="shared" si="1"/>
        <v>2.6243392038529174E-2</v>
      </c>
    </row>
    <row r="81" spans="1:16" x14ac:dyDescent="0.25">
      <c r="B81" s="99" t="s">
        <v>333</v>
      </c>
      <c r="C81" s="98">
        <v>2019</v>
      </c>
      <c r="F81" s="104">
        <v>16838265.710000001</v>
      </c>
      <c r="G81" s="101"/>
      <c r="H81" s="70">
        <v>1934215.5</v>
      </c>
      <c r="I81" s="70">
        <v>-6800000</v>
      </c>
      <c r="J81" s="70">
        <v>1269341.5</v>
      </c>
      <c r="K81" s="101">
        <v>7464874</v>
      </c>
      <c r="L81" s="70">
        <f>H81</f>
        <v>1934215.5</v>
      </c>
      <c r="M81" s="70">
        <f>I81</f>
        <v>-6800000</v>
      </c>
      <c r="N81" s="63">
        <f t="shared" si="10"/>
        <v>0.1148702326778997</v>
      </c>
      <c r="O81" s="57">
        <v>0.5</v>
      </c>
      <c r="P81" s="63">
        <f t="shared" si="1"/>
        <v>-3.5156372182934112</v>
      </c>
    </row>
    <row r="82" spans="1:16" x14ac:dyDescent="0.25">
      <c r="B82" s="99" t="s">
        <v>334</v>
      </c>
      <c r="C82" s="98">
        <v>2020</v>
      </c>
      <c r="F82" s="104">
        <v>48510000</v>
      </c>
      <c r="G82" s="101">
        <v>7464874</v>
      </c>
      <c r="H82" s="70">
        <v>24956883.82</v>
      </c>
      <c r="I82" s="70">
        <v>29641013.399999999</v>
      </c>
      <c r="J82" s="70">
        <v>2780744.42</v>
      </c>
      <c r="K82" s="101"/>
      <c r="L82" s="70">
        <f>G82+H82</f>
        <v>32421757.82</v>
      </c>
      <c r="M82" s="70">
        <f>I82</f>
        <v>29641013.399999999</v>
      </c>
      <c r="N82" s="63">
        <f t="shared" si="10"/>
        <v>0.66835204741290455</v>
      </c>
      <c r="O82" s="57">
        <v>1</v>
      </c>
      <c r="P82" s="63">
        <f t="shared" si="1"/>
        <v>0.91423215127821833</v>
      </c>
    </row>
    <row r="83" spans="1:16" x14ac:dyDescent="0.25">
      <c r="A83" s="75"/>
      <c r="B83" s="75" t="s">
        <v>296</v>
      </c>
      <c r="C83" s="98">
        <v>2015</v>
      </c>
      <c r="F83" s="70">
        <v>2500000</v>
      </c>
      <c r="H83" s="70">
        <v>2278519</v>
      </c>
      <c r="I83" s="70">
        <v>836615</v>
      </c>
      <c r="J83" s="70">
        <v>741904</v>
      </c>
      <c r="K83" s="101">
        <v>700000</v>
      </c>
      <c r="L83" s="70">
        <f>H83+G83</f>
        <v>2278519</v>
      </c>
      <c r="M83" s="70"/>
      <c r="N83" s="63">
        <f t="shared" ref="N83:N95" si="11">L83/F83</f>
        <v>0.91140759999999998</v>
      </c>
      <c r="O83" s="57">
        <v>0.9</v>
      </c>
      <c r="P83" s="63">
        <f t="shared" si="1"/>
        <v>0.3671749061561479</v>
      </c>
    </row>
    <row r="84" spans="1:16" x14ac:dyDescent="0.25">
      <c r="C84" s="98">
        <v>2016</v>
      </c>
      <c r="F84" s="70">
        <v>2500000</v>
      </c>
      <c r="G84" s="101">
        <v>700000</v>
      </c>
      <c r="H84" s="70">
        <v>252451</v>
      </c>
      <c r="I84" s="70">
        <v>252451</v>
      </c>
      <c r="J84" s="70">
        <v>700000</v>
      </c>
      <c r="L84" s="70">
        <f>H84+L83</f>
        <v>2530970</v>
      </c>
      <c r="M84" s="70"/>
      <c r="N84" s="63">
        <f t="shared" si="11"/>
        <v>1.0123880000000001</v>
      </c>
      <c r="O84" s="57">
        <v>1</v>
      </c>
      <c r="P84" s="63">
        <f t="shared" si="1"/>
        <v>9.9744761889710265E-2</v>
      </c>
    </row>
    <row r="85" spans="1:16" x14ac:dyDescent="0.25">
      <c r="A85" t="s">
        <v>351</v>
      </c>
      <c r="B85" s="75" t="s">
        <v>303</v>
      </c>
      <c r="C85" s="98">
        <v>2016</v>
      </c>
      <c r="F85" s="70">
        <v>739243500</v>
      </c>
      <c r="H85" s="70">
        <v>19412536.550000001</v>
      </c>
      <c r="K85" s="101">
        <v>19412536.550000001</v>
      </c>
      <c r="L85" s="70">
        <f>H85</f>
        <v>19412536.550000001</v>
      </c>
      <c r="N85" s="63">
        <f t="shared" si="11"/>
        <v>2.6260003030124716E-2</v>
      </c>
      <c r="O85" s="57">
        <v>0</v>
      </c>
      <c r="P85" s="63">
        <f t="shared" ref="P85:P95" si="12">I85/L85</f>
        <v>0</v>
      </c>
    </row>
    <row r="86" spans="1:16" x14ac:dyDescent="0.25">
      <c r="C86" s="98">
        <v>2017</v>
      </c>
      <c r="F86" s="70">
        <v>212588000</v>
      </c>
      <c r="G86" s="101">
        <v>19412536.550000001</v>
      </c>
      <c r="H86" s="70">
        <v>62063038.869999997</v>
      </c>
      <c r="K86" s="101">
        <v>81475575.420000002</v>
      </c>
      <c r="L86" s="70">
        <f>H86+L85</f>
        <v>81475575.420000002</v>
      </c>
      <c r="N86" s="63">
        <f t="shared" si="11"/>
        <v>0.38325575959132219</v>
      </c>
      <c r="O86" s="57">
        <v>0.4</v>
      </c>
      <c r="P86" s="63">
        <f t="shared" si="12"/>
        <v>0</v>
      </c>
    </row>
    <row r="87" spans="1:16" x14ac:dyDescent="0.25">
      <c r="C87" s="98">
        <v>2018</v>
      </c>
      <c r="F87" s="70">
        <v>212588000</v>
      </c>
      <c r="G87" s="101">
        <v>81475575.420000002</v>
      </c>
      <c r="H87" s="70">
        <v>66871531.100000001</v>
      </c>
      <c r="I87" s="70">
        <v>144521808.74000001</v>
      </c>
      <c r="J87" s="70">
        <v>3474354.38</v>
      </c>
      <c r="K87" s="101">
        <v>350943.4</v>
      </c>
      <c r="L87" s="70">
        <f>H87+L86</f>
        <v>148347106.52000001</v>
      </c>
      <c r="M87" s="70">
        <f>I87</f>
        <v>144521808.74000001</v>
      </c>
      <c r="N87" s="63">
        <f t="shared" si="11"/>
        <v>0.69781505315445846</v>
      </c>
      <c r="O87" s="57">
        <v>0.9</v>
      </c>
      <c r="P87" s="63">
        <f t="shared" si="12"/>
        <v>0.97421386995853354</v>
      </c>
    </row>
    <row r="88" spans="1:16" x14ac:dyDescent="0.25">
      <c r="B88" s="99"/>
      <c r="C88" s="98">
        <v>2019</v>
      </c>
      <c r="F88" s="70">
        <v>212588000</v>
      </c>
      <c r="G88" s="101">
        <v>350943.4</v>
      </c>
      <c r="H88" s="70">
        <v>30500</v>
      </c>
      <c r="I88" s="70"/>
      <c r="J88" s="70">
        <v>30500</v>
      </c>
      <c r="K88" s="101">
        <v>350943.4</v>
      </c>
      <c r="L88" s="70">
        <f>H88+L87</f>
        <v>148377606.52000001</v>
      </c>
      <c r="M88" s="69">
        <f>I88+M87</f>
        <v>144521808.74000001</v>
      </c>
      <c r="N88" s="63">
        <f t="shared" si="11"/>
        <v>0.69795852315276508</v>
      </c>
      <c r="O88" s="57">
        <v>0.9</v>
      </c>
      <c r="P88" s="63">
        <f>M88/L88</f>
        <v>0.97401361384354002</v>
      </c>
    </row>
    <row r="89" spans="1:16" x14ac:dyDescent="0.25">
      <c r="B89" s="99"/>
      <c r="C89" s="98">
        <v>2020</v>
      </c>
      <c r="F89" s="70">
        <v>212588000</v>
      </c>
      <c r="G89" s="101">
        <v>350943.4</v>
      </c>
      <c r="H89" s="70">
        <v>9836.2800000000007</v>
      </c>
      <c r="I89" s="70">
        <v>9836.2800000000007</v>
      </c>
      <c r="J89" s="70"/>
      <c r="K89" s="101">
        <v>350943.4</v>
      </c>
      <c r="L89" s="70">
        <f>H89+L88</f>
        <v>148387442.80000001</v>
      </c>
      <c r="M89" s="69">
        <f>I89+M88</f>
        <v>144531645.02000001</v>
      </c>
      <c r="N89" s="63">
        <f t="shared" si="11"/>
        <v>0.6980047923683369</v>
      </c>
      <c r="O89" s="57">
        <v>0.9</v>
      </c>
      <c r="P89" s="63">
        <f>M89/L89</f>
        <v>0.97401533642441074</v>
      </c>
    </row>
    <row r="90" spans="1:16" x14ac:dyDescent="0.25">
      <c r="A90" t="s">
        <v>305</v>
      </c>
      <c r="B90" s="75" t="s">
        <v>304</v>
      </c>
      <c r="C90" s="98">
        <v>2016</v>
      </c>
      <c r="F90" s="70">
        <v>830260000</v>
      </c>
      <c r="H90" s="70">
        <v>1152800</v>
      </c>
      <c r="K90" s="101">
        <v>1152800</v>
      </c>
      <c r="L90" s="70">
        <f>H90</f>
        <v>1152800</v>
      </c>
      <c r="N90" s="63">
        <f t="shared" si="11"/>
        <v>1.3884807168838677E-3</v>
      </c>
      <c r="O90" s="57">
        <v>0.01</v>
      </c>
      <c r="P90" s="63">
        <f t="shared" si="12"/>
        <v>0</v>
      </c>
    </row>
    <row r="91" spans="1:16" x14ac:dyDescent="0.25">
      <c r="C91" s="98">
        <v>2017</v>
      </c>
      <c r="F91" s="70">
        <v>830260000</v>
      </c>
      <c r="G91" s="101">
        <v>1152800</v>
      </c>
      <c r="H91" s="70">
        <v>5780099.7000000002</v>
      </c>
      <c r="K91" s="101">
        <v>6932899.7000000002</v>
      </c>
      <c r="L91" s="70">
        <f>H91+L90</f>
        <v>6932899.7000000002</v>
      </c>
      <c r="N91" s="63">
        <f t="shared" si="11"/>
        <v>8.3502754558812901E-3</v>
      </c>
      <c r="O91" s="57">
        <v>0.05</v>
      </c>
      <c r="P91" s="63">
        <f t="shared" si="12"/>
        <v>0</v>
      </c>
    </row>
    <row r="92" spans="1:16" x14ac:dyDescent="0.25">
      <c r="C92" s="98">
        <v>2018</v>
      </c>
      <c r="F92" s="70">
        <v>830260000</v>
      </c>
      <c r="G92" s="101">
        <v>6932899.7000000002</v>
      </c>
      <c r="H92" s="70">
        <v>24423782.699999999</v>
      </c>
      <c r="K92" s="101">
        <v>31356682.399999999</v>
      </c>
      <c r="L92" s="70">
        <f>H92+L91</f>
        <v>31356682.399999999</v>
      </c>
      <c r="N92" s="63">
        <f t="shared" si="11"/>
        <v>3.7767304699732614E-2</v>
      </c>
      <c r="O92" s="57">
        <v>0.05</v>
      </c>
      <c r="P92" s="63">
        <f t="shared" si="12"/>
        <v>0</v>
      </c>
    </row>
    <row r="93" spans="1:16" x14ac:dyDescent="0.25">
      <c r="B93" s="99"/>
      <c r="C93" s="98">
        <v>2019</v>
      </c>
      <c r="F93" s="70">
        <v>830260000</v>
      </c>
      <c r="G93" s="101">
        <v>31356682.399999999</v>
      </c>
      <c r="H93" s="70">
        <v>70995358</v>
      </c>
      <c r="K93" s="101">
        <v>102352040.40000001</v>
      </c>
      <c r="L93" s="70">
        <f>H93+L92</f>
        <v>102352040.40000001</v>
      </c>
      <c r="N93" s="63">
        <f t="shared" si="11"/>
        <v>0.12327709440416255</v>
      </c>
      <c r="O93" s="57">
        <v>0.2</v>
      </c>
      <c r="P93" s="63">
        <f t="shared" si="12"/>
        <v>0</v>
      </c>
    </row>
    <row r="94" spans="1:16" x14ac:dyDescent="0.25">
      <c r="B94" s="99"/>
      <c r="C94" s="98">
        <v>2020</v>
      </c>
      <c r="F94" s="70">
        <v>830260000</v>
      </c>
      <c r="G94" s="101">
        <v>102352040.40000001</v>
      </c>
      <c r="H94" s="70">
        <v>192432812.81</v>
      </c>
      <c r="K94" s="101">
        <v>294784853.20999998</v>
      </c>
      <c r="L94" s="70">
        <f>H94+L93</f>
        <v>294784853.21000004</v>
      </c>
      <c r="N94" s="63">
        <f t="shared" si="11"/>
        <v>0.35505125287259415</v>
      </c>
      <c r="O94" s="57">
        <v>0.9</v>
      </c>
      <c r="P94" s="63">
        <f t="shared" si="12"/>
        <v>0</v>
      </c>
    </row>
    <row r="95" spans="1:16" x14ac:dyDescent="0.25">
      <c r="A95" s="109" t="s">
        <v>307</v>
      </c>
      <c r="B95" s="75" t="s">
        <v>306</v>
      </c>
      <c r="C95" s="98">
        <v>2016</v>
      </c>
      <c r="F95" s="70">
        <v>690110000</v>
      </c>
      <c r="H95" s="70">
        <v>354709</v>
      </c>
      <c r="K95" s="101">
        <v>354709</v>
      </c>
      <c r="L95" s="70">
        <f>H95</f>
        <v>354709</v>
      </c>
      <c r="N95" s="63">
        <f t="shared" si="11"/>
        <v>5.1398907420556147E-4</v>
      </c>
      <c r="O95" s="57">
        <v>0.01</v>
      </c>
      <c r="P95" s="63">
        <f t="shared" si="12"/>
        <v>0</v>
      </c>
    </row>
    <row r="96" spans="1:16" x14ac:dyDescent="0.25">
      <c r="C96" s="98">
        <v>2017</v>
      </c>
      <c r="F96" s="70">
        <v>690110000</v>
      </c>
      <c r="G96" s="101">
        <v>354709</v>
      </c>
      <c r="H96" s="70">
        <v>31255163.050000001</v>
      </c>
      <c r="K96" s="101">
        <v>31609872.050000001</v>
      </c>
      <c r="L96" s="70">
        <f>H96+L95</f>
        <v>31609872.050000001</v>
      </c>
      <c r="N96" s="63">
        <f t="shared" ref="N96:N118" si="13">L96/F96</f>
        <v>4.5804106664154992E-2</v>
      </c>
      <c r="O96" s="57">
        <v>0.05</v>
      </c>
      <c r="P96" s="63">
        <f t="shared" ref="P96:P118" si="14">I96/L96</f>
        <v>0</v>
      </c>
    </row>
    <row r="97" spans="1:16" x14ac:dyDescent="0.25">
      <c r="C97" s="98">
        <v>2018</v>
      </c>
      <c r="F97" s="70">
        <v>690110000</v>
      </c>
      <c r="G97" s="101">
        <v>31609872.050000001</v>
      </c>
      <c r="H97" s="70">
        <v>377838503.56</v>
      </c>
      <c r="I97" s="70">
        <v>371916384.95999998</v>
      </c>
      <c r="J97" s="70">
        <v>29823638.260000002</v>
      </c>
      <c r="K97" s="101">
        <v>7708352.3899999997</v>
      </c>
      <c r="L97" s="70">
        <f>H97+L96</f>
        <v>409448375.61000001</v>
      </c>
      <c r="M97" s="70">
        <f>I97</f>
        <v>371916384.95999998</v>
      </c>
      <c r="N97" s="63">
        <f t="shared" si="13"/>
        <v>0.59330885744301631</v>
      </c>
      <c r="O97" s="57">
        <v>0.7</v>
      </c>
      <c r="P97" s="63">
        <f t="shared" si="14"/>
        <v>0.9083352312874986</v>
      </c>
    </row>
    <row r="98" spans="1:16" x14ac:dyDescent="0.25">
      <c r="B98" s="99"/>
      <c r="C98" s="98">
        <v>2019</v>
      </c>
      <c r="F98" s="70">
        <v>690110000</v>
      </c>
      <c r="G98" s="101">
        <v>7708352.3899999997</v>
      </c>
      <c r="H98" s="70">
        <v>20843082.59</v>
      </c>
      <c r="I98" s="70">
        <v>26372137.199999999</v>
      </c>
      <c r="J98" s="70">
        <v>2179297.7799999998</v>
      </c>
      <c r="K98" s="101"/>
      <c r="L98" s="70">
        <f>H98+L97</f>
        <v>430291458.19999999</v>
      </c>
      <c r="M98" s="108">
        <f>I98+M97</f>
        <v>398288522.15999997</v>
      </c>
      <c r="N98" s="63">
        <f t="shared" si="13"/>
        <v>0.62351140861601773</v>
      </c>
      <c r="O98" s="57">
        <v>1</v>
      </c>
      <c r="P98" s="63">
        <f>M98/L98</f>
        <v>0.92562497946420996</v>
      </c>
    </row>
    <row r="99" spans="1:16" x14ac:dyDescent="0.25">
      <c r="B99" s="99" t="s">
        <v>335</v>
      </c>
      <c r="C99" s="98">
        <v>2020</v>
      </c>
      <c r="F99" s="70">
        <v>15477872.07</v>
      </c>
      <c r="G99" s="101"/>
      <c r="H99" s="70">
        <v>14742695.859999999</v>
      </c>
      <c r="I99" s="70">
        <v>13026913.869999999</v>
      </c>
      <c r="J99" s="70">
        <v>1715781.99</v>
      </c>
      <c r="K99" s="101"/>
      <c r="L99" s="70">
        <f>H99</f>
        <v>14742695.859999999</v>
      </c>
      <c r="M99" s="108">
        <f>I99</f>
        <v>13026913.869999999</v>
      </c>
      <c r="N99" s="63">
        <f t="shared" si="13"/>
        <v>0.95250146747078002</v>
      </c>
      <c r="O99" s="57">
        <v>1</v>
      </c>
      <c r="P99" s="63">
        <f>M99/L99</f>
        <v>0.88361816547709748</v>
      </c>
    </row>
    <row r="100" spans="1:16" x14ac:dyDescent="0.25">
      <c r="A100" s="75" t="s">
        <v>312</v>
      </c>
      <c r="B100" s="75" t="s">
        <v>311</v>
      </c>
      <c r="C100" s="98">
        <v>2017</v>
      </c>
      <c r="F100" s="103">
        <v>1692380000</v>
      </c>
      <c r="H100" s="70">
        <v>3736021.86</v>
      </c>
      <c r="K100" s="101">
        <v>3736021.86</v>
      </c>
      <c r="L100" s="70">
        <f>H100</f>
        <v>3736021.86</v>
      </c>
      <c r="N100" s="63">
        <f t="shared" si="13"/>
        <v>2.2075549581063352E-3</v>
      </c>
      <c r="O100" s="57">
        <v>0.02</v>
      </c>
      <c r="P100" s="63">
        <f t="shared" si="14"/>
        <v>0</v>
      </c>
    </row>
    <row r="101" spans="1:16" x14ac:dyDescent="0.25">
      <c r="A101" s="75"/>
      <c r="C101" s="98">
        <v>2018</v>
      </c>
      <c r="F101" s="103">
        <v>1692380000</v>
      </c>
      <c r="G101" s="101">
        <v>3736021.86</v>
      </c>
      <c r="H101" s="70">
        <v>2804120.21</v>
      </c>
      <c r="K101" s="101">
        <v>6540142.0700000003</v>
      </c>
      <c r="L101" s="70">
        <f>H101+L100</f>
        <v>6540142.0700000003</v>
      </c>
      <c r="N101" s="63">
        <f t="shared" si="13"/>
        <v>3.8644642869804656E-3</v>
      </c>
      <c r="O101" s="57">
        <v>0.02</v>
      </c>
      <c r="P101" s="63">
        <f t="shared" si="14"/>
        <v>0</v>
      </c>
    </row>
    <row r="102" spans="1:16" x14ac:dyDescent="0.25">
      <c r="A102" s="99"/>
      <c r="B102" s="99"/>
      <c r="C102" s="98">
        <v>2019</v>
      </c>
      <c r="F102" s="103">
        <v>1692380000</v>
      </c>
      <c r="G102" s="101">
        <v>6540142.0700000003</v>
      </c>
      <c r="H102" s="70">
        <v>838294.12</v>
      </c>
      <c r="K102" s="101">
        <v>7378436.1900000004</v>
      </c>
      <c r="L102" s="70">
        <f>H102+L101</f>
        <v>7378436.1900000004</v>
      </c>
      <c r="N102" s="63">
        <f t="shared" si="13"/>
        <v>4.3597987390538769E-3</v>
      </c>
      <c r="O102" s="57">
        <v>0.02</v>
      </c>
      <c r="P102" s="63">
        <f t="shared" si="14"/>
        <v>0</v>
      </c>
    </row>
    <row r="103" spans="1:16" x14ac:dyDescent="0.25">
      <c r="A103" s="99"/>
      <c r="B103" s="99"/>
      <c r="C103" s="98">
        <v>2020</v>
      </c>
      <c r="F103" s="103">
        <v>1692380000</v>
      </c>
      <c r="G103" s="101">
        <v>7378436.1900000004</v>
      </c>
      <c r="H103" s="70">
        <v>672700.88</v>
      </c>
      <c r="K103" s="101">
        <v>8051137.0700000003</v>
      </c>
      <c r="L103" s="70">
        <f>H103+L102</f>
        <v>8051137.0700000003</v>
      </c>
      <c r="N103" s="63">
        <f t="shared" si="13"/>
        <v>4.7572868209267427E-3</v>
      </c>
      <c r="O103" s="57">
        <v>0.02</v>
      </c>
      <c r="P103" s="63">
        <f t="shared" si="14"/>
        <v>0</v>
      </c>
    </row>
    <row r="104" spans="1:16" x14ac:dyDescent="0.25">
      <c r="A104" s="109" t="s">
        <v>313</v>
      </c>
      <c r="B104" s="75" t="s">
        <v>313</v>
      </c>
      <c r="C104" s="98">
        <v>2017</v>
      </c>
      <c r="F104" s="103">
        <v>537980000</v>
      </c>
      <c r="H104" s="70">
        <v>1817332.85</v>
      </c>
      <c r="K104" s="101">
        <v>1817332.85</v>
      </c>
      <c r="L104" s="70">
        <f>H104</f>
        <v>1817332.85</v>
      </c>
      <c r="N104" s="63">
        <f t="shared" si="13"/>
        <v>3.3780676790958774E-3</v>
      </c>
      <c r="O104" s="57">
        <v>0.02</v>
      </c>
      <c r="P104" s="63">
        <f t="shared" si="14"/>
        <v>0</v>
      </c>
    </row>
    <row r="105" spans="1:16" x14ac:dyDescent="0.25">
      <c r="C105" s="98">
        <v>2018</v>
      </c>
      <c r="F105" s="103">
        <v>537980000</v>
      </c>
      <c r="G105" s="101">
        <v>1817332.85</v>
      </c>
      <c r="H105" s="70">
        <v>21915405.48</v>
      </c>
      <c r="K105" s="101">
        <v>23732738.329999998</v>
      </c>
      <c r="L105" s="70">
        <f>H105+L104</f>
        <v>23732738.330000002</v>
      </c>
      <c r="N105" s="63">
        <f t="shared" si="13"/>
        <v>4.4114536469757243E-2</v>
      </c>
      <c r="O105" s="57">
        <v>0.2</v>
      </c>
      <c r="P105" s="63">
        <f t="shared" si="14"/>
        <v>0</v>
      </c>
    </row>
    <row r="106" spans="1:16" x14ac:dyDescent="0.25">
      <c r="B106" s="99"/>
      <c r="C106" s="98">
        <v>2019</v>
      </c>
      <c r="F106" s="103">
        <v>537980000</v>
      </c>
      <c r="G106" s="101">
        <v>23732738.329999998</v>
      </c>
      <c r="H106" s="70">
        <v>309822122.76999998</v>
      </c>
      <c r="I106" s="70">
        <v>302252349.77999997</v>
      </c>
      <c r="J106" s="70">
        <v>24777177.800000001</v>
      </c>
      <c r="K106" s="101">
        <v>6525333.5199999996</v>
      </c>
      <c r="L106" s="70">
        <f>H106+L105</f>
        <v>333554861.09999996</v>
      </c>
      <c r="M106" s="70">
        <f>I106</f>
        <v>302252349.77999997</v>
      </c>
      <c r="N106" s="63">
        <f t="shared" si="13"/>
        <v>0.62001349697014752</v>
      </c>
      <c r="O106" s="57">
        <v>0.8</v>
      </c>
      <c r="P106" s="63">
        <f t="shared" si="14"/>
        <v>0.90615483397012919</v>
      </c>
    </row>
    <row r="107" spans="1:16" x14ac:dyDescent="0.25">
      <c r="B107" s="99"/>
      <c r="C107" s="98">
        <v>2020</v>
      </c>
      <c r="F107" s="103">
        <v>123920000</v>
      </c>
      <c r="G107" s="101">
        <v>6525333.5199999996</v>
      </c>
      <c r="H107" s="70">
        <v>49249285.710000001</v>
      </c>
      <c r="I107" s="70">
        <v>-2516897.5299999998</v>
      </c>
      <c r="J107" s="70">
        <v>538632.31000000006</v>
      </c>
      <c r="K107" s="101">
        <v>57752884.450000003</v>
      </c>
      <c r="L107" s="70">
        <f>H107+G107</f>
        <v>55774619.230000004</v>
      </c>
      <c r="M107" s="70">
        <f>I107+M106</f>
        <v>299735452.25</v>
      </c>
      <c r="N107" s="63">
        <f t="shared" si="13"/>
        <v>0.45008569423821826</v>
      </c>
      <c r="O107" s="57">
        <v>0.95</v>
      </c>
      <c r="P107" s="63">
        <f t="shared" si="14"/>
        <v>-4.5126216274484453E-2</v>
      </c>
    </row>
    <row r="108" spans="1:16" x14ac:dyDescent="0.25">
      <c r="A108" s="109" t="s">
        <v>318</v>
      </c>
      <c r="B108" s="75" t="s">
        <v>317</v>
      </c>
      <c r="C108" s="98">
        <v>2018</v>
      </c>
      <c r="F108" s="70">
        <v>480000000</v>
      </c>
      <c r="H108" s="70">
        <v>4124609.6</v>
      </c>
      <c r="K108" s="101">
        <v>4124609.6</v>
      </c>
      <c r="L108" s="70">
        <f>H108</f>
        <v>4124609.6</v>
      </c>
      <c r="N108" s="63">
        <f t="shared" si="13"/>
        <v>8.592936666666667E-3</v>
      </c>
      <c r="O108" s="57">
        <v>0.05</v>
      </c>
      <c r="P108" s="63">
        <f t="shared" si="14"/>
        <v>0</v>
      </c>
    </row>
    <row r="109" spans="1:16" x14ac:dyDescent="0.25">
      <c r="B109" s="99"/>
      <c r="C109" s="98">
        <v>2019</v>
      </c>
      <c r="F109" s="70">
        <v>480000000</v>
      </c>
      <c r="G109" s="101">
        <v>4124609.6</v>
      </c>
      <c r="H109" s="70">
        <v>41937909.509999998</v>
      </c>
      <c r="K109" s="101">
        <v>46062519.109999999</v>
      </c>
      <c r="L109" s="70">
        <f>H109+L108</f>
        <v>46062519.109999999</v>
      </c>
      <c r="N109" s="63">
        <f t="shared" si="13"/>
        <v>9.5963581479166671E-2</v>
      </c>
      <c r="O109" s="57">
        <v>0.2</v>
      </c>
      <c r="P109" s="63">
        <f t="shared" si="14"/>
        <v>0</v>
      </c>
    </row>
    <row r="110" spans="1:16" x14ac:dyDescent="0.25">
      <c r="B110" s="99"/>
      <c r="C110" s="98">
        <v>2020</v>
      </c>
      <c r="F110" s="70">
        <v>480000000</v>
      </c>
      <c r="G110" s="101">
        <v>46062519.109999999</v>
      </c>
      <c r="H110" s="70">
        <v>183273744.37</v>
      </c>
      <c r="I110" s="70">
        <v>74541378.269999996</v>
      </c>
      <c r="J110" s="70">
        <v>110219039.81</v>
      </c>
      <c r="K110" s="101">
        <v>44575845.399999999</v>
      </c>
      <c r="L110" s="70">
        <f>H110+L109</f>
        <v>229336263.48000002</v>
      </c>
      <c r="M110" s="70">
        <f>I110</f>
        <v>74541378.269999996</v>
      </c>
      <c r="N110" s="63">
        <f t="shared" si="13"/>
        <v>0.47778388225000001</v>
      </c>
      <c r="O110" s="57">
        <v>0.6</v>
      </c>
      <c r="P110" s="63">
        <f>M110/L110</f>
        <v>0.32503092680979606</v>
      </c>
    </row>
    <row r="111" spans="1:16" ht="31.5" x14ac:dyDescent="0.25">
      <c r="A111" s="110" t="s">
        <v>349</v>
      </c>
      <c r="B111" s="75" t="s">
        <v>319</v>
      </c>
      <c r="C111" s="98">
        <v>2018</v>
      </c>
      <c r="F111" s="70">
        <v>700000000</v>
      </c>
      <c r="H111" s="70">
        <v>3719188.6</v>
      </c>
      <c r="K111" s="101">
        <v>3719188.6</v>
      </c>
      <c r="L111" s="70">
        <f>H111</f>
        <v>3719188.6</v>
      </c>
      <c r="N111" s="63">
        <f t="shared" si="13"/>
        <v>5.3131265714285716E-3</v>
      </c>
      <c r="O111" s="57">
        <v>0.05</v>
      </c>
      <c r="P111" s="63">
        <f t="shared" si="14"/>
        <v>0</v>
      </c>
    </row>
    <row r="112" spans="1:16" x14ac:dyDescent="0.25">
      <c r="B112" s="99"/>
      <c r="C112" s="98">
        <v>2019</v>
      </c>
      <c r="F112" s="70">
        <v>700000000</v>
      </c>
      <c r="G112" s="101">
        <v>3719188.6</v>
      </c>
      <c r="H112" s="70">
        <v>13825534.5</v>
      </c>
      <c r="K112" s="101">
        <v>17544723.100000001</v>
      </c>
      <c r="L112" s="70">
        <f>H112+L111</f>
        <v>17544723.100000001</v>
      </c>
      <c r="N112" s="63">
        <f t="shared" si="13"/>
        <v>2.5063890142857145E-2</v>
      </c>
      <c r="O112" s="57">
        <v>0.1</v>
      </c>
      <c r="P112" s="63">
        <f t="shared" si="14"/>
        <v>0</v>
      </c>
    </row>
    <row r="113" spans="1:16" x14ac:dyDescent="0.25">
      <c r="B113" s="99"/>
      <c r="C113" s="98">
        <v>2020</v>
      </c>
      <c r="F113" s="70">
        <v>700000000</v>
      </c>
      <c r="G113" s="101">
        <v>17544723.100000001</v>
      </c>
      <c r="H113" s="70">
        <v>83068867.769999996</v>
      </c>
      <c r="K113" s="101">
        <v>100613590.87</v>
      </c>
      <c r="L113" s="70">
        <f>H113+L112</f>
        <v>100613590.87</v>
      </c>
      <c r="N113" s="63">
        <f t="shared" si="13"/>
        <v>0.14373370124285714</v>
      </c>
      <c r="O113" s="57">
        <v>0.5</v>
      </c>
      <c r="P113" s="63">
        <f t="shared" si="14"/>
        <v>0</v>
      </c>
    </row>
    <row r="114" spans="1:16" x14ac:dyDescent="0.25">
      <c r="A114" s="110" t="s">
        <v>350</v>
      </c>
      <c r="B114" s="75" t="s">
        <v>327</v>
      </c>
      <c r="C114" s="98">
        <v>2019</v>
      </c>
      <c r="F114" s="70">
        <v>400000000</v>
      </c>
      <c r="H114" s="70">
        <v>32110163.809999999</v>
      </c>
      <c r="K114" s="101">
        <v>32110163.809999999</v>
      </c>
      <c r="L114" s="70">
        <f>H114</f>
        <v>32110163.809999999</v>
      </c>
      <c r="N114" s="63">
        <f t="shared" si="13"/>
        <v>8.0275409524999994E-2</v>
      </c>
      <c r="O114" s="57">
        <v>0.05</v>
      </c>
      <c r="P114" s="63">
        <f t="shared" si="14"/>
        <v>0</v>
      </c>
    </row>
    <row r="115" spans="1:16" x14ac:dyDescent="0.25">
      <c r="C115" s="98">
        <v>2020</v>
      </c>
      <c r="F115" s="70">
        <v>400000000</v>
      </c>
      <c r="G115" s="101">
        <v>32110163.809999999</v>
      </c>
      <c r="H115" s="70">
        <v>69141674.530000001</v>
      </c>
      <c r="K115" s="101">
        <v>101251838.34</v>
      </c>
      <c r="L115" s="70">
        <f>H115+L114</f>
        <v>101251838.34</v>
      </c>
      <c r="N115" s="63">
        <f t="shared" si="13"/>
        <v>0.25312959585</v>
      </c>
      <c r="O115" s="57">
        <v>0.4</v>
      </c>
      <c r="P115" s="63">
        <f t="shared" si="14"/>
        <v>0</v>
      </c>
    </row>
    <row r="116" spans="1:16" x14ac:dyDescent="0.25">
      <c r="A116" s="110" t="s">
        <v>337</v>
      </c>
      <c r="B116" s="75" t="s">
        <v>336</v>
      </c>
      <c r="C116" s="98">
        <v>2020</v>
      </c>
      <c r="F116" s="70">
        <v>2500000000</v>
      </c>
      <c r="H116" s="70">
        <v>65235857.43</v>
      </c>
      <c r="K116" s="101">
        <v>65235857.43</v>
      </c>
      <c r="L116" s="70">
        <f>H116</f>
        <v>65235857.43</v>
      </c>
      <c r="N116" s="63">
        <f t="shared" si="13"/>
        <v>2.6094342972000001E-2</v>
      </c>
      <c r="O116" s="57">
        <v>0.02</v>
      </c>
      <c r="P116" s="63">
        <f t="shared" si="14"/>
        <v>0</v>
      </c>
    </row>
    <row r="117" spans="1:16" x14ac:dyDescent="0.25">
      <c r="L117" s="70">
        <f>H117</f>
        <v>0</v>
      </c>
      <c r="N117" s="63" t="e">
        <f t="shared" si="13"/>
        <v>#DIV/0!</v>
      </c>
      <c r="P117" s="63" t="e">
        <f t="shared" si="14"/>
        <v>#DIV/0!</v>
      </c>
    </row>
    <row r="118" spans="1:16" x14ac:dyDescent="0.25">
      <c r="N118" s="63" t="e">
        <f t="shared" si="13"/>
        <v>#DIV/0!</v>
      </c>
      <c r="P118" s="63" t="e">
        <f t="shared" si="14"/>
        <v>#DIV/0!</v>
      </c>
    </row>
    <row r="120" spans="1:16" x14ac:dyDescent="0.25">
      <c r="A120" t="s">
        <v>338</v>
      </c>
      <c r="B120" s="75" t="s">
        <v>339</v>
      </c>
      <c r="C120" s="98">
        <v>2020</v>
      </c>
      <c r="F120" t="s">
        <v>340</v>
      </c>
    </row>
  </sheetData>
  <autoFilter ref="A1:P120"/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2" workbookViewId="0">
      <selection activeCell="P79" sqref="P79"/>
    </sheetView>
  </sheetViews>
  <sheetFormatPr defaultRowHeight="15.75" x14ac:dyDescent="0.25"/>
  <cols>
    <col min="2" max="2" width="9.625" bestFit="1" customWidth="1"/>
  </cols>
  <sheetData>
    <row r="1" spans="1:2" x14ac:dyDescent="0.25">
      <c r="A1" t="s">
        <v>423</v>
      </c>
      <c r="B1" t="s">
        <v>424</v>
      </c>
    </row>
    <row r="2" spans="1:2" x14ac:dyDescent="0.25">
      <c r="A2">
        <v>2015</v>
      </c>
      <c r="B2" s="121">
        <v>0.223301</v>
      </c>
    </row>
    <row r="3" spans="1:2" x14ac:dyDescent="0.25">
      <c r="A3">
        <f>A2+1</f>
        <v>2016</v>
      </c>
      <c r="B3" s="121">
        <v>0.21762000000000001</v>
      </c>
    </row>
    <row r="4" spans="1:2" x14ac:dyDescent="0.25">
      <c r="A4">
        <f t="shared" ref="A4:A6" si="0">A3+1</f>
        <v>2017</v>
      </c>
      <c r="B4" s="121">
        <v>0.234567</v>
      </c>
    </row>
    <row r="5" spans="1:2" x14ac:dyDescent="0.25">
      <c r="A5">
        <f t="shared" si="0"/>
        <v>2018</v>
      </c>
      <c r="B5" s="121">
        <v>0.26228000000000001</v>
      </c>
    </row>
    <row r="6" spans="1:2" x14ac:dyDescent="0.25">
      <c r="A6">
        <f t="shared" si="0"/>
        <v>2019</v>
      </c>
      <c r="B6" s="121">
        <v>0.28058499999999997</v>
      </c>
    </row>
    <row r="7" spans="1:2" x14ac:dyDescent="0.25">
      <c r="A7">
        <f>A6+1</f>
        <v>2020</v>
      </c>
      <c r="B7" s="121">
        <v>0.22329299999999999</v>
      </c>
    </row>
    <row r="19" spans="1:2" x14ac:dyDescent="0.25">
      <c r="A19" t="s">
        <v>423</v>
      </c>
      <c r="B19" t="s">
        <v>425</v>
      </c>
    </row>
    <row r="20" spans="1:2" x14ac:dyDescent="0.25">
      <c r="A20">
        <v>2015</v>
      </c>
      <c r="B20" s="121">
        <v>0.44143500000000002</v>
      </c>
    </row>
    <row r="21" spans="1:2" x14ac:dyDescent="0.25">
      <c r="A21">
        <f>A20+1</f>
        <v>2016</v>
      </c>
      <c r="B21" s="121">
        <v>0.57803300000000002</v>
      </c>
    </row>
    <row r="22" spans="1:2" x14ac:dyDescent="0.25">
      <c r="A22">
        <f t="shared" ref="A22:A24" si="1">A21+1</f>
        <v>2017</v>
      </c>
      <c r="B22" s="121">
        <v>0.541995</v>
      </c>
    </row>
    <row r="23" spans="1:2" x14ac:dyDescent="0.25">
      <c r="A23">
        <f t="shared" si="1"/>
        <v>2018</v>
      </c>
      <c r="B23" s="121">
        <v>0.26439299999999999</v>
      </c>
    </row>
    <row r="24" spans="1:2" x14ac:dyDescent="0.25">
      <c r="A24">
        <f t="shared" si="1"/>
        <v>2019</v>
      </c>
      <c r="B24" s="121">
        <v>0.308724</v>
      </c>
    </row>
    <row r="25" spans="1:2" x14ac:dyDescent="0.25">
      <c r="A25">
        <f>A24+1</f>
        <v>2020</v>
      </c>
      <c r="B25" s="121">
        <v>0.28475899999999998</v>
      </c>
    </row>
    <row r="34" spans="1:2" x14ac:dyDescent="0.25">
      <c r="A34" t="s">
        <v>423</v>
      </c>
      <c r="B34" t="s">
        <v>426</v>
      </c>
    </row>
    <row r="35" spans="1:2" x14ac:dyDescent="0.25">
      <c r="A35">
        <v>2015</v>
      </c>
      <c r="B35" s="121">
        <v>0.43890899999999999</v>
      </c>
    </row>
    <row r="36" spans="1:2" x14ac:dyDescent="0.25">
      <c r="A36">
        <f>A35+1</f>
        <v>2016</v>
      </c>
      <c r="B36" s="121">
        <v>0.30470399999999997</v>
      </c>
    </row>
    <row r="37" spans="1:2" x14ac:dyDescent="0.25">
      <c r="A37">
        <f t="shared" ref="A37:A39" si="2">A36+1</f>
        <v>2017</v>
      </c>
      <c r="B37" s="121">
        <v>0.33602599999999999</v>
      </c>
    </row>
    <row r="38" spans="1:2" x14ac:dyDescent="0.25">
      <c r="A38">
        <f t="shared" si="2"/>
        <v>2018</v>
      </c>
      <c r="B38" s="121">
        <v>0.80118299999999998</v>
      </c>
    </row>
    <row r="39" spans="1:2" x14ac:dyDescent="0.25">
      <c r="A39">
        <f t="shared" si="2"/>
        <v>2019</v>
      </c>
      <c r="B39" s="121">
        <v>0.77871699999999999</v>
      </c>
    </row>
    <row r="40" spans="1:2" x14ac:dyDescent="0.25">
      <c r="A40">
        <f>A39+1</f>
        <v>2020</v>
      </c>
      <c r="B40" s="121">
        <v>0.69583099999999998</v>
      </c>
    </row>
    <row r="48" spans="1:2" x14ac:dyDescent="0.25">
      <c r="A48" t="s">
        <v>423</v>
      </c>
      <c r="B48" t="s">
        <v>427</v>
      </c>
    </row>
    <row r="49" spans="1:2" x14ac:dyDescent="0.25">
      <c r="A49">
        <v>2015</v>
      </c>
      <c r="B49" s="121">
        <v>0.71909100000000004</v>
      </c>
    </row>
    <row r="50" spans="1:2" x14ac:dyDescent="0.25">
      <c r="A50">
        <f>A49+1</f>
        <v>2016</v>
      </c>
      <c r="B50" s="121">
        <v>1.11432</v>
      </c>
    </row>
    <row r="51" spans="1:2" x14ac:dyDescent="0.25">
      <c r="A51">
        <f t="shared" ref="A51:A53" si="3">A50+1</f>
        <v>2017</v>
      </c>
      <c r="B51" s="121">
        <v>0.97103499999999998</v>
      </c>
    </row>
    <row r="52" spans="1:2" x14ac:dyDescent="0.25">
      <c r="A52">
        <f t="shared" si="3"/>
        <v>2018</v>
      </c>
      <c r="B52" s="121">
        <v>1.119378</v>
      </c>
    </row>
    <row r="53" spans="1:2" x14ac:dyDescent="0.25">
      <c r="A53">
        <f t="shared" si="3"/>
        <v>2019</v>
      </c>
      <c r="B53" s="121">
        <v>1.0325820000000001</v>
      </c>
    </row>
    <row r="54" spans="1:2" x14ac:dyDescent="0.25">
      <c r="A54">
        <f>A53+1</f>
        <v>2020</v>
      </c>
      <c r="B54" s="121">
        <v>1.0369520000000001</v>
      </c>
    </row>
    <row r="65" spans="1:2" x14ac:dyDescent="0.25">
      <c r="A65" t="s">
        <v>423</v>
      </c>
      <c r="B65" t="s">
        <v>428</v>
      </c>
    </row>
    <row r="66" spans="1:2" x14ac:dyDescent="0.25">
      <c r="A66">
        <v>2015</v>
      </c>
      <c r="B66" s="122">
        <v>12.8</v>
      </c>
    </row>
    <row r="67" spans="1:2" x14ac:dyDescent="0.25">
      <c r="A67">
        <f>A66+1</f>
        <v>2016</v>
      </c>
      <c r="B67" s="122">
        <v>72.06</v>
      </c>
    </row>
    <row r="68" spans="1:2" x14ac:dyDescent="0.25">
      <c r="A68">
        <f t="shared" ref="A68:A70" si="4">A67+1</f>
        <v>2017</v>
      </c>
      <c r="B68" s="122">
        <v>124.03</v>
      </c>
    </row>
    <row r="69" spans="1:2" x14ac:dyDescent="0.25">
      <c r="A69">
        <f t="shared" si="4"/>
        <v>2018</v>
      </c>
      <c r="B69" s="122">
        <v>205.21</v>
      </c>
    </row>
    <row r="70" spans="1:2" x14ac:dyDescent="0.25">
      <c r="A70">
        <f t="shared" si="4"/>
        <v>2019</v>
      </c>
      <c r="B70" s="122">
        <v>305.58999999999997</v>
      </c>
    </row>
    <row r="71" spans="1:2" x14ac:dyDescent="0.25">
      <c r="A71">
        <f>A70+1</f>
        <v>2020</v>
      </c>
      <c r="B71" s="122">
        <v>402.09</v>
      </c>
    </row>
    <row r="81" spans="1:2" x14ac:dyDescent="0.25">
      <c r="A81" t="s">
        <v>423</v>
      </c>
      <c r="B81" t="s">
        <v>429</v>
      </c>
    </row>
    <row r="82" spans="1:2" x14ac:dyDescent="0.25">
      <c r="A82">
        <v>2015</v>
      </c>
      <c r="B82" s="122">
        <v>1.71</v>
      </c>
    </row>
    <row r="83" spans="1:2" x14ac:dyDescent="0.25">
      <c r="A83">
        <f>A82+1</f>
        <v>2016</v>
      </c>
      <c r="B83" s="122">
        <v>3.01</v>
      </c>
    </row>
    <row r="84" spans="1:2" x14ac:dyDescent="0.25">
      <c r="A84">
        <f t="shared" ref="A84:A86" si="5">A83+1</f>
        <v>2017</v>
      </c>
      <c r="B84" s="122">
        <v>5.34</v>
      </c>
    </row>
    <row r="85" spans="1:2" x14ac:dyDescent="0.25">
      <c r="A85">
        <f t="shared" si="5"/>
        <v>2018</v>
      </c>
      <c r="B85" s="122">
        <v>8.85</v>
      </c>
    </row>
    <row r="86" spans="1:2" x14ac:dyDescent="0.25">
      <c r="A86">
        <f t="shared" si="5"/>
        <v>2019</v>
      </c>
      <c r="B86" s="122">
        <v>12.06</v>
      </c>
    </row>
    <row r="87" spans="1:2" x14ac:dyDescent="0.25">
      <c r="A87">
        <f>A86+1</f>
        <v>2020</v>
      </c>
      <c r="B87" s="122">
        <v>11.88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7" sqref="D7"/>
    </sheetView>
  </sheetViews>
  <sheetFormatPr defaultRowHeight="15.75" x14ac:dyDescent="0.25"/>
  <cols>
    <col min="1" max="1" width="12.875" customWidth="1"/>
    <col min="3" max="3" width="51.625" customWidth="1"/>
    <col min="4" max="4" width="38.375" customWidth="1"/>
  </cols>
  <sheetData>
    <row r="1" spans="1:4" x14ac:dyDescent="0.25">
      <c r="A1" t="s">
        <v>342</v>
      </c>
      <c r="B1" t="s">
        <v>343</v>
      </c>
      <c r="C1" t="s">
        <v>344</v>
      </c>
      <c r="D1" t="s">
        <v>345</v>
      </c>
    </row>
    <row r="2" spans="1:4" ht="63" x14ac:dyDescent="0.25">
      <c r="A2" s="109" t="s">
        <v>346</v>
      </c>
      <c r="B2">
        <v>2020</v>
      </c>
      <c r="C2" s="107" t="s">
        <v>347</v>
      </c>
    </row>
    <row r="3" spans="1:4" x14ac:dyDescent="0.25">
      <c r="A3" s="111" t="s">
        <v>363</v>
      </c>
      <c r="B3">
        <v>2010</v>
      </c>
      <c r="C3" s="107" t="s">
        <v>364</v>
      </c>
    </row>
    <row r="4" spans="1:4" x14ac:dyDescent="0.25">
      <c r="A4" s="73"/>
      <c r="B4">
        <v>2012</v>
      </c>
      <c r="C4" s="107" t="s">
        <v>365</v>
      </c>
    </row>
    <row r="5" spans="1:4" x14ac:dyDescent="0.25">
      <c r="A5" s="73"/>
      <c r="B5">
        <v>2014</v>
      </c>
      <c r="C5" s="107" t="s">
        <v>366</v>
      </c>
    </row>
    <row r="6" spans="1:4" x14ac:dyDescent="0.25">
      <c r="A6" s="111" t="s">
        <v>352</v>
      </c>
      <c r="B6">
        <v>2011</v>
      </c>
      <c r="C6" s="107" t="s">
        <v>353</v>
      </c>
    </row>
    <row r="7" spans="1:4" ht="31.5" x14ac:dyDescent="0.25">
      <c r="A7" s="73"/>
      <c r="B7">
        <v>2015</v>
      </c>
      <c r="C7" s="107" t="s">
        <v>354</v>
      </c>
    </row>
    <row r="8" spans="1:4" ht="31.5" x14ac:dyDescent="0.25">
      <c r="A8" s="73"/>
      <c r="B8">
        <v>2016</v>
      </c>
      <c r="C8" s="107" t="s">
        <v>355</v>
      </c>
    </row>
    <row r="9" spans="1:4" x14ac:dyDescent="0.25">
      <c r="A9" s="111" t="s">
        <v>356</v>
      </c>
      <c r="B9">
        <v>2011</v>
      </c>
      <c r="C9" s="107" t="s">
        <v>361</v>
      </c>
    </row>
    <row r="10" spans="1:4" ht="47.25" x14ac:dyDescent="0.25">
      <c r="A10" s="73"/>
      <c r="B10">
        <v>2015</v>
      </c>
      <c r="C10" s="107" t="s">
        <v>357</v>
      </c>
      <c r="D10" t="s">
        <v>358</v>
      </c>
    </row>
    <row r="11" spans="1:4" x14ac:dyDescent="0.25">
      <c r="A11" s="111" t="s">
        <v>359</v>
      </c>
      <c r="B11">
        <v>2011</v>
      </c>
      <c r="C11" s="107" t="s">
        <v>360</v>
      </c>
    </row>
    <row r="12" spans="1:4" ht="47.25" x14ac:dyDescent="0.25">
      <c r="A12" s="73"/>
      <c r="B12">
        <v>2016</v>
      </c>
      <c r="C12" s="107" t="s">
        <v>362</v>
      </c>
    </row>
    <row r="13" spans="1:4" x14ac:dyDescent="0.25">
      <c r="A13" s="109" t="s">
        <v>370</v>
      </c>
      <c r="B13">
        <v>2011</v>
      </c>
      <c r="C13" s="107" t="s">
        <v>371</v>
      </c>
    </row>
    <row r="14" spans="1:4" x14ac:dyDescent="0.25">
      <c r="A14" s="73"/>
      <c r="B14">
        <v>2013</v>
      </c>
      <c r="C14" s="107" t="s">
        <v>372</v>
      </c>
      <c r="D14" t="s">
        <v>373</v>
      </c>
    </row>
    <row r="15" spans="1:4" x14ac:dyDescent="0.25">
      <c r="A15" s="73"/>
      <c r="B15">
        <v>2018</v>
      </c>
      <c r="C15" s="107"/>
      <c r="D15" t="s">
        <v>374</v>
      </c>
    </row>
    <row r="16" spans="1:4" x14ac:dyDescent="0.25">
      <c r="A16" s="109" t="s">
        <v>375</v>
      </c>
      <c r="B16">
        <v>2012</v>
      </c>
      <c r="C16" s="107" t="s">
        <v>376</v>
      </c>
    </row>
    <row r="17" spans="1:4" x14ac:dyDescent="0.25">
      <c r="A17" s="73"/>
      <c r="B17">
        <v>2014</v>
      </c>
      <c r="C17" s="107" t="s">
        <v>377</v>
      </c>
      <c r="D17" t="s">
        <v>378</v>
      </c>
    </row>
    <row r="18" spans="1:4" x14ac:dyDescent="0.25">
      <c r="A18" s="73"/>
      <c r="B18">
        <v>2019</v>
      </c>
      <c r="C18" s="107"/>
      <c r="D18" t="s">
        <v>379</v>
      </c>
    </row>
    <row r="19" spans="1:4" x14ac:dyDescent="0.25">
      <c r="A19" s="109" t="s">
        <v>380</v>
      </c>
      <c r="B19">
        <v>2012</v>
      </c>
      <c r="C19" s="107" t="s">
        <v>381</v>
      </c>
    </row>
    <row r="20" spans="1:4" x14ac:dyDescent="0.25">
      <c r="A20" s="73"/>
      <c r="B20">
        <v>2014</v>
      </c>
      <c r="C20" s="107" t="s">
        <v>377</v>
      </c>
      <c r="D20" t="s">
        <v>382</v>
      </c>
    </row>
    <row r="21" spans="1:4" x14ac:dyDescent="0.25">
      <c r="A21" s="73"/>
      <c r="B21">
        <v>2017</v>
      </c>
      <c r="C21" s="112" t="s">
        <v>383</v>
      </c>
      <c r="D21" t="s">
        <v>384</v>
      </c>
    </row>
    <row r="22" spans="1:4" x14ac:dyDescent="0.25">
      <c r="A22" s="73"/>
      <c r="B22">
        <v>2020</v>
      </c>
      <c r="C22" s="112" t="s">
        <v>385</v>
      </c>
      <c r="D22" t="s">
        <v>386</v>
      </c>
    </row>
    <row r="23" spans="1:4" x14ac:dyDescent="0.25">
      <c r="A23" s="109" t="s">
        <v>305</v>
      </c>
      <c r="B23">
        <v>2016</v>
      </c>
      <c r="C23" s="112" t="s">
        <v>387</v>
      </c>
    </row>
    <row r="24" spans="1:4" x14ac:dyDescent="0.25">
      <c r="A24" s="73"/>
      <c r="B24">
        <v>2021</v>
      </c>
      <c r="C24" s="112" t="s">
        <v>388</v>
      </c>
    </row>
    <row r="25" spans="1:4" x14ac:dyDescent="0.25">
      <c r="A25" s="109" t="s">
        <v>307</v>
      </c>
      <c r="B25">
        <v>2016</v>
      </c>
      <c r="C25" s="112" t="s">
        <v>389</v>
      </c>
    </row>
    <row r="26" spans="1:4" x14ac:dyDescent="0.25">
      <c r="A26" s="73"/>
      <c r="B26">
        <v>2018</v>
      </c>
      <c r="C26" s="112" t="s">
        <v>390</v>
      </c>
      <c r="D26" t="s">
        <v>391</v>
      </c>
    </row>
    <row r="27" spans="1:4" x14ac:dyDescent="0.25">
      <c r="A27" s="73"/>
      <c r="B27">
        <v>2019</v>
      </c>
      <c r="C27" s="112"/>
      <c r="D27" t="s">
        <v>392</v>
      </c>
    </row>
    <row r="28" spans="1:4" x14ac:dyDescent="0.25">
      <c r="A28" s="111" t="s">
        <v>367</v>
      </c>
      <c r="B28">
        <v>2016</v>
      </c>
      <c r="C28" s="107" t="s">
        <v>368</v>
      </c>
    </row>
    <row r="29" spans="1:4" x14ac:dyDescent="0.25">
      <c r="A29" s="73"/>
      <c r="B29">
        <v>2020</v>
      </c>
      <c r="C29" s="107" t="s">
        <v>369</v>
      </c>
    </row>
    <row r="30" spans="1:4" x14ac:dyDescent="0.25">
      <c r="A30" s="109" t="s">
        <v>393</v>
      </c>
      <c r="B30">
        <v>2017</v>
      </c>
      <c r="C30" s="107" t="s">
        <v>394</v>
      </c>
    </row>
    <row r="31" spans="1:4" x14ac:dyDescent="0.25">
      <c r="A31" s="73"/>
      <c r="B31">
        <v>2019</v>
      </c>
      <c r="C31" s="107" t="s">
        <v>395</v>
      </c>
      <c r="D31" t="s">
        <v>396</v>
      </c>
    </row>
    <row r="32" spans="1:4" x14ac:dyDescent="0.25">
      <c r="A32" s="109" t="s">
        <v>348</v>
      </c>
      <c r="B32">
        <v>2018</v>
      </c>
      <c r="C32" s="107" t="s">
        <v>397</v>
      </c>
    </row>
    <row r="33" spans="1:4" x14ac:dyDescent="0.25">
      <c r="B33">
        <v>2020</v>
      </c>
      <c r="C33" t="s">
        <v>399</v>
      </c>
      <c r="D33" t="s">
        <v>398</v>
      </c>
    </row>
    <row r="34" spans="1:4" x14ac:dyDescent="0.25">
      <c r="A34" s="110" t="s">
        <v>400</v>
      </c>
      <c r="B34">
        <v>2018</v>
      </c>
      <c r="C34" s="107" t="s">
        <v>401</v>
      </c>
    </row>
    <row r="35" spans="1:4" x14ac:dyDescent="0.25">
      <c r="A35" s="110" t="s">
        <v>402</v>
      </c>
      <c r="B35">
        <v>2019</v>
      </c>
      <c r="C35" s="107" t="s">
        <v>403</v>
      </c>
    </row>
    <row r="36" spans="1:4" ht="63" x14ac:dyDescent="0.25">
      <c r="A36" s="110" t="s">
        <v>404</v>
      </c>
      <c r="B36">
        <v>2020</v>
      </c>
      <c r="C36" s="107" t="s">
        <v>405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3"/>
  <sheetViews>
    <sheetView tabSelected="1" topLeftCell="A271" zoomScaleNormal="100" workbookViewId="0">
      <selection activeCell="L282" sqref="L282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4.375" customWidth="1"/>
    <col min="10" max="10" width="19.625" customWidth="1"/>
    <col min="11" max="11" width="16.625" bestFit="1" customWidth="1"/>
    <col min="12" max="12" width="16.625" customWidth="1"/>
    <col min="13" max="13" width="18.25" customWidth="1"/>
  </cols>
  <sheetData>
    <row r="1" spans="1:13" x14ac:dyDescent="0.25">
      <c r="A1" s="96" t="str">
        <f>营业收入分析!C1</f>
        <v>智能水表</v>
      </c>
    </row>
    <row r="2" spans="1:13" x14ac:dyDescent="0.25">
      <c r="A2" s="67" t="s">
        <v>246</v>
      </c>
      <c r="B2" t="s">
        <v>247</v>
      </c>
    </row>
    <row r="3" spans="1:13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t="s">
        <v>417</v>
      </c>
      <c r="J3" s="123" t="s">
        <v>443</v>
      </c>
      <c r="K3" s="75" t="s">
        <v>444</v>
      </c>
      <c r="L3" s="75" t="s">
        <v>245</v>
      </c>
      <c r="M3" t="s">
        <v>49</v>
      </c>
    </row>
    <row r="4" spans="1:13" x14ac:dyDescent="0.25">
      <c r="A4" s="85">
        <v>2010</v>
      </c>
      <c r="B4" s="67">
        <f>营业收入分析!C2</f>
        <v>0</v>
      </c>
      <c r="C4" s="67"/>
      <c r="D4" s="67">
        <f>营业成本分析!C2</f>
        <v>0</v>
      </c>
      <c r="E4" s="67"/>
      <c r="F4" s="69">
        <f>B4-D4</f>
        <v>0</v>
      </c>
      <c r="G4" s="69"/>
      <c r="H4" s="63" t="e">
        <f t="shared" ref="H4:H11" si="0">F4/B4</f>
        <v>#DIV/0!</v>
      </c>
      <c r="I4" s="118" t="e">
        <f t="shared" ref="I4:I13" si="1">F4/F275</f>
        <v>#DIV/0!</v>
      </c>
      <c r="J4" s="130"/>
      <c r="K4" s="69">
        <f>B4-D4/0.65</f>
        <v>0</v>
      </c>
      <c r="L4" s="63">
        <v>0.14000000000000001</v>
      </c>
      <c r="M4" s="69">
        <f>K4*(1-L4)</f>
        <v>0</v>
      </c>
    </row>
    <row r="5" spans="1:13" x14ac:dyDescent="0.25">
      <c r="A5" s="85">
        <f>A4+1</f>
        <v>2011</v>
      </c>
      <c r="B5" s="67">
        <f>营业收入分析!C3</f>
        <v>0</v>
      </c>
      <c r="C5" s="66" t="e">
        <f>(B5-B4)/B4</f>
        <v>#DIV/0!</v>
      </c>
      <c r="D5" s="67">
        <f>营业成本分析!C3</f>
        <v>0</v>
      </c>
      <c r="E5" s="66" t="e">
        <f>(D5-D4)/D4</f>
        <v>#DIV/0!</v>
      </c>
      <c r="F5" s="69">
        <f t="shared" ref="F5:F11" si="2">B5-D5</f>
        <v>0</v>
      </c>
      <c r="G5" s="63" t="e">
        <f>(F5-F4)/F4</f>
        <v>#DIV/0!</v>
      </c>
      <c r="H5" s="63" t="e">
        <f t="shared" si="0"/>
        <v>#DIV/0!</v>
      </c>
      <c r="I5" s="118" t="e">
        <f t="shared" si="1"/>
        <v>#DIV/0!</v>
      </c>
      <c r="J5" s="130"/>
      <c r="K5" s="69">
        <f t="shared" ref="K5:K98" si="3">B5-D5/0.65</f>
        <v>0</v>
      </c>
      <c r="L5" s="63">
        <v>0.14000000000000001</v>
      </c>
      <c r="M5" s="69">
        <f t="shared" ref="M5:M98" si="4">K5*(1-L5)</f>
        <v>0</v>
      </c>
    </row>
    <row r="6" spans="1:13" x14ac:dyDescent="0.25">
      <c r="A6" s="85">
        <f t="shared" ref="A6:A18" si="5">A5+1</f>
        <v>2012</v>
      </c>
      <c r="B6" s="67">
        <f>营业收入分析!C4</f>
        <v>0</v>
      </c>
      <c r="C6" s="66" t="e">
        <f t="shared" ref="C6:C99" si="6">(B6-B5)/B5</f>
        <v>#DIV/0!</v>
      </c>
      <c r="D6" s="67">
        <f>营业成本分析!C4</f>
        <v>0</v>
      </c>
      <c r="E6" s="66" t="e">
        <f t="shared" ref="E6:E99" si="7">(D6-D5)/D5</f>
        <v>#DIV/0!</v>
      </c>
      <c r="F6" s="69">
        <f t="shared" si="2"/>
        <v>0</v>
      </c>
      <c r="G6" s="63" t="e">
        <f t="shared" ref="G6:G99" si="8">(F6-F5)/F5</f>
        <v>#DIV/0!</v>
      </c>
      <c r="H6" s="63" t="e">
        <f t="shared" si="0"/>
        <v>#DIV/0!</v>
      </c>
      <c r="I6" s="118" t="e">
        <f t="shared" si="1"/>
        <v>#DIV/0!</v>
      </c>
      <c r="J6" s="130"/>
      <c r="K6" s="69">
        <f t="shared" si="3"/>
        <v>0</v>
      </c>
      <c r="L6" s="63">
        <v>0.14000000000000001</v>
      </c>
      <c r="M6" s="69">
        <f t="shared" si="4"/>
        <v>0</v>
      </c>
    </row>
    <row r="7" spans="1:13" x14ac:dyDescent="0.25">
      <c r="A7" s="85">
        <f t="shared" si="5"/>
        <v>2013</v>
      </c>
      <c r="B7" s="67">
        <f>营业收入分析!C5</f>
        <v>0</v>
      </c>
      <c r="C7" s="66" t="e">
        <f t="shared" si="6"/>
        <v>#DIV/0!</v>
      </c>
      <c r="D7" s="67">
        <f>营业成本分析!C5</f>
        <v>0</v>
      </c>
      <c r="E7" s="66" t="e">
        <f t="shared" si="7"/>
        <v>#DIV/0!</v>
      </c>
      <c r="F7" s="69">
        <f t="shared" si="2"/>
        <v>0</v>
      </c>
      <c r="G7" s="63" t="e">
        <f t="shared" si="8"/>
        <v>#DIV/0!</v>
      </c>
      <c r="H7" s="63" t="e">
        <f t="shared" si="0"/>
        <v>#DIV/0!</v>
      </c>
      <c r="I7" s="118" t="e">
        <f t="shared" si="1"/>
        <v>#DIV/0!</v>
      </c>
      <c r="J7" s="130"/>
      <c r="K7" s="69">
        <f t="shared" si="3"/>
        <v>0</v>
      </c>
      <c r="L7" s="63">
        <v>0.14000000000000001</v>
      </c>
      <c r="M7" s="69">
        <f t="shared" si="4"/>
        <v>0</v>
      </c>
    </row>
    <row r="8" spans="1:13" x14ac:dyDescent="0.25">
      <c r="A8" s="85">
        <f t="shared" si="5"/>
        <v>2014</v>
      </c>
      <c r="B8" s="67">
        <f>营业收入分析!C6</f>
        <v>0</v>
      </c>
      <c r="C8" s="66" t="e">
        <f t="shared" si="6"/>
        <v>#DIV/0!</v>
      </c>
      <c r="D8" s="67">
        <f>营业成本分析!C6</f>
        <v>0</v>
      </c>
      <c r="E8" s="66" t="e">
        <f t="shared" si="7"/>
        <v>#DIV/0!</v>
      </c>
      <c r="F8" s="69">
        <f t="shared" si="2"/>
        <v>0</v>
      </c>
      <c r="G8" s="63" t="e">
        <f t="shared" si="8"/>
        <v>#DIV/0!</v>
      </c>
      <c r="H8" s="63" t="e">
        <f t="shared" si="0"/>
        <v>#DIV/0!</v>
      </c>
      <c r="I8" s="118" t="e">
        <f t="shared" si="1"/>
        <v>#DIV/0!</v>
      </c>
      <c r="J8" s="130"/>
      <c r="K8" s="69">
        <f t="shared" si="3"/>
        <v>0</v>
      </c>
      <c r="L8" s="63">
        <v>0.14000000000000001</v>
      </c>
      <c r="M8" s="69">
        <f t="shared" si="4"/>
        <v>0</v>
      </c>
    </row>
    <row r="9" spans="1:13" x14ac:dyDescent="0.25">
      <c r="A9" s="85">
        <f t="shared" si="5"/>
        <v>2015</v>
      </c>
      <c r="B9" s="67">
        <f>营业收入分析!C7</f>
        <v>0</v>
      </c>
      <c r="C9" s="66" t="e">
        <f t="shared" si="6"/>
        <v>#DIV/0!</v>
      </c>
      <c r="D9" s="67">
        <f>营业成本分析!C7</f>
        <v>0</v>
      </c>
      <c r="E9" s="66" t="e">
        <f t="shared" si="7"/>
        <v>#DIV/0!</v>
      </c>
      <c r="F9" s="69">
        <f t="shared" si="2"/>
        <v>0</v>
      </c>
      <c r="G9" s="63" t="e">
        <f t="shared" si="8"/>
        <v>#DIV/0!</v>
      </c>
      <c r="H9" s="63" t="e">
        <f t="shared" si="0"/>
        <v>#DIV/0!</v>
      </c>
      <c r="I9" s="118" t="e">
        <f t="shared" si="1"/>
        <v>#DIV/0!</v>
      </c>
      <c r="J9" s="130"/>
      <c r="K9" s="69">
        <f t="shared" si="3"/>
        <v>0</v>
      </c>
      <c r="L9" s="63">
        <v>0.14000000000000001</v>
      </c>
      <c r="M9" s="69">
        <f t="shared" si="4"/>
        <v>0</v>
      </c>
    </row>
    <row r="10" spans="1:13" x14ac:dyDescent="0.25">
      <c r="A10" s="85">
        <f t="shared" si="5"/>
        <v>2016</v>
      </c>
      <c r="B10" s="67">
        <f>营业收入分析!C8</f>
        <v>0</v>
      </c>
      <c r="C10" s="66" t="e">
        <f t="shared" si="6"/>
        <v>#DIV/0!</v>
      </c>
      <c r="D10" s="67">
        <f>营业成本分析!C8</f>
        <v>0</v>
      </c>
      <c r="E10" s="66" t="e">
        <f t="shared" si="7"/>
        <v>#DIV/0!</v>
      </c>
      <c r="F10" s="69">
        <f t="shared" si="2"/>
        <v>0</v>
      </c>
      <c r="G10" s="63" t="e">
        <f t="shared" si="8"/>
        <v>#DIV/0!</v>
      </c>
      <c r="H10" s="63" t="e">
        <f t="shared" si="0"/>
        <v>#DIV/0!</v>
      </c>
      <c r="I10" s="118" t="e">
        <f t="shared" si="1"/>
        <v>#DIV/0!</v>
      </c>
      <c r="J10" s="130"/>
      <c r="K10" s="69">
        <f t="shared" si="3"/>
        <v>0</v>
      </c>
      <c r="L10" s="63">
        <v>0.14000000000000001</v>
      </c>
      <c r="M10" s="69">
        <f t="shared" si="4"/>
        <v>0</v>
      </c>
    </row>
    <row r="11" spans="1:13" x14ac:dyDescent="0.25">
      <c r="A11" s="85">
        <f t="shared" si="5"/>
        <v>2017</v>
      </c>
      <c r="B11" s="67">
        <f>营业收入分析!C9</f>
        <v>240057306.25480798</v>
      </c>
      <c r="C11" s="66" t="e">
        <f t="shared" si="6"/>
        <v>#DIV/0!</v>
      </c>
      <c r="D11" s="67">
        <f>营业成本分析!C9</f>
        <v>123803247.21965733</v>
      </c>
      <c r="E11" s="66" t="e">
        <f t="shared" si="7"/>
        <v>#DIV/0!</v>
      </c>
      <c r="F11" s="69">
        <f t="shared" si="2"/>
        <v>116254059.03515065</v>
      </c>
      <c r="G11" s="63" t="e">
        <f t="shared" si="8"/>
        <v>#DIV/0!</v>
      </c>
      <c r="H11" s="63">
        <f t="shared" si="0"/>
        <v>0.48427627906377152</v>
      </c>
      <c r="I11" s="118">
        <f t="shared" si="1"/>
        <v>0.40902534811339919</v>
      </c>
      <c r="J11" s="130">
        <f t="shared" ref="J11:J12" si="9">D11/0.765</f>
        <v>161834310.09105533</v>
      </c>
      <c r="K11" s="69">
        <f>B11-J11</f>
        <v>78222996.163752645</v>
      </c>
      <c r="L11" s="63">
        <v>0.14000000000000001</v>
      </c>
      <c r="M11" s="69">
        <f t="shared" si="4"/>
        <v>67271776.700827271</v>
      </c>
    </row>
    <row r="12" spans="1:13" x14ac:dyDescent="0.25">
      <c r="A12" s="85">
        <f t="shared" si="5"/>
        <v>2018</v>
      </c>
      <c r="B12" s="67">
        <f>营业收入分析!C10</f>
        <v>405672841.83999997</v>
      </c>
      <c r="C12" s="66">
        <f t="shared" si="6"/>
        <v>0.68989999999999985</v>
      </c>
      <c r="D12" s="67">
        <f>营业成本分析!C10</f>
        <v>241342050.13</v>
      </c>
      <c r="E12" s="66">
        <f t="shared" si="7"/>
        <v>0.94939999999999991</v>
      </c>
      <c r="F12" s="69">
        <f t="shared" ref="F12:F19" si="10">B12-D12</f>
        <v>164330791.70999998</v>
      </c>
      <c r="G12" s="63">
        <f t="shared" si="8"/>
        <v>0.41354885217653192</v>
      </c>
      <c r="H12" s="63">
        <f t="shared" ref="H12:H19" si="11">F12/B12</f>
        <v>0.40508206308474826</v>
      </c>
      <c r="I12" s="118">
        <f t="shared" si="1"/>
        <v>0.4815827115138458</v>
      </c>
      <c r="J12" s="130">
        <f t="shared" si="9"/>
        <v>315479804.09150326</v>
      </c>
      <c r="K12" s="69">
        <f t="shared" ref="K12:K22" si="12">B12-J12</f>
        <v>90193037.748496711</v>
      </c>
      <c r="L12" s="63">
        <v>0.14000000000000001</v>
      </c>
      <c r="M12" s="69">
        <f t="shared" si="4"/>
        <v>77566012.463707164</v>
      </c>
    </row>
    <row r="13" spans="1:13" x14ac:dyDescent="0.25">
      <c r="A13" s="85">
        <f t="shared" si="5"/>
        <v>2019</v>
      </c>
      <c r="B13" s="67">
        <f>营业收入分析!C11</f>
        <v>723145474.84000003</v>
      </c>
      <c r="C13" s="66">
        <f t="shared" si="6"/>
        <v>0.7825829098148338</v>
      </c>
      <c r="D13" s="67">
        <f>营业成本分析!C11</f>
        <v>437167521.41000003</v>
      </c>
      <c r="E13" s="66">
        <f t="shared" si="7"/>
        <v>0.81140220353029135</v>
      </c>
      <c r="F13" s="69">
        <f t="shared" si="10"/>
        <v>285977953.43000001</v>
      </c>
      <c r="G13" s="63">
        <f t="shared" si="8"/>
        <v>0.74025786922924841</v>
      </c>
      <c r="H13" s="63">
        <f t="shared" si="11"/>
        <v>0.39546393274918057</v>
      </c>
      <c r="I13" s="118">
        <f t="shared" si="1"/>
        <v>0.59060620404040864</v>
      </c>
      <c r="J13" s="130">
        <f>D13/0.765</f>
        <v>571460812.30065358</v>
      </c>
      <c r="K13" s="69">
        <f t="shared" si="12"/>
        <v>151684662.53934646</v>
      </c>
      <c r="L13" s="63">
        <v>0.14000000000000001</v>
      </c>
      <c r="M13" s="69">
        <f t="shared" si="4"/>
        <v>130448809.78383794</v>
      </c>
    </row>
    <row r="14" spans="1:13" s="71" customFormat="1" x14ac:dyDescent="0.25">
      <c r="A14" s="90">
        <f t="shared" si="5"/>
        <v>2020</v>
      </c>
      <c r="B14" s="91">
        <f>营业收入分析!C12</f>
        <v>905300886.26999998</v>
      </c>
      <c r="C14" s="74">
        <f t="shared" si="6"/>
        <v>0.25189317746930912</v>
      </c>
      <c r="D14" s="91">
        <f>营业成本分析!C12</f>
        <v>566153269.84000003</v>
      </c>
      <c r="E14" s="74">
        <f t="shared" si="7"/>
        <v>0.29504879048192145</v>
      </c>
      <c r="F14" s="92">
        <f t="shared" si="10"/>
        <v>339147616.42999995</v>
      </c>
      <c r="G14" s="93">
        <f t="shared" si="8"/>
        <v>0.18592224457265549</v>
      </c>
      <c r="H14" s="93">
        <f t="shared" si="11"/>
        <v>0.37462419574926986</v>
      </c>
      <c r="I14" s="93">
        <f>F14/F285</f>
        <v>0.62092101915456477</v>
      </c>
      <c r="J14" s="92">
        <f>D14/0.795</f>
        <v>712142477.78616357</v>
      </c>
      <c r="K14" s="69">
        <f t="shared" si="12"/>
        <v>193158408.48383641</v>
      </c>
      <c r="L14" s="63">
        <v>0.14000000000000001</v>
      </c>
      <c r="M14" s="92">
        <f t="shared" si="4"/>
        <v>166116231.29609931</v>
      </c>
    </row>
    <row r="15" spans="1:13" x14ac:dyDescent="0.25">
      <c r="A15" s="85">
        <f t="shared" si="5"/>
        <v>2021</v>
      </c>
      <c r="B15" s="67">
        <f>B13*0.7</f>
        <v>506201832.38800001</v>
      </c>
      <c r="C15" s="66">
        <f t="shared" si="6"/>
        <v>-0.4408468608998703</v>
      </c>
      <c r="D15" s="67">
        <f>B15*0.5</f>
        <v>253100916.19400001</v>
      </c>
      <c r="E15" s="66">
        <f t="shared" si="7"/>
        <v>-0.55294629621139768</v>
      </c>
      <c r="F15" s="69">
        <f t="shared" si="10"/>
        <v>253100916.19400001</v>
      </c>
      <c r="G15" s="63">
        <f t="shared" si="8"/>
        <v>-0.25371459526020279</v>
      </c>
      <c r="H15" s="63">
        <f t="shared" si="11"/>
        <v>0.5</v>
      </c>
      <c r="I15" s="118">
        <f t="shared" ref="I15:I25" si="13">F15/F286</f>
        <v>0.42327839420651925</v>
      </c>
      <c r="J15" s="124">
        <f t="shared" ref="J15:J78" si="14">D15/0.795</f>
        <v>318365932.31949687</v>
      </c>
      <c r="K15" s="69">
        <f t="shared" si="12"/>
        <v>187835900.06850314</v>
      </c>
      <c r="L15" s="63">
        <v>0.14000000000000001</v>
      </c>
      <c r="M15" s="69">
        <f t="shared" si="4"/>
        <v>161538874.05891269</v>
      </c>
    </row>
    <row r="16" spans="1:13" x14ac:dyDescent="0.25">
      <c r="A16" s="85">
        <f t="shared" si="5"/>
        <v>2022</v>
      </c>
      <c r="B16" s="67">
        <f>B13</f>
        <v>723145474.84000003</v>
      </c>
      <c r="C16" s="66">
        <f t="shared" si="6"/>
        <v>0.4285714285714286</v>
      </c>
      <c r="D16" s="67">
        <f>B16*0.32</f>
        <v>231406551.94880003</v>
      </c>
      <c r="E16" s="66">
        <f t="shared" si="7"/>
        <v>-8.5714285714285632E-2</v>
      </c>
      <c r="F16" s="69">
        <f t="shared" si="10"/>
        <v>491738922.89120001</v>
      </c>
      <c r="G16" s="63">
        <f t="shared" si="8"/>
        <v>0.94285714285714284</v>
      </c>
      <c r="H16" s="63">
        <f t="shared" si="11"/>
        <v>0.67999999999999994</v>
      </c>
      <c r="I16" s="118">
        <f t="shared" si="13"/>
        <v>0.4090318062878695</v>
      </c>
      <c r="J16" s="124">
        <f t="shared" si="14"/>
        <v>291077423.83496857</v>
      </c>
      <c r="K16" s="69">
        <f t="shared" si="12"/>
        <v>432068051.00503147</v>
      </c>
      <c r="L16" s="63">
        <v>0.14000000000000001</v>
      </c>
      <c r="M16" s="69">
        <f t="shared" si="4"/>
        <v>371578523.86432707</v>
      </c>
    </row>
    <row r="17" spans="1:13" x14ac:dyDescent="0.25">
      <c r="A17" s="85">
        <f t="shared" si="5"/>
        <v>2023</v>
      </c>
      <c r="B17" s="67">
        <f>B16*1.05</f>
        <v>759302748.58200002</v>
      </c>
      <c r="C17" s="66">
        <f t="shared" si="6"/>
        <v>4.9999999999999975E-2</v>
      </c>
      <c r="D17" s="67">
        <f>B17*0.32</f>
        <v>242976879.54624</v>
      </c>
      <c r="E17" s="66">
        <f t="shared" si="7"/>
        <v>4.9999999999999885E-2</v>
      </c>
      <c r="F17" s="69">
        <f t="shared" si="10"/>
        <v>516325869.03576005</v>
      </c>
      <c r="G17" s="63">
        <f t="shared" si="8"/>
        <v>5.0000000000000079E-2</v>
      </c>
      <c r="H17" s="63">
        <f t="shared" si="11"/>
        <v>0.68</v>
      </c>
      <c r="I17" s="118">
        <f t="shared" si="13"/>
        <v>0.36494106963309803</v>
      </c>
      <c r="J17" s="124">
        <f t="shared" si="14"/>
        <v>305631295.02671695</v>
      </c>
      <c r="K17" s="69">
        <f t="shared" si="12"/>
        <v>453671453.55528307</v>
      </c>
      <c r="L17" s="63">
        <v>0.14000000000000001</v>
      </c>
      <c r="M17" s="69">
        <f t="shared" si="4"/>
        <v>390157450.05754346</v>
      </c>
    </row>
    <row r="18" spans="1:13" x14ac:dyDescent="0.25">
      <c r="A18" s="85">
        <f t="shared" si="5"/>
        <v>2024</v>
      </c>
      <c r="B18" s="67">
        <f>B17*1.05</f>
        <v>797267886.01110005</v>
      </c>
      <c r="C18" s="66">
        <f t="shared" si="6"/>
        <v>5.0000000000000044E-2</v>
      </c>
      <c r="D18" s="67">
        <f>B18*0.32</f>
        <v>255125723.52355203</v>
      </c>
      <c r="E18" s="66">
        <f t="shared" si="7"/>
        <v>5.0000000000000114E-2</v>
      </c>
      <c r="F18" s="69">
        <f t="shared" si="10"/>
        <v>542142162.48754799</v>
      </c>
      <c r="G18" s="63">
        <f t="shared" si="8"/>
        <v>4.9999999999999899E-2</v>
      </c>
      <c r="H18" s="63">
        <f t="shared" si="11"/>
        <v>0.67999999999999994</v>
      </c>
      <c r="I18" s="118">
        <f t="shared" si="13"/>
        <v>0.33583331647134212</v>
      </c>
      <c r="J18" s="124">
        <f t="shared" si="14"/>
        <v>320912859.77805287</v>
      </c>
      <c r="K18" s="69">
        <f t="shared" si="12"/>
        <v>476355026.23304719</v>
      </c>
      <c r="L18" s="63">
        <v>0.14000000000000001</v>
      </c>
      <c r="M18" s="69">
        <f t="shared" si="4"/>
        <v>409665322.56042057</v>
      </c>
    </row>
    <row r="19" spans="1:13" x14ac:dyDescent="0.25">
      <c r="A19" s="85">
        <f>A18+1</f>
        <v>2025</v>
      </c>
      <c r="B19" s="67">
        <f>B18*1.05</f>
        <v>837131280.31165504</v>
      </c>
      <c r="C19" s="66">
        <f t="shared" si="6"/>
        <v>4.9999999999999982E-2</v>
      </c>
      <c r="D19" s="67">
        <f>B19*0.32</f>
        <v>267882009.69972962</v>
      </c>
      <c r="E19" s="66">
        <f t="shared" si="7"/>
        <v>4.9999999999999961E-2</v>
      </c>
      <c r="F19" s="69">
        <f t="shared" si="10"/>
        <v>569249270.61192536</v>
      </c>
      <c r="G19" s="63">
        <f t="shared" si="8"/>
        <v>4.9999999999999947E-2</v>
      </c>
      <c r="H19" s="63">
        <f t="shared" si="11"/>
        <v>0.67999999999999994</v>
      </c>
      <c r="I19" s="118">
        <f t="shared" si="13"/>
        <v>0.31197277136957896</v>
      </c>
      <c r="J19" s="124">
        <f t="shared" si="14"/>
        <v>336958502.76695549</v>
      </c>
      <c r="K19" s="69">
        <f t="shared" si="12"/>
        <v>500172777.54469955</v>
      </c>
      <c r="L19" s="63">
        <v>0.14000000000000001</v>
      </c>
      <c r="M19" s="69">
        <f t="shared" si="4"/>
        <v>430148588.68844163</v>
      </c>
    </row>
    <row r="20" spans="1:13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118" t="e">
        <f t="shared" si="13"/>
        <v>#DIV/0!</v>
      </c>
      <c r="J20" s="124">
        <f t="shared" si="14"/>
        <v>0</v>
      </c>
      <c r="K20" s="69">
        <f t="shared" si="12"/>
        <v>0</v>
      </c>
      <c r="L20" s="69"/>
      <c r="M20" s="69">
        <f t="shared" si="4"/>
        <v>0</v>
      </c>
    </row>
    <row r="21" spans="1:13" x14ac:dyDescent="0.25">
      <c r="C21" s="66" t="e">
        <f t="shared" si="6"/>
        <v>#DIV/0!</v>
      </c>
      <c r="E21" s="66" t="e">
        <f t="shared" si="7"/>
        <v>#DIV/0!</v>
      </c>
      <c r="G21" s="63" t="e">
        <f t="shared" si="8"/>
        <v>#DIV/0!</v>
      </c>
      <c r="I21" s="118" t="e">
        <f t="shared" si="13"/>
        <v>#DIV/0!</v>
      </c>
      <c r="J21" s="124">
        <f t="shared" si="14"/>
        <v>0</v>
      </c>
      <c r="K21" s="69">
        <f t="shared" si="12"/>
        <v>0</v>
      </c>
      <c r="L21" s="69"/>
      <c r="M21" s="69">
        <f t="shared" si="4"/>
        <v>0</v>
      </c>
    </row>
    <row r="22" spans="1:13" x14ac:dyDescent="0.25">
      <c r="C22" s="66" t="e">
        <f t="shared" si="6"/>
        <v>#DIV/0!</v>
      </c>
      <c r="E22" s="66" t="e">
        <f t="shared" si="7"/>
        <v>#DIV/0!</v>
      </c>
      <c r="G22" s="63" t="e">
        <f t="shared" si="8"/>
        <v>#DIV/0!</v>
      </c>
      <c r="I22" s="118" t="e">
        <f t="shared" si="13"/>
        <v>#DIV/0!</v>
      </c>
      <c r="J22" s="124">
        <f t="shared" si="14"/>
        <v>0</v>
      </c>
      <c r="K22" s="69">
        <f t="shared" si="12"/>
        <v>0</v>
      </c>
      <c r="L22" s="69"/>
      <c r="M22" s="69">
        <f t="shared" si="4"/>
        <v>0</v>
      </c>
    </row>
    <row r="23" spans="1:13" x14ac:dyDescent="0.25">
      <c r="C23" s="66" t="e">
        <f t="shared" si="6"/>
        <v>#DIV/0!</v>
      </c>
      <c r="E23" s="66" t="e">
        <f t="shared" si="7"/>
        <v>#DIV/0!</v>
      </c>
      <c r="G23" s="63" t="e">
        <f t="shared" si="8"/>
        <v>#DIV/0!</v>
      </c>
      <c r="I23" s="118" t="e">
        <f t="shared" si="13"/>
        <v>#DIV/0!</v>
      </c>
      <c r="J23" s="124">
        <f t="shared" si="14"/>
        <v>0</v>
      </c>
      <c r="K23" s="69">
        <f t="shared" si="3"/>
        <v>0</v>
      </c>
      <c r="L23" s="69"/>
      <c r="M23" s="69">
        <f t="shared" si="4"/>
        <v>0</v>
      </c>
    </row>
    <row r="24" spans="1:13" x14ac:dyDescent="0.25">
      <c r="A24" s="96" t="str">
        <f>营业收入分析!D1</f>
        <v>机械水表</v>
      </c>
      <c r="C24" s="66" t="e">
        <f t="shared" si="6"/>
        <v>#DIV/0!</v>
      </c>
      <c r="E24" s="66" t="e">
        <f t="shared" si="7"/>
        <v>#DIV/0!</v>
      </c>
      <c r="G24" s="63" t="e">
        <f t="shared" si="8"/>
        <v>#DIV/0!</v>
      </c>
      <c r="I24" s="118" t="e">
        <f t="shared" si="13"/>
        <v>#DIV/0!</v>
      </c>
      <c r="J24" s="124">
        <f t="shared" si="14"/>
        <v>0</v>
      </c>
      <c r="K24" s="69">
        <f t="shared" si="3"/>
        <v>0</v>
      </c>
      <c r="L24" s="69"/>
      <c r="M24" s="69">
        <f t="shared" si="4"/>
        <v>0</v>
      </c>
    </row>
    <row r="25" spans="1:13" ht="94.5" x14ac:dyDescent="0.25">
      <c r="A25" s="67" t="s">
        <v>248</v>
      </c>
      <c r="B25">
        <v>2</v>
      </c>
      <c r="C25" s="94" t="s">
        <v>250</v>
      </c>
      <c r="E25" s="66"/>
      <c r="G25" s="63"/>
      <c r="I25" s="118" t="e">
        <f t="shared" si="13"/>
        <v>#DIV/0!</v>
      </c>
      <c r="J25" s="124">
        <f t="shared" si="14"/>
        <v>0</v>
      </c>
      <c r="K25" s="69"/>
      <c r="L25" s="69"/>
      <c r="M25" s="69"/>
    </row>
    <row r="26" spans="1:13" x14ac:dyDescent="0.25">
      <c r="A26" s="67" t="s">
        <v>249</v>
      </c>
      <c r="B26">
        <v>6700</v>
      </c>
      <c r="C26" s="66"/>
      <c r="E26" s="66"/>
      <c r="G26" s="63"/>
      <c r="I26" s="118" t="e">
        <f t="shared" ref="I26:I45" si="15">F26/F273</f>
        <v>#DIV/0!</v>
      </c>
      <c r="J26" s="124">
        <f t="shared" si="14"/>
        <v>0</v>
      </c>
      <c r="K26" s="69"/>
      <c r="L26" s="69"/>
      <c r="M26" s="69"/>
    </row>
    <row r="27" spans="1:13" ht="31.5" x14ac:dyDescent="0.25">
      <c r="A27" s="64" t="s">
        <v>72</v>
      </c>
      <c r="B27" s="60" t="s">
        <v>82</v>
      </c>
      <c r="C27" s="60" t="s">
        <v>87</v>
      </c>
      <c r="D27" t="s">
        <v>83</v>
      </c>
      <c r="E27" t="s">
        <v>88</v>
      </c>
      <c r="F27" t="s">
        <v>84</v>
      </c>
      <c r="G27" t="s">
        <v>89</v>
      </c>
      <c r="H27" t="s">
        <v>85</v>
      </c>
      <c r="I27" t="s">
        <v>417</v>
      </c>
      <c r="J27" s="124" t="e">
        <f t="shared" si="14"/>
        <v>#VALUE!</v>
      </c>
      <c r="K27" s="107" t="s">
        <v>244</v>
      </c>
      <c r="L27" s="107" t="s">
        <v>245</v>
      </c>
      <c r="M27" t="s">
        <v>49</v>
      </c>
    </row>
    <row r="28" spans="1:13" x14ac:dyDescent="0.25">
      <c r="A28" s="65">
        <v>40543</v>
      </c>
      <c r="B28" s="67">
        <f>营业收入分析!D2</f>
        <v>0</v>
      </c>
      <c r="C28" s="66" t="e">
        <f t="shared" si="6"/>
        <v>#VALUE!</v>
      </c>
      <c r="D28" s="67">
        <f>营业成本分析!D2</f>
        <v>0</v>
      </c>
      <c r="E28" s="66" t="e">
        <f t="shared" si="7"/>
        <v>#VALUE!</v>
      </c>
      <c r="F28" s="69">
        <f t="shared" ref="F28:F35" si="16">B28-D28</f>
        <v>0</v>
      </c>
      <c r="G28" s="63" t="e">
        <f t="shared" si="8"/>
        <v>#VALUE!</v>
      </c>
      <c r="H28" s="63" t="e">
        <f t="shared" ref="H28:H35" si="17">F28/B28</f>
        <v>#DIV/0!</v>
      </c>
      <c r="I28" s="118" t="e">
        <f t="shared" si="15"/>
        <v>#DIV/0!</v>
      </c>
      <c r="J28" s="124">
        <f t="shared" si="14"/>
        <v>0</v>
      </c>
      <c r="K28" s="69">
        <f t="shared" si="3"/>
        <v>0</v>
      </c>
      <c r="L28" s="63">
        <v>0.14000000000000001</v>
      </c>
      <c r="M28" s="69">
        <f t="shared" si="4"/>
        <v>0</v>
      </c>
    </row>
    <row r="29" spans="1:13" x14ac:dyDescent="0.25">
      <c r="A29" s="65">
        <v>40908</v>
      </c>
      <c r="B29" s="67">
        <f>营业收入分析!D3</f>
        <v>0</v>
      </c>
      <c r="C29" s="66" t="e">
        <f t="shared" si="6"/>
        <v>#DIV/0!</v>
      </c>
      <c r="D29" s="67">
        <f>营业成本分析!D3</f>
        <v>0</v>
      </c>
      <c r="E29" s="66" t="e">
        <f t="shared" si="7"/>
        <v>#DIV/0!</v>
      </c>
      <c r="F29" s="69">
        <f t="shared" si="16"/>
        <v>0</v>
      </c>
      <c r="G29" s="63" t="e">
        <f t="shared" si="8"/>
        <v>#DIV/0!</v>
      </c>
      <c r="H29" s="63" t="e">
        <f t="shared" si="17"/>
        <v>#DIV/0!</v>
      </c>
      <c r="I29" s="118" t="e">
        <f t="shared" si="15"/>
        <v>#DIV/0!</v>
      </c>
      <c r="J29" s="124">
        <f t="shared" si="14"/>
        <v>0</v>
      </c>
      <c r="K29" s="69">
        <f t="shared" si="3"/>
        <v>0</v>
      </c>
      <c r="L29" s="63">
        <v>0.14000000000000001</v>
      </c>
      <c r="M29" s="69">
        <f t="shared" si="4"/>
        <v>0</v>
      </c>
    </row>
    <row r="30" spans="1:13" x14ac:dyDescent="0.25">
      <c r="A30" s="65">
        <v>41274</v>
      </c>
      <c r="B30" s="67">
        <f>营业收入分析!D4</f>
        <v>0</v>
      </c>
      <c r="C30" s="66" t="e">
        <f t="shared" si="6"/>
        <v>#DIV/0!</v>
      </c>
      <c r="D30" s="67">
        <f>营业成本分析!D4</f>
        <v>0</v>
      </c>
      <c r="E30" s="66" t="e">
        <f t="shared" si="7"/>
        <v>#DIV/0!</v>
      </c>
      <c r="F30" s="69">
        <f t="shared" si="16"/>
        <v>0</v>
      </c>
      <c r="G30" s="63" t="e">
        <f t="shared" si="8"/>
        <v>#DIV/0!</v>
      </c>
      <c r="H30" s="63" t="e">
        <f t="shared" si="17"/>
        <v>#DIV/0!</v>
      </c>
      <c r="I30" s="118" t="e">
        <f t="shared" si="15"/>
        <v>#DIV/0!</v>
      </c>
      <c r="J30" s="124">
        <f t="shared" si="14"/>
        <v>0</v>
      </c>
      <c r="K30" s="69">
        <f t="shared" si="3"/>
        <v>0</v>
      </c>
      <c r="L30" s="63">
        <v>0.14000000000000001</v>
      </c>
      <c r="M30" s="69">
        <f t="shared" si="4"/>
        <v>0</v>
      </c>
    </row>
    <row r="31" spans="1:13" x14ac:dyDescent="0.25">
      <c r="A31" s="65">
        <v>41639</v>
      </c>
      <c r="B31" s="67">
        <f>营业收入分析!D5</f>
        <v>0</v>
      </c>
      <c r="C31" s="66" t="e">
        <f t="shared" si="6"/>
        <v>#DIV/0!</v>
      </c>
      <c r="D31" s="67">
        <f>营业成本分析!D5</f>
        <v>0</v>
      </c>
      <c r="E31" s="66" t="e">
        <f t="shared" si="7"/>
        <v>#DIV/0!</v>
      </c>
      <c r="F31" s="69">
        <f t="shared" si="16"/>
        <v>0</v>
      </c>
      <c r="G31" s="63" t="e">
        <f t="shared" si="8"/>
        <v>#DIV/0!</v>
      </c>
      <c r="H31" s="63" t="e">
        <f t="shared" si="17"/>
        <v>#DIV/0!</v>
      </c>
      <c r="I31" s="118" t="e">
        <f t="shared" si="15"/>
        <v>#DIV/0!</v>
      </c>
      <c r="J31" s="124">
        <f t="shared" si="14"/>
        <v>0</v>
      </c>
      <c r="K31" s="69">
        <f t="shared" si="3"/>
        <v>0</v>
      </c>
      <c r="L31" s="63">
        <v>0.14000000000000001</v>
      </c>
      <c r="M31" s="69">
        <f t="shared" si="4"/>
        <v>0</v>
      </c>
    </row>
    <row r="32" spans="1:13" x14ac:dyDescent="0.25">
      <c r="A32" s="65">
        <v>42004</v>
      </c>
      <c r="B32" s="67">
        <f>营业收入分析!D6</f>
        <v>0</v>
      </c>
      <c r="C32" s="66" t="e">
        <f t="shared" si="6"/>
        <v>#DIV/0!</v>
      </c>
      <c r="D32" s="67">
        <f>营业成本分析!D6</f>
        <v>0</v>
      </c>
      <c r="E32" s="66" t="e">
        <f t="shared" si="7"/>
        <v>#DIV/0!</v>
      </c>
      <c r="F32" s="69">
        <f t="shared" si="16"/>
        <v>0</v>
      </c>
      <c r="G32" s="63" t="e">
        <f t="shared" si="8"/>
        <v>#DIV/0!</v>
      </c>
      <c r="H32" s="63" t="e">
        <f t="shared" si="17"/>
        <v>#DIV/0!</v>
      </c>
      <c r="I32" s="118" t="e">
        <f t="shared" si="15"/>
        <v>#DIV/0!</v>
      </c>
      <c r="J32" s="124">
        <f t="shared" si="14"/>
        <v>0</v>
      </c>
      <c r="K32" s="69">
        <f t="shared" si="3"/>
        <v>0</v>
      </c>
      <c r="L32" s="63">
        <v>0.14000000000000001</v>
      </c>
      <c r="M32" s="69">
        <f t="shared" si="4"/>
        <v>0</v>
      </c>
    </row>
    <row r="33" spans="1:13" x14ac:dyDescent="0.25">
      <c r="A33" s="65">
        <v>42369</v>
      </c>
      <c r="B33" s="67" t="e">
        <f>营业收入分析!#REF!</f>
        <v>#REF!</v>
      </c>
      <c r="C33" s="66" t="e">
        <f t="shared" si="6"/>
        <v>#REF!</v>
      </c>
      <c r="D33" s="67" t="e">
        <f>营业成本分析!#REF!</f>
        <v>#REF!</v>
      </c>
      <c r="E33" s="66" t="e">
        <f t="shared" si="7"/>
        <v>#REF!</v>
      </c>
      <c r="F33" s="69" t="e">
        <f t="shared" si="16"/>
        <v>#REF!</v>
      </c>
      <c r="G33" s="63" t="e">
        <f t="shared" si="8"/>
        <v>#REF!</v>
      </c>
      <c r="H33" s="63" t="e">
        <f t="shared" si="17"/>
        <v>#REF!</v>
      </c>
      <c r="I33" s="118" t="e">
        <f t="shared" si="15"/>
        <v>#REF!</v>
      </c>
      <c r="J33" s="124" t="e">
        <f t="shared" si="14"/>
        <v>#REF!</v>
      </c>
      <c r="K33" s="69" t="e">
        <f t="shared" si="3"/>
        <v>#REF!</v>
      </c>
      <c r="L33" s="63">
        <v>0.14000000000000001</v>
      </c>
      <c r="M33" s="69" t="e">
        <f t="shared" si="4"/>
        <v>#REF!</v>
      </c>
    </row>
    <row r="34" spans="1:13" x14ac:dyDescent="0.25">
      <c r="A34" s="65">
        <v>42735</v>
      </c>
      <c r="B34" s="67" t="e">
        <f>营业收入分析!#REF!</f>
        <v>#REF!</v>
      </c>
      <c r="C34" s="66" t="e">
        <f t="shared" si="6"/>
        <v>#REF!</v>
      </c>
      <c r="D34" s="67" t="e">
        <f>营业成本分析!#REF!</f>
        <v>#REF!</v>
      </c>
      <c r="E34" s="66" t="e">
        <f t="shared" si="7"/>
        <v>#REF!</v>
      </c>
      <c r="F34" s="69" t="e">
        <f t="shared" si="16"/>
        <v>#REF!</v>
      </c>
      <c r="G34" s="63" t="e">
        <f t="shared" si="8"/>
        <v>#REF!</v>
      </c>
      <c r="H34" s="63" t="e">
        <f t="shared" si="17"/>
        <v>#REF!</v>
      </c>
      <c r="I34" s="118" t="e">
        <f t="shared" si="15"/>
        <v>#REF!</v>
      </c>
      <c r="J34" s="124" t="e">
        <f t="shared" si="14"/>
        <v>#REF!</v>
      </c>
      <c r="K34" s="69" t="e">
        <f t="shared" si="3"/>
        <v>#REF!</v>
      </c>
      <c r="L34" s="63">
        <v>0.14000000000000001</v>
      </c>
      <c r="M34" s="69" t="e">
        <f t="shared" si="4"/>
        <v>#REF!</v>
      </c>
    </row>
    <row r="35" spans="1:13" x14ac:dyDescent="0.25">
      <c r="A35" s="65">
        <v>43100</v>
      </c>
      <c r="B35" s="67">
        <f>营业收入分析!D9</f>
        <v>492876494.87249053</v>
      </c>
      <c r="C35" s="66" t="e">
        <f t="shared" si="6"/>
        <v>#REF!</v>
      </c>
      <c r="D35" s="67">
        <f>营业成本分析!D9</f>
        <v>350247430.19730943</v>
      </c>
      <c r="E35" s="66" t="e">
        <f t="shared" si="7"/>
        <v>#REF!</v>
      </c>
      <c r="F35" s="69">
        <f t="shared" si="16"/>
        <v>142629064.67518109</v>
      </c>
      <c r="G35" s="63" t="e">
        <f t="shared" si="8"/>
        <v>#REF!</v>
      </c>
      <c r="H35" s="63">
        <f t="shared" si="17"/>
        <v>0.28938094260729536</v>
      </c>
      <c r="I35" s="118">
        <f t="shared" si="15"/>
        <v>0.50182250249184923</v>
      </c>
      <c r="J35" s="124">
        <f t="shared" si="14"/>
        <v>440562805.27963448</v>
      </c>
      <c r="K35" s="69">
        <f t="shared" si="3"/>
        <v>-45965705.43106246</v>
      </c>
      <c r="L35" s="63">
        <v>0.14000000000000001</v>
      </c>
      <c r="M35" s="69">
        <f t="shared" si="4"/>
        <v>-39530506.670713715</v>
      </c>
    </row>
    <row r="36" spans="1:13" x14ac:dyDescent="0.25">
      <c r="A36" s="65">
        <v>43465</v>
      </c>
      <c r="B36" s="67">
        <f>营业收入分析!D10</f>
        <v>545022828.02999997</v>
      </c>
      <c r="C36" s="66">
        <f t="shared" si="6"/>
        <v>0.10579999999999989</v>
      </c>
      <c r="D36" s="67">
        <f>营业成本分析!D10</f>
        <v>390525884.67000002</v>
      </c>
      <c r="E36" s="66">
        <f t="shared" si="7"/>
        <v>0.11499999999999999</v>
      </c>
      <c r="F36" s="69">
        <f t="shared" ref="F36:F43" si="18">B36-D36</f>
        <v>154496943.35999995</v>
      </c>
      <c r="G36" s="63">
        <f t="shared" si="8"/>
        <v>8.3207996293366948E-2</v>
      </c>
      <c r="H36" s="63">
        <f t="shared" ref="H36:H43" si="19">F36/B36</f>
        <v>0.28346875656279097</v>
      </c>
      <c r="I36" s="118">
        <f t="shared" si="15"/>
        <v>0.45276394113168628</v>
      </c>
      <c r="J36" s="124">
        <f t="shared" si="14"/>
        <v>491227527.88679242</v>
      </c>
      <c r="K36" s="69">
        <f t="shared" si="3"/>
        <v>-55786225.308461547</v>
      </c>
      <c r="L36" s="63">
        <v>0.14000000000000001</v>
      </c>
      <c r="M36" s="69">
        <f t="shared" si="4"/>
        <v>-47976153.765276931</v>
      </c>
    </row>
    <row r="37" spans="1:13" x14ac:dyDescent="0.25">
      <c r="A37" s="65">
        <v>43830</v>
      </c>
      <c r="B37" s="67">
        <f>营业收入分析!D11</f>
        <v>575389646.40999997</v>
      </c>
      <c r="C37" s="66">
        <f t="shared" si="6"/>
        <v>5.5716599045514653E-2</v>
      </c>
      <c r="D37" s="67">
        <f>营业成本分析!D11</f>
        <v>396770223.36000001</v>
      </c>
      <c r="E37" s="66">
        <f t="shared" si="7"/>
        <v>1.5989564162376978E-2</v>
      </c>
      <c r="F37" s="69">
        <f t="shared" si="18"/>
        <v>178619423.04999995</v>
      </c>
      <c r="G37" s="63">
        <f t="shared" si="8"/>
        <v>0.15613564362753232</v>
      </c>
      <c r="H37" s="63">
        <f t="shared" si="19"/>
        <v>0.31043211181231928</v>
      </c>
      <c r="I37" s="118">
        <f t="shared" si="15"/>
        <v>0.36888766476633478</v>
      </c>
      <c r="J37" s="124">
        <f t="shared" si="14"/>
        <v>499082041.96226412</v>
      </c>
      <c r="K37" s="69">
        <f t="shared" si="3"/>
        <v>-35026081.836153865</v>
      </c>
      <c r="L37" s="63">
        <v>0.14000000000000001</v>
      </c>
      <c r="M37" s="69">
        <f t="shared" si="4"/>
        <v>-30122430.379092325</v>
      </c>
    </row>
    <row r="38" spans="1:13" s="71" customFormat="1" x14ac:dyDescent="0.25">
      <c r="A38" s="72">
        <v>43831</v>
      </c>
      <c r="B38" s="91">
        <f>营业收入分析!D12</f>
        <v>584285659.99000001</v>
      </c>
      <c r="C38" s="74">
        <f t="shared" si="6"/>
        <v>1.5460850982468138E-2</v>
      </c>
      <c r="D38" s="91">
        <f>营业成本分析!D12</f>
        <v>410367402.79000002</v>
      </c>
      <c r="E38" s="74">
        <f t="shared" si="7"/>
        <v>3.4269656918439993E-2</v>
      </c>
      <c r="F38" s="92">
        <f t="shared" si="18"/>
        <v>173918257.19999999</v>
      </c>
      <c r="G38" s="93">
        <f t="shared" si="8"/>
        <v>-2.631945490431907E-2</v>
      </c>
      <c r="H38" s="93">
        <f t="shared" si="19"/>
        <v>0.29765963656026845</v>
      </c>
      <c r="I38" s="93">
        <f>F38/F285</f>
        <v>0.31841444928007845</v>
      </c>
      <c r="J38" s="124">
        <f t="shared" si="14"/>
        <v>516185412.3144654</v>
      </c>
      <c r="K38" s="92">
        <f t="shared" si="3"/>
        <v>-47048805.840769291</v>
      </c>
      <c r="L38" s="63">
        <v>0.14000000000000001</v>
      </c>
      <c r="M38" s="92">
        <f t="shared" si="4"/>
        <v>-40461973.023061588</v>
      </c>
    </row>
    <row r="39" spans="1:13" x14ac:dyDescent="0.25">
      <c r="A39" s="85">
        <f>A14+1</f>
        <v>2021</v>
      </c>
      <c r="B39" s="67">
        <f>B37*0.7</f>
        <v>402772752.48699993</v>
      </c>
      <c r="C39" s="66">
        <f t="shared" si="6"/>
        <v>-0.31065781677083543</v>
      </c>
      <c r="D39" s="67">
        <f>B39*0.3</f>
        <v>120831825.74609998</v>
      </c>
      <c r="E39" s="66">
        <f t="shared" si="7"/>
        <v>-0.70555208594885865</v>
      </c>
      <c r="F39" s="69">
        <f t="shared" si="18"/>
        <v>281940926.74089992</v>
      </c>
      <c r="G39" s="63">
        <f t="shared" si="8"/>
        <v>0.62111172961374372</v>
      </c>
      <c r="H39" s="63">
        <f t="shared" si="19"/>
        <v>0.7</v>
      </c>
      <c r="I39" s="118">
        <f t="shared" si="15"/>
        <v>0.47150956435303121</v>
      </c>
      <c r="J39" s="124">
        <f t="shared" si="14"/>
        <v>151989717.9196226</v>
      </c>
      <c r="K39" s="69">
        <f t="shared" si="3"/>
        <v>216877635.95453843</v>
      </c>
      <c r="L39" s="63">
        <v>0.14000000000000001</v>
      </c>
      <c r="M39" s="69">
        <f t="shared" si="4"/>
        <v>186514766.92090306</v>
      </c>
    </row>
    <row r="40" spans="1:13" x14ac:dyDescent="0.25">
      <c r="A40" s="85">
        <f>A39+1</f>
        <v>2022</v>
      </c>
      <c r="B40" s="67">
        <f>B37</f>
        <v>575389646.40999997</v>
      </c>
      <c r="C40" s="66">
        <f t="shared" si="6"/>
        <v>0.42857142857142871</v>
      </c>
      <c r="D40" s="67">
        <f>B40*0.2</f>
        <v>115077929.28200001</v>
      </c>
      <c r="E40" s="66">
        <f t="shared" si="7"/>
        <v>-4.7619047619047408E-2</v>
      </c>
      <c r="F40" s="69">
        <f t="shared" si="18"/>
        <v>460311717.12799996</v>
      </c>
      <c r="G40" s="63">
        <f t="shared" si="8"/>
        <v>0.63265306122449017</v>
      </c>
      <c r="H40" s="63">
        <f t="shared" si="19"/>
        <v>0.79999999999999993</v>
      </c>
      <c r="I40" s="118">
        <f t="shared" si="15"/>
        <v>0.38289044114166071</v>
      </c>
      <c r="J40" s="124">
        <f t="shared" si="14"/>
        <v>144752112.3044025</v>
      </c>
      <c r="K40" s="69">
        <f t="shared" si="3"/>
        <v>398346678.28384614</v>
      </c>
      <c r="L40" s="63">
        <v>0.14000000000000001</v>
      </c>
      <c r="M40" s="69">
        <f t="shared" si="4"/>
        <v>342578143.32410765</v>
      </c>
    </row>
    <row r="41" spans="1:13" x14ac:dyDescent="0.25">
      <c r="A41" s="85">
        <f>A40+1</f>
        <v>2023</v>
      </c>
      <c r="B41" s="67">
        <f>B40*1.05</f>
        <v>604159128.73049998</v>
      </c>
      <c r="C41" s="66">
        <f t="shared" si="6"/>
        <v>5.0000000000000031E-2</v>
      </c>
      <c r="D41" s="67">
        <f>B41*0.2</f>
        <v>120831825.74610001</v>
      </c>
      <c r="E41" s="66">
        <f t="shared" si="7"/>
        <v>5.0000000000000024E-2</v>
      </c>
      <c r="F41" s="69">
        <f t="shared" si="18"/>
        <v>483327302.98439997</v>
      </c>
      <c r="G41" s="63">
        <f t="shared" si="8"/>
        <v>5.0000000000000031E-2</v>
      </c>
      <c r="H41" s="63">
        <f t="shared" si="19"/>
        <v>0.79999999999999993</v>
      </c>
      <c r="I41" s="118">
        <f t="shared" si="15"/>
        <v>0.34161755881689349</v>
      </c>
      <c r="J41" s="124">
        <f t="shared" si="14"/>
        <v>151989717.91962263</v>
      </c>
      <c r="K41" s="69">
        <f t="shared" si="3"/>
        <v>418264012.19803846</v>
      </c>
      <c r="L41" s="63">
        <v>0.14000000000000001</v>
      </c>
      <c r="M41" s="69">
        <f t="shared" si="4"/>
        <v>359707050.49031305</v>
      </c>
    </row>
    <row r="42" spans="1:13" x14ac:dyDescent="0.25">
      <c r="A42" s="85">
        <f>A41+1</f>
        <v>2024</v>
      </c>
      <c r="B42" s="67">
        <f>B41*1.05</f>
        <v>634367085.16702497</v>
      </c>
      <c r="C42" s="66">
        <f t="shared" si="6"/>
        <v>4.9999999999999982E-2</v>
      </c>
      <c r="D42" s="67">
        <f>B42*0.2</f>
        <v>126873417.03340501</v>
      </c>
      <c r="E42" s="66">
        <f t="shared" si="7"/>
        <v>4.9999999999999975E-2</v>
      </c>
      <c r="F42" s="69">
        <f t="shared" si="18"/>
        <v>507493668.13361996</v>
      </c>
      <c r="G42" s="63">
        <f t="shared" si="8"/>
        <v>4.9999999999999982E-2</v>
      </c>
      <c r="H42" s="63">
        <f t="shared" si="19"/>
        <v>0.79999999999999993</v>
      </c>
      <c r="I42" s="118">
        <f t="shared" si="15"/>
        <v>0.31437009229370683</v>
      </c>
      <c r="J42" s="124">
        <f t="shared" si="14"/>
        <v>159589203.81560376</v>
      </c>
      <c r="K42" s="69">
        <f t="shared" si="3"/>
        <v>439177212.80794036</v>
      </c>
      <c r="L42" s="63">
        <v>0.14000000000000001</v>
      </c>
      <c r="M42" s="69">
        <f t="shared" si="4"/>
        <v>377692403.01482868</v>
      </c>
    </row>
    <row r="43" spans="1:13" x14ac:dyDescent="0.25">
      <c r="A43" s="85">
        <f>A42+1</f>
        <v>2025</v>
      </c>
      <c r="B43" s="67">
        <f>B42*1.05</f>
        <v>666085439.4253763</v>
      </c>
      <c r="C43" s="66">
        <f t="shared" si="6"/>
        <v>5.0000000000000121E-2</v>
      </c>
      <c r="D43" s="67">
        <f>B43*0.2</f>
        <v>133217087.88507527</v>
      </c>
      <c r="E43" s="66">
        <f t="shared" si="7"/>
        <v>5.0000000000000121E-2</v>
      </c>
      <c r="F43" s="69">
        <f t="shared" si="18"/>
        <v>532868351.54030102</v>
      </c>
      <c r="G43" s="63">
        <f t="shared" si="8"/>
        <v>5.0000000000000121E-2</v>
      </c>
      <c r="H43" s="63">
        <f t="shared" si="19"/>
        <v>0.79999999999999993</v>
      </c>
      <c r="I43" s="118">
        <f t="shared" si="15"/>
        <v>0.29203448293655865</v>
      </c>
      <c r="J43" s="124">
        <f t="shared" si="14"/>
        <v>167568664.00638399</v>
      </c>
      <c r="K43" s="69">
        <f t="shared" si="3"/>
        <v>461136073.44833744</v>
      </c>
      <c r="L43" s="63">
        <v>0.14000000000000001</v>
      </c>
      <c r="M43" s="69">
        <f t="shared" si="4"/>
        <v>396577023.1655702</v>
      </c>
    </row>
    <row r="44" spans="1:13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118" t="e">
        <f t="shared" si="15"/>
        <v>#DIV/0!</v>
      </c>
      <c r="J44" s="124">
        <f t="shared" si="14"/>
        <v>0</v>
      </c>
      <c r="K44" s="69">
        <f t="shared" si="3"/>
        <v>0</v>
      </c>
      <c r="L44" s="63">
        <v>0.14000000000000001</v>
      </c>
      <c r="M44" s="69">
        <f t="shared" si="4"/>
        <v>0</v>
      </c>
    </row>
    <row r="45" spans="1:13" x14ac:dyDescent="0.25">
      <c r="C45" s="66" t="e">
        <f t="shared" si="6"/>
        <v>#DIV/0!</v>
      </c>
      <c r="E45" s="66" t="e">
        <f t="shared" si="7"/>
        <v>#DIV/0!</v>
      </c>
      <c r="G45" s="63" t="e">
        <f t="shared" si="8"/>
        <v>#DIV/0!</v>
      </c>
      <c r="I45" s="118" t="e">
        <f t="shared" si="15"/>
        <v>#DIV/0!</v>
      </c>
      <c r="J45" s="124">
        <f t="shared" si="14"/>
        <v>0</v>
      </c>
      <c r="K45" s="69">
        <f t="shared" si="3"/>
        <v>0</v>
      </c>
      <c r="L45" s="63">
        <v>0.14000000000000001</v>
      </c>
      <c r="M45" s="69">
        <f t="shared" si="4"/>
        <v>0</v>
      </c>
    </row>
    <row r="46" spans="1:13" x14ac:dyDescent="0.25">
      <c r="C46" s="66" t="e">
        <f t="shared" si="6"/>
        <v>#DIV/0!</v>
      </c>
      <c r="E46" s="66" t="e">
        <f t="shared" si="7"/>
        <v>#DIV/0!</v>
      </c>
      <c r="G46" s="63" t="e">
        <f t="shared" si="8"/>
        <v>#DIV/0!</v>
      </c>
      <c r="J46" s="124">
        <f t="shared" si="14"/>
        <v>0</v>
      </c>
      <c r="K46" s="69">
        <f>B46-D46/0.65</f>
        <v>0</v>
      </c>
      <c r="L46" s="63">
        <v>0.14000000000000001</v>
      </c>
      <c r="M46" s="69">
        <f t="shared" si="4"/>
        <v>0</v>
      </c>
    </row>
    <row r="47" spans="1:13" x14ac:dyDescent="0.25">
      <c r="A47" s="96" t="str">
        <f>营业收入分析!E1</f>
        <v>水表配件及其他</v>
      </c>
      <c r="C47" s="66" t="e">
        <f t="shared" si="6"/>
        <v>#DIV/0!</v>
      </c>
      <c r="E47" s="66" t="e">
        <f t="shared" si="7"/>
        <v>#DIV/0!</v>
      </c>
      <c r="G47" s="63" t="e">
        <f t="shared" si="8"/>
        <v>#DIV/0!</v>
      </c>
      <c r="J47" s="124">
        <f t="shared" si="14"/>
        <v>0</v>
      </c>
      <c r="K47" s="69">
        <f t="shared" si="3"/>
        <v>0</v>
      </c>
      <c r="L47" s="63">
        <v>0.14000000000000001</v>
      </c>
      <c r="M47" s="69">
        <f t="shared" si="4"/>
        <v>0</v>
      </c>
    </row>
    <row r="48" spans="1:13" x14ac:dyDescent="0.25">
      <c r="A48" s="95" t="s">
        <v>251</v>
      </c>
      <c r="B48">
        <v>4700</v>
      </c>
      <c r="C48" s="66"/>
      <c r="E48" s="66"/>
      <c r="G48" s="63"/>
      <c r="J48" s="124">
        <f t="shared" si="14"/>
        <v>0</v>
      </c>
      <c r="K48" s="69"/>
      <c r="L48" s="63"/>
      <c r="M48" s="69"/>
    </row>
    <row r="49" spans="1:13" ht="31.5" x14ac:dyDescent="0.25">
      <c r="A49" s="64" t="s">
        <v>72</v>
      </c>
      <c r="B49" s="60" t="s">
        <v>82</v>
      </c>
      <c r="C49" s="60" t="s">
        <v>87</v>
      </c>
      <c r="D49" t="s">
        <v>83</v>
      </c>
      <c r="E49" t="s">
        <v>88</v>
      </c>
      <c r="F49" t="s">
        <v>84</v>
      </c>
      <c r="G49" t="s">
        <v>89</v>
      </c>
      <c r="H49" t="s">
        <v>85</v>
      </c>
      <c r="I49" t="s">
        <v>417</v>
      </c>
      <c r="J49" s="124" t="e">
        <f t="shared" si="14"/>
        <v>#VALUE!</v>
      </c>
      <c r="K49" s="107" t="s">
        <v>244</v>
      </c>
      <c r="L49" s="107" t="s">
        <v>245</v>
      </c>
      <c r="M49" t="s">
        <v>49</v>
      </c>
    </row>
    <row r="50" spans="1:13" x14ac:dyDescent="0.25">
      <c r="A50" s="65">
        <v>40543</v>
      </c>
      <c r="B50" s="67">
        <f>营业收入分析!E2</f>
        <v>0</v>
      </c>
      <c r="C50" s="66" t="e">
        <f t="shared" si="6"/>
        <v>#VALUE!</v>
      </c>
      <c r="D50" s="67">
        <f>营业成本分析!E2</f>
        <v>0</v>
      </c>
      <c r="E50" s="66" t="e">
        <f t="shared" si="7"/>
        <v>#VALUE!</v>
      </c>
      <c r="F50" s="69">
        <f t="shared" ref="F50:F57" si="20">B50-D50</f>
        <v>0</v>
      </c>
      <c r="G50" s="63" t="e">
        <f t="shared" si="8"/>
        <v>#VALUE!</v>
      </c>
      <c r="H50" s="63" t="e">
        <f t="shared" ref="H50:H57" si="21">F50/B50</f>
        <v>#DIV/0!</v>
      </c>
      <c r="I50" s="119" t="e">
        <f t="shared" ref="I50:I65" si="22">F50/F275</f>
        <v>#DIV/0!</v>
      </c>
      <c r="J50" s="124">
        <f t="shared" si="14"/>
        <v>0</v>
      </c>
      <c r="K50" s="69">
        <f t="shared" si="3"/>
        <v>0</v>
      </c>
      <c r="L50" s="63">
        <v>0.14000000000000001</v>
      </c>
      <c r="M50" s="69">
        <f t="shared" si="4"/>
        <v>0</v>
      </c>
    </row>
    <row r="51" spans="1:13" x14ac:dyDescent="0.25">
      <c r="A51" s="65">
        <v>40908</v>
      </c>
      <c r="B51" s="67">
        <f>营业收入分析!E3</f>
        <v>0</v>
      </c>
      <c r="C51" s="66" t="e">
        <f t="shared" si="6"/>
        <v>#DIV/0!</v>
      </c>
      <c r="D51" s="67">
        <f>营业成本分析!E3</f>
        <v>0</v>
      </c>
      <c r="E51" s="66" t="e">
        <f t="shared" si="7"/>
        <v>#DIV/0!</v>
      </c>
      <c r="F51" s="69">
        <f t="shared" si="20"/>
        <v>0</v>
      </c>
      <c r="G51" s="63" t="e">
        <f t="shared" si="8"/>
        <v>#DIV/0!</v>
      </c>
      <c r="H51" s="63" t="e">
        <f t="shared" si="21"/>
        <v>#DIV/0!</v>
      </c>
      <c r="I51" s="119" t="e">
        <f t="shared" si="22"/>
        <v>#DIV/0!</v>
      </c>
      <c r="J51" s="124">
        <f t="shared" si="14"/>
        <v>0</v>
      </c>
      <c r="K51" s="69">
        <f t="shared" si="3"/>
        <v>0</v>
      </c>
      <c r="L51" s="63">
        <v>0.14000000000000001</v>
      </c>
      <c r="M51" s="69">
        <f t="shared" si="4"/>
        <v>0</v>
      </c>
    </row>
    <row r="52" spans="1:13" x14ac:dyDescent="0.25">
      <c r="A52" s="65">
        <v>41274</v>
      </c>
      <c r="B52" s="67">
        <f>营业收入分析!E4</f>
        <v>0</v>
      </c>
      <c r="C52" s="66" t="e">
        <f t="shared" si="6"/>
        <v>#DIV/0!</v>
      </c>
      <c r="D52" s="67">
        <f>营业成本分析!E4</f>
        <v>0</v>
      </c>
      <c r="E52" s="66" t="e">
        <f t="shared" si="7"/>
        <v>#DIV/0!</v>
      </c>
      <c r="F52" s="69">
        <f t="shared" si="20"/>
        <v>0</v>
      </c>
      <c r="G52" s="63" t="e">
        <f t="shared" si="8"/>
        <v>#DIV/0!</v>
      </c>
      <c r="H52" s="63" t="e">
        <f t="shared" si="21"/>
        <v>#DIV/0!</v>
      </c>
      <c r="I52" s="119" t="e">
        <f t="shared" si="22"/>
        <v>#DIV/0!</v>
      </c>
      <c r="J52" s="124">
        <f t="shared" si="14"/>
        <v>0</v>
      </c>
      <c r="K52" s="69">
        <f t="shared" si="3"/>
        <v>0</v>
      </c>
      <c r="L52" s="63">
        <v>0.14000000000000001</v>
      </c>
      <c r="M52" s="69">
        <f t="shared" si="4"/>
        <v>0</v>
      </c>
    </row>
    <row r="53" spans="1:13" x14ac:dyDescent="0.25">
      <c r="A53" s="65">
        <v>41639</v>
      </c>
      <c r="B53" s="67">
        <f>营业收入分析!E5</f>
        <v>0</v>
      </c>
      <c r="C53" s="66" t="e">
        <f t="shared" si="6"/>
        <v>#DIV/0!</v>
      </c>
      <c r="D53" s="67">
        <f>营业成本分析!E5</f>
        <v>0</v>
      </c>
      <c r="E53" s="66" t="e">
        <f t="shared" si="7"/>
        <v>#DIV/0!</v>
      </c>
      <c r="F53" s="69">
        <f t="shared" si="20"/>
        <v>0</v>
      </c>
      <c r="G53" s="63" t="e">
        <f t="shared" si="8"/>
        <v>#DIV/0!</v>
      </c>
      <c r="H53" s="63" t="e">
        <f t="shared" si="21"/>
        <v>#DIV/0!</v>
      </c>
      <c r="I53" s="119" t="e">
        <f t="shared" si="22"/>
        <v>#DIV/0!</v>
      </c>
      <c r="J53" s="124">
        <f t="shared" si="14"/>
        <v>0</v>
      </c>
      <c r="K53" s="69">
        <f t="shared" si="3"/>
        <v>0</v>
      </c>
      <c r="L53" s="63">
        <v>0.14000000000000001</v>
      </c>
      <c r="M53" s="69">
        <f t="shared" si="4"/>
        <v>0</v>
      </c>
    </row>
    <row r="54" spans="1:13" x14ac:dyDescent="0.25">
      <c r="A54" s="65">
        <v>42004</v>
      </c>
      <c r="B54" s="67">
        <f>营业收入分析!E6</f>
        <v>0</v>
      </c>
      <c r="C54" s="66" t="e">
        <f t="shared" si="6"/>
        <v>#DIV/0!</v>
      </c>
      <c r="D54" s="67">
        <f>营业成本分析!E6</f>
        <v>0</v>
      </c>
      <c r="E54" s="66" t="e">
        <f t="shared" si="7"/>
        <v>#DIV/0!</v>
      </c>
      <c r="F54" s="69">
        <f t="shared" si="20"/>
        <v>0</v>
      </c>
      <c r="G54" s="63" t="e">
        <f t="shared" si="8"/>
        <v>#DIV/0!</v>
      </c>
      <c r="H54" s="63" t="e">
        <f t="shared" si="21"/>
        <v>#DIV/0!</v>
      </c>
      <c r="I54" s="119" t="e">
        <f t="shared" si="22"/>
        <v>#DIV/0!</v>
      </c>
      <c r="J54" s="124">
        <f t="shared" si="14"/>
        <v>0</v>
      </c>
      <c r="K54" s="69">
        <f t="shared" si="3"/>
        <v>0</v>
      </c>
      <c r="L54" s="63">
        <v>0.14000000000000001</v>
      </c>
      <c r="M54" s="69">
        <f t="shared" si="4"/>
        <v>0</v>
      </c>
    </row>
    <row r="55" spans="1:13" x14ac:dyDescent="0.25">
      <c r="A55" s="65">
        <v>42369</v>
      </c>
      <c r="B55" s="67">
        <f>营业收入分析!E7</f>
        <v>0</v>
      </c>
      <c r="C55" s="66" t="e">
        <f t="shared" si="6"/>
        <v>#DIV/0!</v>
      </c>
      <c r="D55" s="67">
        <f>营业成本分析!E7</f>
        <v>0</v>
      </c>
      <c r="E55" s="66" t="e">
        <f t="shared" si="7"/>
        <v>#DIV/0!</v>
      </c>
      <c r="F55" s="69">
        <f t="shared" si="20"/>
        <v>0</v>
      </c>
      <c r="G55" s="63" t="e">
        <f t="shared" si="8"/>
        <v>#DIV/0!</v>
      </c>
      <c r="H55" s="63" t="e">
        <f t="shared" si="21"/>
        <v>#DIV/0!</v>
      </c>
      <c r="I55" s="119" t="e">
        <f t="shared" si="22"/>
        <v>#DIV/0!</v>
      </c>
      <c r="J55" s="124">
        <f t="shared" si="14"/>
        <v>0</v>
      </c>
      <c r="K55" s="69">
        <f t="shared" si="3"/>
        <v>0</v>
      </c>
      <c r="L55" s="63">
        <v>0.14000000000000001</v>
      </c>
      <c r="M55" s="69">
        <f t="shared" si="4"/>
        <v>0</v>
      </c>
    </row>
    <row r="56" spans="1:13" x14ac:dyDescent="0.25">
      <c r="A56" s="65">
        <v>42735</v>
      </c>
      <c r="B56" s="67">
        <f>营业收入分析!E8</f>
        <v>0</v>
      </c>
      <c r="C56" s="66" t="e">
        <f t="shared" si="6"/>
        <v>#DIV/0!</v>
      </c>
      <c r="D56" s="67">
        <f>营业成本分析!E8</f>
        <v>0</v>
      </c>
      <c r="E56" s="66" t="e">
        <f t="shared" si="7"/>
        <v>#DIV/0!</v>
      </c>
      <c r="F56" s="69">
        <f t="shared" si="20"/>
        <v>0</v>
      </c>
      <c r="G56" s="63" t="e">
        <f t="shared" si="8"/>
        <v>#DIV/0!</v>
      </c>
      <c r="H56" s="63" t="e">
        <f t="shared" si="21"/>
        <v>#DIV/0!</v>
      </c>
      <c r="I56" s="119" t="e">
        <f t="shared" si="22"/>
        <v>#DIV/0!</v>
      </c>
      <c r="J56" s="124">
        <f t="shared" si="14"/>
        <v>0</v>
      </c>
      <c r="K56" s="69">
        <f t="shared" si="3"/>
        <v>0</v>
      </c>
      <c r="L56" s="63">
        <v>0.14000000000000001</v>
      </c>
      <c r="M56" s="69">
        <f t="shared" si="4"/>
        <v>0</v>
      </c>
    </row>
    <row r="57" spans="1:13" x14ac:dyDescent="0.25">
      <c r="A57" s="65">
        <v>43100</v>
      </c>
      <c r="B57" s="67">
        <f>营业收入分析!E9</f>
        <v>73441480.002161935</v>
      </c>
      <c r="C57" s="66" t="e">
        <f t="shared" si="6"/>
        <v>#DIV/0!</v>
      </c>
      <c r="D57" s="67">
        <f>营业成本分析!E9</f>
        <v>49601026.84204898</v>
      </c>
      <c r="E57" s="66" t="e">
        <f t="shared" si="7"/>
        <v>#DIV/0!</v>
      </c>
      <c r="F57" s="69">
        <f t="shared" si="20"/>
        <v>23840453.160112955</v>
      </c>
      <c r="G57" s="63" t="e">
        <f t="shared" si="8"/>
        <v>#DIV/0!</v>
      </c>
      <c r="H57" s="63">
        <f t="shared" si="21"/>
        <v>0.32461836498135865</v>
      </c>
      <c r="I57" s="119">
        <f t="shared" si="22"/>
        <v>8.3879648882177651E-2</v>
      </c>
      <c r="J57" s="124">
        <f t="shared" si="14"/>
        <v>62391228.732137077</v>
      </c>
      <c r="K57" s="69">
        <f t="shared" si="3"/>
        <v>-2867792.0625288039</v>
      </c>
      <c r="L57" s="63">
        <v>0.14000000000000001</v>
      </c>
      <c r="M57" s="69">
        <f t="shared" si="4"/>
        <v>-2466301.1737747714</v>
      </c>
    </row>
    <row r="58" spans="1:13" x14ac:dyDescent="0.25">
      <c r="A58" s="65">
        <v>43465</v>
      </c>
      <c r="B58" s="67">
        <f>营业收入分析!E10</f>
        <v>67940713.150000006</v>
      </c>
      <c r="C58" s="66">
        <f t="shared" si="6"/>
        <v>-7.4899999999999994E-2</v>
      </c>
      <c r="D58" s="67">
        <f>营业成本分析!E10</f>
        <v>46381920.200000003</v>
      </c>
      <c r="E58" s="66">
        <f t="shared" si="7"/>
        <v>-6.4899999999999972E-2</v>
      </c>
      <c r="F58" s="69">
        <f t="shared" ref="F58:F65" si="23">B58-D58</f>
        <v>21558792.950000003</v>
      </c>
      <c r="G58" s="63">
        <f t="shared" si="8"/>
        <v>-9.5705404372529196E-2</v>
      </c>
      <c r="H58" s="63">
        <f t="shared" ref="H58:H65" si="24">F58/B58</f>
        <v>0.31731773115778666</v>
      </c>
      <c r="I58" s="119">
        <f t="shared" si="22"/>
        <v>6.3179528667692705E-2</v>
      </c>
      <c r="J58" s="124">
        <f t="shared" si="14"/>
        <v>58342037.987421386</v>
      </c>
      <c r="K58" s="69">
        <f t="shared" si="3"/>
        <v>-3416087.1576922983</v>
      </c>
      <c r="L58" s="63">
        <v>0.14000000000000001</v>
      </c>
      <c r="M58" s="69">
        <f t="shared" si="4"/>
        <v>-2937834.9556153766</v>
      </c>
    </row>
    <row r="59" spans="1:13" x14ac:dyDescent="0.25">
      <c r="A59" s="65">
        <v>43830</v>
      </c>
      <c r="B59" s="67">
        <f>营业收入分析!E11</f>
        <v>62689405.670000002</v>
      </c>
      <c r="C59" s="66">
        <f t="shared" si="6"/>
        <v>-7.7292498658442524E-2</v>
      </c>
      <c r="D59" s="67">
        <f>营业成本分析!E11</f>
        <v>43547335.240000002</v>
      </c>
      <c r="E59" s="66">
        <f t="shared" si="7"/>
        <v>-6.1114006228659777E-2</v>
      </c>
      <c r="F59" s="69">
        <f t="shared" si="23"/>
        <v>19142070.43</v>
      </c>
      <c r="G59" s="63">
        <f t="shared" si="8"/>
        <v>-0.11209915720258369</v>
      </c>
      <c r="H59" s="63">
        <f t="shared" si="24"/>
        <v>0.30534777328668206</v>
      </c>
      <c r="I59" s="119">
        <f t="shared" si="22"/>
        <v>3.9532507378768018E-2</v>
      </c>
      <c r="J59" s="124">
        <f t="shared" si="14"/>
        <v>54776522.314465411</v>
      </c>
      <c r="K59" s="69">
        <f t="shared" si="3"/>
        <v>-4306494.6992307678</v>
      </c>
      <c r="L59" s="63">
        <v>0.14000000000000001</v>
      </c>
      <c r="M59" s="69">
        <f t="shared" si="4"/>
        <v>-3703585.4413384604</v>
      </c>
    </row>
    <row r="60" spans="1:13" s="71" customFormat="1" x14ac:dyDescent="0.25">
      <c r="A60" s="72">
        <v>43831</v>
      </c>
      <c r="B60" s="91">
        <f>营业收入分析!E12</f>
        <v>90959252.939999998</v>
      </c>
      <c r="C60" s="74">
        <f t="shared" si="6"/>
        <v>0.4509509536398193</v>
      </c>
      <c r="D60" s="91">
        <f>营业成本分析!E12</f>
        <v>58147238.869999997</v>
      </c>
      <c r="E60" s="74">
        <f t="shared" si="7"/>
        <v>0.33526514422837495</v>
      </c>
      <c r="F60" s="92">
        <f t="shared" si="23"/>
        <v>32812014.07</v>
      </c>
      <c r="G60" s="93">
        <f t="shared" si="8"/>
        <v>0.71413088202705988</v>
      </c>
      <c r="H60" s="93">
        <f t="shared" si="24"/>
        <v>0.36073310861121505</v>
      </c>
      <c r="I60" s="93">
        <f>F60/F285</f>
        <v>6.0073160564474863E-2</v>
      </c>
      <c r="J60" s="124">
        <f t="shared" si="14"/>
        <v>73141180.968553454</v>
      </c>
      <c r="K60" s="92">
        <f t="shared" si="3"/>
        <v>1501962.3707692325</v>
      </c>
      <c r="L60" s="63">
        <v>0.14000000000000001</v>
      </c>
      <c r="M60" s="92">
        <f t="shared" si="4"/>
        <v>1291687.63886154</v>
      </c>
    </row>
    <row r="61" spans="1:13" x14ac:dyDescent="0.25">
      <c r="A61" s="85">
        <f>A14+1</f>
        <v>2021</v>
      </c>
      <c r="B61" s="67">
        <f>B59*0.7</f>
        <v>43882583.968999997</v>
      </c>
      <c r="C61" s="66">
        <f t="shared" si="6"/>
        <v>-0.51755777943837633</v>
      </c>
      <c r="D61" s="67">
        <f>B61*0.25</f>
        <v>10970645.992249999</v>
      </c>
      <c r="E61" s="66">
        <f t="shared" si="7"/>
        <v>-0.8113298893387334</v>
      </c>
      <c r="F61" s="69">
        <f t="shared" si="23"/>
        <v>32911937.976749998</v>
      </c>
      <c r="G61" s="63">
        <f t="shared" si="8"/>
        <v>3.0453451146529175E-3</v>
      </c>
      <c r="H61" s="63">
        <f t="shared" si="24"/>
        <v>0.75</v>
      </c>
      <c r="I61" s="118">
        <f t="shared" si="22"/>
        <v>5.5040939663550462E-2</v>
      </c>
      <c r="J61" s="124">
        <f t="shared" si="14"/>
        <v>13799554.707232703</v>
      </c>
      <c r="K61" s="69">
        <f t="shared" si="3"/>
        <v>27004667.057846151</v>
      </c>
      <c r="L61" s="63">
        <v>0.14000000000000001</v>
      </c>
      <c r="M61" s="69">
        <f t="shared" si="4"/>
        <v>23224013.669747692</v>
      </c>
    </row>
    <row r="62" spans="1:13" x14ac:dyDescent="0.25">
      <c r="A62" s="85">
        <f>A61+1</f>
        <v>2022</v>
      </c>
      <c r="B62" s="67">
        <f>B59</f>
        <v>62689405.670000002</v>
      </c>
      <c r="C62" s="66">
        <f t="shared" si="6"/>
        <v>0.42857142857142871</v>
      </c>
      <c r="D62" s="67">
        <f>B62*0.2</f>
        <v>12537881.134000001</v>
      </c>
      <c r="E62" s="66">
        <f t="shared" si="7"/>
        <v>0.14285714285714307</v>
      </c>
      <c r="F62" s="69">
        <f t="shared" si="23"/>
        <v>50151524.535999998</v>
      </c>
      <c r="G62" s="63">
        <f t="shared" si="8"/>
        <v>0.52380952380952384</v>
      </c>
      <c r="H62" s="63">
        <f t="shared" si="24"/>
        <v>0.79999999999999993</v>
      </c>
      <c r="I62" s="118">
        <f t="shared" si="22"/>
        <v>4.1716381832131735E-2</v>
      </c>
      <c r="J62" s="124">
        <f t="shared" si="14"/>
        <v>15770919.665408807</v>
      </c>
      <c r="K62" s="69">
        <f t="shared" si="3"/>
        <v>43400357.771538466</v>
      </c>
      <c r="L62" s="63">
        <v>0.14000000000000001</v>
      </c>
      <c r="M62" s="69">
        <f t="shared" si="4"/>
        <v>37324307.683523081</v>
      </c>
    </row>
    <row r="63" spans="1:13" x14ac:dyDescent="0.25">
      <c r="A63" s="85">
        <f>A62+1</f>
        <v>2023</v>
      </c>
      <c r="B63" s="67">
        <f>B62*1.1</f>
        <v>68958346.237000003</v>
      </c>
      <c r="C63" s="66">
        <f t="shared" si="6"/>
        <v>0.10000000000000002</v>
      </c>
      <c r="D63" s="67">
        <f>B63*0.2</f>
        <v>13791669.247400001</v>
      </c>
      <c r="E63" s="66">
        <f t="shared" si="7"/>
        <v>9.9999999999999922E-2</v>
      </c>
      <c r="F63" s="69">
        <f t="shared" si="23"/>
        <v>55166676.989600003</v>
      </c>
      <c r="G63" s="63">
        <f t="shared" si="8"/>
        <v>0.10000000000000009</v>
      </c>
      <c r="H63" s="63">
        <f t="shared" si="24"/>
        <v>0.8</v>
      </c>
      <c r="I63" s="118">
        <f t="shared" si="22"/>
        <v>3.8992015151760456E-2</v>
      </c>
      <c r="J63" s="124">
        <f t="shared" si="14"/>
        <v>17348011.631949686</v>
      </c>
      <c r="K63" s="69">
        <f t="shared" si="3"/>
        <v>47740393.548692316</v>
      </c>
      <c r="L63" s="63">
        <v>0.14000000000000001</v>
      </c>
      <c r="M63" s="69">
        <f t="shared" si="4"/>
        <v>41056738.451875389</v>
      </c>
    </row>
    <row r="64" spans="1:13" x14ac:dyDescent="0.25">
      <c r="A64" s="85">
        <f>A63+1</f>
        <v>2024</v>
      </c>
      <c r="B64" s="67">
        <f>B63*1.1</f>
        <v>75854180.860700011</v>
      </c>
      <c r="C64" s="66">
        <f t="shared" si="6"/>
        <v>0.1000000000000001</v>
      </c>
      <c r="D64" s="67">
        <f>B64*0.2</f>
        <v>15170836.172140002</v>
      </c>
      <c r="E64" s="66">
        <f t="shared" si="7"/>
        <v>0.1000000000000001</v>
      </c>
      <c r="F64" s="69">
        <f t="shared" si="23"/>
        <v>60683344.688560009</v>
      </c>
      <c r="G64" s="63">
        <f t="shared" si="8"/>
        <v>0.1000000000000001</v>
      </c>
      <c r="H64" s="63">
        <f t="shared" si="24"/>
        <v>0.8</v>
      </c>
      <c r="I64" s="118">
        <f t="shared" si="22"/>
        <v>3.7590673279908927E-2</v>
      </c>
      <c r="J64" s="124">
        <f t="shared" si="14"/>
        <v>19082812.795144655</v>
      </c>
      <c r="K64" s="69">
        <f t="shared" si="3"/>
        <v>52514432.903561547</v>
      </c>
      <c r="L64" s="63">
        <v>0.14000000000000001</v>
      </c>
      <c r="M64" s="69">
        <f t="shared" si="4"/>
        <v>45162412.297062933</v>
      </c>
    </row>
    <row r="65" spans="1:13" x14ac:dyDescent="0.25">
      <c r="A65" s="85">
        <f>A64+1</f>
        <v>2025</v>
      </c>
      <c r="B65" s="67">
        <f>B64*1.11</f>
        <v>84198140.755377024</v>
      </c>
      <c r="C65" s="66">
        <f t="shared" si="6"/>
        <v>0.11000000000000015</v>
      </c>
      <c r="D65" s="67">
        <f>B65*0.2</f>
        <v>16839628.151075404</v>
      </c>
      <c r="E65" s="66">
        <f t="shared" si="7"/>
        <v>0.11000000000000011</v>
      </c>
      <c r="F65" s="69">
        <f t="shared" si="23"/>
        <v>67358512.604301617</v>
      </c>
      <c r="G65" s="63">
        <f t="shared" si="8"/>
        <v>0.11000000000000011</v>
      </c>
      <c r="H65" s="63">
        <f t="shared" si="24"/>
        <v>0.79999999999999993</v>
      </c>
      <c r="I65" s="118">
        <f t="shared" si="22"/>
        <v>3.6915325038374261E-2</v>
      </c>
      <c r="J65" s="124">
        <f t="shared" si="14"/>
        <v>21181922.202610571</v>
      </c>
      <c r="K65" s="69">
        <f t="shared" si="3"/>
        <v>58291020.522953331</v>
      </c>
      <c r="L65" s="63">
        <v>0.14000000000000001</v>
      </c>
      <c r="M65" s="69">
        <f t="shared" si="4"/>
        <v>50130277.649739861</v>
      </c>
    </row>
    <row r="66" spans="1:13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J66" s="124">
        <f t="shared" si="14"/>
        <v>0</v>
      </c>
      <c r="K66" s="69">
        <f t="shared" si="3"/>
        <v>0</v>
      </c>
      <c r="L66" s="63">
        <v>0.14000000000000001</v>
      </c>
      <c r="M66" s="69">
        <f t="shared" si="4"/>
        <v>0</v>
      </c>
    </row>
    <row r="67" spans="1:13" x14ac:dyDescent="0.25">
      <c r="C67" s="66" t="e">
        <f t="shared" si="6"/>
        <v>#DIV/0!</v>
      </c>
      <c r="E67" s="66" t="e">
        <f t="shared" si="7"/>
        <v>#DIV/0!</v>
      </c>
      <c r="G67" s="63" t="e">
        <f t="shared" si="8"/>
        <v>#DIV/0!</v>
      </c>
      <c r="J67" s="124">
        <f t="shared" si="14"/>
        <v>0</v>
      </c>
      <c r="K67" s="69">
        <f>B67-D67/0.65</f>
        <v>0</v>
      </c>
      <c r="L67" s="63">
        <v>0.14000000000000001</v>
      </c>
      <c r="M67" s="69">
        <f t="shared" si="4"/>
        <v>0</v>
      </c>
    </row>
    <row r="68" spans="1:13" x14ac:dyDescent="0.25">
      <c r="A68" s="67">
        <f>营业收入分析!F1</f>
        <v>0</v>
      </c>
      <c r="C68" s="66" t="e">
        <f t="shared" si="6"/>
        <v>#DIV/0!</v>
      </c>
      <c r="E68" s="66" t="e">
        <f t="shared" si="7"/>
        <v>#DIV/0!</v>
      </c>
      <c r="G68" s="63" t="e">
        <f t="shared" si="8"/>
        <v>#DIV/0!</v>
      </c>
      <c r="J68" s="124">
        <f t="shared" si="14"/>
        <v>0</v>
      </c>
      <c r="K68" s="69">
        <f t="shared" si="3"/>
        <v>0</v>
      </c>
      <c r="L68" s="63">
        <v>0.14000000000000001</v>
      </c>
      <c r="M68" s="69">
        <f t="shared" si="4"/>
        <v>0</v>
      </c>
    </row>
    <row r="69" spans="1:13" x14ac:dyDescent="0.25">
      <c r="A69" s="67"/>
      <c r="C69" s="66"/>
      <c r="E69" s="66"/>
      <c r="G69" s="63"/>
      <c r="J69" s="124">
        <f t="shared" si="14"/>
        <v>0</v>
      </c>
      <c r="K69" s="69"/>
      <c r="L69" s="63"/>
      <c r="M69" s="69"/>
    </row>
    <row r="70" spans="1:13" ht="31.5" x14ac:dyDescent="0.25">
      <c r="A70" s="64" t="s">
        <v>72</v>
      </c>
      <c r="B70" s="60" t="s">
        <v>82</v>
      </c>
      <c r="C70" s="60" t="s">
        <v>87</v>
      </c>
      <c r="D70" t="s">
        <v>83</v>
      </c>
      <c r="E70" t="s">
        <v>88</v>
      </c>
      <c r="F70" t="s">
        <v>84</v>
      </c>
      <c r="G70" t="s">
        <v>89</v>
      </c>
      <c r="H70" t="s">
        <v>85</v>
      </c>
      <c r="I70" t="s">
        <v>417</v>
      </c>
      <c r="J70" s="124" t="e">
        <f t="shared" si="14"/>
        <v>#VALUE!</v>
      </c>
      <c r="K70" s="107" t="s">
        <v>244</v>
      </c>
      <c r="L70" s="107" t="s">
        <v>245</v>
      </c>
      <c r="M70" t="s">
        <v>49</v>
      </c>
    </row>
    <row r="71" spans="1:13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7"/>
        <v>#VALUE!</v>
      </c>
      <c r="F71" s="69">
        <f t="shared" ref="F71:F78" si="25">B71-D71</f>
        <v>0</v>
      </c>
      <c r="G71" s="63" t="e">
        <f t="shared" si="8"/>
        <v>#VALUE!</v>
      </c>
      <c r="H71" s="63" t="e">
        <f t="shared" ref="H71:H78" si="26">F71/B71</f>
        <v>#DIV/0!</v>
      </c>
      <c r="I71" s="93" t="e">
        <f t="shared" ref="I71:I86" si="27">F71/F275</f>
        <v>#DIV/0!</v>
      </c>
      <c r="J71" s="124">
        <f t="shared" si="14"/>
        <v>0</v>
      </c>
      <c r="K71" s="69">
        <f t="shared" si="3"/>
        <v>0</v>
      </c>
      <c r="L71" s="63">
        <v>0.14000000000000001</v>
      </c>
      <c r="M71" s="69">
        <f t="shared" si="4"/>
        <v>0</v>
      </c>
    </row>
    <row r="72" spans="1:13" x14ac:dyDescent="0.25">
      <c r="A72" s="65">
        <v>40908</v>
      </c>
      <c r="B72" s="67">
        <f>营业收入分析!F3</f>
        <v>0</v>
      </c>
      <c r="C72" s="66" t="e">
        <f t="shared" si="6"/>
        <v>#DIV/0!</v>
      </c>
      <c r="D72" s="67">
        <f>营业成本分析!F3</f>
        <v>0</v>
      </c>
      <c r="E72" s="66" t="e">
        <f t="shared" si="7"/>
        <v>#DIV/0!</v>
      </c>
      <c r="F72" s="69">
        <f t="shared" si="25"/>
        <v>0</v>
      </c>
      <c r="G72" s="63" t="e">
        <f t="shared" si="8"/>
        <v>#DIV/0!</v>
      </c>
      <c r="H72" s="63" t="e">
        <f t="shared" si="26"/>
        <v>#DIV/0!</v>
      </c>
      <c r="I72" s="93" t="e">
        <f t="shared" si="27"/>
        <v>#DIV/0!</v>
      </c>
      <c r="J72" s="124">
        <f t="shared" si="14"/>
        <v>0</v>
      </c>
      <c r="K72" s="69">
        <f t="shared" si="3"/>
        <v>0</v>
      </c>
      <c r="L72" s="63">
        <v>0.14000000000000001</v>
      </c>
      <c r="M72" s="69">
        <f t="shared" si="4"/>
        <v>0</v>
      </c>
    </row>
    <row r="73" spans="1:13" x14ac:dyDescent="0.25">
      <c r="A73" s="65">
        <v>41274</v>
      </c>
      <c r="B73" s="67">
        <f>营业收入分析!F4</f>
        <v>0</v>
      </c>
      <c r="C73" s="66" t="e">
        <f t="shared" si="6"/>
        <v>#DIV/0!</v>
      </c>
      <c r="D73" s="67">
        <f>营业成本分析!F4</f>
        <v>0</v>
      </c>
      <c r="E73" s="66" t="e">
        <f t="shared" si="7"/>
        <v>#DIV/0!</v>
      </c>
      <c r="F73" s="69">
        <f t="shared" si="25"/>
        <v>0</v>
      </c>
      <c r="G73" s="63" t="e">
        <f t="shared" si="8"/>
        <v>#DIV/0!</v>
      </c>
      <c r="H73" s="63" t="e">
        <f t="shared" si="26"/>
        <v>#DIV/0!</v>
      </c>
      <c r="I73" s="93" t="e">
        <f t="shared" si="27"/>
        <v>#DIV/0!</v>
      </c>
      <c r="J73" s="124">
        <f t="shared" si="14"/>
        <v>0</v>
      </c>
      <c r="K73" s="69">
        <f t="shared" si="3"/>
        <v>0</v>
      </c>
      <c r="L73" s="63">
        <v>0.14000000000000001</v>
      </c>
      <c r="M73" s="69">
        <f t="shared" si="4"/>
        <v>0</v>
      </c>
    </row>
    <row r="74" spans="1:13" x14ac:dyDescent="0.25">
      <c r="A74" s="65">
        <v>41639</v>
      </c>
      <c r="B74" s="67">
        <f>营业收入分析!F5</f>
        <v>0</v>
      </c>
      <c r="C74" s="66" t="e">
        <f t="shared" si="6"/>
        <v>#DIV/0!</v>
      </c>
      <c r="D74" s="67">
        <f>营业成本分析!F5</f>
        <v>0</v>
      </c>
      <c r="E74" s="66" t="e">
        <f t="shared" si="7"/>
        <v>#DIV/0!</v>
      </c>
      <c r="F74" s="69">
        <f t="shared" si="25"/>
        <v>0</v>
      </c>
      <c r="G74" s="63" t="e">
        <f t="shared" si="8"/>
        <v>#DIV/0!</v>
      </c>
      <c r="H74" s="63" t="e">
        <f t="shared" si="26"/>
        <v>#DIV/0!</v>
      </c>
      <c r="I74" s="93" t="e">
        <f t="shared" si="27"/>
        <v>#DIV/0!</v>
      </c>
      <c r="J74" s="124">
        <f t="shared" si="14"/>
        <v>0</v>
      </c>
      <c r="K74" s="69">
        <f t="shared" si="3"/>
        <v>0</v>
      </c>
      <c r="L74" s="63">
        <v>0.14000000000000001</v>
      </c>
      <c r="M74" s="69">
        <f t="shared" si="4"/>
        <v>0</v>
      </c>
    </row>
    <row r="75" spans="1:13" x14ac:dyDescent="0.25">
      <c r="A75" s="65">
        <v>42004</v>
      </c>
      <c r="B75" s="67">
        <f>营业收入分析!F6</f>
        <v>0</v>
      </c>
      <c r="C75" s="66" t="e">
        <f t="shared" si="6"/>
        <v>#DIV/0!</v>
      </c>
      <c r="D75" s="67">
        <f>营业成本分析!F6</f>
        <v>0</v>
      </c>
      <c r="E75" s="66" t="e">
        <f t="shared" si="7"/>
        <v>#DIV/0!</v>
      </c>
      <c r="F75" s="69">
        <f t="shared" si="25"/>
        <v>0</v>
      </c>
      <c r="G75" s="63" t="e">
        <f t="shared" si="8"/>
        <v>#DIV/0!</v>
      </c>
      <c r="H75" s="63" t="e">
        <f t="shared" si="26"/>
        <v>#DIV/0!</v>
      </c>
      <c r="I75" s="93" t="e">
        <f t="shared" si="27"/>
        <v>#DIV/0!</v>
      </c>
      <c r="J75" s="124">
        <f t="shared" si="14"/>
        <v>0</v>
      </c>
      <c r="K75" s="69">
        <f t="shared" si="3"/>
        <v>0</v>
      </c>
      <c r="L75" s="63">
        <v>0.14000000000000001</v>
      </c>
      <c r="M75" s="69">
        <f t="shared" si="4"/>
        <v>0</v>
      </c>
    </row>
    <row r="76" spans="1:13" x14ac:dyDescent="0.25">
      <c r="A76" s="65">
        <v>42369</v>
      </c>
      <c r="B76" s="67">
        <f>营业收入分析!F7</f>
        <v>0</v>
      </c>
      <c r="C76" s="66" t="e">
        <f t="shared" si="6"/>
        <v>#DIV/0!</v>
      </c>
      <c r="D76" s="67">
        <f>营业成本分析!F7</f>
        <v>0</v>
      </c>
      <c r="E76" s="66" t="e">
        <f t="shared" si="7"/>
        <v>#DIV/0!</v>
      </c>
      <c r="F76" s="69">
        <f t="shared" si="25"/>
        <v>0</v>
      </c>
      <c r="G76" s="63" t="e">
        <f t="shared" si="8"/>
        <v>#DIV/0!</v>
      </c>
      <c r="H76" s="63" t="e">
        <f t="shared" si="26"/>
        <v>#DIV/0!</v>
      </c>
      <c r="I76" s="93" t="e">
        <f t="shared" si="27"/>
        <v>#DIV/0!</v>
      </c>
      <c r="J76" s="124">
        <f t="shared" si="14"/>
        <v>0</v>
      </c>
      <c r="K76" s="69">
        <f t="shared" si="3"/>
        <v>0</v>
      </c>
      <c r="L76" s="63">
        <v>0.14000000000000001</v>
      </c>
      <c r="M76" s="69">
        <f t="shared" si="4"/>
        <v>0</v>
      </c>
    </row>
    <row r="77" spans="1:13" x14ac:dyDescent="0.25">
      <c r="A77" s="65">
        <v>42735</v>
      </c>
      <c r="B77" s="67">
        <f>营业收入分析!F8</f>
        <v>0</v>
      </c>
      <c r="C77" s="66" t="e">
        <f t="shared" si="6"/>
        <v>#DIV/0!</v>
      </c>
      <c r="D77" s="67">
        <f>营业成本分析!F8</f>
        <v>0</v>
      </c>
      <c r="E77" s="66" t="e">
        <f t="shared" si="7"/>
        <v>#DIV/0!</v>
      </c>
      <c r="F77" s="69">
        <f t="shared" si="25"/>
        <v>0</v>
      </c>
      <c r="G77" s="63" t="e">
        <f t="shared" si="8"/>
        <v>#DIV/0!</v>
      </c>
      <c r="H77" s="63" t="e">
        <f t="shared" si="26"/>
        <v>#DIV/0!</v>
      </c>
      <c r="I77" s="93" t="e">
        <f t="shared" si="27"/>
        <v>#DIV/0!</v>
      </c>
      <c r="J77" s="124">
        <f t="shared" si="14"/>
        <v>0</v>
      </c>
      <c r="K77" s="69">
        <f t="shared" si="3"/>
        <v>0</v>
      </c>
      <c r="L77" s="63">
        <v>0.14000000000000001</v>
      </c>
      <c r="M77" s="69">
        <f t="shared" si="4"/>
        <v>0</v>
      </c>
    </row>
    <row r="78" spans="1:13" x14ac:dyDescent="0.25">
      <c r="A78" s="65">
        <v>43100</v>
      </c>
      <c r="B78" s="67">
        <f>营业收入分析!F9</f>
        <v>0</v>
      </c>
      <c r="C78" s="66" t="e">
        <f t="shared" si="6"/>
        <v>#DIV/0!</v>
      </c>
      <c r="D78" s="67">
        <f>营业成本分析!F9</f>
        <v>0</v>
      </c>
      <c r="E78" s="66" t="e">
        <f t="shared" si="7"/>
        <v>#DIV/0!</v>
      </c>
      <c r="F78" s="69">
        <f t="shared" si="25"/>
        <v>0</v>
      </c>
      <c r="G78" s="63" t="e">
        <f t="shared" si="8"/>
        <v>#DIV/0!</v>
      </c>
      <c r="H78" s="63" t="e">
        <f t="shared" si="26"/>
        <v>#DIV/0!</v>
      </c>
      <c r="I78" s="93">
        <f t="shared" si="27"/>
        <v>0</v>
      </c>
      <c r="J78" s="124">
        <f t="shared" si="14"/>
        <v>0</v>
      </c>
      <c r="K78" s="69">
        <f t="shared" si="3"/>
        <v>0</v>
      </c>
      <c r="L78" s="63">
        <v>0.14000000000000001</v>
      </c>
      <c r="M78" s="69">
        <f t="shared" si="4"/>
        <v>0</v>
      </c>
    </row>
    <row r="79" spans="1:13" x14ac:dyDescent="0.25">
      <c r="A79" s="65">
        <v>43465</v>
      </c>
      <c r="B79" s="67">
        <f>营业收入分析!F10</f>
        <v>0</v>
      </c>
      <c r="C79" s="66" t="e">
        <f t="shared" si="6"/>
        <v>#DIV/0!</v>
      </c>
      <c r="D79" s="67">
        <f>营业成本分析!F10</f>
        <v>0</v>
      </c>
      <c r="E79" s="66" t="e">
        <f t="shared" si="7"/>
        <v>#DIV/0!</v>
      </c>
      <c r="F79" s="69">
        <f t="shared" ref="F79:F86" si="28">B79-D79</f>
        <v>0</v>
      </c>
      <c r="G79" s="63" t="e">
        <f t="shared" si="8"/>
        <v>#DIV/0!</v>
      </c>
      <c r="H79" s="63" t="e">
        <f t="shared" ref="H79:H86" si="29">F79/B79</f>
        <v>#DIV/0!</v>
      </c>
      <c r="I79" s="93">
        <f t="shared" si="27"/>
        <v>0</v>
      </c>
      <c r="J79" s="124">
        <f t="shared" ref="J79:J142" si="30">D79/0.795</f>
        <v>0</v>
      </c>
      <c r="K79" s="69">
        <f t="shared" si="3"/>
        <v>0</v>
      </c>
      <c r="L79" s="63">
        <v>0.14000000000000001</v>
      </c>
      <c r="M79" s="69">
        <f t="shared" si="4"/>
        <v>0</v>
      </c>
    </row>
    <row r="80" spans="1:13" x14ac:dyDescent="0.25">
      <c r="A80" s="65">
        <v>43830</v>
      </c>
      <c r="B80" s="67">
        <f>营业收入分析!F11</f>
        <v>0</v>
      </c>
      <c r="C80" s="66" t="e">
        <f t="shared" si="6"/>
        <v>#DIV/0!</v>
      </c>
      <c r="D80" s="67">
        <f>营业成本分析!F11</f>
        <v>0</v>
      </c>
      <c r="E80" s="66" t="e">
        <f t="shared" si="7"/>
        <v>#DIV/0!</v>
      </c>
      <c r="F80" s="69">
        <f t="shared" si="28"/>
        <v>0</v>
      </c>
      <c r="G80" s="63" t="e">
        <f t="shared" si="8"/>
        <v>#DIV/0!</v>
      </c>
      <c r="H80" s="63" t="e">
        <f t="shared" si="29"/>
        <v>#DIV/0!</v>
      </c>
      <c r="I80" s="93">
        <f t="shared" si="27"/>
        <v>0</v>
      </c>
      <c r="J80" s="124">
        <f t="shared" si="30"/>
        <v>0</v>
      </c>
      <c r="K80" s="69">
        <f t="shared" si="3"/>
        <v>0</v>
      </c>
      <c r="L80" s="63">
        <v>0.14000000000000001</v>
      </c>
      <c r="M80" s="69">
        <f t="shared" si="4"/>
        <v>0</v>
      </c>
    </row>
    <row r="81" spans="1:13" s="71" customFormat="1" x14ac:dyDescent="0.25">
      <c r="A81" s="72">
        <v>43831</v>
      </c>
      <c r="B81" s="91">
        <f>营业收入分析!F12</f>
        <v>0</v>
      </c>
      <c r="C81" s="74" t="e">
        <f t="shared" si="6"/>
        <v>#DIV/0!</v>
      </c>
      <c r="D81" s="91">
        <f>营业成本分析!F12</f>
        <v>0</v>
      </c>
      <c r="E81" s="74" t="e">
        <f t="shared" si="7"/>
        <v>#DIV/0!</v>
      </c>
      <c r="F81" s="92">
        <f t="shared" si="28"/>
        <v>0</v>
      </c>
      <c r="G81" s="93" t="e">
        <f t="shared" si="8"/>
        <v>#DIV/0!</v>
      </c>
      <c r="H81" s="93" t="e">
        <f t="shared" si="29"/>
        <v>#DIV/0!</v>
      </c>
      <c r="I81" s="93">
        <f>F81/F285</f>
        <v>0</v>
      </c>
      <c r="J81" s="124">
        <f t="shared" si="30"/>
        <v>0</v>
      </c>
      <c r="K81" s="92">
        <f t="shared" si="3"/>
        <v>0</v>
      </c>
      <c r="L81" s="63">
        <v>0.14000000000000001</v>
      </c>
      <c r="M81" s="92">
        <f t="shared" si="4"/>
        <v>0</v>
      </c>
    </row>
    <row r="82" spans="1:13" x14ac:dyDescent="0.25">
      <c r="A82" s="85">
        <f>A14+1</f>
        <v>2021</v>
      </c>
      <c r="B82" s="67">
        <f>B77*0.3</f>
        <v>0</v>
      </c>
      <c r="C82" s="66" t="e">
        <f t="shared" si="6"/>
        <v>#DIV/0!</v>
      </c>
      <c r="D82" s="67">
        <f>B82*0.4</f>
        <v>0</v>
      </c>
      <c r="E82" s="66" t="e">
        <f t="shared" si="7"/>
        <v>#DIV/0!</v>
      </c>
      <c r="F82" s="69">
        <f t="shared" si="28"/>
        <v>0</v>
      </c>
      <c r="G82" s="63" t="e">
        <f t="shared" si="8"/>
        <v>#DIV/0!</v>
      </c>
      <c r="H82" s="63" t="e">
        <f t="shared" si="29"/>
        <v>#DIV/0!</v>
      </c>
      <c r="I82" s="93">
        <f t="shared" si="27"/>
        <v>0</v>
      </c>
      <c r="J82" s="124">
        <f t="shared" si="30"/>
        <v>0</v>
      </c>
      <c r="K82" s="69">
        <f t="shared" si="3"/>
        <v>0</v>
      </c>
      <c r="L82" s="63">
        <v>0.14000000000000001</v>
      </c>
      <c r="M82" s="69">
        <f t="shared" si="4"/>
        <v>0</v>
      </c>
    </row>
    <row r="83" spans="1:13" x14ac:dyDescent="0.25">
      <c r="A83" s="85">
        <f>A82+1</f>
        <v>2022</v>
      </c>
      <c r="B83" s="67">
        <f>B77*0.8</f>
        <v>0</v>
      </c>
      <c r="C83" s="66" t="e">
        <f t="shared" si="6"/>
        <v>#DIV/0!</v>
      </c>
      <c r="D83" s="67">
        <f>B83*0.3</f>
        <v>0</v>
      </c>
      <c r="E83" s="66" t="e">
        <f t="shared" si="7"/>
        <v>#DIV/0!</v>
      </c>
      <c r="F83" s="69">
        <f t="shared" si="28"/>
        <v>0</v>
      </c>
      <c r="G83" s="63" t="e">
        <f t="shared" si="8"/>
        <v>#DIV/0!</v>
      </c>
      <c r="H83" s="63" t="e">
        <f t="shared" si="29"/>
        <v>#DIV/0!</v>
      </c>
      <c r="I83" s="93">
        <f t="shared" si="27"/>
        <v>0</v>
      </c>
      <c r="J83" s="124">
        <f t="shared" si="30"/>
        <v>0</v>
      </c>
      <c r="K83" s="69">
        <f t="shared" si="3"/>
        <v>0</v>
      </c>
      <c r="L83" s="63">
        <v>0.14000000000000001</v>
      </c>
      <c r="M83" s="69">
        <f t="shared" si="4"/>
        <v>0</v>
      </c>
    </row>
    <row r="84" spans="1:13" x14ac:dyDescent="0.25">
      <c r="A84" s="85">
        <f>A83+1</f>
        <v>2023</v>
      </c>
      <c r="B84" s="67">
        <f>B83*1.8</f>
        <v>0</v>
      </c>
      <c r="C84" s="66" t="e">
        <f t="shared" si="6"/>
        <v>#DIV/0!</v>
      </c>
      <c r="D84" s="67">
        <f>B84*0.3</f>
        <v>0</v>
      </c>
      <c r="E84" s="66" t="e">
        <f t="shared" si="7"/>
        <v>#DIV/0!</v>
      </c>
      <c r="F84" s="69">
        <f t="shared" si="28"/>
        <v>0</v>
      </c>
      <c r="G84" s="63" t="e">
        <f t="shared" si="8"/>
        <v>#DIV/0!</v>
      </c>
      <c r="H84" s="63" t="e">
        <f t="shared" si="29"/>
        <v>#DIV/0!</v>
      </c>
      <c r="I84" s="93">
        <f t="shared" si="27"/>
        <v>0</v>
      </c>
      <c r="J84" s="124">
        <f t="shared" si="30"/>
        <v>0</v>
      </c>
      <c r="K84" s="69">
        <f t="shared" si="3"/>
        <v>0</v>
      </c>
      <c r="L84" s="63">
        <v>0.14000000000000001</v>
      </c>
      <c r="M84" s="69">
        <f t="shared" si="4"/>
        <v>0</v>
      </c>
    </row>
    <row r="85" spans="1:13" x14ac:dyDescent="0.25">
      <c r="A85" s="85">
        <f>A84+1</f>
        <v>2024</v>
      </c>
      <c r="B85" s="67">
        <f>B84*1.5</f>
        <v>0</v>
      </c>
      <c r="C85" s="66" t="e">
        <f t="shared" si="6"/>
        <v>#DIV/0!</v>
      </c>
      <c r="D85" s="67">
        <f>B85*0.3</f>
        <v>0</v>
      </c>
      <c r="E85" s="66" t="e">
        <f t="shared" si="7"/>
        <v>#DIV/0!</v>
      </c>
      <c r="F85" s="69">
        <f t="shared" si="28"/>
        <v>0</v>
      </c>
      <c r="G85" s="63" t="e">
        <f t="shared" si="8"/>
        <v>#DIV/0!</v>
      </c>
      <c r="H85" s="63" t="e">
        <f t="shared" si="29"/>
        <v>#DIV/0!</v>
      </c>
      <c r="I85" s="93">
        <f t="shared" si="27"/>
        <v>0</v>
      </c>
      <c r="J85" s="124">
        <f t="shared" si="30"/>
        <v>0</v>
      </c>
      <c r="K85" s="69">
        <f t="shared" si="3"/>
        <v>0</v>
      </c>
      <c r="L85" s="63">
        <v>0.14000000000000001</v>
      </c>
      <c r="M85" s="69">
        <f t="shared" si="4"/>
        <v>0</v>
      </c>
    </row>
    <row r="86" spans="1:13" x14ac:dyDescent="0.25">
      <c r="A86" s="85">
        <f>A85+1</f>
        <v>2025</v>
      </c>
      <c r="B86" s="67">
        <f>B85*1.3</f>
        <v>0</v>
      </c>
      <c r="C86" s="66" t="e">
        <f t="shared" si="6"/>
        <v>#DIV/0!</v>
      </c>
      <c r="D86" s="67">
        <f>B86*0.3</f>
        <v>0</v>
      </c>
      <c r="E86" s="66" t="e">
        <f t="shared" si="7"/>
        <v>#DIV/0!</v>
      </c>
      <c r="F86" s="69">
        <f t="shared" si="28"/>
        <v>0</v>
      </c>
      <c r="G86" s="63" t="e">
        <f t="shared" si="8"/>
        <v>#DIV/0!</v>
      </c>
      <c r="H86" s="63" t="e">
        <f t="shared" si="29"/>
        <v>#DIV/0!</v>
      </c>
      <c r="I86" s="93">
        <f t="shared" si="27"/>
        <v>0</v>
      </c>
      <c r="J86" s="124">
        <f t="shared" si="30"/>
        <v>0</v>
      </c>
      <c r="K86" s="69">
        <f t="shared" si="3"/>
        <v>0</v>
      </c>
      <c r="L86" s="63">
        <v>0.14000000000000001</v>
      </c>
      <c r="M86" s="69">
        <f t="shared" si="4"/>
        <v>0</v>
      </c>
    </row>
    <row r="87" spans="1:13" x14ac:dyDescent="0.25">
      <c r="C87" s="66" t="e">
        <f>(B87-B81)/B81</f>
        <v>#DIV/0!</v>
      </c>
      <c r="E87" s="66" t="e">
        <f>(D87-D81)/D81</f>
        <v>#DIV/0!</v>
      </c>
      <c r="G87" s="63" t="e">
        <f>(F87-F81)/F81</f>
        <v>#DIV/0!</v>
      </c>
      <c r="J87" s="124">
        <f t="shared" si="30"/>
        <v>0</v>
      </c>
      <c r="K87" s="69">
        <f t="shared" si="3"/>
        <v>0</v>
      </c>
      <c r="L87" s="63">
        <v>0.14000000000000001</v>
      </c>
      <c r="M87" s="69">
        <f t="shared" si="4"/>
        <v>0</v>
      </c>
    </row>
    <row r="88" spans="1:13" x14ac:dyDescent="0.25">
      <c r="A88" s="96">
        <f>营业收入分析!G1</f>
        <v>0</v>
      </c>
      <c r="C88" s="66" t="e">
        <f t="shared" si="6"/>
        <v>#DIV/0!</v>
      </c>
      <c r="E88" s="66" t="e">
        <f t="shared" si="7"/>
        <v>#DIV/0!</v>
      </c>
      <c r="G88" s="63" t="e">
        <f t="shared" si="8"/>
        <v>#DIV/0!</v>
      </c>
      <c r="J88" s="124">
        <f t="shared" si="30"/>
        <v>0</v>
      </c>
      <c r="K88" s="69">
        <f t="shared" si="3"/>
        <v>0</v>
      </c>
      <c r="L88" s="63">
        <v>0.14000000000000001</v>
      </c>
      <c r="M88" s="69">
        <f t="shared" si="4"/>
        <v>0</v>
      </c>
    </row>
    <row r="89" spans="1:13" x14ac:dyDescent="0.25">
      <c r="A89" s="67" t="s">
        <v>252</v>
      </c>
      <c r="B89" s="97">
        <v>43308</v>
      </c>
      <c r="C89" s="66"/>
      <c r="E89" s="66"/>
      <c r="G89" s="63"/>
      <c r="J89" s="124">
        <f t="shared" si="30"/>
        <v>0</v>
      </c>
      <c r="K89" s="69"/>
      <c r="L89" s="63">
        <v>0.14000000000000001</v>
      </c>
      <c r="M89" s="69"/>
    </row>
    <row r="90" spans="1:13" x14ac:dyDescent="0.25">
      <c r="A90" s="67" t="s">
        <v>253</v>
      </c>
      <c r="B90" s="98">
        <v>161</v>
      </c>
      <c r="C90" s="66"/>
      <c r="E90" s="66"/>
      <c r="G90" s="63"/>
      <c r="J90" s="124">
        <f t="shared" si="30"/>
        <v>0</v>
      </c>
      <c r="K90" s="69"/>
      <c r="L90" s="63"/>
      <c r="M90" s="69"/>
    </row>
    <row r="91" spans="1:13" x14ac:dyDescent="0.25">
      <c r="A91" s="67" t="s">
        <v>254</v>
      </c>
      <c r="B91" s="98" t="s">
        <v>255</v>
      </c>
      <c r="C91" s="66"/>
      <c r="E91" s="66"/>
      <c r="G91" s="63"/>
      <c r="J91" s="124">
        <f t="shared" si="30"/>
        <v>0</v>
      </c>
      <c r="K91" s="69"/>
      <c r="L91" s="63"/>
      <c r="M91" s="69"/>
    </row>
    <row r="92" spans="1:13" x14ac:dyDescent="0.25">
      <c r="A92" s="67" t="s">
        <v>256</v>
      </c>
      <c r="B92" s="69">
        <v>800000000</v>
      </c>
      <c r="C92" s="66"/>
      <c r="E92" s="66"/>
      <c r="G92" s="63"/>
      <c r="J92" s="124">
        <f t="shared" si="30"/>
        <v>0</v>
      </c>
      <c r="K92" s="69"/>
      <c r="L92" s="63"/>
      <c r="M92" s="69"/>
    </row>
    <row r="93" spans="1:13" x14ac:dyDescent="0.25">
      <c r="A93" s="67" t="s">
        <v>257</v>
      </c>
      <c r="B93" s="63">
        <v>0.7</v>
      </c>
      <c r="C93" s="66"/>
      <c r="E93" s="66"/>
      <c r="G93" s="63"/>
      <c r="J93" s="124">
        <f t="shared" si="30"/>
        <v>0</v>
      </c>
      <c r="K93" s="69"/>
      <c r="L93" s="63"/>
      <c r="M93" s="69"/>
    </row>
    <row r="94" spans="1:13" x14ac:dyDescent="0.25">
      <c r="A94" s="67" t="s">
        <v>258</v>
      </c>
      <c r="B94" s="98">
        <v>3200</v>
      </c>
      <c r="C94" s="66"/>
      <c r="E94" s="66"/>
      <c r="G94" s="63"/>
      <c r="J94" s="124">
        <f t="shared" si="30"/>
        <v>0</v>
      </c>
      <c r="K94" s="69"/>
      <c r="L94" s="63"/>
      <c r="M94" s="69"/>
    </row>
    <row r="95" spans="1:13" ht="31.5" x14ac:dyDescent="0.25">
      <c r="A95" s="64" t="s">
        <v>72</v>
      </c>
      <c r="B95" s="60" t="s">
        <v>82</v>
      </c>
      <c r="C95" s="60" t="s">
        <v>87</v>
      </c>
      <c r="D95" t="s">
        <v>83</v>
      </c>
      <c r="E95" t="s">
        <v>88</v>
      </c>
      <c r="F95" t="s">
        <v>84</v>
      </c>
      <c r="G95" t="s">
        <v>89</v>
      </c>
      <c r="H95" t="s">
        <v>85</v>
      </c>
      <c r="I95" t="s">
        <v>417</v>
      </c>
      <c r="J95" s="124" t="e">
        <f t="shared" si="30"/>
        <v>#VALUE!</v>
      </c>
      <c r="K95" s="107" t="s">
        <v>244</v>
      </c>
      <c r="L95" s="107" t="s">
        <v>245</v>
      </c>
      <c r="M95" t="s">
        <v>49</v>
      </c>
    </row>
    <row r="96" spans="1:13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7"/>
        <v>#VALUE!</v>
      </c>
      <c r="F96" s="69">
        <f t="shared" ref="F96:F103" si="31">B96-D96</f>
        <v>0</v>
      </c>
      <c r="G96" s="63" t="e">
        <f t="shared" si="8"/>
        <v>#VALUE!</v>
      </c>
      <c r="H96" s="63" t="e">
        <f t="shared" ref="H96:H103" si="32">F96/B96</f>
        <v>#DIV/0!</v>
      </c>
      <c r="I96" s="93" t="e">
        <f t="shared" ref="I96:I112" si="33">F96/F275</f>
        <v>#DIV/0!</v>
      </c>
      <c r="J96" s="124">
        <f t="shared" si="30"/>
        <v>0</v>
      </c>
      <c r="K96" s="69">
        <f t="shared" si="3"/>
        <v>0</v>
      </c>
      <c r="L96" s="63">
        <v>0.14000000000000001</v>
      </c>
      <c r="M96" s="69">
        <f t="shared" si="4"/>
        <v>0</v>
      </c>
    </row>
    <row r="97" spans="1:13" x14ac:dyDescent="0.25">
      <c r="A97" s="65">
        <v>40908</v>
      </c>
      <c r="B97" s="67">
        <f>营业收入分析!G3</f>
        <v>0</v>
      </c>
      <c r="C97" s="66" t="e">
        <f t="shared" si="6"/>
        <v>#DIV/0!</v>
      </c>
      <c r="D97" s="67">
        <f>营业成本分析!G3</f>
        <v>0</v>
      </c>
      <c r="E97" s="66" t="e">
        <f t="shared" si="7"/>
        <v>#DIV/0!</v>
      </c>
      <c r="F97" s="69">
        <f t="shared" si="31"/>
        <v>0</v>
      </c>
      <c r="G97" s="63" t="e">
        <f t="shared" si="8"/>
        <v>#DIV/0!</v>
      </c>
      <c r="H97" s="63" t="e">
        <f t="shared" si="32"/>
        <v>#DIV/0!</v>
      </c>
      <c r="I97" s="93" t="e">
        <f t="shared" si="33"/>
        <v>#DIV/0!</v>
      </c>
      <c r="J97" s="124">
        <f t="shared" si="30"/>
        <v>0</v>
      </c>
      <c r="K97" s="69">
        <f t="shared" si="3"/>
        <v>0</v>
      </c>
      <c r="L97" s="63">
        <v>0.14000000000000001</v>
      </c>
      <c r="M97" s="69">
        <f t="shared" si="4"/>
        <v>0</v>
      </c>
    </row>
    <row r="98" spans="1:13" x14ac:dyDescent="0.25">
      <c r="A98" s="65">
        <v>41274</v>
      </c>
      <c r="B98" s="67">
        <f>营业收入分析!G4</f>
        <v>0</v>
      </c>
      <c r="C98" s="66" t="e">
        <f t="shared" si="6"/>
        <v>#DIV/0!</v>
      </c>
      <c r="D98" s="67">
        <f>营业成本分析!G4</f>
        <v>0</v>
      </c>
      <c r="E98" s="66" t="e">
        <f t="shared" si="7"/>
        <v>#DIV/0!</v>
      </c>
      <c r="F98" s="69">
        <f t="shared" si="31"/>
        <v>0</v>
      </c>
      <c r="G98" s="63" t="e">
        <f t="shared" si="8"/>
        <v>#DIV/0!</v>
      </c>
      <c r="H98" s="63" t="e">
        <f t="shared" si="32"/>
        <v>#DIV/0!</v>
      </c>
      <c r="I98" s="93" t="e">
        <f t="shared" si="33"/>
        <v>#DIV/0!</v>
      </c>
      <c r="J98" s="124">
        <f t="shared" si="30"/>
        <v>0</v>
      </c>
      <c r="K98" s="69">
        <f t="shared" si="3"/>
        <v>0</v>
      </c>
      <c r="L98" s="63">
        <v>0.14000000000000001</v>
      </c>
      <c r="M98" s="69">
        <f t="shared" si="4"/>
        <v>0</v>
      </c>
    </row>
    <row r="99" spans="1:13" x14ac:dyDescent="0.25">
      <c r="A99" s="65">
        <v>41639</v>
      </c>
      <c r="B99" s="67">
        <f>营业收入分析!G5</f>
        <v>0</v>
      </c>
      <c r="C99" s="66" t="e">
        <f t="shared" si="6"/>
        <v>#DIV/0!</v>
      </c>
      <c r="D99" s="67">
        <f>营业成本分析!G5</f>
        <v>0</v>
      </c>
      <c r="E99" s="66" t="e">
        <f t="shared" si="7"/>
        <v>#DIV/0!</v>
      </c>
      <c r="F99" s="69">
        <f t="shared" si="31"/>
        <v>0</v>
      </c>
      <c r="G99" s="63" t="e">
        <f t="shared" si="8"/>
        <v>#DIV/0!</v>
      </c>
      <c r="H99" s="63" t="e">
        <f t="shared" si="32"/>
        <v>#DIV/0!</v>
      </c>
      <c r="I99" s="93" t="e">
        <f t="shared" si="33"/>
        <v>#DIV/0!</v>
      </c>
      <c r="J99" s="124">
        <f t="shared" si="30"/>
        <v>0</v>
      </c>
      <c r="K99" s="69">
        <f>B99-D99/0.65</f>
        <v>0</v>
      </c>
      <c r="L99" s="63">
        <v>0.14000000000000001</v>
      </c>
      <c r="M99" s="69">
        <f t="shared" ref="M99:M223" si="34">K99*(1-L99)</f>
        <v>0</v>
      </c>
    </row>
    <row r="100" spans="1:13" x14ac:dyDescent="0.25">
      <c r="A100" s="65">
        <v>42004</v>
      </c>
      <c r="B100" s="67">
        <f>营业收入分析!G6</f>
        <v>0</v>
      </c>
      <c r="C100" s="66" t="e">
        <f t="shared" ref="C100:C124" si="35">(B100-B99)/B99</f>
        <v>#DIV/0!</v>
      </c>
      <c r="D100" s="67">
        <f>营业成本分析!G6</f>
        <v>0</v>
      </c>
      <c r="E100" s="66" t="e">
        <f t="shared" ref="E100:E223" si="36">(D100-D99)/D99</f>
        <v>#DIV/0!</v>
      </c>
      <c r="F100" s="69">
        <f t="shared" si="31"/>
        <v>0</v>
      </c>
      <c r="G100" s="63" t="e">
        <f t="shared" ref="G100:G223" si="37">(F100-F99)/F99</f>
        <v>#DIV/0!</v>
      </c>
      <c r="H100" s="63" t="e">
        <f t="shared" si="32"/>
        <v>#DIV/0!</v>
      </c>
      <c r="I100" s="93" t="e">
        <f t="shared" si="33"/>
        <v>#DIV/0!</v>
      </c>
      <c r="J100" s="124">
        <f t="shared" si="30"/>
        <v>0</v>
      </c>
      <c r="K100" s="69">
        <f>B100-D100/0.65</f>
        <v>0</v>
      </c>
      <c r="L100" s="63">
        <v>0.14000000000000001</v>
      </c>
      <c r="M100" s="69">
        <f t="shared" si="34"/>
        <v>0</v>
      </c>
    </row>
    <row r="101" spans="1:13" x14ac:dyDescent="0.25">
      <c r="A101" s="65">
        <v>42369</v>
      </c>
      <c r="B101" s="67">
        <f>营业收入分析!G7</f>
        <v>0</v>
      </c>
      <c r="C101" s="66" t="e">
        <f t="shared" si="35"/>
        <v>#DIV/0!</v>
      </c>
      <c r="D101" s="67">
        <f>营业成本分析!G7</f>
        <v>0</v>
      </c>
      <c r="E101" s="66" t="e">
        <f t="shared" si="36"/>
        <v>#DIV/0!</v>
      </c>
      <c r="F101" s="69">
        <f t="shared" si="31"/>
        <v>0</v>
      </c>
      <c r="G101" s="63" t="e">
        <f t="shared" si="37"/>
        <v>#DIV/0!</v>
      </c>
      <c r="H101" s="63" t="e">
        <f t="shared" si="32"/>
        <v>#DIV/0!</v>
      </c>
      <c r="I101" s="93" t="e">
        <f t="shared" si="33"/>
        <v>#DIV/0!</v>
      </c>
      <c r="J101" s="124">
        <f t="shared" si="30"/>
        <v>0</v>
      </c>
      <c r="K101" s="69">
        <f>B101-D101/0.65</f>
        <v>0</v>
      </c>
      <c r="L101" s="63">
        <v>0.14000000000000001</v>
      </c>
      <c r="M101" s="69">
        <f t="shared" si="34"/>
        <v>0</v>
      </c>
    </row>
    <row r="102" spans="1:13" x14ac:dyDescent="0.25">
      <c r="A102" s="65">
        <v>42735</v>
      </c>
      <c r="B102" s="67">
        <f>营业收入分析!G8</f>
        <v>0</v>
      </c>
      <c r="C102" s="66" t="e">
        <f t="shared" si="35"/>
        <v>#DIV/0!</v>
      </c>
      <c r="D102" s="67">
        <f>营业成本分析!G8</f>
        <v>0</v>
      </c>
      <c r="E102" s="66" t="e">
        <f t="shared" si="36"/>
        <v>#DIV/0!</v>
      </c>
      <c r="F102" s="69">
        <f t="shared" si="31"/>
        <v>0</v>
      </c>
      <c r="G102" s="63" t="e">
        <f t="shared" si="37"/>
        <v>#DIV/0!</v>
      </c>
      <c r="H102" s="63" t="e">
        <f t="shared" si="32"/>
        <v>#DIV/0!</v>
      </c>
      <c r="I102" s="93" t="e">
        <f t="shared" si="33"/>
        <v>#DIV/0!</v>
      </c>
      <c r="J102" s="124">
        <f t="shared" si="30"/>
        <v>0</v>
      </c>
      <c r="K102" s="69">
        <f t="shared" ref="K102:K129" si="38">B102-D102/0.65</f>
        <v>0</v>
      </c>
      <c r="L102" s="63">
        <v>0.14000000000000001</v>
      </c>
      <c r="M102" s="69">
        <f t="shared" si="34"/>
        <v>0</v>
      </c>
    </row>
    <row r="103" spans="1:13" x14ac:dyDescent="0.25">
      <c r="A103" s="65">
        <v>43100</v>
      </c>
      <c r="B103" s="67">
        <f>营业收入分析!G9</f>
        <v>0</v>
      </c>
      <c r="C103" s="66" t="e">
        <f t="shared" si="35"/>
        <v>#DIV/0!</v>
      </c>
      <c r="D103" s="67">
        <f>营业成本分析!G9</f>
        <v>0</v>
      </c>
      <c r="E103" s="66" t="e">
        <f t="shared" si="36"/>
        <v>#DIV/0!</v>
      </c>
      <c r="F103" s="69">
        <f t="shared" si="31"/>
        <v>0</v>
      </c>
      <c r="G103" s="63" t="e">
        <f t="shared" si="37"/>
        <v>#DIV/0!</v>
      </c>
      <c r="H103" s="63" t="e">
        <f t="shared" si="32"/>
        <v>#DIV/0!</v>
      </c>
      <c r="I103" s="93">
        <f t="shared" si="33"/>
        <v>0</v>
      </c>
      <c r="J103" s="124">
        <f t="shared" si="30"/>
        <v>0</v>
      </c>
      <c r="K103" s="69">
        <f t="shared" si="38"/>
        <v>0</v>
      </c>
      <c r="L103" s="63">
        <v>0.14000000000000001</v>
      </c>
      <c r="M103" s="69">
        <f t="shared" si="34"/>
        <v>0</v>
      </c>
    </row>
    <row r="104" spans="1:13" x14ac:dyDescent="0.25">
      <c r="A104" s="65">
        <v>43465</v>
      </c>
      <c r="B104" s="67">
        <f>营业收入分析!G10</f>
        <v>0</v>
      </c>
      <c r="C104" s="66" t="e">
        <f t="shared" si="35"/>
        <v>#DIV/0!</v>
      </c>
      <c r="D104" s="67">
        <f>营业成本分析!G10</f>
        <v>0</v>
      </c>
      <c r="E104" s="66" t="e">
        <f t="shared" si="36"/>
        <v>#DIV/0!</v>
      </c>
      <c r="F104" s="69">
        <f t="shared" ref="F104:F111" si="39">B104-D104</f>
        <v>0</v>
      </c>
      <c r="G104" s="63" t="e">
        <f t="shared" si="37"/>
        <v>#DIV/0!</v>
      </c>
      <c r="H104" s="63" t="e">
        <f t="shared" ref="H104:H111" si="40">F104/B104</f>
        <v>#DIV/0!</v>
      </c>
      <c r="I104" s="93">
        <f t="shared" si="33"/>
        <v>0</v>
      </c>
      <c r="J104" s="124">
        <f t="shared" si="30"/>
        <v>0</v>
      </c>
      <c r="K104" s="69">
        <f t="shared" si="38"/>
        <v>0</v>
      </c>
      <c r="L104" s="63">
        <v>0.14000000000000001</v>
      </c>
      <c r="M104" s="69">
        <f t="shared" si="34"/>
        <v>0</v>
      </c>
    </row>
    <row r="105" spans="1:13" x14ac:dyDescent="0.25">
      <c r="A105" s="65">
        <v>43830</v>
      </c>
      <c r="B105" s="67">
        <f>营业收入分析!G11</f>
        <v>0</v>
      </c>
      <c r="C105" s="66" t="e">
        <f t="shared" si="35"/>
        <v>#DIV/0!</v>
      </c>
      <c r="D105" s="67">
        <f>营业成本分析!G11</f>
        <v>0</v>
      </c>
      <c r="E105" s="66" t="e">
        <f t="shared" si="36"/>
        <v>#DIV/0!</v>
      </c>
      <c r="F105" s="69">
        <f t="shared" si="39"/>
        <v>0</v>
      </c>
      <c r="G105" s="63" t="e">
        <f t="shared" si="37"/>
        <v>#DIV/0!</v>
      </c>
      <c r="H105" s="63" t="e">
        <f t="shared" si="40"/>
        <v>#DIV/0!</v>
      </c>
      <c r="I105" s="93">
        <f t="shared" si="33"/>
        <v>0</v>
      </c>
      <c r="J105" s="124">
        <f t="shared" si="30"/>
        <v>0</v>
      </c>
      <c r="K105" s="69">
        <f t="shared" si="38"/>
        <v>0</v>
      </c>
      <c r="L105" s="63">
        <v>0.14000000000000001</v>
      </c>
      <c r="M105" s="69">
        <f t="shared" si="34"/>
        <v>0</v>
      </c>
    </row>
    <row r="106" spans="1:13" s="71" customFormat="1" x14ac:dyDescent="0.25">
      <c r="A106" s="72">
        <v>43831</v>
      </c>
      <c r="B106" s="91">
        <f>营业收入分析!G12</f>
        <v>0</v>
      </c>
      <c r="C106" s="74" t="e">
        <f t="shared" si="35"/>
        <v>#DIV/0!</v>
      </c>
      <c r="D106" s="91">
        <f>营业成本分析!G12</f>
        <v>0</v>
      </c>
      <c r="E106" s="74" t="e">
        <f t="shared" si="36"/>
        <v>#DIV/0!</v>
      </c>
      <c r="F106" s="92">
        <f t="shared" si="39"/>
        <v>0</v>
      </c>
      <c r="G106" s="93" t="e">
        <f t="shared" si="37"/>
        <v>#DIV/0!</v>
      </c>
      <c r="H106" s="93" t="e">
        <f t="shared" si="40"/>
        <v>#DIV/0!</v>
      </c>
      <c r="I106" s="93">
        <f>F106/F285</f>
        <v>0</v>
      </c>
      <c r="J106" s="124">
        <f t="shared" si="30"/>
        <v>0</v>
      </c>
      <c r="K106" s="92">
        <f t="shared" si="38"/>
        <v>0</v>
      </c>
      <c r="L106" s="63">
        <v>0.14000000000000001</v>
      </c>
      <c r="M106" s="92">
        <f t="shared" si="34"/>
        <v>0</v>
      </c>
    </row>
    <row r="107" spans="1:13" x14ac:dyDescent="0.25">
      <c r="A107" s="85">
        <f>A14+1</f>
        <v>2021</v>
      </c>
      <c r="B107" s="67">
        <f>B105</f>
        <v>0</v>
      </c>
      <c r="C107" s="66" t="e">
        <f t="shared" si="35"/>
        <v>#DIV/0!</v>
      </c>
      <c r="D107" s="67">
        <f>B107*0.3</f>
        <v>0</v>
      </c>
      <c r="E107" s="66" t="e">
        <f t="shared" si="36"/>
        <v>#DIV/0!</v>
      </c>
      <c r="F107" s="69">
        <f t="shared" si="39"/>
        <v>0</v>
      </c>
      <c r="G107" s="63" t="e">
        <f t="shared" si="37"/>
        <v>#DIV/0!</v>
      </c>
      <c r="H107" s="63" t="e">
        <f t="shared" si="40"/>
        <v>#DIV/0!</v>
      </c>
      <c r="I107" s="93">
        <f t="shared" si="33"/>
        <v>0</v>
      </c>
      <c r="J107" s="124">
        <f t="shared" si="30"/>
        <v>0</v>
      </c>
      <c r="K107" s="69">
        <f t="shared" si="38"/>
        <v>0</v>
      </c>
      <c r="L107" s="63">
        <v>0.14000000000000001</v>
      </c>
      <c r="M107" s="69">
        <f t="shared" si="34"/>
        <v>0</v>
      </c>
    </row>
    <row r="108" spans="1:13" x14ac:dyDescent="0.25">
      <c r="A108" s="85">
        <f>A107+1</f>
        <v>2022</v>
      </c>
      <c r="B108" s="67">
        <f>B105*1.3</f>
        <v>0</v>
      </c>
      <c r="C108" s="66" t="e">
        <f t="shared" si="35"/>
        <v>#DIV/0!</v>
      </c>
      <c r="D108" s="67">
        <f>B108*0.3</f>
        <v>0</v>
      </c>
      <c r="E108" s="66" t="e">
        <f t="shared" si="36"/>
        <v>#DIV/0!</v>
      </c>
      <c r="F108" s="69">
        <f t="shared" si="39"/>
        <v>0</v>
      </c>
      <c r="G108" s="63" t="e">
        <f t="shared" si="37"/>
        <v>#DIV/0!</v>
      </c>
      <c r="H108" s="63" t="e">
        <f t="shared" si="40"/>
        <v>#DIV/0!</v>
      </c>
      <c r="I108" s="93">
        <f t="shared" si="33"/>
        <v>0</v>
      </c>
      <c r="J108" s="124">
        <f t="shared" si="30"/>
        <v>0</v>
      </c>
      <c r="K108" s="69">
        <f t="shared" si="38"/>
        <v>0</v>
      </c>
      <c r="L108" s="63">
        <v>0.14000000000000001</v>
      </c>
      <c r="M108" s="69">
        <f t="shared" si="34"/>
        <v>0</v>
      </c>
    </row>
    <row r="109" spans="1:13" x14ac:dyDescent="0.25">
      <c r="A109" s="85">
        <f>A108+1</f>
        <v>2023</v>
      </c>
      <c r="B109" s="67">
        <f>B108*1.3</f>
        <v>0</v>
      </c>
      <c r="C109" s="66" t="e">
        <f t="shared" si="35"/>
        <v>#DIV/0!</v>
      </c>
      <c r="D109" s="67">
        <f>B109*0.3</f>
        <v>0</v>
      </c>
      <c r="E109" s="66" t="e">
        <f t="shared" si="36"/>
        <v>#DIV/0!</v>
      </c>
      <c r="F109" s="69">
        <f t="shared" si="39"/>
        <v>0</v>
      </c>
      <c r="G109" s="63" t="e">
        <f t="shared" si="37"/>
        <v>#DIV/0!</v>
      </c>
      <c r="H109" s="63" t="e">
        <f t="shared" si="40"/>
        <v>#DIV/0!</v>
      </c>
      <c r="I109" s="93">
        <f t="shared" si="33"/>
        <v>0</v>
      </c>
      <c r="J109" s="124">
        <f t="shared" si="30"/>
        <v>0</v>
      </c>
      <c r="K109" s="69">
        <f t="shared" si="38"/>
        <v>0</v>
      </c>
      <c r="L109" s="63">
        <v>0.14000000000000001</v>
      </c>
      <c r="M109" s="69">
        <f t="shared" si="34"/>
        <v>0</v>
      </c>
    </row>
    <row r="110" spans="1:13" x14ac:dyDescent="0.25">
      <c r="A110" s="85">
        <f>A109+1</f>
        <v>2024</v>
      </c>
      <c r="B110" s="67">
        <f>B109*1.3</f>
        <v>0</v>
      </c>
      <c r="C110" s="66" t="e">
        <f t="shared" si="35"/>
        <v>#DIV/0!</v>
      </c>
      <c r="D110" s="67">
        <f>B110*0.3</f>
        <v>0</v>
      </c>
      <c r="E110" s="66" t="e">
        <f t="shared" si="36"/>
        <v>#DIV/0!</v>
      </c>
      <c r="F110" s="69">
        <f t="shared" si="39"/>
        <v>0</v>
      </c>
      <c r="G110" s="63" t="e">
        <f t="shared" si="37"/>
        <v>#DIV/0!</v>
      </c>
      <c r="H110" s="63" t="e">
        <f t="shared" si="40"/>
        <v>#DIV/0!</v>
      </c>
      <c r="I110" s="93">
        <f t="shared" si="33"/>
        <v>0</v>
      </c>
      <c r="J110" s="124">
        <f t="shared" si="30"/>
        <v>0</v>
      </c>
      <c r="K110" s="69">
        <f t="shared" si="38"/>
        <v>0</v>
      </c>
      <c r="L110" s="63">
        <v>0.14000000000000001</v>
      </c>
      <c r="M110" s="69">
        <f t="shared" si="34"/>
        <v>0</v>
      </c>
    </row>
    <row r="111" spans="1:13" x14ac:dyDescent="0.25">
      <c r="A111" s="85">
        <f>A110+1</f>
        <v>2025</v>
      </c>
      <c r="B111" s="67">
        <f>B110*1.15</f>
        <v>0</v>
      </c>
      <c r="C111" s="66" t="e">
        <f t="shared" si="35"/>
        <v>#DIV/0!</v>
      </c>
      <c r="D111" s="67">
        <f>B111*0.3</f>
        <v>0</v>
      </c>
      <c r="E111" s="66" t="e">
        <f t="shared" si="36"/>
        <v>#DIV/0!</v>
      </c>
      <c r="F111" s="69">
        <f t="shared" si="39"/>
        <v>0</v>
      </c>
      <c r="G111" s="63" t="e">
        <f t="shared" si="37"/>
        <v>#DIV/0!</v>
      </c>
      <c r="H111" s="63" t="e">
        <f t="shared" si="40"/>
        <v>#DIV/0!</v>
      </c>
      <c r="I111" s="93">
        <f t="shared" si="33"/>
        <v>0</v>
      </c>
      <c r="J111" s="124">
        <f t="shared" si="30"/>
        <v>0</v>
      </c>
      <c r="K111" s="69">
        <f t="shared" si="38"/>
        <v>0</v>
      </c>
      <c r="L111" s="63">
        <v>0.14000000000000001</v>
      </c>
      <c r="M111" s="69">
        <f t="shared" si="34"/>
        <v>0</v>
      </c>
    </row>
    <row r="112" spans="1:13" x14ac:dyDescent="0.25">
      <c r="C112" s="66" t="e">
        <f>(B112-B106)/B106</f>
        <v>#DIV/0!</v>
      </c>
      <c r="E112" s="66" t="e">
        <f>(D112-D106)/D106</f>
        <v>#DIV/0!</v>
      </c>
      <c r="G112" s="63" t="e">
        <f>(F112-F106)/F106</f>
        <v>#DIV/0!</v>
      </c>
      <c r="I112" s="93" t="e">
        <f t="shared" si="33"/>
        <v>#DIV/0!</v>
      </c>
      <c r="J112" s="124">
        <f t="shared" si="30"/>
        <v>0</v>
      </c>
      <c r="K112" s="69">
        <f t="shared" si="38"/>
        <v>0</v>
      </c>
      <c r="L112" s="63">
        <v>0.14000000000000001</v>
      </c>
      <c r="M112" s="69">
        <f t="shared" si="34"/>
        <v>0</v>
      </c>
    </row>
    <row r="113" spans="1:13" x14ac:dyDescent="0.25">
      <c r="A113" s="96">
        <f>营业收入分析!H1</f>
        <v>0</v>
      </c>
      <c r="C113" s="66" t="e">
        <f t="shared" si="35"/>
        <v>#DIV/0!</v>
      </c>
      <c r="E113" s="66" t="e">
        <f t="shared" si="36"/>
        <v>#DIV/0!</v>
      </c>
      <c r="G113" s="63" t="e">
        <f t="shared" si="37"/>
        <v>#DIV/0!</v>
      </c>
      <c r="J113" s="124">
        <f t="shared" si="30"/>
        <v>0</v>
      </c>
      <c r="K113" s="69">
        <f t="shared" si="38"/>
        <v>0</v>
      </c>
      <c r="L113" s="63">
        <v>0.14000000000000001</v>
      </c>
      <c r="M113" s="69">
        <f t="shared" si="34"/>
        <v>0</v>
      </c>
    </row>
    <row r="114" spans="1:13" x14ac:dyDescent="0.25">
      <c r="A114" s="67" t="s">
        <v>252</v>
      </c>
      <c r="B114" s="97">
        <v>43644</v>
      </c>
      <c r="C114" s="66"/>
      <c r="E114" s="66"/>
      <c r="G114" s="63"/>
      <c r="J114" s="124">
        <f t="shared" si="30"/>
        <v>0</v>
      </c>
      <c r="K114" s="69"/>
      <c r="L114" s="63"/>
      <c r="M114" s="69"/>
    </row>
    <row r="115" spans="1:13" x14ac:dyDescent="0.25">
      <c r="A115" s="67" t="s">
        <v>253</v>
      </c>
      <c r="B115" s="98">
        <v>170</v>
      </c>
      <c r="C115" s="66"/>
      <c r="E115" s="66"/>
      <c r="G115" s="63"/>
      <c r="J115" s="124">
        <f t="shared" si="30"/>
        <v>0</v>
      </c>
      <c r="K115" s="69"/>
      <c r="L115" s="63"/>
      <c r="M115" s="69"/>
    </row>
    <row r="116" spans="1:13" ht="45" customHeight="1" x14ac:dyDescent="0.25">
      <c r="A116" s="67" t="s">
        <v>254</v>
      </c>
      <c r="B116" s="128" t="s">
        <v>259</v>
      </c>
      <c r="C116" s="129"/>
      <c r="D116" s="129"/>
      <c r="E116" s="129"/>
      <c r="F116" s="129"/>
      <c r="G116" s="129"/>
      <c r="H116" s="129"/>
      <c r="I116" s="115"/>
      <c r="J116" s="124">
        <f t="shared" si="30"/>
        <v>0</v>
      </c>
      <c r="K116" s="69"/>
      <c r="L116" s="63"/>
      <c r="M116" s="69"/>
    </row>
    <row r="117" spans="1:13" x14ac:dyDescent="0.25">
      <c r="A117" s="67" t="s">
        <v>256</v>
      </c>
      <c r="B117" s="69"/>
      <c r="C117" s="66"/>
      <c r="E117" s="66"/>
      <c r="G117" s="63"/>
      <c r="J117" s="124">
        <f t="shared" si="30"/>
        <v>0</v>
      </c>
      <c r="K117" s="69"/>
      <c r="L117" s="63"/>
      <c r="M117" s="69"/>
    </row>
    <row r="118" spans="1:13" x14ac:dyDescent="0.25">
      <c r="A118" s="67" t="s">
        <v>257</v>
      </c>
      <c r="B118" s="63"/>
      <c r="C118" s="66"/>
      <c r="E118" s="66"/>
      <c r="G118" s="63"/>
      <c r="J118" s="124">
        <f t="shared" si="30"/>
        <v>0</v>
      </c>
      <c r="K118" s="69"/>
      <c r="L118" s="63"/>
      <c r="M118" s="69"/>
    </row>
    <row r="119" spans="1:13" x14ac:dyDescent="0.25">
      <c r="A119" s="67" t="s">
        <v>258</v>
      </c>
      <c r="B119" s="98"/>
      <c r="C119" s="66"/>
      <c r="E119" s="66"/>
      <c r="G119" s="63"/>
      <c r="J119" s="124">
        <f t="shared" si="30"/>
        <v>0</v>
      </c>
      <c r="K119" s="69"/>
      <c r="L119" s="63"/>
      <c r="M119" s="69"/>
    </row>
    <row r="120" spans="1:13" ht="31.5" x14ac:dyDescent="0.25">
      <c r="A120" s="64" t="s">
        <v>72</v>
      </c>
      <c r="B120" s="60" t="s">
        <v>82</v>
      </c>
      <c r="C120" s="60" t="s">
        <v>87</v>
      </c>
      <c r="D120" t="s">
        <v>83</v>
      </c>
      <c r="E120" t="s">
        <v>88</v>
      </c>
      <c r="F120" t="s">
        <v>84</v>
      </c>
      <c r="G120" t="s">
        <v>89</v>
      </c>
      <c r="H120" t="s">
        <v>85</v>
      </c>
      <c r="I120" t="s">
        <v>417</v>
      </c>
      <c r="J120" s="124" t="e">
        <f t="shared" si="30"/>
        <v>#VALUE!</v>
      </c>
      <c r="K120" s="107" t="s">
        <v>244</v>
      </c>
      <c r="L120" s="107" t="s">
        <v>245</v>
      </c>
      <c r="M120" t="s">
        <v>49</v>
      </c>
    </row>
    <row r="121" spans="1:13" x14ac:dyDescent="0.25">
      <c r="A121" s="65">
        <v>40543</v>
      </c>
      <c r="B121" s="67">
        <f>营业收入分析!H2</f>
        <v>0</v>
      </c>
      <c r="C121" s="66" t="e">
        <f t="shared" si="35"/>
        <v>#VALUE!</v>
      </c>
      <c r="D121" s="67">
        <f>营业成本分析!H2</f>
        <v>0</v>
      </c>
      <c r="E121" s="66" t="e">
        <f t="shared" si="36"/>
        <v>#VALUE!</v>
      </c>
      <c r="F121" s="69">
        <f t="shared" ref="F121:F128" si="41">B121-D121</f>
        <v>0</v>
      </c>
      <c r="G121" s="63" t="e">
        <f t="shared" si="37"/>
        <v>#VALUE!</v>
      </c>
      <c r="H121" s="63" t="e">
        <f t="shared" ref="H121:H128" si="42">F121/B121</f>
        <v>#DIV/0!</v>
      </c>
      <c r="I121" s="93" t="e">
        <f t="shared" ref="I121:I137" si="43">F121/F275</f>
        <v>#DIV/0!</v>
      </c>
      <c r="J121" s="124">
        <f t="shared" si="30"/>
        <v>0</v>
      </c>
      <c r="K121" s="69">
        <f t="shared" si="38"/>
        <v>0</v>
      </c>
      <c r="L121" s="63">
        <v>0.14000000000000001</v>
      </c>
      <c r="M121" s="69">
        <f t="shared" si="34"/>
        <v>0</v>
      </c>
    </row>
    <row r="122" spans="1:13" x14ac:dyDescent="0.25">
      <c r="A122" s="65">
        <v>40908</v>
      </c>
      <c r="B122" s="67">
        <f>营业收入分析!H3</f>
        <v>0</v>
      </c>
      <c r="C122" s="66" t="e">
        <f t="shared" si="35"/>
        <v>#DIV/0!</v>
      </c>
      <c r="D122" s="67">
        <f>营业成本分析!H3</f>
        <v>0</v>
      </c>
      <c r="E122" s="66" t="e">
        <f t="shared" si="36"/>
        <v>#DIV/0!</v>
      </c>
      <c r="F122" s="69">
        <f t="shared" si="41"/>
        <v>0</v>
      </c>
      <c r="G122" s="63" t="e">
        <f t="shared" si="37"/>
        <v>#DIV/0!</v>
      </c>
      <c r="H122" s="63" t="e">
        <f t="shared" si="42"/>
        <v>#DIV/0!</v>
      </c>
      <c r="I122" s="93" t="e">
        <f t="shared" si="43"/>
        <v>#DIV/0!</v>
      </c>
      <c r="J122" s="124">
        <f t="shared" si="30"/>
        <v>0</v>
      </c>
      <c r="K122" s="69">
        <f t="shared" si="38"/>
        <v>0</v>
      </c>
      <c r="L122" s="63">
        <v>0.14000000000000001</v>
      </c>
      <c r="M122" s="69">
        <f t="shared" si="34"/>
        <v>0</v>
      </c>
    </row>
    <row r="123" spans="1:13" x14ac:dyDescent="0.25">
      <c r="A123" s="65">
        <v>41274</v>
      </c>
      <c r="B123" s="67">
        <f>营业收入分析!H4</f>
        <v>0</v>
      </c>
      <c r="C123" s="66" t="e">
        <f t="shared" si="35"/>
        <v>#DIV/0!</v>
      </c>
      <c r="D123" s="67">
        <f>营业成本分析!H4</f>
        <v>0</v>
      </c>
      <c r="E123" s="66" t="e">
        <f t="shared" si="36"/>
        <v>#DIV/0!</v>
      </c>
      <c r="F123" s="69">
        <f t="shared" si="41"/>
        <v>0</v>
      </c>
      <c r="G123" s="63" t="e">
        <f t="shared" si="37"/>
        <v>#DIV/0!</v>
      </c>
      <c r="H123" s="63" t="e">
        <f t="shared" si="42"/>
        <v>#DIV/0!</v>
      </c>
      <c r="I123" s="93" t="e">
        <f t="shared" si="43"/>
        <v>#DIV/0!</v>
      </c>
      <c r="J123" s="124">
        <f t="shared" si="30"/>
        <v>0</v>
      </c>
      <c r="K123" s="69">
        <f t="shared" si="38"/>
        <v>0</v>
      </c>
      <c r="L123" s="63">
        <v>0.14000000000000001</v>
      </c>
      <c r="M123" s="69">
        <f t="shared" si="34"/>
        <v>0</v>
      </c>
    </row>
    <row r="124" spans="1:13" x14ac:dyDescent="0.25">
      <c r="A124" s="65">
        <v>41639</v>
      </c>
      <c r="B124" s="67">
        <f>营业收入分析!H5</f>
        <v>0</v>
      </c>
      <c r="C124" s="66" t="e">
        <f t="shared" si="35"/>
        <v>#DIV/0!</v>
      </c>
      <c r="D124" s="67">
        <f>营业成本分析!H5</f>
        <v>0</v>
      </c>
      <c r="E124" s="66" t="e">
        <f t="shared" si="36"/>
        <v>#DIV/0!</v>
      </c>
      <c r="F124" s="69">
        <f t="shared" si="41"/>
        <v>0</v>
      </c>
      <c r="G124" s="63" t="e">
        <f t="shared" si="37"/>
        <v>#DIV/0!</v>
      </c>
      <c r="H124" s="63" t="e">
        <f t="shared" si="42"/>
        <v>#DIV/0!</v>
      </c>
      <c r="I124" s="93" t="e">
        <f t="shared" si="43"/>
        <v>#DIV/0!</v>
      </c>
      <c r="J124" s="124">
        <f t="shared" si="30"/>
        <v>0</v>
      </c>
      <c r="K124" s="69">
        <f t="shared" si="38"/>
        <v>0</v>
      </c>
      <c r="L124" s="63">
        <v>0.14000000000000001</v>
      </c>
      <c r="M124" s="69">
        <f t="shared" si="34"/>
        <v>0</v>
      </c>
    </row>
    <row r="125" spans="1:13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36"/>
        <v>#DIV/0!</v>
      </c>
      <c r="F125" s="69">
        <f t="shared" si="41"/>
        <v>0</v>
      </c>
      <c r="G125" s="63" t="e">
        <f t="shared" si="37"/>
        <v>#DIV/0!</v>
      </c>
      <c r="H125" s="63" t="e">
        <f t="shared" si="42"/>
        <v>#DIV/0!</v>
      </c>
      <c r="I125" s="93" t="e">
        <f t="shared" si="43"/>
        <v>#DIV/0!</v>
      </c>
      <c r="J125" s="124">
        <f t="shared" si="30"/>
        <v>0</v>
      </c>
      <c r="K125" s="69">
        <f t="shared" si="38"/>
        <v>0</v>
      </c>
      <c r="L125" s="63">
        <v>0.14000000000000001</v>
      </c>
      <c r="M125" s="69">
        <f t="shared" si="34"/>
        <v>0</v>
      </c>
    </row>
    <row r="126" spans="1:13" x14ac:dyDescent="0.25">
      <c r="A126" s="65">
        <v>42369</v>
      </c>
      <c r="B126" s="67">
        <f>营业收入分析!H7</f>
        <v>0</v>
      </c>
      <c r="C126" s="66" t="e">
        <f t="shared" ref="C126:C150" si="44">(B126-B125)/B125</f>
        <v>#DIV/0!</v>
      </c>
      <c r="D126" s="67">
        <f>营业成本分析!H7</f>
        <v>0</v>
      </c>
      <c r="E126" s="66" t="e">
        <f t="shared" si="36"/>
        <v>#DIV/0!</v>
      </c>
      <c r="F126" s="69">
        <f t="shared" si="41"/>
        <v>0</v>
      </c>
      <c r="G126" s="63" t="e">
        <f t="shared" si="37"/>
        <v>#DIV/0!</v>
      </c>
      <c r="H126" s="63" t="e">
        <f t="shared" si="42"/>
        <v>#DIV/0!</v>
      </c>
      <c r="I126" s="93" t="e">
        <f t="shared" si="43"/>
        <v>#DIV/0!</v>
      </c>
      <c r="J126" s="124">
        <f t="shared" si="30"/>
        <v>0</v>
      </c>
      <c r="K126" s="69">
        <f t="shared" si="38"/>
        <v>0</v>
      </c>
      <c r="L126" s="63">
        <v>0.14000000000000001</v>
      </c>
      <c r="M126" s="69">
        <f t="shared" si="34"/>
        <v>0</v>
      </c>
    </row>
    <row r="127" spans="1:13" x14ac:dyDescent="0.25">
      <c r="A127" s="65">
        <v>42735</v>
      </c>
      <c r="B127" s="67">
        <f>营业收入分析!H8</f>
        <v>0</v>
      </c>
      <c r="C127" s="66" t="e">
        <f t="shared" si="44"/>
        <v>#DIV/0!</v>
      </c>
      <c r="D127" s="67">
        <f>营业成本分析!H8</f>
        <v>0</v>
      </c>
      <c r="E127" s="66" t="e">
        <f t="shared" si="36"/>
        <v>#DIV/0!</v>
      </c>
      <c r="F127" s="69">
        <f t="shared" si="41"/>
        <v>0</v>
      </c>
      <c r="G127" s="63" t="e">
        <f t="shared" si="37"/>
        <v>#DIV/0!</v>
      </c>
      <c r="H127" s="63" t="e">
        <f t="shared" si="42"/>
        <v>#DIV/0!</v>
      </c>
      <c r="I127" s="93" t="e">
        <f t="shared" si="43"/>
        <v>#DIV/0!</v>
      </c>
      <c r="J127" s="124">
        <f t="shared" si="30"/>
        <v>0</v>
      </c>
      <c r="K127" s="69">
        <f t="shared" si="38"/>
        <v>0</v>
      </c>
      <c r="L127" s="63">
        <v>0.14000000000000001</v>
      </c>
      <c r="M127" s="69">
        <f t="shared" si="34"/>
        <v>0</v>
      </c>
    </row>
    <row r="128" spans="1:13" x14ac:dyDescent="0.25">
      <c r="A128" s="65">
        <v>43100</v>
      </c>
      <c r="B128" s="67">
        <f>营业收入分析!H9</f>
        <v>0</v>
      </c>
      <c r="C128" s="66" t="e">
        <f t="shared" si="44"/>
        <v>#DIV/0!</v>
      </c>
      <c r="D128" s="67">
        <f>营业成本分析!H9</f>
        <v>0</v>
      </c>
      <c r="E128" s="66" t="e">
        <f t="shared" si="36"/>
        <v>#DIV/0!</v>
      </c>
      <c r="F128" s="69">
        <f t="shared" si="41"/>
        <v>0</v>
      </c>
      <c r="G128" s="63" t="e">
        <f t="shared" si="37"/>
        <v>#DIV/0!</v>
      </c>
      <c r="H128" s="63" t="e">
        <f t="shared" si="42"/>
        <v>#DIV/0!</v>
      </c>
      <c r="I128" s="93">
        <f t="shared" si="43"/>
        <v>0</v>
      </c>
      <c r="J128" s="124">
        <f t="shared" si="30"/>
        <v>0</v>
      </c>
      <c r="K128" s="69">
        <f t="shared" si="38"/>
        <v>0</v>
      </c>
      <c r="L128" s="63">
        <v>0.14000000000000001</v>
      </c>
      <c r="M128" s="69">
        <f t="shared" si="34"/>
        <v>0</v>
      </c>
    </row>
    <row r="129" spans="1:13" x14ac:dyDescent="0.25">
      <c r="A129" s="65">
        <v>43465</v>
      </c>
      <c r="B129" s="67">
        <f>营业收入分析!H10</f>
        <v>0</v>
      </c>
      <c r="C129" s="66" t="e">
        <f t="shared" si="44"/>
        <v>#DIV/0!</v>
      </c>
      <c r="D129" s="67">
        <f>营业成本分析!H10</f>
        <v>0</v>
      </c>
      <c r="E129" s="66" t="e">
        <f t="shared" si="36"/>
        <v>#DIV/0!</v>
      </c>
      <c r="F129" s="69">
        <f t="shared" ref="F129:F136" si="45">B129-D129</f>
        <v>0</v>
      </c>
      <c r="G129" s="63" t="e">
        <f t="shared" si="37"/>
        <v>#DIV/0!</v>
      </c>
      <c r="H129" s="63" t="e">
        <f t="shared" ref="H129:H136" si="46">F129/B129</f>
        <v>#DIV/0!</v>
      </c>
      <c r="I129" s="93">
        <f t="shared" si="43"/>
        <v>0</v>
      </c>
      <c r="J129" s="124">
        <f t="shared" si="30"/>
        <v>0</v>
      </c>
      <c r="K129" s="69">
        <f t="shared" si="38"/>
        <v>0</v>
      </c>
      <c r="L129" s="63">
        <v>0.14000000000000001</v>
      </c>
      <c r="M129" s="69">
        <f t="shared" si="34"/>
        <v>0</v>
      </c>
    </row>
    <row r="130" spans="1:13" x14ac:dyDescent="0.25">
      <c r="A130" s="65">
        <v>43830</v>
      </c>
      <c r="B130" s="67">
        <f>营业收入分析!H11</f>
        <v>0</v>
      </c>
      <c r="C130" s="66" t="e">
        <f t="shared" si="44"/>
        <v>#DIV/0!</v>
      </c>
      <c r="D130" s="67">
        <f>营业成本分析!H11</f>
        <v>0</v>
      </c>
      <c r="E130" s="66" t="e">
        <f t="shared" si="36"/>
        <v>#DIV/0!</v>
      </c>
      <c r="F130" s="69">
        <f t="shared" si="45"/>
        <v>0</v>
      </c>
      <c r="G130" s="63" t="e">
        <f t="shared" si="37"/>
        <v>#DIV/0!</v>
      </c>
      <c r="H130" s="63" t="e">
        <f t="shared" si="46"/>
        <v>#DIV/0!</v>
      </c>
      <c r="I130" s="93">
        <f t="shared" si="43"/>
        <v>0</v>
      </c>
      <c r="J130" s="124">
        <f t="shared" si="30"/>
        <v>0</v>
      </c>
      <c r="K130" s="69">
        <f t="shared" ref="K130:K138" si="47">B130-D130/0.65</f>
        <v>0</v>
      </c>
      <c r="L130" s="63">
        <v>0.14000000000000001</v>
      </c>
      <c r="M130" s="69">
        <f t="shared" si="34"/>
        <v>0</v>
      </c>
    </row>
    <row r="131" spans="1:13" s="71" customFormat="1" x14ac:dyDescent="0.25">
      <c r="A131" s="72">
        <v>43831</v>
      </c>
      <c r="B131" s="91">
        <f>营业收入分析!H12</f>
        <v>0</v>
      </c>
      <c r="C131" s="74" t="e">
        <f t="shared" si="44"/>
        <v>#DIV/0!</v>
      </c>
      <c r="D131" s="91">
        <f>营业成本分析!H12</f>
        <v>0</v>
      </c>
      <c r="E131" s="74" t="e">
        <f t="shared" si="36"/>
        <v>#DIV/0!</v>
      </c>
      <c r="F131" s="92">
        <f t="shared" si="45"/>
        <v>0</v>
      </c>
      <c r="G131" s="93" t="e">
        <f t="shared" si="37"/>
        <v>#DIV/0!</v>
      </c>
      <c r="H131" s="93" t="e">
        <f t="shared" si="46"/>
        <v>#DIV/0!</v>
      </c>
      <c r="I131" s="93">
        <f>F131/F285</f>
        <v>0</v>
      </c>
      <c r="J131" s="124">
        <f t="shared" si="30"/>
        <v>0</v>
      </c>
      <c r="K131" s="92">
        <f t="shared" si="47"/>
        <v>0</v>
      </c>
      <c r="L131" s="63">
        <v>0.14000000000000001</v>
      </c>
      <c r="M131" s="92">
        <f t="shared" si="34"/>
        <v>0</v>
      </c>
    </row>
    <row r="132" spans="1:13" x14ac:dyDescent="0.25">
      <c r="A132" s="85">
        <f>A14+1</f>
        <v>2021</v>
      </c>
      <c r="B132" s="67">
        <f>B130</f>
        <v>0</v>
      </c>
      <c r="C132" s="66" t="e">
        <f t="shared" si="44"/>
        <v>#DIV/0!</v>
      </c>
      <c r="D132" s="67">
        <f>B132*0.3</f>
        <v>0</v>
      </c>
      <c r="E132" s="66" t="e">
        <f t="shared" si="36"/>
        <v>#DIV/0!</v>
      </c>
      <c r="F132" s="69">
        <f t="shared" si="45"/>
        <v>0</v>
      </c>
      <c r="G132" s="63" t="e">
        <f t="shared" si="37"/>
        <v>#DIV/0!</v>
      </c>
      <c r="H132" s="63" t="e">
        <f t="shared" si="46"/>
        <v>#DIV/0!</v>
      </c>
      <c r="I132" s="93">
        <f t="shared" si="43"/>
        <v>0</v>
      </c>
      <c r="J132" s="124">
        <f t="shared" si="30"/>
        <v>0</v>
      </c>
      <c r="K132" s="69">
        <f t="shared" si="47"/>
        <v>0</v>
      </c>
      <c r="L132" s="63">
        <v>0.14000000000000001</v>
      </c>
      <c r="M132" s="69">
        <f t="shared" si="34"/>
        <v>0</v>
      </c>
    </row>
    <row r="133" spans="1:13" x14ac:dyDescent="0.25">
      <c r="A133" s="85">
        <f>A132+1</f>
        <v>2022</v>
      </c>
      <c r="B133" s="67">
        <f>B132*2</f>
        <v>0</v>
      </c>
      <c r="C133" s="66" t="e">
        <f t="shared" si="44"/>
        <v>#DIV/0!</v>
      </c>
      <c r="D133" s="67">
        <f>B133*0.3</f>
        <v>0</v>
      </c>
      <c r="E133" s="66" t="e">
        <f t="shared" si="36"/>
        <v>#DIV/0!</v>
      </c>
      <c r="F133" s="69">
        <f t="shared" si="45"/>
        <v>0</v>
      </c>
      <c r="G133" s="63" t="e">
        <f t="shared" si="37"/>
        <v>#DIV/0!</v>
      </c>
      <c r="H133" s="63" t="e">
        <f t="shared" si="46"/>
        <v>#DIV/0!</v>
      </c>
      <c r="I133" s="93">
        <f t="shared" si="43"/>
        <v>0</v>
      </c>
      <c r="J133" s="124">
        <f t="shared" si="30"/>
        <v>0</v>
      </c>
      <c r="K133" s="69">
        <f t="shared" si="47"/>
        <v>0</v>
      </c>
      <c r="L133" s="63">
        <v>0.14000000000000001</v>
      </c>
      <c r="M133" s="69">
        <f t="shared" si="34"/>
        <v>0</v>
      </c>
    </row>
    <row r="134" spans="1:13" x14ac:dyDescent="0.25">
      <c r="A134" s="85">
        <f>A133+1</f>
        <v>2023</v>
      </c>
      <c r="B134" s="67">
        <f>B133*1.6</f>
        <v>0</v>
      </c>
      <c r="C134" s="66" t="e">
        <f t="shared" si="44"/>
        <v>#DIV/0!</v>
      </c>
      <c r="D134" s="67">
        <f>B134*0.3</f>
        <v>0</v>
      </c>
      <c r="E134" s="66" t="e">
        <f t="shared" si="36"/>
        <v>#DIV/0!</v>
      </c>
      <c r="F134" s="69">
        <f t="shared" si="45"/>
        <v>0</v>
      </c>
      <c r="G134" s="63" t="e">
        <f t="shared" si="37"/>
        <v>#DIV/0!</v>
      </c>
      <c r="H134" s="63" t="e">
        <f t="shared" si="46"/>
        <v>#DIV/0!</v>
      </c>
      <c r="I134" s="93">
        <f t="shared" si="43"/>
        <v>0</v>
      </c>
      <c r="J134" s="124">
        <f t="shared" si="30"/>
        <v>0</v>
      </c>
      <c r="K134" s="69">
        <f t="shared" si="47"/>
        <v>0</v>
      </c>
      <c r="L134" s="63">
        <v>0.14000000000000001</v>
      </c>
      <c r="M134" s="69">
        <f t="shared" si="34"/>
        <v>0</v>
      </c>
    </row>
    <row r="135" spans="1:13" x14ac:dyDescent="0.25">
      <c r="A135" s="85">
        <f>A134+1</f>
        <v>2024</v>
      </c>
      <c r="B135" s="67">
        <f>B134*1.5</f>
        <v>0</v>
      </c>
      <c r="C135" s="66" t="e">
        <f t="shared" si="44"/>
        <v>#DIV/0!</v>
      </c>
      <c r="D135" s="67">
        <f>B135*0.3</f>
        <v>0</v>
      </c>
      <c r="E135" s="66" t="e">
        <f t="shared" si="36"/>
        <v>#DIV/0!</v>
      </c>
      <c r="F135" s="69">
        <f t="shared" si="45"/>
        <v>0</v>
      </c>
      <c r="G135" s="63" t="e">
        <f t="shared" si="37"/>
        <v>#DIV/0!</v>
      </c>
      <c r="H135" s="63" t="e">
        <f t="shared" si="46"/>
        <v>#DIV/0!</v>
      </c>
      <c r="I135" s="93">
        <f t="shared" si="43"/>
        <v>0</v>
      </c>
      <c r="J135" s="124">
        <f t="shared" si="30"/>
        <v>0</v>
      </c>
      <c r="K135" s="69">
        <f t="shared" si="47"/>
        <v>0</v>
      </c>
      <c r="L135" s="63">
        <v>0.14000000000000001</v>
      </c>
      <c r="M135" s="69">
        <f t="shared" si="34"/>
        <v>0</v>
      </c>
    </row>
    <row r="136" spans="1:13" x14ac:dyDescent="0.25">
      <c r="A136" s="85">
        <f>A135+1</f>
        <v>2025</v>
      </c>
      <c r="B136" s="67">
        <f>B135*1.3</f>
        <v>0</v>
      </c>
      <c r="C136" s="66" t="e">
        <f t="shared" si="44"/>
        <v>#DIV/0!</v>
      </c>
      <c r="D136" s="67">
        <f>B136*0.3</f>
        <v>0</v>
      </c>
      <c r="E136" s="66" t="e">
        <f t="shared" si="36"/>
        <v>#DIV/0!</v>
      </c>
      <c r="F136" s="69">
        <f t="shared" si="45"/>
        <v>0</v>
      </c>
      <c r="G136" s="63" t="e">
        <f t="shared" si="37"/>
        <v>#DIV/0!</v>
      </c>
      <c r="H136" s="63" t="e">
        <f t="shared" si="46"/>
        <v>#DIV/0!</v>
      </c>
      <c r="I136" s="93">
        <f t="shared" si="43"/>
        <v>0</v>
      </c>
      <c r="J136" s="124">
        <f t="shared" si="30"/>
        <v>0</v>
      </c>
      <c r="K136" s="69">
        <f t="shared" si="47"/>
        <v>0</v>
      </c>
      <c r="L136" s="63">
        <v>0.14000000000000001</v>
      </c>
      <c r="M136" s="69">
        <f t="shared" si="34"/>
        <v>0</v>
      </c>
    </row>
    <row r="137" spans="1:13" x14ac:dyDescent="0.25">
      <c r="C137" s="66" t="e">
        <f>(B137-B131)/B131</f>
        <v>#DIV/0!</v>
      </c>
      <c r="E137" s="66" t="e">
        <f>(D137-D131)/D131</f>
        <v>#DIV/0!</v>
      </c>
      <c r="G137" s="63" t="e">
        <f>(F137-F131)/F131</f>
        <v>#DIV/0!</v>
      </c>
      <c r="I137" s="93" t="e">
        <f t="shared" si="43"/>
        <v>#DIV/0!</v>
      </c>
      <c r="J137" s="124">
        <f t="shared" si="30"/>
        <v>0</v>
      </c>
      <c r="K137" s="69">
        <f t="shared" si="47"/>
        <v>0</v>
      </c>
      <c r="L137" s="63">
        <v>0.14000000000000001</v>
      </c>
      <c r="M137" s="69">
        <f t="shared" si="34"/>
        <v>0</v>
      </c>
    </row>
    <row r="138" spans="1:13" x14ac:dyDescent="0.25">
      <c r="A138" s="67">
        <f>营业收入分析!I1</f>
        <v>0</v>
      </c>
      <c r="C138" s="66" t="e">
        <f t="shared" si="44"/>
        <v>#DIV/0!</v>
      </c>
      <c r="E138" s="66" t="e">
        <f t="shared" si="36"/>
        <v>#DIV/0!</v>
      </c>
      <c r="G138" s="63" t="e">
        <f t="shared" si="37"/>
        <v>#DIV/0!</v>
      </c>
      <c r="J138" s="124">
        <f t="shared" si="30"/>
        <v>0</v>
      </c>
      <c r="K138" s="69">
        <f t="shared" si="47"/>
        <v>0</v>
      </c>
      <c r="L138" s="63">
        <v>0.14000000000000001</v>
      </c>
      <c r="M138" s="69">
        <f t="shared" si="34"/>
        <v>0</v>
      </c>
    </row>
    <row r="139" spans="1:13" x14ac:dyDescent="0.25">
      <c r="A139" s="67" t="s">
        <v>252</v>
      </c>
      <c r="B139" s="97">
        <v>44004</v>
      </c>
      <c r="C139" s="66"/>
      <c r="E139" s="66"/>
      <c r="G139" s="63"/>
      <c r="J139" s="124">
        <f t="shared" si="30"/>
        <v>0</v>
      </c>
      <c r="K139" s="69"/>
      <c r="L139" s="63"/>
      <c r="M139" s="69"/>
    </row>
    <row r="140" spans="1:13" x14ac:dyDescent="0.25">
      <c r="A140" s="67" t="s">
        <v>253</v>
      </c>
      <c r="B140" s="98">
        <v>100</v>
      </c>
      <c r="C140" s="66"/>
      <c r="E140" s="66"/>
      <c r="G140" s="63"/>
      <c r="J140" s="124">
        <f t="shared" si="30"/>
        <v>0</v>
      </c>
      <c r="K140" s="69"/>
      <c r="L140" s="63"/>
      <c r="M140" s="69"/>
    </row>
    <row r="141" spans="1:13" ht="45" customHeight="1" x14ac:dyDescent="0.25">
      <c r="A141" s="67" t="s">
        <v>254</v>
      </c>
      <c r="B141" s="128" t="s">
        <v>261</v>
      </c>
      <c r="C141" s="129"/>
      <c r="D141" s="129"/>
      <c r="E141" s="129"/>
      <c r="F141" s="129"/>
      <c r="G141" s="129"/>
      <c r="H141" s="129"/>
      <c r="I141" s="115"/>
      <c r="J141" s="124">
        <f t="shared" si="30"/>
        <v>0</v>
      </c>
      <c r="K141" s="69"/>
      <c r="L141" s="63"/>
      <c r="M141" s="69"/>
    </row>
    <row r="142" spans="1:13" x14ac:dyDescent="0.25">
      <c r="A142" s="67" t="s">
        <v>256</v>
      </c>
      <c r="B142" s="69"/>
      <c r="C142" s="66"/>
      <c r="E142" s="66"/>
      <c r="G142" s="63"/>
      <c r="J142" s="124">
        <f t="shared" si="30"/>
        <v>0</v>
      </c>
      <c r="K142" s="69"/>
      <c r="L142" s="63"/>
      <c r="M142" s="69"/>
    </row>
    <row r="143" spans="1:13" x14ac:dyDescent="0.25">
      <c r="A143" s="67" t="s">
        <v>257</v>
      </c>
      <c r="B143" s="63"/>
      <c r="C143" s="66"/>
      <c r="E143" s="66"/>
      <c r="G143" s="63"/>
      <c r="J143" s="124">
        <f t="shared" ref="J143:J206" si="48">D143/0.795</f>
        <v>0</v>
      </c>
      <c r="K143" s="69"/>
      <c r="L143" s="63"/>
      <c r="M143" s="69"/>
    </row>
    <row r="144" spans="1:13" x14ac:dyDescent="0.25">
      <c r="A144" s="67" t="s">
        <v>260</v>
      </c>
      <c r="B144" s="98">
        <v>6</v>
      </c>
      <c r="C144" s="66"/>
      <c r="E144" s="66"/>
      <c r="G144" s="63"/>
      <c r="J144" s="124">
        <f t="shared" si="48"/>
        <v>0</v>
      </c>
      <c r="K144" s="69"/>
      <c r="L144" s="63"/>
      <c r="M144" s="69"/>
    </row>
    <row r="145" spans="1:13" x14ac:dyDescent="0.25">
      <c r="A145" s="67" t="s">
        <v>258</v>
      </c>
      <c r="B145" s="98"/>
      <c r="C145" s="66"/>
      <c r="E145" s="66"/>
      <c r="G145" s="63"/>
      <c r="J145" s="124">
        <f t="shared" si="48"/>
        <v>0</v>
      </c>
      <c r="K145" s="69"/>
      <c r="L145" s="63"/>
      <c r="M145" s="69"/>
    </row>
    <row r="146" spans="1:13" ht="31.5" x14ac:dyDescent="0.25">
      <c r="A146" s="64" t="s">
        <v>72</v>
      </c>
      <c r="B146" s="60" t="s">
        <v>82</v>
      </c>
      <c r="C146" s="60" t="s">
        <v>87</v>
      </c>
      <c r="D146" t="s">
        <v>83</v>
      </c>
      <c r="E146" t="s">
        <v>88</v>
      </c>
      <c r="F146" t="s">
        <v>84</v>
      </c>
      <c r="G146" t="s">
        <v>89</v>
      </c>
      <c r="H146" t="s">
        <v>85</v>
      </c>
      <c r="I146" t="s">
        <v>417</v>
      </c>
      <c r="J146" s="124" t="e">
        <f t="shared" si="48"/>
        <v>#VALUE!</v>
      </c>
      <c r="K146" s="107" t="s">
        <v>244</v>
      </c>
      <c r="L146" s="107" t="s">
        <v>245</v>
      </c>
      <c r="M146" t="s">
        <v>49</v>
      </c>
    </row>
    <row r="147" spans="1:13" x14ac:dyDescent="0.25">
      <c r="A147" s="65">
        <v>40543</v>
      </c>
      <c r="B147" s="67">
        <f>营业收入分析!I2</f>
        <v>0</v>
      </c>
      <c r="C147" s="66" t="e">
        <f t="shared" si="44"/>
        <v>#VALUE!</v>
      </c>
      <c r="D147" s="67">
        <f>营业成本分析!I2</f>
        <v>0</v>
      </c>
      <c r="E147" s="66" t="e">
        <f t="shared" si="36"/>
        <v>#VALUE!</v>
      </c>
      <c r="F147" s="69">
        <f t="shared" ref="F147:F154" si="49">B147-D147</f>
        <v>0</v>
      </c>
      <c r="G147" s="63" t="e">
        <f t="shared" si="37"/>
        <v>#VALUE!</v>
      </c>
      <c r="H147" s="63" t="e">
        <f t="shared" ref="H147:H154" si="50">F147/B147</f>
        <v>#DIV/0!</v>
      </c>
      <c r="I147" s="63"/>
      <c r="J147" s="124">
        <f t="shared" si="48"/>
        <v>0</v>
      </c>
      <c r="K147" s="69">
        <f t="shared" ref="K147:K165" si="51">B147-D147/0.65</f>
        <v>0</v>
      </c>
      <c r="L147" s="63">
        <v>0.14000000000000001</v>
      </c>
      <c r="M147" s="69">
        <f t="shared" si="34"/>
        <v>0</v>
      </c>
    </row>
    <row r="148" spans="1:13" x14ac:dyDescent="0.25">
      <c r="A148" s="65">
        <v>40908</v>
      </c>
      <c r="B148" s="67">
        <f>营业收入分析!I3</f>
        <v>0</v>
      </c>
      <c r="C148" s="66" t="e">
        <f t="shared" si="44"/>
        <v>#DIV/0!</v>
      </c>
      <c r="D148" s="67">
        <f>营业成本分析!I3</f>
        <v>0</v>
      </c>
      <c r="E148" s="66" t="e">
        <f t="shared" si="36"/>
        <v>#DIV/0!</v>
      </c>
      <c r="F148" s="69">
        <f t="shared" si="49"/>
        <v>0</v>
      </c>
      <c r="G148" s="63" t="e">
        <f t="shared" si="37"/>
        <v>#DIV/0!</v>
      </c>
      <c r="H148" s="63" t="e">
        <f t="shared" si="50"/>
        <v>#DIV/0!</v>
      </c>
      <c r="I148" s="63"/>
      <c r="J148" s="124">
        <f t="shared" si="48"/>
        <v>0</v>
      </c>
      <c r="K148" s="69">
        <f t="shared" si="51"/>
        <v>0</v>
      </c>
      <c r="L148" s="63">
        <v>0.14000000000000001</v>
      </c>
      <c r="M148" s="69">
        <f t="shared" si="34"/>
        <v>0</v>
      </c>
    </row>
    <row r="149" spans="1:13" x14ac:dyDescent="0.25">
      <c r="A149" s="65">
        <v>41274</v>
      </c>
      <c r="B149" s="67">
        <f>营业收入分析!I4</f>
        <v>0</v>
      </c>
      <c r="C149" s="66" t="e">
        <f t="shared" si="44"/>
        <v>#DIV/0!</v>
      </c>
      <c r="D149" s="67">
        <f>营业成本分析!I4</f>
        <v>0</v>
      </c>
      <c r="E149" s="66" t="e">
        <f t="shared" si="36"/>
        <v>#DIV/0!</v>
      </c>
      <c r="F149" s="69">
        <f t="shared" si="49"/>
        <v>0</v>
      </c>
      <c r="G149" s="63" t="e">
        <f t="shared" si="37"/>
        <v>#DIV/0!</v>
      </c>
      <c r="H149" s="63" t="e">
        <f t="shared" si="50"/>
        <v>#DIV/0!</v>
      </c>
      <c r="I149" s="63"/>
      <c r="J149" s="124">
        <f t="shared" si="48"/>
        <v>0</v>
      </c>
      <c r="K149" s="69">
        <f t="shared" si="51"/>
        <v>0</v>
      </c>
      <c r="L149" s="63">
        <v>0.14000000000000001</v>
      </c>
      <c r="M149" s="69">
        <f t="shared" si="34"/>
        <v>0</v>
      </c>
    </row>
    <row r="150" spans="1:13" x14ac:dyDescent="0.25">
      <c r="A150" s="65">
        <v>41639</v>
      </c>
      <c r="B150" s="67">
        <f>营业收入分析!I5</f>
        <v>0</v>
      </c>
      <c r="C150" s="66" t="e">
        <f t="shared" si="44"/>
        <v>#DIV/0!</v>
      </c>
      <c r="D150" s="67">
        <f>营业成本分析!I5</f>
        <v>0</v>
      </c>
      <c r="E150" s="66" t="e">
        <f t="shared" si="36"/>
        <v>#DIV/0!</v>
      </c>
      <c r="F150" s="69">
        <f t="shared" si="49"/>
        <v>0</v>
      </c>
      <c r="G150" s="63" t="e">
        <f t="shared" si="37"/>
        <v>#DIV/0!</v>
      </c>
      <c r="H150" s="63" t="e">
        <f t="shared" si="50"/>
        <v>#DIV/0!</v>
      </c>
      <c r="I150" s="63"/>
      <c r="J150" s="124">
        <f t="shared" si="48"/>
        <v>0</v>
      </c>
      <c r="K150" s="69">
        <f t="shared" si="51"/>
        <v>0</v>
      </c>
      <c r="L150" s="63">
        <v>0.14000000000000001</v>
      </c>
      <c r="M150" s="69">
        <f t="shared" si="34"/>
        <v>0</v>
      </c>
    </row>
    <row r="151" spans="1:13" x14ac:dyDescent="0.25">
      <c r="A151" s="65">
        <v>42004</v>
      </c>
      <c r="B151" s="67">
        <f>营业收入分析!I6</f>
        <v>0</v>
      </c>
      <c r="C151" s="66" t="e">
        <f t="shared" ref="C151:C162" si="52">(B151-B150)/B150</f>
        <v>#DIV/0!</v>
      </c>
      <c r="D151" s="67">
        <f>营业成本分析!I6</f>
        <v>0</v>
      </c>
      <c r="E151" s="66" t="e">
        <f t="shared" si="36"/>
        <v>#DIV/0!</v>
      </c>
      <c r="F151" s="69">
        <f t="shared" si="49"/>
        <v>0</v>
      </c>
      <c r="G151" s="63" t="e">
        <f t="shared" si="37"/>
        <v>#DIV/0!</v>
      </c>
      <c r="H151" s="63" t="e">
        <f t="shared" si="50"/>
        <v>#DIV/0!</v>
      </c>
      <c r="I151" s="93" t="e">
        <f t="shared" ref="I151:I163" si="53">F151/F279</f>
        <v>#DIV/0!</v>
      </c>
      <c r="J151" s="124">
        <f t="shared" si="48"/>
        <v>0</v>
      </c>
      <c r="K151" s="69">
        <f t="shared" si="51"/>
        <v>0</v>
      </c>
      <c r="L151" s="63">
        <v>0.14000000000000001</v>
      </c>
      <c r="M151" s="69">
        <f t="shared" si="34"/>
        <v>0</v>
      </c>
    </row>
    <row r="152" spans="1:13" x14ac:dyDescent="0.25">
      <c r="A152" s="65">
        <v>42369</v>
      </c>
      <c r="B152" s="67">
        <f>营业收入分析!I7</f>
        <v>0</v>
      </c>
      <c r="C152" s="66" t="e">
        <f t="shared" si="52"/>
        <v>#DIV/0!</v>
      </c>
      <c r="D152" s="67">
        <f>营业成本分析!I7</f>
        <v>0</v>
      </c>
      <c r="E152" s="66" t="e">
        <f t="shared" si="36"/>
        <v>#DIV/0!</v>
      </c>
      <c r="F152" s="69">
        <f t="shared" si="49"/>
        <v>0</v>
      </c>
      <c r="G152" s="63" t="e">
        <f t="shared" si="37"/>
        <v>#DIV/0!</v>
      </c>
      <c r="H152" s="63" t="e">
        <f t="shared" si="50"/>
        <v>#DIV/0!</v>
      </c>
      <c r="I152" s="93" t="e">
        <f t="shared" si="53"/>
        <v>#DIV/0!</v>
      </c>
      <c r="J152" s="124">
        <f t="shared" si="48"/>
        <v>0</v>
      </c>
      <c r="K152" s="69">
        <f t="shared" si="51"/>
        <v>0</v>
      </c>
      <c r="L152" s="63">
        <v>0.14000000000000001</v>
      </c>
      <c r="M152" s="69">
        <f t="shared" si="34"/>
        <v>0</v>
      </c>
    </row>
    <row r="153" spans="1:13" x14ac:dyDescent="0.25">
      <c r="A153" s="65">
        <v>42735</v>
      </c>
      <c r="B153" s="67">
        <f>营业收入分析!I8</f>
        <v>0</v>
      </c>
      <c r="C153" s="66" t="e">
        <f t="shared" si="52"/>
        <v>#DIV/0!</v>
      </c>
      <c r="D153" s="67">
        <f>营业成本分析!I8</f>
        <v>0</v>
      </c>
      <c r="E153" s="66" t="e">
        <f t="shared" si="36"/>
        <v>#DIV/0!</v>
      </c>
      <c r="F153" s="69">
        <f t="shared" si="49"/>
        <v>0</v>
      </c>
      <c r="G153" s="63" t="e">
        <f t="shared" si="37"/>
        <v>#DIV/0!</v>
      </c>
      <c r="H153" s="63" t="e">
        <f t="shared" si="50"/>
        <v>#DIV/0!</v>
      </c>
      <c r="I153" s="93" t="e">
        <f t="shared" si="53"/>
        <v>#DIV/0!</v>
      </c>
      <c r="J153" s="124">
        <f t="shared" si="48"/>
        <v>0</v>
      </c>
      <c r="K153" s="69">
        <f t="shared" si="51"/>
        <v>0</v>
      </c>
      <c r="L153" s="63">
        <v>0.14000000000000001</v>
      </c>
      <c r="M153" s="69">
        <f t="shared" si="34"/>
        <v>0</v>
      </c>
    </row>
    <row r="154" spans="1:13" x14ac:dyDescent="0.25">
      <c r="A154" s="65">
        <v>43100</v>
      </c>
      <c r="B154" s="67">
        <f>营业收入分析!I9</f>
        <v>0</v>
      </c>
      <c r="C154" s="66" t="e">
        <f t="shared" si="52"/>
        <v>#DIV/0!</v>
      </c>
      <c r="D154" s="67">
        <f>营业成本分析!I9</f>
        <v>0</v>
      </c>
      <c r="E154" s="66" t="e">
        <f t="shared" si="36"/>
        <v>#DIV/0!</v>
      </c>
      <c r="F154" s="69">
        <f t="shared" si="49"/>
        <v>0</v>
      </c>
      <c r="G154" s="63" t="e">
        <f t="shared" si="37"/>
        <v>#DIV/0!</v>
      </c>
      <c r="H154" s="63" t="e">
        <f t="shared" si="50"/>
        <v>#DIV/0!</v>
      </c>
      <c r="I154" s="93">
        <f t="shared" si="53"/>
        <v>0</v>
      </c>
      <c r="J154" s="124">
        <f t="shared" si="48"/>
        <v>0</v>
      </c>
      <c r="K154" s="69">
        <f t="shared" si="51"/>
        <v>0</v>
      </c>
      <c r="L154" s="63">
        <v>0.14000000000000001</v>
      </c>
      <c r="M154" s="69">
        <f t="shared" si="34"/>
        <v>0</v>
      </c>
    </row>
    <row r="155" spans="1:13" x14ac:dyDescent="0.25">
      <c r="A155" s="65">
        <v>43465</v>
      </c>
      <c r="B155" s="67">
        <f>营业收入分析!I10</f>
        <v>0</v>
      </c>
      <c r="C155" s="66" t="e">
        <f t="shared" si="52"/>
        <v>#DIV/0!</v>
      </c>
      <c r="D155" s="67">
        <f>营业成本分析!I10</f>
        <v>0</v>
      </c>
      <c r="E155" s="66" t="e">
        <f t="shared" si="36"/>
        <v>#DIV/0!</v>
      </c>
      <c r="F155" s="69">
        <f t="shared" ref="F155:F162" si="54">B155-D155</f>
        <v>0</v>
      </c>
      <c r="G155" s="63" t="e">
        <f t="shared" si="37"/>
        <v>#DIV/0!</v>
      </c>
      <c r="H155" s="63" t="e">
        <f t="shared" ref="H155:H162" si="55">F155/B155</f>
        <v>#DIV/0!</v>
      </c>
      <c r="I155" s="93">
        <f t="shared" si="53"/>
        <v>0</v>
      </c>
      <c r="J155" s="124">
        <f t="shared" si="48"/>
        <v>0</v>
      </c>
      <c r="K155" s="69">
        <f t="shared" si="51"/>
        <v>0</v>
      </c>
      <c r="L155" s="63">
        <v>0.14000000000000001</v>
      </c>
      <c r="M155" s="69">
        <f t="shared" si="34"/>
        <v>0</v>
      </c>
    </row>
    <row r="156" spans="1:13" x14ac:dyDescent="0.25">
      <c r="A156" s="65">
        <v>43830</v>
      </c>
      <c r="B156" s="67">
        <f>营业收入分析!I11</f>
        <v>0</v>
      </c>
      <c r="C156" s="66" t="e">
        <f t="shared" si="52"/>
        <v>#DIV/0!</v>
      </c>
      <c r="D156" s="67">
        <f>营业成本分析!I11</f>
        <v>0</v>
      </c>
      <c r="E156" s="66" t="e">
        <f t="shared" si="36"/>
        <v>#DIV/0!</v>
      </c>
      <c r="F156" s="69">
        <f t="shared" si="54"/>
        <v>0</v>
      </c>
      <c r="G156" s="63" t="e">
        <f t="shared" si="37"/>
        <v>#DIV/0!</v>
      </c>
      <c r="H156" s="63" t="e">
        <f t="shared" si="55"/>
        <v>#DIV/0!</v>
      </c>
      <c r="I156" s="93">
        <f t="shared" si="53"/>
        <v>0</v>
      </c>
      <c r="J156" s="124">
        <f t="shared" si="48"/>
        <v>0</v>
      </c>
      <c r="K156" s="69">
        <f t="shared" si="51"/>
        <v>0</v>
      </c>
      <c r="L156" s="63">
        <v>0.14000000000000001</v>
      </c>
      <c r="M156" s="69">
        <f t="shared" si="34"/>
        <v>0</v>
      </c>
    </row>
    <row r="157" spans="1:13" s="71" customFormat="1" x14ac:dyDescent="0.25">
      <c r="A157" s="72">
        <v>43831</v>
      </c>
      <c r="B157" s="91">
        <f>营业收入分析!I12</f>
        <v>0</v>
      </c>
      <c r="C157" s="74" t="e">
        <f t="shared" si="52"/>
        <v>#DIV/0!</v>
      </c>
      <c r="D157" s="91">
        <f>营业成本分析!I12</f>
        <v>0</v>
      </c>
      <c r="E157" s="74" t="e">
        <f t="shared" si="36"/>
        <v>#DIV/0!</v>
      </c>
      <c r="F157" s="92">
        <f t="shared" si="54"/>
        <v>0</v>
      </c>
      <c r="G157" s="93" t="e">
        <f t="shared" si="37"/>
        <v>#DIV/0!</v>
      </c>
      <c r="H157" s="93" t="e">
        <f t="shared" si="55"/>
        <v>#DIV/0!</v>
      </c>
      <c r="I157" s="93">
        <f>F157/F285</f>
        <v>0</v>
      </c>
      <c r="J157" s="124">
        <f t="shared" si="48"/>
        <v>0</v>
      </c>
      <c r="K157" s="92">
        <f t="shared" si="51"/>
        <v>0</v>
      </c>
      <c r="L157" s="63">
        <v>0.14000000000000001</v>
      </c>
      <c r="M157" s="92">
        <f t="shared" si="34"/>
        <v>0</v>
      </c>
    </row>
    <row r="158" spans="1:13" x14ac:dyDescent="0.25">
      <c r="A158" s="85">
        <f>A14+1</f>
        <v>2021</v>
      </c>
      <c r="B158" s="67">
        <f>B157*2</f>
        <v>0</v>
      </c>
      <c r="C158" s="66" t="e">
        <f t="shared" si="52"/>
        <v>#DIV/0!</v>
      </c>
      <c r="D158" s="67">
        <f>B158*0.4</f>
        <v>0</v>
      </c>
      <c r="E158" s="66" t="e">
        <f t="shared" si="36"/>
        <v>#DIV/0!</v>
      </c>
      <c r="F158" s="69">
        <f t="shared" si="54"/>
        <v>0</v>
      </c>
      <c r="G158" s="63" t="e">
        <f t="shared" si="37"/>
        <v>#DIV/0!</v>
      </c>
      <c r="H158" s="63" t="e">
        <f t="shared" si="55"/>
        <v>#DIV/0!</v>
      </c>
      <c r="I158" s="93">
        <f t="shared" si="53"/>
        <v>0</v>
      </c>
      <c r="J158" s="124">
        <f t="shared" si="48"/>
        <v>0</v>
      </c>
      <c r="K158" s="69">
        <f t="shared" si="51"/>
        <v>0</v>
      </c>
      <c r="L158" s="63">
        <v>0.14000000000000001</v>
      </c>
      <c r="M158" s="69">
        <f t="shared" si="34"/>
        <v>0</v>
      </c>
    </row>
    <row r="159" spans="1:13" x14ac:dyDescent="0.25">
      <c r="A159" s="85">
        <f>A158+1</f>
        <v>2022</v>
      </c>
      <c r="B159" s="67">
        <f>B158*3</f>
        <v>0</v>
      </c>
      <c r="C159" s="66" t="e">
        <f t="shared" si="52"/>
        <v>#DIV/0!</v>
      </c>
      <c r="D159" s="67">
        <f>B159*0.4</f>
        <v>0</v>
      </c>
      <c r="E159" s="66" t="e">
        <f t="shared" si="36"/>
        <v>#DIV/0!</v>
      </c>
      <c r="F159" s="69">
        <f t="shared" si="54"/>
        <v>0</v>
      </c>
      <c r="G159" s="63" t="e">
        <f t="shared" si="37"/>
        <v>#DIV/0!</v>
      </c>
      <c r="H159" s="63" t="e">
        <f t="shared" si="55"/>
        <v>#DIV/0!</v>
      </c>
      <c r="I159" s="93">
        <f t="shared" si="53"/>
        <v>0</v>
      </c>
      <c r="J159" s="124">
        <f t="shared" si="48"/>
        <v>0</v>
      </c>
      <c r="K159" s="69">
        <f t="shared" si="51"/>
        <v>0</v>
      </c>
      <c r="L159" s="63">
        <v>0.14000000000000001</v>
      </c>
      <c r="M159" s="69">
        <f t="shared" si="34"/>
        <v>0</v>
      </c>
    </row>
    <row r="160" spans="1:13" x14ac:dyDescent="0.25">
      <c r="A160" s="85">
        <f>A159+1</f>
        <v>2023</v>
      </c>
      <c r="B160" s="67">
        <f>B159*1.6</f>
        <v>0</v>
      </c>
      <c r="C160" s="66" t="e">
        <f t="shared" si="52"/>
        <v>#DIV/0!</v>
      </c>
      <c r="D160" s="67">
        <f>B160*0.3</f>
        <v>0</v>
      </c>
      <c r="E160" s="66" t="e">
        <f t="shared" si="36"/>
        <v>#DIV/0!</v>
      </c>
      <c r="F160" s="69">
        <f t="shared" si="54"/>
        <v>0</v>
      </c>
      <c r="G160" s="63" t="e">
        <f t="shared" si="37"/>
        <v>#DIV/0!</v>
      </c>
      <c r="H160" s="63" t="e">
        <f t="shared" si="55"/>
        <v>#DIV/0!</v>
      </c>
      <c r="I160" s="93">
        <f t="shared" si="53"/>
        <v>0</v>
      </c>
      <c r="J160" s="124">
        <f t="shared" si="48"/>
        <v>0</v>
      </c>
      <c r="K160" s="69">
        <f t="shared" si="51"/>
        <v>0</v>
      </c>
      <c r="L160" s="63">
        <v>0.14000000000000001</v>
      </c>
      <c r="M160" s="69">
        <f t="shared" si="34"/>
        <v>0</v>
      </c>
    </row>
    <row r="161" spans="1:13" x14ac:dyDescent="0.25">
      <c r="A161" s="85">
        <f>A160+1</f>
        <v>2024</v>
      </c>
      <c r="B161" s="67">
        <f>B160*1.5</f>
        <v>0</v>
      </c>
      <c r="C161" s="66" t="e">
        <f t="shared" si="52"/>
        <v>#DIV/0!</v>
      </c>
      <c r="D161" s="67">
        <f>B161*0.3</f>
        <v>0</v>
      </c>
      <c r="E161" s="66" t="e">
        <f t="shared" si="36"/>
        <v>#DIV/0!</v>
      </c>
      <c r="F161" s="69">
        <f t="shared" si="54"/>
        <v>0</v>
      </c>
      <c r="G161" s="63" t="e">
        <f t="shared" si="37"/>
        <v>#DIV/0!</v>
      </c>
      <c r="H161" s="63" t="e">
        <f t="shared" si="55"/>
        <v>#DIV/0!</v>
      </c>
      <c r="I161" s="93">
        <f t="shared" si="53"/>
        <v>0</v>
      </c>
      <c r="J161" s="124">
        <f t="shared" si="48"/>
        <v>0</v>
      </c>
      <c r="K161" s="69">
        <f t="shared" si="51"/>
        <v>0</v>
      </c>
      <c r="L161" s="63">
        <v>0.14000000000000001</v>
      </c>
      <c r="M161" s="69">
        <f t="shared" si="34"/>
        <v>0</v>
      </c>
    </row>
    <row r="162" spans="1:13" x14ac:dyDescent="0.25">
      <c r="A162" s="85">
        <f>A161+1</f>
        <v>2025</v>
      </c>
      <c r="B162" s="67">
        <f>B161*1.3</f>
        <v>0</v>
      </c>
      <c r="C162" s="66" t="e">
        <f t="shared" si="52"/>
        <v>#DIV/0!</v>
      </c>
      <c r="D162" s="67">
        <f>B162*0.3</f>
        <v>0</v>
      </c>
      <c r="E162" s="66" t="e">
        <f t="shared" si="36"/>
        <v>#DIV/0!</v>
      </c>
      <c r="F162" s="69">
        <f t="shared" si="54"/>
        <v>0</v>
      </c>
      <c r="G162" s="63" t="e">
        <f t="shared" si="37"/>
        <v>#DIV/0!</v>
      </c>
      <c r="H162" s="63" t="e">
        <f t="shared" si="55"/>
        <v>#DIV/0!</v>
      </c>
      <c r="I162" s="93">
        <f t="shared" si="53"/>
        <v>0</v>
      </c>
      <c r="J162" s="124">
        <f t="shared" si="48"/>
        <v>0</v>
      </c>
      <c r="K162" s="69">
        <f t="shared" si="51"/>
        <v>0</v>
      </c>
      <c r="L162" s="63">
        <v>0.14000000000000001</v>
      </c>
      <c r="M162" s="69">
        <f t="shared" si="34"/>
        <v>0</v>
      </c>
    </row>
    <row r="163" spans="1:13" x14ac:dyDescent="0.25">
      <c r="C163" s="66" t="e">
        <f>(B163-B157)/B157</f>
        <v>#DIV/0!</v>
      </c>
      <c r="E163" s="66" t="e">
        <f>(D163-D157)/D157</f>
        <v>#DIV/0!</v>
      </c>
      <c r="G163" s="63" t="e">
        <f>(F163-F157)/F157</f>
        <v>#DIV/0!</v>
      </c>
      <c r="I163" s="93" t="e">
        <f t="shared" si="53"/>
        <v>#DIV/0!</v>
      </c>
      <c r="J163" s="124">
        <f t="shared" si="48"/>
        <v>0</v>
      </c>
      <c r="K163" s="69">
        <f t="shared" si="51"/>
        <v>0</v>
      </c>
      <c r="L163" s="63">
        <v>0.14000000000000001</v>
      </c>
      <c r="M163" s="69">
        <f t="shared" si="34"/>
        <v>0</v>
      </c>
    </row>
    <row r="164" spans="1:13" x14ac:dyDescent="0.25">
      <c r="C164" s="66" t="e">
        <f>(B164-B158)/B158</f>
        <v>#DIV/0!</v>
      </c>
      <c r="E164" s="66" t="e">
        <f>(D164-D158)/D158</f>
        <v>#DIV/0!</v>
      </c>
      <c r="G164" s="63" t="e">
        <f>(F164-F158)/F158</f>
        <v>#DIV/0!</v>
      </c>
      <c r="J164" s="124">
        <f t="shared" si="48"/>
        <v>0</v>
      </c>
      <c r="K164" s="69">
        <f t="shared" si="51"/>
        <v>0</v>
      </c>
      <c r="L164" s="63">
        <v>0.14000000000000001</v>
      </c>
      <c r="M164" s="69">
        <f>K164*(1-L164)</f>
        <v>0</v>
      </c>
    </row>
    <row r="165" spans="1:13" x14ac:dyDescent="0.25">
      <c r="A165" s="67">
        <f>营业收入分析!J1</f>
        <v>0</v>
      </c>
      <c r="C165" s="66" t="e">
        <f>(B165-B164)/B164</f>
        <v>#DIV/0!</v>
      </c>
      <c r="E165" s="66" t="e">
        <f>(D165-D164)/D164</f>
        <v>#DIV/0!</v>
      </c>
      <c r="G165" s="63" t="e">
        <f>(F165-F164)/F164</f>
        <v>#DIV/0!</v>
      </c>
      <c r="J165" s="124">
        <f t="shared" si="48"/>
        <v>0</v>
      </c>
      <c r="K165" s="69">
        <f t="shared" si="51"/>
        <v>0</v>
      </c>
      <c r="L165" s="63">
        <v>0.14000000000000001</v>
      </c>
      <c r="M165" s="69">
        <f>K165*(1-L165)</f>
        <v>0</v>
      </c>
    </row>
    <row r="166" spans="1:13" x14ac:dyDescent="0.25">
      <c r="A166" s="67" t="s">
        <v>252</v>
      </c>
      <c r="B166" s="97">
        <v>44287</v>
      </c>
      <c r="C166" s="66"/>
      <c r="E166" s="66"/>
      <c r="G166" s="63"/>
      <c r="J166" s="124">
        <f t="shared" si="48"/>
        <v>0</v>
      </c>
      <c r="K166" s="69"/>
      <c r="L166" s="63"/>
      <c r="M166" s="69"/>
    </row>
    <row r="167" spans="1:13" x14ac:dyDescent="0.25">
      <c r="A167" s="67" t="s">
        <v>253</v>
      </c>
      <c r="B167" s="98">
        <v>100</v>
      </c>
      <c r="C167" s="66"/>
      <c r="E167" s="66"/>
      <c r="G167" s="63"/>
      <c r="J167" s="124">
        <f t="shared" si="48"/>
        <v>0</v>
      </c>
      <c r="K167" s="69"/>
      <c r="L167" s="63"/>
      <c r="M167" s="69"/>
    </row>
    <row r="168" spans="1:13" ht="45" customHeight="1" x14ac:dyDescent="0.25">
      <c r="A168" s="67" t="s">
        <v>254</v>
      </c>
      <c r="B168" s="128"/>
      <c r="C168" s="129"/>
      <c r="D168" s="129"/>
      <c r="E168" s="129"/>
      <c r="F168" s="129"/>
      <c r="G168" s="129"/>
      <c r="H168" s="129"/>
      <c r="I168" s="115"/>
      <c r="J168" s="124">
        <f t="shared" si="48"/>
        <v>0</v>
      </c>
      <c r="K168" s="69"/>
      <c r="L168" s="63"/>
      <c r="M168" s="69"/>
    </row>
    <row r="169" spans="1:13" x14ac:dyDescent="0.25">
      <c r="A169" s="67" t="s">
        <v>256</v>
      </c>
      <c r="B169" s="69"/>
      <c r="C169" s="66"/>
      <c r="E169" s="66"/>
      <c r="G169" s="63"/>
      <c r="J169" s="124">
        <f t="shared" si="48"/>
        <v>0</v>
      </c>
      <c r="K169" s="69"/>
      <c r="L169" s="63"/>
      <c r="M169" s="69"/>
    </row>
    <row r="170" spans="1:13" x14ac:dyDescent="0.25">
      <c r="A170" s="67" t="s">
        <v>257</v>
      </c>
      <c r="B170" s="63"/>
      <c r="C170" s="66"/>
      <c r="E170" s="66"/>
      <c r="G170" s="63"/>
      <c r="J170" s="124">
        <f t="shared" si="48"/>
        <v>0</v>
      </c>
      <c r="K170" s="69"/>
      <c r="L170" s="63"/>
      <c r="M170" s="69"/>
    </row>
    <row r="171" spans="1:13" x14ac:dyDescent="0.25">
      <c r="A171" s="67" t="s">
        <v>260</v>
      </c>
      <c r="B171" s="98"/>
      <c r="C171" s="66"/>
      <c r="E171" s="66"/>
      <c r="G171" s="63"/>
      <c r="J171" s="124">
        <f t="shared" si="48"/>
        <v>0</v>
      </c>
      <c r="K171" s="69"/>
      <c r="L171" s="63"/>
      <c r="M171" s="69"/>
    </row>
    <row r="172" spans="1:13" x14ac:dyDescent="0.25">
      <c r="A172" s="67" t="s">
        <v>258</v>
      </c>
      <c r="B172" s="98"/>
      <c r="C172" s="66"/>
      <c r="E172" s="66"/>
      <c r="G172" s="63"/>
      <c r="J172" s="124">
        <f t="shared" si="48"/>
        <v>0</v>
      </c>
      <c r="K172" s="69"/>
      <c r="L172" s="63"/>
      <c r="M172" s="69"/>
    </row>
    <row r="173" spans="1:13" ht="31.5" x14ac:dyDescent="0.25">
      <c r="A173" s="64" t="s">
        <v>72</v>
      </c>
      <c r="B173" s="60" t="s">
        <v>82</v>
      </c>
      <c r="C173" s="60" t="s">
        <v>87</v>
      </c>
      <c r="D173" t="s">
        <v>83</v>
      </c>
      <c r="E173" t="s">
        <v>88</v>
      </c>
      <c r="F173" t="s">
        <v>84</v>
      </c>
      <c r="G173" t="s">
        <v>89</v>
      </c>
      <c r="H173" t="s">
        <v>85</v>
      </c>
      <c r="I173" t="s">
        <v>417</v>
      </c>
      <c r="J173" s="124" t="e">
        <f t="shared" si="48"/>
        <v>#VALUE!</v>
      </c>
      <c r="K173" s="107" t="s">
        <v>244</v>
      </c>
      <c r="L173" s="107" t="s">
        <v>245</v>
      </c>
      <c r="M173" t="s">
        <v>49</v>
      </c>
    </row>
    <row r="174" spans="1:13" x14ac:dyDescent="0.25">
      <c r="A174" s="65">
        <v>40543</v>
      </c>
      <c r="B174" s="67">
        <f>营业收入分析!I29</f>
        <v>0</v>
      </c>
      <c r="C174" s="66" t="e">
        <f>(B174-B173)/B173</f>
        <v>#VALUE!</v>
      </c>
      <c r="D174" s="67">
        <f>营业成本分析!I29</f>
        <v>0</v>
      </c>
      <c r="E174" s="66" t="e">
        <f t="shared" ref="E174:E189" si="56">(D174-D173)/D173</f>
        <v>#VALUE!</v>
      </c>
      <c r="F174" s="69">
        <f t="shared" ref="F174:F181" si="57">B174-D174</f>
        <v>0</v>
      </c>
      <c r="G174" s="63" t="e">
        <f t="shared" ref="G174:G189" si="58">(F174-F173)/F173</f>
        <v>#VALUE!</v>
      </c>
      <c r="H174" s="63" t="e">
        <f t="shared" ref="H174:H181" si="59">F174/B174</f>
        <v>#DIV/0!</v>
      </c>
      <c r="I174" s="93" t="e">
        <f t="shared" ref="I174:I190" si="60">F174/F275</f>
        <v>#DIV/0!</v>
      </c>
      <c r="J174" s="124">
        <f t="shared" si="48"/>
        <v>0</v>
      </c>
      <c r="K174" s="69">
        <f t="shared" ref="K174:K190" si="61">B174-D174/0.65</f>
        <v>0</v>
      </c>
      <c r="L174" s="63">
        <v>0.14000000000000001</v>
      </c>
      <c r="M174" s="69">
        <f t="shared" ref="M174:M190" si="62">K174*(1-L174)</f>
        <v>0</v>
      </c>
    </row>
    <row r="175" spans="1:13" x14ac:dyDescent="0.25">
      <c r="A175" s="65">
        <v>40908</v>
      </c>
      <c r="B175" s="67">
        <f>营业收入分析!I30</f>
        <v>0</v>
      </c>
      <c r="C175" s="66" t="e">
        <f>(B175-B174)/B174</f>
        <v>#DIV/0!</v>
      </c>
      <c r="D175" s="67">
        <f>营业成本分析!I30</f>
        <v>0</v>
      </c>
      <c r="E175" s="66" t="e">
        <f t="shared" si="56"/>
        <v>#DIV/0!</v>
      </c>
      <c r="F175" s="69">
        <f t="shared" si="57"/>
        <v>0</v>
      </c>
      <c r="G175" s="63" t="e">
        <f t="shared" si="58"/>
        <v>#DIV/0!</v>
      </c>
      <c r="H175" s="63" t="e">
        <f t="shared" si="59"/>
        <v>#DIV/0!</v>
      </c>
      <c r="I175" s="93" t="e">
        <f t="shared" si="60"/>
        <v>#DIV/0!</v>
      </c>
      <c r="J175" s="124">
        <f t="shared" si="48"/>
        <v>0</v>
      </c>
      <c r="K175" s="69">
        <f t="shared" si="61"/>
        <v>0</v>
      </c>
      <c r="L175" s="63">
        <v>0.14000000000000001</v>
      </c>
      <c r="M175" s="69">
        <f t="shared" si="62"/>
        <v>0</v>
      </c>
    </row>
    <row r="176" spans="1:13" x14ac:dyDescent="0.25">
      <c r="A176" s="65">
        <v>41274</v>
      </c>
      <c r="B176" s="67">
        <f>营业收入分析!I31</f>
        <v>0</v>
      </c>
      <c r="C176" s="66" t="e">
        <f>(B176-B175)/B175</f>
        <v>#DIV/0!</v>
      </c>
      <c r="D176" s="67">
        <f>营业成本分析!I31</f>
        <v>0</v>
      </c>
      <c r="E176" s="66" t="e">
        <f t="shared" si="56"/>
        <v>#DIV/0!</v>
      </c>
      <c r="F176" s="69">
        <f t="shared" si="57"/>
        <v>0</v>
      </c>
      <c r="G176" s="63" t="e">
        <f t="shared" si="58"/>
        <v>#DIV/0!</v>
      </c>
      <c r="H176" s="63" t="e">
        <f t="shared" si="59"/>
        <v>#DIV/0!</v>
      </c>
      <c r="I176" s="93" t="e">
        <f t="shared" si="60"/>
        <v>#DIV/0!</v>
      </c>
      <c r="J176" s="124">
        <f t="shared" si="48"/>
        <v>0</v>
      </c>
      <c r="K176" s="69">
        <f t="shared" si="61"/>
        <v>0</v>
      </c>
      <c r="L176" s="63">
        <v>0.14000000000000001</v>
      </c>
      <c r="M176" s="69">
        <f t="shared" si="62"/>
        <v>0</v>
      </c>
    </row>
    <row r="177" spans="1:13" x14ac:dyDescent="0.25">
      <c r="A177" s="65">
        <v>41639</v>
      </c>
      <c r="B177" s="67">
        <f>营业收入分析!I32</f>
        <v>0</v>
      </c>
      <c r="C177" s="66" t="e">
        <f>(B177-B176)/B176</f>
        <v>#DIV/0!</v>
      </c>
      <c r="D177" s="67">
        <f>营业成本分析!I32</f>
        <v>0</v>
      </c>
      <c r="E177" s="66" t="e">
        <f t="shared" si="56"/>
        <v>#DIV/0!</v>
      </c>
      <c r="F177" s="69">
        <f t="shared" si="57"/>
        <v>0</v>
      </c>
      <c r="G177" s="63" t="e">
        <f t="shared" si="58"/>
        <v>#DIV/0!</v>
      </c>
      <c r="H177" s="63" t="e">
        <f t="shared" si="59"/>
        <v>#DIV/0!</v>
      </c>
      <c r="I177" s="93" t="e">
        <f t="shared" si="60"/>
        <v>#DIV/0!</v>
      </c>
      <c r="J177" s="124">
        <f t="shared" si="48"/>
        <v>0</v>
      </c>
      <c r="K177" s="69">
        <f t="shared" si="61"/>
        <v>0</v>
      </c>
      <c r="L177" s="63">
        <v>0.14000000000000001</v>
      </c>
      <c r="M177" s="69">
        <f t="shared" si="62"/>
        <v>0</v>
      </c>
    </row>
    <row r="178" spans="1:13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56"/>
        <v>#DIV/0!</v>
      </c>
      <c r="F178" s="69">
        <f t="shared" si="57"/>
        <v>0</v>
      </c>
      <c r="G178" s="63" t="e">
        <f t="shared" si="58"/>
        <v>#DIV/0!</v>
      </c>
      <c r="H178" s="63" t="e">
        <f t="shared" si="59"/>
        <v>#DIV/0!</v>
      </c>
      <c r="I178" s="93" t="e">
        <f t="shared" si="60"/>
        <v>#DIV/0!</v>
      </c>
      <c r="J178" s="124">
        <f t="shared" si="48"/>
        <v>0</v>
      </c>
      <c r="K178" s="69">
        <f t="shared" si="61"/>
        <v>0</v>
      </c>
      <c r="L178" s="63">
        <v>0.14000000000000001</v>
      </c>
      <c r="M178" s="69">
        <f t="shared" si="62"/>
        <v>0</v>
      </c>
    </row>
    <row r="179" spans="1:13" x14ac:dyDescent="0.25">
      <c r="A179" s="65">
        <v>42369</v>
      </c>
      <c r="B179" s="67">
        <f>营业收入分析!I34</f>
        <v>0</v>
      </c>
      <c r="C179" s="66" t="e">
        <f t="shared" ref="C179:C189" si="63">(B179-B178)/B178</f>
        <v>#DIV/0!</v>
      </c>
      <c r="D179" s="67">
        <f>营业成本分析!I34</f>
        <v>0</v>
      </c>
      <c r="E179" s="66" t="e">
        <f t="shared" si="56"/>
        <v>#DIV/0!</v>
      </c>
      <c r="F179" s="69">
        <f t="shared" si="57"/>
        <v>0</v>
      </c>
      <c r="G179" s="63" t="e">
        <f t="shared" si="58"/>
        <v>#DIV/0!</v>
      </c>
      <c r="H179" s="63" t="e">
        <f t="shared" si="59"/>
        <v>#DIV/0!</v>
      </c>
      <c r="I179" s="93" t="e">
        <f t="shared" si="60"/>
        <v>#DIV/0!</v>
      </c>
      <c r="J179" s="124">
        <f t="shared" si="48"/>
        <v>0</v>
      </c>
      <c r="K179" s="69">
        <f t="shared" si="61"/>
        <v>0</v>
      </c>
      <c r="L179" s="63">
        <v>0.14000000000000001</v>
      </c>
      <c r="M179" s="69">
        <f t="shared" si="62"/>
        <v>0</v>
      </c>
    </row>
    <row r="180" spans="1:13" x14ac:dyDescent="0.25">
      <c r="A180" s="65">
        <v>42735</v>
      </c>
      <c r="B180" s="67">
        <f>营业收入分析!I35</f>
        <v>0</v>
      </c>
      <c r="C180" s="66" t="e">
        <f t="shared" si="63"/>
        <v>#DIV/0!</v>
      </c>
      <c r="D180" s="67">
        <f>营业成本分析!I35</f>
        <v>0</v>
      </c>
      <c r="E180" s="66" t="e">
        <f t="shared" si="56"/>
        <v>#DIV/0!</v>
      </c>
      <c r="F180" s="69">
        <f t="shared" si="57"/>
        <v>0</v>
      </c>
      <c r="G180" s="63" t="e">
        <f t="shared" si="58"/>
        <v>#DIV/0!</v>
      </c>
      <c r="H180" s="63" t="e">
        <f t="shared" si="59"/>
        <v>#DIV/0!</v>
      </c>
      <c r="I180" s="93" t="e">
        <f t="shared" si="60"/>
        <v>#DIV/0!</v>
      </c>
      <c r="J180" s="124">
        <f t="shared" si="48"/>
        <v>0</v>
      </c>
      <c r="K180" s="69">
        <f t="shared" si="61"/>
        <v>0</v>
      </c>
      <c r="L180" s="63">
        <v>0.14000000000000001</v>
      </c>
      <c r="M180" s="69">
        <f t="shared" si="62"/>
        <v>0</v>
      </c>
    </row>
    <row r="181" spans="1:13" x14ac:dyDescent="0.25">
      <c r="A181" s="65">
        <v>43100</v>
      </c>
      <c r="B181" s="67">
        <f>营业收入分析!I36</f>
        <v>0</v>
      </c>
      <c r="C181" s="66" t="e">
        <f t="shared" si="63"/>
        <v>#DIV/0!</v>
      </c>
      <c r="D181" s="67">
        <f>营业成本分析!I36</f>
        <v>0</v>
      </c>
      <c r="E181" s="66" t="e">
        <f t="shared" si="56"/>
        <v>#DIV/0!</v>
      </c>
      <c r="F181" s="69">
        <f t="shared" si="57"/>
        <v>0</v>
      </c>
      <c r="G181" s="63" t="e">
        <f t="shared" si="58"/>
        <v>#DIV/0!</v>
      </c>
      <c r="H181" s="63" t="e">
        <f t="shared" si="59"/>
        <v>#DIV/0!</v>
      </c>
      <c r="I181" s="93">
        <f t="shared" si="60"/>
        <v>0</v>
      </c>
      <c r="J181" s="124">
        <f t="shared" si="48"/>
        <v>0</v>
      </c>
      <c r="K181" s="69">
        <f t="shared" si="61"/>
        <v>0</v>
      </c>
      <c r="L181" s="63">
        <v>0.14000000000000001</v>
      </c>
      <c r="M181" s="69">
        <f t="shared" si="62"/>
        <v>0</v>
      </c>
    </row>
    <row r="182" spans="1:13" x14ac:dyDescent="0.25">
      <c r="A182" s="65">
        <v>43465</v>
      </c>
      <c r="B182" s="67">
        <f>营业收入分析!I37</f>
        <v>0</v>
      </c>
      <c r="C182" s="66" t="e">
        <f t="shared" si="63"/>
        <v>#DIV/0!</v>
      </c>
      <c r="D182" s="67">
        <f>营业成本分析!I37</f>
        <v>0</v>
      </c>
      <c r="E182" s="66" t="e">
        <f t="shared" si="56"/>
        <v>#DIV/0!</v>
      </c>
      <c r="F182" s="69">
        <f t="shared" ref="F182:F189" si="64">B182-D182</f>
        <v>0</v>
      </c>
      <c r="G182" s="63" t="e">
        <f t="shared" si="58"/>
        <v>#DIV/0!</v>
      </c>
      <c r="H182" s="63" t="e">
        <f t="shared" ref="H182:H189" si="65">F182/B182</f>
        <v>#DIV/0!</v>
      </c>
      <c r="I182" s="93">
        <f t="shared" si="60"/>
        <v>0</v>
      </c>
      <c r="J182" s="124">
        <f t="shared" si="48"/>
        <v>0</v>
      </c>
      <c r="K182" s="69">
        <f t="shared" si="61"/>
        <v>0</v>
      </c>
      <c r="L182" s="63">
        <v>0.14000000000000001</v>
      </c>
      <c r="M182" s="69">
        <f t="shared" si="62"/>
        <v>0</v>
      </c>
    </row>
    <row r="183" spans="1:13" x14ac:dyDescent="0.25">
      <c r="A183" s="65">
        <v>43830</v>
      </c>
      <c r="B183" s="67">
        <f>营业收入分析!I38</f>
        <v>0</v>
      </c>
      <c r="C183" s="66" t="e">
        <f t="shared" si="63"/>
        <v>#DIV/0!</v>
      </c>
      <c r="D183" s="67">
        <f>营业成本分析!I38</f>
        <v>0</v>
      </c>
      <c r="E183" s="66" t="e">
        <f t="shared" si="56"/>
        <v>#DIV/0!</v>
      </c>
      <c r="F183" s="69">
        <f t="shared" si="64"/>
        <v>0</v>
      </c>
      <c r="G183" s="63" t="e">
        <f t="shared" si="58"/>
        <v>#DIV/0!</v>
      </c>
      <c r="H183" s="63" t="e">
        <f t="shared" si="65"/>
        <v>#DIV/0!</v>
      </c>
      <c r="I183" s="93">
        <f t="shared" si="60"/>
        <v>0</v>
      </c>
      <c r="J183" s="124">
        <f t="shared" si="48"/>
        <v>0</v>
      </c>
      <c r="K183" s="69">
        <f t="shared" si="61"/>
        <v>0</v>
      </c>
      <c r="L183" s="63">
        <v>0.14000000000000001</v>
      </c>
      <c r="M183" s="69">
        <f t="shared" si="62"/>
        <v>0</v>
      </c>
    </row>
    <row r="184" spans="1:13" s="71" customFormat="1" x14ac:dyDescent="0.25">
      <c r="A184" s="90">
        <v>2020</v>
      </c>
      <c r="B184" s="91">
        <f>营业收入分析!I39</f>
        <v>0</v>
      </c>
      <c r="C184" s="74" t="e">
        <f t="shared" si="63"/>
        <v>#DIV/0!</v>
      </c>
      <c r="D184" s="91">
        <f>营业成本分析!I39</f>
        <v>0</v>
      </c>
      <c r="E184" s="74" t="e">
        <f t="shared" si="56"/>
        <v>#DIV/0!</v>
      </c>
      <c r="F184" s="92">
        <f t="shared" si="64"/>
        <v>0</v>
      </c>
      <c r="G184" s="93" t="e">
        <f t="shared" si="58"/>
        <v>#DIV/0!</v>
      </c>
      <c r="H184" s="93" t="e">
        <f t="shared" si="65"/>
        <v>#DIV/0!</v>
      </c>
      <c r="I184" s="93">
        <f>F184/F285</f>
        <v>0</v>
      </c>
      <c r="J184" s="124">
        <f t="shared" si="48"/>
        <v>0</v>
      </c>
      <c r="K184" s="92">
        <f t="shared" si="61"/>
        <v>0</v>
      </c>
      <c r="L184" s="63">
        <v>0.14000000000000001</v>
      </c>
      <c r="M184" s="92">
        <f t="shared" si="62"/>
        <v>0</v>
      </c>
    </row>
    <row r="185" spans="1:13" x14ac:dyDescent="0.25">
      <c r="A185" s="85">
        <f>A184+1</f>
        <v>2021</v>
      </c>
      <c r="B185" s="67">
        <f>50000000</f>
        <v>50000000</v>
      </c>
      <c r="C185" s="66" t="e">
        <f t="shared" si="63"/>
        <v>#DIV/0!</v>
      </c>
      <c r="D185" s="67">
        <f>B185*0.4</f>
        <v>20000000</v>
      </c>
      <c r="E185" s="66" t="e">
        <f t="shared" si="56"/>
        <v>#DIV/0!</v>
      </c>
      <c r="F185" s="69">
        <f t="shared" si="64"/>
        <v>30000000</v>
      </c>
      <c r="G185" s="63" t="e">
        <f t="shared" si="58"/>
        <v>#DIV/0!</v>
      </c>
      <c r="H185" s="63">
        <f t="shared" si="65"/>
        <v>0.6</v>
      </c>
      <c r="I185" s="93">
        <f t="shared" si="60"/>
        <v>5.0171101776899076E-2</v>
      </c>
      <c r="J185" s="124">
        <f t="shared" si="48"/>
        <v>25157232.704402514</v>
      </c>
      <c r="K185" s="69">
        <f t="shared" si="61"/>
        <v>19230769.230769232</v>
      </c>
      <c r="L185" s="63">
        <v>0.14000000000000001</v>
      </c>
      <c r="M185" s="69">
        <f t="shared" si="62"/>
        <v>16538461.53846154</v>
      </c>
    </row>
    <row r="186" spans="1:13" x14ac:dyDescent="0.25">
      <c r="A186" s="85">
        <f>A185+1</f>
        <v>2022</v>
      </c>
      <c r="B186" s="67">
        <f>B185*4</f>
        <v>200000000</v>
      </c>
      <c r="C186" s="66">
        <f t="shared" si="63"/>
        <v>3</v>
      </c>
      <c r="D186" s="67">
        <f>B186*0.4</f>
        <v>80000000</v>
      </c>
      <c r="E186" s="66">
        <f t="shared" si="56"/>
        <v>3</v>
      </c>
      <c r="F186" s="69">
        <f t="shared" si="64"/>
        <v>120000000</v>
      </c>
      <c r="G186" s="63">
        <f t="shared" si="58"/>
        <v>3</v>
      </c>
      <c r="H186" s="63">
        <f t="shared" si="65"/>
        <v>0.6</v>
      </c>
      <c r="I186" s="93">
        <f t="shared" si="60"/>
        <v>9.9816822443002759E-2</v>
      </c>
      <c r="J186" s="124">
        <f t="shared" si="48"/>
        <v>100628930.81761006</v>
      </c>
      <c r="K186" s="69">
        <f t="shared" si="61"/>
        <v>76923076.923076928</v>
      </c>
      <c r="L186" s="63">
        <v>0.14000000000000001</v>
      </c>
      <c r="M186" s="69">
        <f t="shared" si="62"/>
        <v>66153846.15384616</v>
      </c>
    </row>
    <row r="187" spans="1:13" x14ac:dyDescent="0.25">
      <c r="A187" s="85">
        <f>A186+1</f>
        <v>2023</v>
      </c>
      <c r="B187" s="67">
        <f>B186*1.8</f>
        <v>360000000</v>
      </c>
      <c r="C187" s="66">
        <f t="shared" si="63"/>
        <v>0.8</v>
      </c>
      <c r="D187" s="67">
        <f>B187*0.3</f>
        <v>108000000</v>
      </c>
      <c r="E187" s="66">
        <f t="shared" si="56"/>
        <v>0.35</v>
      </c>
      <c r="F187" s="69">
        <f t="shared" si="64"/>
        <v>252000000</v>
      </c>
      <c r="G187" s="63">
        <f t="shared" si="58"/>
        <v>1.1000000000000001</v>
      </c>
      <c r="H187" s="63">
        <f t="shared" si="65"/>
        <v>0.7</v>
      </c>
      <c r="I187" s="93">
        <f t="shared" si="60"/>
        <v>0.1781145494787737</v>
      </c>
      <c r="J187" s="124">
        <f t="shared" si="48"/>
        <v>135849056.60377356</v>
      </c>
      <c r="K187" s="69">
        <f t="shared" si="61"/>
        <v>193846153.84615386</v>
      </c>
      <c r="L187" s="63">
        <v>0.14000000000000001</v>
      </c>
      <c r="M187" s="69">
        <f t="shared" si="62"/>
        <v>166707692.30769232</v>
      </c>
    </row>
    <row r="188" spans="1:13" x14ac:dyDescent="0.25">
      <c r="A188" s="85">
        <f>A187+1</f>
        <v>2024</v>
      </c>
      <c r="B188" s="67">
        <f>B187*1.4</f>
        <v>503999999.99999994</v>
      </c>
      <c r="C188" s="66">
        <f t="shared" si="63"/>
        <v>0.39999999999999986</v>
      </c>
      <c r="D188" s="67">
        <f>B188*0.3</f>
        <v>151199999.99999997</v>
      </c>
      <c r="E188" s="66">
        <f t="shared" si="56"/>
        <v>0.39999999999999974</v>
      </c>
      <c r="F188" s="69">
        <f t="shared" si="64"/>
        <v>352800000</v>
      </c>
      <c r="G188" s="63">
        <f t="shared" si="58"/>
        <v>0.4</v>
      </c>
      <c r="H188" s="63">
        <f t="shared" si="65"/>
        <v>0.70000000000000007</v>
      </c>
      <c r="I188" s="93">
        <f t="shared" si="60"/>
        <v>0.21854414256852939</v>
      </c>
      <c r="J188" s="124">
        <f t="shared" si="48"/>
        <v>190188679.24528298</v>
      </c>
      <c r="K188" s="69">
        <f t="shared" si="61"/>
        <v>271384615.38461542</v>
      </c>
      <c r="L188" s="63">
        <v>0.14000000000000001</v>
      </c>
      <c r="M188" s="69">
        <f t="shared" si="62"/>
        <v>233390769.23076925</v>
      </c>
    </row>
    <row r="189" spans="1:13" x14ac:dyDescent="0.25">
      <c r="A189" s="85">
        <f>A188+1</f>
        <v>2025</v>
      </c>
      <c r="B189" s="67">
        <f>B188*1.3</f>
        <v>655200000</v>
      </c>
      <c r="C189" s="66">
        <f t="shared" si="63"/>
        <v>0.30000000000000016</v>
      </c>
      <c r="D189" s="67">
        <f>B189*0.3</f>
        <v>196560000</v>
      </c>
      <c r="E189" s="66">
        <f t="shared" si="56"/>
        <v>0.30000000000000027</v>
      </c>
      <c r="F189" s="69">
        <f t="shared" si="64"/>
        <v>458640000</v>
      </c>
      <c r="G189" s="63">
        <f t="shared" si="58"/>
        <v>0.3</v>
      </c>
      <c r="H189" s="63">
        <f t="shared" si="65"/>
        <v>0.7</v>
      </c>
      <c r="I189" s="93">
        <f t="shared" si="60"/>
        <v>0.25135419445884172</v>
      </c>
      <c r="J189" s="124">
        <f t="shared" si="48"/>
        <v>247245283.01886791</v>
      </c>
      <c r="K189" s="69">
        <f t="shared" si="61"/>
        <v>352800000</v>
      </c>
      <c r="L189" s="63">
        <v>0.14000000000000001</v>
      </c>
      <c r="M189" s="69">
        <f t="shared" si="62"/>
        <v>303408000</v>
      </c>
    </row>
    <row r="190" spans="1:13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93" t="e">
        <f t="shared" si="60"/>
        <v>#DIV/0!</v>
      </c>
      <c r="J190" s="124">
        <f t="shared" si="48"/>
        <v>0</v>
      </c>
      <c r="K190" s="69">
        <f t="shared" si="61"/>
        <v>0</v>
      </c>
      <c r="L190" s="63">
        <v>0.14000000000000001</v>
      </c>
      <c r="M190" s="69">
        <f t="shared" si="62"/>
        <v>0</v>
      </c>
    </row>
    <row r="191" spans="1:13" x14ac:dyDescent="0.25">
      <c r="A191" s="67">
        <f>营业收入分析!J1</f>
        <v>0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J191" s="124">
        <f t="shared" si="48"/>
        <v>0</v>
      </c>
      <c r="K191" s="69">
        <f>B191-D191/0.65</f>
        <v>0</v>
      </c>
      <c r="L191" s="63">
        <v>0.14000000000000001</v>
      </c>
      <c r="M191" s="69">
        <f t="shared" si="34"/>
        <v>0</v>
      </c>
    </row>
    <row r="192" spans="1:13" ht="31.5" x14ac:dyDescent="0.25">
      <c r="A192" s="64" t="s">
        <v>72</v>
      </c>
      <c r="B192" s="60" t="s">
        <v>82</v>
      </c>
      <c r="C192" s="60" t="s">
        <v>87</v>
      </c>
      <c r="D192" t="s">
        <v>83</v>
      </c>
      <c r="E192" t="s">
        <v>88</v>
      </c>
      <c r="F192" t="s">
        <v>84</v>
      </c>
      <c r="G192" t="s">
        <v>89</v>
      </c>
      <c r="H192" t="s">
        <v>85</v>
      </c>
      <c r="J192" s="124" t="e">
        <f t="shared" si="48"/>
        <v>#VALUE!</v>
      </c>
      <c r="K192" s="107" t="s">
        <v>244</v>
      </c>
      <c r="L192" s="107" t="s">
        <v>245</v>
      </c>
      <c r="M192" t="s">
        <v>49</v>
      </c>
    </row>
    <row r="193" spans="1:13" x14ac:dyDescent="0.25">
      <c r="A193" s="65">
        <v>40543</v>
      </c>
      <c r="B193" s="67">
        <f>营业收入分析!J2</f>
        <v>0</v>
      </c>
      <c r="C193" s="66" t="e">
        <f t="shared" ref="C193:C202" si="66">(B193-B192)/B192</f>
        <v>#VALUE!</v>
      </c>
      <c r="D193" s="67">
        <f>营业成本分析!J2</f>
        <v>0</v>
      </c>
      <c r="E193" s="66" t="e">
        <f t="shared" si="36"/>
        <v>#VALUE!</v>
      </c>
      <c r="F193" s="69">
        <f t="shared" ref="F193:F200" si="67">B193-D193</f>
        <v>0</v>
      </c>
      <c r="G193" s="63" t="e">
        <f t="shared" si="37"/>
        <v>#VALUE!</v>
      </c>
      <c r="H193" s="63" t="e">
        <f t="shared" ref="H193:H200" si="68">F193/B193</f>
        <v>#DIV/0!</v>
      </c>
      <c r="I193" s="93" t="e">
        <f t="shared" ref="I193:I208" si="69">F193/F275</f>
        <v>#DIV/0!</v>
      </c>
      <c r="J193" s="124">
        <f t="shared" si="48"/>
        <v>0</v>
      </c>
      <c r="K193" s="69">
        <f>B193-D193/0.65</f>
        <v>0</v>
      </c>
      <c r="L193" s="63">
        <v>0.14000000000000001</v>
      </c>
      <c r="M193" s="69">
        <f t="shared" si="34"/>
        <v>0</v>
      </c>
    </row>
    <row r="194" spans="1:13" x14ac:dyDescent="0.25">
      <c r="A194" s="65">
        <v>40908</v>
      </c>
      <c r="B194" s="67">
        <f>营业收入分析!J3</f>
        <v>0</v>
      </c>
      <c r="C194" s="66" t="e">
        <f t="shared" si="66"/>
        <v>#DIV/0!</v>
      </c>
      <c r="D194" s="67">
        <f>营业成本分析!J3</f>
        <v>0</v>
      </c>
      <c r="E194" s="66" t="e">
        <f t="shared" si="36"/>
        <v>#DIV/0!</v>
      </c>
      <c r="F194" s="69">
        <f t="shared" si="67"/>
        <v>0</v>
      </c>
      <c r="G194" s="63" t="e">
        <f t="shared" si="37"/>
        <v>#DIV/0!</v>
      </c>
      <c r="H194" s="63" t="e">
        <f t="shared" si="68"/>
        <v>#DIV/0!</v>
      </c>
      <c r="I194" s="93" t="e">
        <f t="shared" si="69"/>
        <v>#DIV/0!</v>
      </c>
      <c r="J194" s="124">
        <f t="shared" si="48"/>
        <v>0</v>
      </c>
      <c r="K194" s="69">
        <f>B194-D194/0.65</f>
        <v>0</v>
      </c>
      <c r="L194" s="63">
        <v>0.14000000000000001</v>
      </c>
      <c r="M194" s="69">
        <f t="shared" si="34"/>
        <v>0</v>
      </c>
    </row>
    <row r="195" spans="1:13" x14ac:dyDescent="0.25">
      <c r="A195" s="65">
        <v>41274</v>
      </c>
      <c r="B195" s="67">
        <f>营业收入分析!J4</f>
        <v>0</v>
      </c>
      <c r="C195" s="66" t="e">
        <f t="shared" si="66"/>
        <v>#DIV/0!</v>
      </c>
      <c r="D195" s="67">
        <f>营业成本分析!J4</f>
        <v>0</v>
      </c>
      <c r="E195" s="66" t="e">
        <f t="shared" si="36"/>
        <v>#DIV/0!</v>
      </c>
      <c r="F195" s="69">
        <f t="shared" si="67"/>
        <v>0</v>
      </c>
      <c r="G195" s="63" t="e">
        <f t="shared" si="37"/>
        <v>#DIV/0!</v>
      </c>
      <c r="H195" s="63" t="e">
        <f t="shared" si="68"/>
        <v>#DIV/0!</v>
      </c>
      <c r="I195" s="93" t="e">
        <f t="shared" si="69"/>
        <v>#DIV/0!</v>
      </c>
      <c r="J195" s="124">
        <f t="shared" si="48"/>
        <v>0</v>
      </c>
      <c r="K195" s="69">
        <f t="shared" ref="K195:K219" si="70">B195-D195/0.65</f>
        <v>0</v>
      </c>
      <c r="L195" s="63">
        <v>0.14000000000000001</v>
      </c>
      <c r="M195" s="69">
        <f t="shared" si="34"/>
        <v>0</v>
      </c>
    </row>
    <row r="196" spans="1:13" x14ac:dyDescent="0.25">
      <c r="A196" s="65">
        <v>41639</v>
      </c>
      <c r="B196" s="67">
        <f>营业收入分析!J5</f>
        <v>0</v>
      </c>
      <c r="C196" s="66" t="e">
        <f t="shared" si="66"/>
        <v>#DIV/0!</v>
      </c>
      <c r="D196" s="67">
        <f>营业成本分析!J5</f>
        <v>0</v>
      </c>
      <c r="E196" s="66" t="e">
        <f t="shared" si="36"/>
        <v>#DIV/0!</v>
      </c>
      <c r="F196" s="69">
        <f t="shared" si="67"/>
        <v>0</v>
      </c>
      <c r="G196" s="63" t="e">
        <f t="shared" si="37"/>
        <v>#DIV/0!</v>
      </c>
      <c r="H196" s="63" t="e">
        <f t="shared" si="68"/>
        <v>#DIV/0!</v>
      </c>
      <c r="I196" s="93" t="e">
        <f t="shared" si="69"/>
        <v>#DIV/0!</v>
      </c>
      <c r="J196" s="124">
        <f t="shared" si="48"/>
        <v>0</v>
      </c>
      <c r="K196" s="69">
        <f t="shared" si="70"/>
        <v>0</v>
      </c>
      <c r="L196" s="63">
        <v>0.14000000000000001</v>
      </c>
      <c r="M196" s="69">
        <f t="shared" si="34"/>
        <v>0</v>
      </c>
    </row>
    <row r="197" spans="1:13" x14ac:dyDescent="0.25">
      <c r="A197" s="65">
        <v>42004</v>
      </c>
      <c r="B197" s="67">
        <f>营业收入分析!J6</f>
        <v>0</v>
      </c>
      <c r="C197" s="66" t="e">
        <f t="shared" si="66"/>
        <v>#DIV/0!</v>
      </c>
      <c r="D197" s="67">
        <f>营业成本分析!J6</f>
        <v>0</v>
      </c>
      <c r="E197" s="66" t="e">
        <f t="shared" si="36"/>
        <v>#DIV/0!</v>
      </c>
      <c r="F197" s="69">
        <f t="shared" si="67"/>
        <v>0</v>
      </c>
      <c r="G197" s="63" t="e">
        <f t="shared" si="37"/>
        <v>#DIV/0!</v>
      </c>
      <c r="H197" s="63" t="e">
        <f t="shared" si="68"/>
        <v>#DIV/0!</v>
      </c>
      <c r="I197" s="93" t="e">
        <f t="shared" si="69"/>
        <v>#DIV/0!</v>
      </c>
      <c r="J197" s="124">
        <f t="shared" si="48"/>
        <v>0</v>
      </c>
      <c r="K197" s="69">
        <f t="shared" si="70"/>
        <v>0</v>
      </c>
      <c r="L197" s="63">
        <v>0.14000000000000001</v>
      </c>
      <c r="M197" s="69">
        <f t="shared" si="34"/>
        <v>0</v>
      </c>
    </row>
    <row r="198" spans="1:13" x14ac:dyDescent="0.25">
      <c r="A198" s="65">
        <v>42369</v>
      </c>
      <c r="B198" s="67">
        <f>营业收入分析!J7</f>
        <v>0</v>
      </c>
      <c r="C198" s="66" t="e">
        <f t="shared" si="66"/>
        <v>#DIV/0!</v>
      </c>
      <c r="D198" s="67">
        <f>营业成本分析!J7</f>
        <v>0</v>
      </c>
      <c r="E198" s="66" t="e">
        <f t="shared" si="36"/>
        <v>#DIV/0!</v>
      </c>
      <c r="F198" s="69">
        <f t="shared" si="67"/>
        <v>0</v>
      </c>
      <c r="G198" s="63" t="e">
        <f t="shared" si="37"/>
        <v>#DIV/0!</v>
      </c>
      <c r="H198" s="63" t="e">
        <f t="shared" si="68"/>
        <v>#DIV/0!</v>
      </c>
      <c r="I198" s="93" t="e">
        <f t="shared" si="69"/>
        <v>#DIV/0!</v>
      </c>
      <c r="J198" s="124">
        <f t="shared" si="48"/>
        <v>0</v>
      </c>
      <c r="K198" s="69">
        <f t="shared" si="70"/>
        <v>0</v>
      </c>
      <c r="L198" s="63">
        <v>0.14000000000000001</v>
      </c>
      <c r="M198" s="69">
        <f t="shared" si="34"/>
        <v>0</v>
      </c>
    </row>
    <row r="199" spans="1:13" x14ac:dyDescent="0.25">
      <c r="A199" s="65">
        <v>42735</v>
      </c>
      <c r="B199" s="67">
        <f>营业收入分析!J8</f>
        <v>0</v>
      </c>
      <c r="C199" s="66" t="e">
        <f t="shared" si="66"/>
        <v>#DIV/0!</v>
      </c>
      <c r="D199" s="67">
        <f>营业成本分析!J8</f>
        <v>0</v>
      </c>
      <c r="E199" s="66" t="e">
        <f t="shared" si="36"/>
        <v>#DIV/0!</v>
      </c>
      <c r="F199" s="69">
        <f t="shared" si="67"/>
        <v>0</v>
      </c>
      <c r="G199" s="63" t="e">
        <f t="shared" si="37"/>
        <v>#DIV/0!</v>
      </c>
      <c r="H199" s="63" t="e">
        <f t="shared" si="68"/>
        <v>#DIV/0!</v>
      </c>
      <c r="I199" s="93" t="e">
        <f t="shared" si="69"/>
        <v>#DIV/0!</v>
      </c>
      <c r="J199" s="124">
        <f t="shared" si="48"/>
        <v>0</v>
      </c>
      <c r="K199" s="69">
        <f t="shared" si="70"/>
        <v>0</v>
      </c>
      <c r="L199" s="63">
        <v>0.14000000000000001</v>
      </c>
      <c r="M199" s="69">
        <f t="shared" si="34"/>
        <v>0</v>
      </c>
    </row>
    <row r="200" spans="1:13" x14ac:dyDescent="0.25">
      <c r="A200" s="65">
        <v>43100</v>
      </c>
      <c r="B200" s="67">
        <f>营业收入分析!J9</f>
        <v>0</v>
      </c>
      <c r="C200" s="66" t="e">
        <f t="shared" si="66"/>
        <v>#DIV/0!</v>
      </c>
      <c r="D200" s="67">
        <f>营业成本分析!J9</f>
        <v>0</v>
      </c>
      <c r="E200" s="66" t="e">
        <f t="shared" si="36"/>
        <v>#DIV/0!</v>
      </c>
      <c r="F200" s="69">
        <f t="shared" si="67"/>
        <v>0</v>
      </c>
      <c r="G200" s="63" t="e">
        <f t="shared" si="37"/>
        <v>#DIV/0!</v>
      </c>
      <c r="H200" s="63" t="e">
        <f t="shared" si="68"/>
        <v>#DIV/0!</v>
      </c>
      <c r="I200" s="93">
        <f t="shared" si="69"/>
        <v>0</v>
      </c>
      <c r="J200" s="124">
        <f t="shared" si="48"/>
        <v>0</v>
      </c>
      <c r="K200" s="69">
        <f t="shared" si="70"/>
        <v>0</v>
      </c>
      <c r="L200" s="63">
        <v>0.14000000000000001</v>
      </c>
      <c r="M200" s="69">
        <f t="shared" si="34"/>
        <v>0</v>
      </c>
    </row>
    <row r="201" spans="1:13" x14ac:dyDescent="0.25">
      <c r="A201" s="65">
        <v>43465</v>
      </c>
      <c r="B201" s="67">
        <f>营业收入分析!J10</f>
        <v>0</v>
      </c>
      <c r="C201" s="66" t="e">
        <f t="shared" si="66"/>
        <v>#DIV/0!</v>
      </c>
      <c r="D201" s="67">
        <f>营业成本分析!J10</f>
        <v>0</v>
      </c>
      <c r="E201" s="66" t="e">
        <f t="shared" si="36"/>
        <v>#DIV/0!</v>
      </c>
      <c r="F201" s="69">
        <f t="shared" ref="F201:F208" si="71">B201-D201</f>
        <v>0</v>
      </c>
      <c r="G201" s="63" t="e">
        <f t="shared" si="37"/>
        <v>#DIV/0!</v>
      </c>
      <c r="H201" s="63" t="e">
        <f t="shared" ref="H201:H208" si="72">F201/B201</f>
        <v>#DIV/0!</v>
      </c>
      <c r="I201" s="93">
        <f t="shared" si="69"/>
        <v>0</v>
      </c>
      <c r="J201" s="124">
        <f t="shared" si="48"/>
        <v>0</v>
      </c>
      <c r="K201" s="69">
        <f t="shared" si="70"/>
        <v>0</v>
      </c>
      <c r="L201" s="63">
        <v>0.14000000000000001</v>
      </c>
      <c r="M201" s="69">
        <f t="shared" si="34"/>
        <v>0</v>
      </c>
    </row>
    <row r="202" spans="1:13" x14ac:dyDescent="0.25">
      <c r="A202" s="65">
        <v>43830</v>
      </c>
      <c r="B202" s="67">
        <f>营业收入分析!J11</f>
        <v>0</v>
      </c>
      <c r="C202" s="66" t="e">
        <f t="shared" si="66"/>
        <v>#DIV/0!</v>
      </c>
      <c r="D202" s="67">
        <f>营业成本分析!J11</f>
        <v>0</v>
      </c>
      <c r="E202" s="66" t="e">
        <f t="shared" si="36"/>
        <v>#DIV/0!</v>
      </c>
      <c r="F202" s="69">
        <f t="shared" si="71"/>
        <v>0</v>
      </c>
      <c r="G202" s="63" t="e">
        <f t="shared" si="37"/>
        <v>#DIV/0!</v>
      </c>
      <c r="H202" s="63" t="e">
        <f t="shared" si="72"/>
        <v>#DIV/0!</v>
      </c>
      <c r="I202" s="93">
        <f t="shared" si="69"/>
        <v>0</v>
      </c>
      <c r="J202" s="124">
        <f t="shared" si="48"/>
        <v>0</v>
      </c>
      <c r="K202" s="69">
        <f t="shared" si="70"/>
        <v>0</v>
      </c>
      <c r="L202" s="63">
        <v>0.14000000000000001</v>
      </c>
      <c r="M202" s="69">
        <f t="shared" si="34"/>
        <v>0</v>
      </c>
    </row>
    <row r="203" spans="1:13" s="71" customFormat="1" x14ac:dyDescent="0.25">
      <c r="A203" s="72">
        <v>43831</v>
      </c>
      <c r="B203" s="91">
        <f>营业收入分析!J12</f>
        <v>0</v>
      </c>
      <c r="C203" s="74" t="e">
        <f t="shared" ref="C203:C227" si="73">(B203-B202)/B202</f>
        <v>#DIV/0!</v>
      </c>
      <c r="D203" s="91">
        <f>营业成本分析!J12</f>
        <v>0</v>
      </c>
      <c r="E203" s="74" t="e">
        <f t="shared" si="36"/>
        <v>#DIV/0!</v>
      </c>
      <c r="F203" s="92">
        <f t="shared" si="71"/>
        <v>0</v>
      </c>
      <c r="G203" s="93" t="e">
        <f t="shared" si="37"/>
        <v>#DIV/0!</v>
      </c>
      <c r="H203" s="93" t="e">
        <f t="shared" si="72"/>
        <v>#DIV/0!</v>
      </c>
      <c r="I203" s="93">
        <f>F203/F285</f>
        <v>0</v>
      </c>
      <c r="J203" s="124">
        <f t="shared" si="48"/>
        <v>0</v>
      </c>
      <c r="K203" s="92">
        <f t="shared" si="70"/>
        <v>0</v>
      </c>
      <c r="L203" s="63">
        <v>0.14000000000000001</v>
      </c>
      <c r="M203" s="92">
        <f t="shared" si="34"/>
        <v>0</v>
      </c>
    </row>
    <row r="204" spans="1:13" x14ac:dyDescent="0.25">
      <c r="A204" s="85">
        <f>A14+1</f>
        <v>2021</v>
      </c>
      <c r="B204" s="67">
        <f>0</f>
        <v>0</v>
      </c>
      <c r="C204" s="66" t="e">
        <f t="shared" si="73"/>
        <v>#DIV/0!</v>
      </c>
      <c r="D204" s="67">
        <f>0</f>
        <v>0</v>
      </c>
      <c r="E204" s="66" t="e">
        <f t="shared" si="36"/>
        <v>#DIV/0!</v>
      </c>
      <c r="F204" s="69">
        <f t="shared" si="71"/>
        <v>0</v>
      </c>
      <c r="G204" s="63" t="e">
        <f t="shared" si="37"/>
        <v>#DIV/0!</v>
      </c>
      <c r="H204" s="63" t="e">
        <f t="shared" si="72"/>
        <v>#DIV/0!</v>
      </c>
      <c r="I204" s="93">
        <f t="shared" si="69"/>
        <v>0</v>
      </c>
      <c r="J204" s="124">
        <f t="shared" si="48"/>
        <v>0</v>
      </c>
      <c r="K204" s="69">
        <f t="shared" si="70"/>
        <v>0</v>
      </c>
      <c r="L204" s="63">
        <v>0.14000000000000001</v>
      </c>
      <c r="M204" s="69">
        <f t="shared" si="34"/>
        <v>0</v>
      </c>
    </row>
    <row r="205" spans="1:13" x14ac:dyDescent="0.25">
      <c r="A205" s="85">
        <f>A204+1</f>
        <v>2022</v>
      </c>
      <c r="B205" s="67">
        <f>0</f>
        <v>0</v>
      </c>
      <c r="C205" s="66" t="e">
        <f t="shared" si="73"/>
        <v>#DIV/0!</v>
      </c>
      <c r="D205" s="67">
        <f>0</f>
        <v>0</v>
      </c>
      <c r="E205" s="66" t="e">
        <f t="shared" si="36"/>
        <v>#DIV/0!</v>
      </c>
      <c r="F205" s="69">
        <f t="shared" si="71"/>
        <v>0</v>
      </c>
      <c r="G205" s="63" t="e">
        <f t="shared" si="37"/>
        <v>#DIV/0!</v>
      </c>
      <c r="H205" s="63" t="e">
        <f t="shared" si="72"/>
        <v>#DIV/0!</v>
      </c>
      <c r="I205" s="93">
        <f t="shared" si="69"/>
        <v>0</v>
      </c>
      <c r="J205" s="124">
        <f t="shared" si="48"/>
        <v>0</v>
      </c>
      <c r="K205" s="69">
        <f t="shared" si="70"/>
        <v>0</v>
      </c>
      <c r="L205" s="63">
        <v>0.14000000000000001</v>
      </c>
      <c r="M205" s="69">
        <f t="shared" si="34"/>
        <v>0</v>
      </c>
    </row>
    <row r="206" spans="1:13" x14ac:dyDescent="0.25">
      <c r="A206" s="85">
        <f>A205+1</f>
        <v>2023</v>
      </c>
      <c r="B206" s="67">
        <f>0</f>
        <v>0</v>
      </c>
      <c r="C206" s="66" t="e">
        <f t="shared" si="73"/>
        <v>#DIV/0!</v>
      </c>
      <c r="D206" s="67">
        <f>0</f>
        <v>0</v>
      </c>
      <c r="E206" s="66" t="e">
        <f t="shared" si="36"/>
        <v>#DIV/0!</v>
      </c>
      <c r="F206" s="69">
        <f t="shared" si="71"/>
        <v>0</v>
      </c>
      <c r="G206" s="63" t="e">
        <f t="shared" si="37"/>
        <v>#DIV/0!</v>
      </c>
      <c r="H206" s="63" t="e">
        <f t="shared" si="72"/>
        <v>#DIV/0!</v>
      </c>
      <c r="I206" s="93">
        <f t="shared" si="69"/>
        <v>0</v>
      </c>
      <c r="J206" s="124">
        <f t="shared" si="48"/>
        <v>0</v>
      </c>
      <c r="K206" s="69">
        <f t="shared" si="70"/>
        <v>0</v>
      </c>
      <c r="L206" s="63">
        <v>0.14000000000000001</v>
      </c>
      <c r="M206" s="69">
        <f t="shared" si="34"/>
        <v>0</v>
      </c>
    </row>
    <row r="207" spans="1:13" x14ac:dyDescent="0.25">
      <c r="A207" s="85">
        <f>A206+1</f>
        <v>2024</v>
      </c>
      <c r="B207" s="67">
        <f>0</f>
        <v>0</v>
      </c>
      <c r="C207" s="66" t="e">
        <f t="shared" si="73"/>
        <v>#DIV/0!</v>
      </c>
      <c r="D207" s="67">
        <f>0</f>
        <v>0</v>
      </c>
      <c r="E207" s="66" t="e">
        <f t="shared" si="36"/>
        <v>#DIV/0!</v>
      </c>
      <c r="F207" s="69">
        <f t="shared" si="71"/>
        <v>0</v>
      </c>
      <c r="G207" s="63" t="e">
        <f t="shared" si="37"/>
        <v>#DIV/0!</v>
      </c>
      <c r="H207" s="63" t="e">
        <f t="shared" si="72"/>
        <v>#DIV/0!</v>
      </c>
      <c r="I207" s="93">
        <f t="shared" si="69"/>
        <v>0</v>
      </c>
      <c r="J207" s="124">
        <f t="shared" ref="J207:J270" si="74">D207/0.795</f>
        <v>0</v>
      </c>
      <c r="K207" s="69">
        <f t="shared" si="70"/>
        <v>0</v>
      </c>
      <c r="L207" s="63">
        <v>0.14000000000000001</v>
      </c>
      <c r="M207" s="69">
        <f t="shared" si="34"/>
        <v>0</v>
      </c>
    </row>
    <row r="208" spans="1:13" x14ac:dyDescent="0.25">
      <c r="A208" s="85">
        <f>A207+1</f>
        <v>2025</v>
      </c>
      <c r="B208" s="67">
        <f>0</f>
        <v>0</v>
      </c>
      <c r="C208" s="66" t="e">
        <f t="shared" si="73"/>
        <v>#DIV/0!</v>
      </c>
      <c r="D208" s="67">
        <f>0</f>
        <v>0</v>
      </c>
      <c r="E208" s="66" t="e">
        <f t="shared" si="36"/>
        <v>#DIV/0!</v>
      </c>
      <c r="F208" s="69">
        <f t="shared" si="71"/>
        <v>0</v>
      </c>
      <c r="G208" s="63" t="e">
        <f t="shared" si="37"/>
        <v>#DIV/0!</v>
      </c>
      <c r="H208" s="63" t="e">
        <f t="shared" si="72"/>
        <v>#DIV/0!</v>
      </c>
      <c r="I208" s="93">
        <f t="shared" si="69"/>
        <v>0</v>
      </c>
      <c r="J208" s="124">
        <f t="shared" si="74"/>
        <v>0</v>
      </c>
      <c r="K208" s="69">
        <f t="shared" si="70"/>
        <v>0</v>
      </c>
      <c r="L208" s="63">
        <v>0.14000000000000001</v>
      </c>
      <c r="M208" s="69">
        <f t="shared" si="34"/>
        <v>0</v>
      </c>
    </row>
    <row r="209" spans="1:13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J209" s="124">
        <f t="shared" si="74"/>
        <v>0</v>
      </c>
      <c r="K209" s="69">
        <f t="shared" si="70"/>
        <v>0</v>
      </c>
      <c r="L209" s="63">
        <v>0.14000000000000001</v>
      </c>
      <c r="M209" s="69">
        <f t="shared" si="34"/>
        <v>0</v>
      </c>
    </row>
    <row r="210" spans="1:13" x14ac:dyDescent="0.25">
      <c r="A210" s="67">
        <f>营业收入分析!K1</f>
        <v>0</v>
      </c>
      <c r="C210" s="66" t="e">
        <f t="shared" si="73"/>
        <v>#DIV/0!</v>
      </c>
      <c r="E210" s="66" t="e">
        <f t="shared" si="36"/>
        <v>#DIV/0!</v>
      </c>
      <c r="G210" s="63" t="e">
        <f t="shared" si="37"/>
        <v>#DIV/0!</v>
      </c>
      <c r="J210" s="124">
        <f t="shared" si="74"/>
        <v>0</v>
      </c>
      <c r="K210" s="69">
        <f t="shared" si="70"/>
        <v>0</v>
      </c>
      <c r="L210" s="63">
        <v>0.14000000000000001</v>
      </c>
      <c r="M210" s="69">
        <f t="shared" si="34"/>
        <v>0</v>
      </c>
    </row>
    <row r="211" spans="1:13" ht="31.5" x14ac:dyDescent="0.25">
      <c r="A211" s="64" t="s">
        <v>72</v>
      </c>
      <c r="B211" s="60" t="s">
        <v>82</v>
      </c>
      <c r="C211" s="60" t="s">
        <v>87</v>
      </c>
      <c r="D211" t="s">
        <v>83</v>
      </c>
      <c r="E211" t="s">
        <v>88</v>
      </c>
      <c r="F211" t="s">
        <v>84</v>
      </c>
      <c r="G211" t="s">
        <v>89</v>
      </c>
      <c r="H211" t="s">
        <v>85</v>
      </c>
      <c r="J211" s="124" t="e">
        <f t="shared" si="74"/>
        <v>#VALUE!</v>
      </c>
      <c r="K211" s="107" t="s">
        <v>244</v>
      </c>
      <c r="L211" s="107" t="s">
        <v>245</v>
      </c>
      <c r="M211" t="s">
        <v>49</v>
      </c>
    </row>
    <row r="212" spans="1:13" x14ac:dyDescent="0.25">
      <c r="A212" s="65">
        <v>40543</v>
      </c>
      <c r="B212" s="67">
        <f>营业收入分析!K2</f>
        <v>0</v>
      </c>
      <c r="C212" s="66" t="e">
        <f t="shared" si="73"/>
        <v>#VALUE!</v>
      </c>
      <c r="D212" s="67">
        <f>营业成本分析!K2</f>
        <v>0</v>
      </c>
      <c r="E212" s="66" t="e">
        <f t="shared" si="36"/>
        <v>#VALUE!</v>
      </c>
      <c r="F212" s="69">
        <f t="shared" ref="F212:F219" si="75">B212-D212</f>
        <v>0</v>
      </c>
      <c r="G212" s="63" t="e">
        <f t="shared" si="37"/>
        <v>#VALUE!</v>
      </c>
      <c r="H212" s="63" t="e">
        <f t="shared" ref="H212:H219" si="76">F212/B212</f>
        <v>#DIV/0!</v>
      </c>
      <c r="I212" s="63"/>
      <c r="J212" s="124">
        <f t="shared" si="74"/>
        <v>0</v>
      </c>
      <c r="K212" s="69">
        <f t="shared" si="70"/>
        <v>0</v>
      </c>
      <c r="L212" s="63">
        <v>0.14000000000000001</v>
      </c>
      <c r="M212" s="69">
        <f t="shared" si="34"/>
        <v>0</v>
      </c>
    </row>
    <row r="213" spans="1:13" x14ac:dyDescent="0.25">
      <c r="A213" s="65">
        <v>40908</v>
      </c>
      <c r="B213" s="67">
        <f>营业收入分析!K3</f>
        <v>0</v>
      </c>
      <c r="C213" s="66" t="e">
        <f t="shared" si="73"/>
        <v>#DIV/0!</v>
      </c>
      <c r="D213" s="67">
        <f>营业成本分析!K3</f>
        <v>0</v>
      </c>
      <c r="E213" s="66" t="e">
        <f t="shared" si="36"/>
        <v>#DIV/0!</v>
      </c>
      <c r="F213" s="69">
        <f t="shared" si="75"/>
        <v>0</v>
      </c>
      <c r="G213" s="63" t="e">
        <f t="shared" si="37"/>
        <v>#DIV/0!</v>
      </c>
      <c r="H213" s="63" t="e">
        <f t="shared" si="76"/>
        <v>#DIV/0!</v>
      </c>
      <c r="I213" s="63"/>
      <c r="J213" s="124">
        <f t="shared" si="74"/>
        <v>0</v>
      </c>
      <c r="K213" s="69">
        <f t="shared" si="70"/>
        <v>0</v>
      </c>
      <c r="L213" s="63">
        <v>0.14000000000000001</v>
      </c>
      <c r="M213" s="69">
        <f t="shared" si="34"/>
        <v>0</v>
      </c>
    </row>
    <row r="214" spans="1:13" x14ac:dyDescent="0.25">
      <c r="A214" s="65">
        <v>41274</v>
      </c>
      <c r="B214" s="67">
        <f>营业收入分析!K4</f>
        <v>0</v>
      </c>
      <c r="C214" s="66" t="e">
        <f t="shared" si="73"/>
        <v>#DIV/0!</v>
      </c>
      <c r="D214" s="67">
        <f>营业成本分析!K4</f>
        <v>0</v>
      </c>
      <c r="E214" s="66" t="e">
        <f t="shared" si="36"/>
        <v>#DIV/0!</v>
      </c>
      <c r="F214" s="69">
        <f t="shared" si="75"/>
        <v>0</v>
      </c>
      <c r="G214" s="63" t="e">
        <f t="shared" si="37"/>
        <v>#DIV/0!</v>
      </c>
      <c r="H214" s="63" t="e">
        <f t="shared" si="76"/>
        <v>#DIV/0!</v>
      </c>
      <c r="I214" s="63"/>
      <c r="J214" s="124">
        <f t="shared" si="74"/>
        <v>0</v>
      </c>
      <c r="K214" s="69">
        <f t="shared" si="70"/>
        <v>0</v>
      </c>
      <c r="L214" s="63">
        <v>0.14000000000000001</v>
      </c>
      <c r="M214" s="69">
        <f t="shared" si="34"/>
        <v>0</v>
      </c>
    </row>
    <row r="215" spans="1:13" x14ac:dyDescent="0.25">
      <c r="A215" s="65">
        <v>41639</v>
      </c>
      <c r="B215" s="67">
        <f>营业收入分析!K5</f>
        <v>0</v>
      </c>
      <c r="C215" s="66" t="e">
        <f t="shared" si="73"/>
        <v>#DIV/0!</v>
      </c>
      <c r="D215" s="67">
        <f>营业成本分析!K5</f>
        <v>0</v>
      </c>
      <c r="E215" s="66" t="e">
        <f t="shared" si="36"/>
        <v>#DIV/0!</v>
      </c>
      <c r="F215" s="69">
        <f t="shared" si="75"/>
        <v>0</v>
      </c>
      <c r="G215" s="63" t="e">
        <f t="shared" si="37"/>
        <v>#DIV/0!</v>
      </c>
      <c r="H215" s="63" t="e">
        <f t="shared" si="76"/>
        <v>#DIV/0!</v>
      </c>
      <c r="I215" s="63"/>
      <c r="J215" s="124">
        <f t="shared" si="74"/>
        <v>0</v>
      </c>
      <c r="K215" s="69">
        <f t="shared" si="70"/>
        <v>0</v>
      </c>
      <c r="L215" s="63">
        <v>0.14000000000000001</v>
      </c>
      <c r="M215" s="69">
        <f t="shared" si="34"/>
        <v>0</v>
      </c>
    </row>
    <row r="216" spans="1:13" x14ac:dyDescent="0.25">
      <c r="A216" s="65">
        <v>42004</v>
      </c>
      <c r="B216" s="67">
        <f>营业收入分析!K6</f>
        <v>0</v>
      </c>
      <c r="C216" s="66" t="e">
        <f t="shared" si="73"/>
        <v>#DIV/0!</v>
      </c>
      <c r="D216" s="67">
        <f>营业成本分析!K6</f>
        <v>0</v>
      </c>
      <c r="E216" s="66" t="e">
        <f t="shared" si="36"/>
        <v>#DIV/0!</v>
      </c>
      <c r="F216" s="69">
        <f t="shared" si="75"/>
        <v>0</v>
      </c>
      <c r="G216" s="63" t="e">
        <f t="shared" si="37"/>
        <v>#DIV/0!</v>
      </c>
      <c r="H216" s="63" t="e">
        <f t="shared" si="76"/>
        <v>#DIV/0!</v>
      </c>
      <c r="I216" s="93" t="e">
        <f t="shared" ref="I216:I228" si="77">F216/F279</f>
        <v>#DIV/0!</v>
      </c>
      <c r="J216" s="124">
        <f t="shared" si="74"/>
        <v>0</v>
      </c>
      <c r="K216" s="69">
        <f t="shared" si="70"/>
        <v>0</v>
      </c>
      <c r="L216" s="63">
        <v>0.14000000000000001</v>
      </c>
      <c r="M216" s="69">
        <f t="shared" si="34"/>
        <v>0</v>
      </c>
    </row>
    <row r="217" spans="1:13" x14ac:dyDescent="0.25">
      <c r="A217" s="65">
        <v>42369</v>
      </c>
      <c r="B217" s="67">
        <f>营业收入分析!K7</f>
        <v>0</v>
      </c>
      <c r="C217" s="66" t="e">
        <f t="shared" si="73"/>
        <v>#DIV/0!</v>
      </c>
      <c r="D217" s="67">
        <f>营业成本分析!K7</f>
        <v>0</v>
      </c>
      <c r="E217" s="66" t="e">
        <f t="shared" si="36"/>
        <v>#DIV/0!</v>
      </c>
      <c r="F217" s="69">
        <f t="shared" si="75"/>
        <v>0</v>
      </c>
      <c r="G217" s="63" t="e">
        <f t="shared" si="37"/>
        <v>#DIV/0!</v>
      </c>
      <c r="H217" s="63" t="e">
        <f t="shared" si="76"/>
        <v>#DIV/0!</v>
      </c>
      <c r="I217" s="93" t="e">
        <f t="shared" si="77"/>
        <v>#DIV/0!</v>
      </c>
      <c r="J217" s="124">
        <f t="shared" si="74"/>
        <v>0</v>
      </c>
      <c r="K217" s="69">
        <f t="shared" si="70"/>
        <v>0</v>
      </c>
      <c r="L217" s="63">
        <v>0.14000000000000001</v>
      </c>
      <c r="M217" s="69">
        <f t="shared" si="34"/>
        <v>0</v>
      </c>
    </row>
    <row r="218" spans="1:13" x14ac:dyDescent="0.25">
      <c r="A218" s="65">
        <v>42735</v>
      </c>
      <c r="B218" s="67">
        <f>营业收入分析!K8</f>
        <v>0</v>
      </c>
      <c r="C218" s="66" t="e">
        <f t="shared" si="73"/>
        <v>#DIV/0!</v>
      </c>
      <c r="D218" s="67">
        <f>营业成本分析!K8</f>
        <v>0</v>
      </c>
      <c r="E218" s="66" t="e">
        <f t="shared" si="36"/>
        <v>#DIV/0!</v>
      </c>
      <c r="F218" s="69">
        <f t="shared" si="75"/>
        <v>0</v>
      </c>
      <c r="G218" s="63" t="e">
        <f t="shared" si="37"/>
        <v>#DIV/0!</v>
      </c>
      <c r="H218" s="63" t="e">
        <f t="shared" si="76"/>
        <v>#DIV/0!</v>
      </c>
      <c r="I218" s="93" t="e">
        <f t="shared" si="77"/>
        <v>#DIV/0!</v>
      </c>
      <c r="J218" s="124">
        <f t="shared" si="74"/>
        <v>0</v>
      </c>
      <c r="K218" s="69">
        <f t="shared" si="70"/>
        <v>0</v>
      </c>
      <c r="L218" s="63">
        <v>0.14000000000000001</v>
      </c>
      <c r="M218" s="69">
        <f t="shared" si="34"/>
        <v>0</v>
      </c>
    </row>
    <row r="219" spans="1:13" x14ac:dyDescent="0.25">
      <c r="A219" s="65">
        <v>43100</v>
      </c>
      <c r="B219" s="67">
        <f>营业收入分析!K9</f>
        <v>0</v>
      </c>
      <c r="C219" s="66" t="e">
        <f t="shared" si="73"/>
        <v>#DIV/0!</v>
      </c>
      <c r="D219" s="67">
        <f>营业成本分析!K9</f>
        <v>0</v>
      </c>
      <c r="E219" s="66" t="e">
        <f t="shared" si="36"/>
        <v>#DIV/0!</v>
      </c>
      <c r="F219" s="69">
        <f t="shared" si="75"/>
        <v>0</v>
      </c>
      <c r="G219" s="63" t="e">
        <f t="shared" si="37"/>
        <v>#DIV/0!</v>
      </c>
      <c r="H219" s="63" t="e">
        <f t="shared" si="76"/>
        <v>#DIV/0!</v>
      </c>
      <c r="I219" s="93">
        <f t="shared" si="77"/>
        <v>0</v>
      </c>
      <c r="J219" s="124">
        <f t="shared" si="74"/>
        <v>0</v>
      </c>
      <c r="K219" s="69">
        <f t="shared" si="70"/>
        <v>0</v>
      </c>
      <c r="L219" s="63">
        <v>0.14000000000000001</v>
      </c>
      <c r="M219" s="69">
        <f t="shared" si="34"/>
        <v>0</v>
      </c>
    </row>
    <row r="220" spans="1:13" x14ac:dyDescent="0.25">
      <c r="A220" s="65">
        <v>43465</v>
      </c>
      <c r="B220" s="67">
        <f>营业收入分析!K10</f>
        <v>0</v>
      </c>
      <c r="C220" s="66" t="e">
        <f t="shared" si="73"/>
        <v>#DIV/0!</v>
      </c>
      <c r="D220" s="67">
        <f>营业成本分析!K10</f>
        <v>0</v>
      </c>
      <c r="E220" s="66" t="e">
        <f t="shared" si="36"/>
        <v>#DIV/0!</v>
      </c>
      <c r="F220" s="69">
        <f t="shared" ref="F220:F227" si="78">B220-D220</f>
        <v>0</v>
      </c>
      <c r="G220" s="63" t="e">
        <f t="shared" si="37"/>
        <v>#DIV/0!</v>
      </c>
      <c r="H220" s="63" t="e">
        <f t="shared" ref="H220:H227" si="79">F220/B220</f>
        <v>#DIV/0!</v>
      </c>
      <c r="I220" s="93">
        <f t="shared" si="77"/>
        <v>0</v>
      </c>
      <c r="J220" s="124">
        <f t="shared" si="74"/>
        <v>0</v>
      </c>
      <c r="K220" s="69">
        <f>B220-D220/0.65</f>
        <v>0</v>
      </c>
      <c r="L220" s="63">
        <v>0.14000000000000001</v>
      </c>
      <c r="M220" s="69">
        <f t="shared" si="34"/>
        <v>0</v>
      </c>
    </row>
    <row r="221" spans="1:13" x14ac:dyDescent="0.25">
      <c r="A221" s="65">
        <v>43830</v>
      </c>
      <c r="B221" s="67">
        <f>营业收入分析!K11</f>
        <v>0</v>
      </c>
      <c r="C221" s="66" t="e">
        <f t="shared" si="73"/>
        <v>#DIV/0!</v>
      </c>
      <c r="D221" s="67">
        <f>营业成本分析!K11</f>
        <v>0</v>
      </c>
      <c r="E221" s="66" t="e">
        <f t="shared" si="36"/>
        <v>#DIV/0!</v>
      </c>
      <c r="F221" s="69">
        <f t="shared" si="78"/>
        <v>0</v>
      </c>
      <c r="G221" s="63" t="e">
        <f t="shared" si="37"/>
        <v>#DIV/0!</v>
      </c>
      <c r="H221" s="63" t="e">
        <f t="shared" si="79"/>
        <v>#DIV/0!</v>
      </c>
      <c r="I221" s="93">
        <f t="shared" si="77"/>
        <v>0</v>
      </c>
      <c r="J221" s="124">
        <f t="shared" si="74"/>
        <v>0</v>
      </c>
      <c r="K221" s="69">
        <f t="shared" ref="K221:K239" si="80">B221-D221/0.65</f>
        <v>0</v>
      </c>
      <c r="L221" s="63">
        <v>0.14000000000000001</v>
      </c>
      <c r="M221" s="69">
        <f t="shared" si="34"/>
        <v>0</v>
      </c>
    </row>
    <row r="222" spans="1:13" s="71" customFormat="1" x14ac:dyDescent="0.25">
      <c r="A222" s="72">
        <v>43831</v>
      </c>
      <c r="B222" s="91">
        <f>营业收入分析!K12</f>
        <v>0</v>
      </c>
      <c r="C222" s="74" t="e">
        <f t="shared" si="73"/>
        <v>#DIV/0!</v>
      </c>
      <c r="D222" s="91">
        <f>营业成本分析!K12</f>
        <v>0</v>
      </c>
      <c r="E222" s="74" t="e">
        <f t="shared" si="36"/>
        <v>#DIV/0!</v>
      </c>
      <c r="F222" s="92">
        <f t="shared" si="78"/>
        <v>0</v>
      </c>
      <c r="G222" s="93" t="e">
        <f t="shared" si="37"/>
        <v>#DIV/0!</v>
      </c>
      <c r="H222" s="93" t="e">
        <f t="shared" si="79"/>
        <v>#DIV/0!</v>
      </c>
      <c r="I222" s="93">
        <f>F222/F285</f>
        <v>0</v>
      </c>
      <c r="J222" s="124">
        <f t="shared" si="74"/>
        <v>0</v>
      </c>
      <c r="K222" s="92">
        <f t="shared" si="80"/>
        <v>0</v>
      </c>
      <c r="L222" s="63">
        <v>0.14000000000000001</v>
      </c>
      <c r="M222" s="92">
        <f t="shared" si="34"/>
        <v>0</v>
      </c>
    </row>
    <row r="223" spans="1:13" x14ac:dyDescent="0.25">
      <c r="A223" s="85">
        <f>A14+1</f>
        <v>2021</v>
      </c>
      <c r="B223" s="67">
        <f>B221*0.8</f>
        <v>0</v>
      </c>
      <c r="C223" s="66" t="e">
        <f t="shared" si="73"/>
        <v>#DIV/0!</v>
      </c>
      <c r="D223" s="67">
        <f>B223*0.45</f>
        <v>0</v>
      </c>
      <c r="E223" s="66" t="e">
        <f t="shared" si="36"/>
        <v>#DIV/0!</v>
      </c>
      <c r="F223" s="69">
        <f t="shared" si="78"/>
        <v>0</v>
      </c>
      <c r="G223" s="63" t="e">
        <f t="shared" si="37"/>
        <v>#DIV/0!</v>
      </c>
      <c r="H223" s="63" t="e">
        <f t="shared" si="79"/>
        <v>#DIV/0!</v>
      </c>
      <c r="I223" s="93">
        <f t="shared" si="77"/>
        <v>0</v>
      </c>
      <c r="J223" s="124">
        <f t="shared" si="74"/>
        <v>0</v>
      </c>
      <c r="K223" s="69">
        <f t="shared" si="80"/>
        <v>0</v>
      </c>
      <c r="L223" s="63">
        <v>0.14000000000000001</v>
      </c>
      <c r="M223" s="69">
        <f t="shared" si="34"/>
        <v>0</v>
      </c>
    </row>
    <row r="224" spans="1:13" x14ac:dyDescent="0.25">
      <c r="A224" s="85">
        <f>A223+1</f>
        <v>2022</v>
      </c>
      <c r="B224" s="67">
        <f>B221</f>
        <v>0</v>
      </c>
      <c r="C224" s="66" t="e">
        <f t="shared" si="73"/>
        <v>#DIV/0!</v>
      </c>
      <c r="D224" s="67">
        <f>B224*0.45</f>
        <v>0</v>
      </c>
      <c r="E224" s="66" t="e">
        <f>(D224-D223)/D223</f>
        <v>#DIV/0!</v>
      </c>
      <c r="F224" s="69">
        <f t="shared" si="78"/>
        <v>0</v>
      </c>
      <c r="G224" s="63" t="e">
        <f>(F224-F223)/F223</f>
        <v>#DIV/0!</v>
      </c>
      <c r="H224" s="63" t="e">
        <f t="shared" si="79"/>
        <v>#DIV/0!</v>
      </c>
      <c r="I224" s="93">
        <f t="shared" si="77"/>
        <v>0</v>
      </c>
      <c r="J224" s="124">
        <f t="shared" si="74"/>
        <v>0</v>
      </c>
      <c r="K224" s="69">
        <f t="shared" si="80"/>
        <v>0</v>
      </c>
      <c r="L224" s="63">
        <v>0.14000000000000001</v>
      </c>
      <c r="M224" s="69">
        <f>K224*(1-L224)</f>
        <v>0</v>
      </c>
    </row>
    <row r="225" spans="1:13" x14ac:dyDescent="0.25">
      <c r="A225" s="85">
        <f>A224+1</f>
        <v>2023</v>
      </c>
      <c r="B225" s="67">
        <f>B224*1.2</f>
        <v>0</v>
      </c>
      <c r="C225" s="66" t="e">
        <f t="shared" si="73"/>
        <v>#DIV/0!</v>
      </c>
      <c r="D225" s="67">
        <f>B225*0.45</f>
        <v>0</v>
      </c>
      <c r="E225" s="66" t="e">
        <f>(D225-D224)/D224</f>
        <v>#DIV/0!</v>
      </c>
      <c r="F225" s="69">
        <f t="shared" si="78"/>
        <v>0</v>
      </c>
      <c r="G225" s="63" t="e">
        <f>(F225-F224)/F224</f>
        <v>#DIV/0!</v>
      </c>
      <c r="H225" s="63" t="e">
        <f t="shared" si="79"/>
        <v>#DIV/0!</v>
      </c>
      <c r="I225" s="93">
        <f t="shared" si="77"/>
        <v>0</v>
      </c>
      <c r="J225" s="124">
        <f t="shared" si="74"/>
        <v>0</v>
      </c>
      <c r="K225" s="69">
        <f t="shared" si="80"/>
        <v>0</v>
      </c>
      <c r="L225" s="63">
        <v>0.14000000000000001</v>
      </c>
      <c r="M225" s="69">
        <f>K225*(1-L225)</f>
        <v>0</v>
      </c>
    </row>
    <row r="226" spans="1:13" x14ac:dyDescent="0.25">
      <c r="A226" s="85">
        <f>A225+1</f>
        <v>2024</v>
      </c>
      <c r="B226" s="67">
        <f>B225*1.2</f>
        <v>0</v>
      </c>
      <c r="C226" s="66" t="e">
        <f t="shared" si="73"/>
        <v>#DIV/0!</v>
      </c>
      <c r="D226" s="67">
        <f>B226*0.45</f>
        <v>0</v>
      </c>
      <c r="E226" s="66" t="e">
        <f>(D226-D225)/D225</f>
        <v>#DIV/0!</v>
      </c>
      <c r="F226" s="69">
        <f t="shared" si="78"/>
        <v>0</v>
      </c>
      <c r="G226" s="63" t="e">
        <f>(F226-F225)/F225</f>
        <v>#DIV/0!</v>
      </c>
      <c r="H226" s="63" t="e">
        <f t="shared" si="79"/>
        <v>#DIV/0!</v>
      </c>
      <c r="I226" s="93">
        <f t="shared" si="77"/>
        <v>0</v>
      </c>
      <c r="J226" s="124">
        <f t="shared" si="74"/>
        <v>0</v>
      </c>
      <c r="K226" s="69">
        <f t="shared" si="80"/>
        <v>0</v>
      </c>
      <c r="L226" s="63">
        <v>0.14000000000000001</v>
      </c>
      <c r="M226" s="69">
        <f>K226*(1-L226)</f>
        <v>0</v>
      </c>
    </row>
    <row r="227" spans="1:13" x14ac:dyDescent="0.25">
      <c r="A227" s="85">
        <f>A226+1</f>
        <v>2025</v>
      </c>
      <c r="B227" s="67">
        <f>B226*1.2</f>
        <v>0</v>
      </c>
      <c r="C227" s="66" t="e">
        <f t="shared" si="73"/>
        <v>#DIV/0!</v>
      </c>
      <c r="D227" s="67">
        <f>B227*0.45</f>
        <v>0</v>
      </c>
      <c r="E227" s="66" t="e">
        <f>(D227-D226)/D226</f>
        <v>#DIV/0!</v>
      </c>
      <c r="F227" s="69">
        <f t="shared" si="78"/>
        <v>0</v>
      </c>
      <c r="G227" s="63" t="e">
        <f>(F227-F226)/F226</f>
        <v>#DIV/0!</v>
      </c>
      <c r="H227" s="63" t="e">
        <f t="shared" si="79"/>
        <v>#DIV/0!</v>
      </c>
      <c r="I227" s="93">
        <f t="shared" si="77"/>
        <v>0</v>
      </c>
      <c r="J227" s="124">
        <f t="shared" si="74"/>
        <v>0</v>
      </c>
      <c r="K227" s="69">
        <f t="shared" si="80"/>
        <v>0</v>
      </c>
      <c r="L227" s="63">
        <v>0.14000000000000001</v>
      </c>
      <c r="M227" s="69">
        <f>K227*(1-L227)</f>
        <v>0</v>
      </c>
    </row>
    <row r="228" spans="1:13" x14ac:dyDescent="0.25">
      <c r="C228" s="66" t="e">
        <f>(B228-B222)/B222</f>
        <v>#DIV/0!</v>
      </c>
      <c r="E228" s="66" t="e">
        <f>(D228-D222)/D222</f>
        <v>#DIV/0!</v>
      </c>
      <c r="G228" s="63" t="e">
        <f>(F228-F222)/F222</f>
        <v>#DIV/0!</v>
      </c>
      <c r="I228" s="93" t="e">
        <f t="shared" si="77"/>
        <v>#DIV/0!</v>
      </c>
      <c r="J228" s="124">
        <f t="shared" si="74"/>
        <v>0</v>
      </c>
      <c r="K228" s="69">
        <f t="shared" si="80"/>
        <v>0</v>
      </c>
      <c r="L228" s="63">
        <v>0.14000000000000001</v>
      </c>
      <c r="M228" s="69">
        <f t="shared" ref="M228:M270" si="81">K228*(1-L228)</f>
        <v>0</v>
      </c>
    </row>
    <row r="229" spans="1:13" x14ac:dyDescent="0.25">
      <c r="A229" s="67">
        <f>营业收入分析!L1</f>
        <v>0</v>
      </c>
      <c r="C229" s="66" t="e">
        <f>(B229-B228)/B228</f>
        <v>#DIV/0!</v>
      </c>
      <c r="E229" s="66" t="e">
        <f t="shared" ref="E229:E290" si="82">(D229-D228)/D228</f>
        <v>#DIV/0!</v>
      </c>
      <c r="G229" s="63" t="e">
        <f t="shared" ref="G229:G290" si="83">(F229-F228)/F228</f>
        <v>#DIV/0!</v>
      </c>
      <c r="J229" s="124">
        <f t="shared" si="74"/>
        <v>0</v>
      </c>
      <c r="K229" s="69">
        <f t="shared" si="80"/>
        <v>0</v>
      </c>
      <c r="L229" s="63">
        <v>0.14000000000000001</v>
      </c>
      <c r="M229" s="69">
        <f t="shared" si="81"/>
        <v>0</v>
      </c>
    </row>
    <row r="230" spans="1:13" ht="31.5" x14ac:dyDescent="0.25">
      <c r="A230" s="64" t="s">
        <v>72</v>
      </c>
      <c r="B230" s="60" t="s">
        <v>82</v>
      </c>
      <c r="C230" s="60" t="s">
        <v>87</v>
      </c>
      <c r="D230" t="s">
        <v>83</v>
      </c>
      <c r="E230" t="s">
        <v>88</v>
      </c>
      <c r="F230" t="s">
        <v>84</v>
      </c>
      <c r="G230" t="s">
        <v>89</v>
      </c>
      <c r="H230" t="s">
        <v>85</v>
      </c>
      <c r="J230" s="124" t="e">
        <f t="shared" si="74"/>
        <v>#VALUE!</v>
      </c>
      <c r="K230" s="107" t="s">
        <v>244</v>
      </c>
      <c r="L230" s="107" t="s">
        <v>245</v>
      </c>
      <c r="M230" t="s">
        <v>49</v>
      </c>
    </row>
    <row r="231" spans="1:13" x14ac:dyDescent="0.25">
      <c r="A231" s="65">
        <v>40543</v>
      </c>
      <c r="B231" s="67">
        <f>营业收入分析!L2</f>
        <v>0</v>
      </c>
      <c r="C231" s="66" t="e">
        <f t="shared" ref="C231:C255" si="84">(B231-B230)/B230</f>
        <v>#VALUE!</v>
      </c>
      <c r="D231" s="67">
        <f>营业成本分析!L2</f>
        <v>0</v>
      </c>
      <c r="E231" s="66" t="e">
        <f t="shared" si="82"/>
        <v>#VALUE!</v>
      </c>
      <c r="F231" s="69">
        <f t="shared" ref="F231:F238" si="85">B231-D231</f>
        <v>0</v>
      </c>
      <c r="G231" s="63" t="e">
        <f t="shared" si="83"/>
        <v>#VALUE!</v>
      </c>
      <c r="H231" s="63" t="e">
        <f t="shared" ref="H231:H238" si="86">F231/B231</f>
        <v>#DIV/0!</v>
      </c>
      <c r="I231" s="63"/>
      <c r="J231" s="124">
        <f t="shared" si="74"/>
        <v>0</v>
      </c>
      <c r="K231" s="69">
        <f t="shared" si="80"/>
        <v>0</v>
      </c>
      <c r="L231" s="63">
        <v>0.14000000000000001</v>
      </c>
      <c r="M231" s="69">
        <f t="shared" si="81"/>
        <v>0</v>
      </c>
    </row>
    <row r="232" spans="1:13" x14ac:dyDescent="0.25">
      <c r="A232" s="65">
        <v>40908</v>
      </c>
      <c r="B232" s="67">
        <f>营业收入分析!L3</f>
        <v>0</v>
      </c>
      <c r="C232" s="66" t="e">
        <f t="shared" si="84"/>
        <v>#DIV/0!</v>
      </c>
      <c r="D232" s="67">
        <f>营业成本分析!L3</f>
        <v>0</v>
      </c>
      <c r="E232" s="66" t="e">
        <f t="shared" si="82"/>
        <v>#DIV/0!</v>
      </c>
      <c r="F232" s="69">
        <f t="shared" si="85"/>
        <v>0</v>
      </c>
      <c r="G232" s="63" t="e">
        <f t="shared" si="83"/>
        <v>#DIV/0!</v>
      </c>
      <c r="H232" s="63" t="e">
        <f t="shared" si="86"/>
        <v>#DIV/0!</v>
      </c>
      <c r="I232" s="63"/>
      <c r="J232" s="124">
        <f t="shared" si="74"/>
        <v>0</v>
      </c>
      <c r="K232" s="69">
        <f t="shared" si="80"/>
        <v>0</v>
      </c>
      <c r="L232" s="63">
        <v>0.14000000000000001</v>
      </c>
      <c r="M232" s="69">
        <f t="shared" si="81"/>
        <v>0</v>
      </c>
    </row>
    <row r="233" spans="1:13" x14ac:dyDescent="0.25">
      <c r="A233" s="65">
        <v>41274</v>
      </c>
      <c r="B233" s="67">
        <f>营业收入分析!L4</f>
        <v>0</v>
      </c>
      <c r="C233" s="66" t="e">
        <f t="shared" si="84"/>
        <v>#DIV/0!</v>
      </c>
      <c r="D233" s="67">
        <f>营业成本分析!L4</f>
        <v>0</v>
      </c>
      <c r="E233" s="66" t="e">
        <f t="shared" si="82"/>
        <v>#DIV/0!</v>
      </c>
      <c r="F233" s="69">
        <f t="shared" si="85"/>
        <v>0</v>
      </c>
      <c r="G233" s="63" t="e">
        <f t="shared" si="83"/>
        <v>#DIV/0!</v>
      </c>
      <c r="H233" s="63" t="e">
        <f t="shared" si="86"/>
        <v>#DIV/0!</v>
      </c>
      <c r="I233" s="63"/>
      <c r="J233" s="124">
        <f t="shared" si="74"/>
        <v>0</v>
      </c>
      <c r="K233" s="69">
        <f t="shared" si="80"/>
        <v>0</v>
      </c>
      <c r="L233" s="63">
        <v>0.14000000000000001</v>
      </c>
      <c r="M233" s="69">
        <f t="shared" si="81"/>
        <v>0</v>
      </c>
    </row>
    <row r="234" spans="1:13" x14ac:dyDescent="0.25">
      <c r="A234" s="65">
        <v>41639</v>
      </c>
      <c r="B234" s="67">
        <f>营业收入分析!L5</f>
        <v>0</v>
      </c>
      <c r="C234" s="66" t="e">
        <f t="shared" si="84"/>
        <v>#DIV/0!</v>
      </c>
      <c r="D234" s="67">
        <f>营业成本分析!L5</f>
        <v>0</v>
      </c>
      <c r="E234" s="66" t="e">
        <f t="shared" si="82"/>
        <v>#DIV/0!</v>
      </c>
      <c r="F234" s="69">
        <f t="shared" si="85"/>
        <v>0</v>
      </c>
      <c r="G234" s="63" t="e">
        <f t="shared" si="83"/>
        <v>#DIV/0!</v>
      </c>
      <c r="H234" s="63" t="e">
        <f t="shared" si="86"/>
        <v>#DIV/0!</v>
      </c>
      <c r="I234" s="63"/>
      <c r="J234" s="124">
        <f t="shared" si="74"/>
        <v>0</v>
      </c>
      <c r="K234" s="69">
        <f t="shared" si="80"/>
        <v>0</v>
      </c>
      <c r="L234" s="63">
        <v>0.14000000000000001</v>
      </c>
      <c r="M234" s="69">
        <f t="shared" si="81"/>
        <v>0</v>
      </c>
    </row>
    <row r="235" spans="1:13" x14ac:dyDescent="0.25">
      <c r="A235" s="65">
        <v>42004</v>
      </c>
      <c r="B235" s="67">
        <f>营业收入分析!L6</f>
        <v>0</v>
      </c>
      <c r="C235" s="66" t="e">
        <f t="shared" si="84"/>
        <v>#DIV/0!</v>
      </c>
      <c r="D235" s="67">
        <f>营业成本分析!L6</f>
        <v>0</v>
      </c>
      <c r="E235" s="66" t="e">
        <f t="shared" si="82"/>
        <v>#DIV/0!</v>
      </c>
      <c r="F235" s="69">
        <f t="shared" si="85"/>
        <v>0</v>
      </c>
      <c r="G235" s="63" t="e">
        <f t="shared" si="83"/>
        <v>#DIV/0!</v>
      </c>
      <c r="H235" s="63" t="e">
        <f t="shared" si="86"/>
        <v>#DIV/0!</v>
      </c>
      <c r="I235" s="63"/>
      <c r="J235" s="124">
        <f t="shared" si="74"/>
        <v>0</v>
      </c>
      <c r="K235" s="69">
        <f t="shared" si="80"/>
        <v>0</v>
      </c>
      <c r="L235" s="63">
        <v>0.14000000000000001</v>
      </c>
      <c r="M235" s="69">
        <f t="shared" si="81"/>
        <v>0</v>
      </c>
    </row>
    <row r="236" spans="1:13" x14ac:dyDescent="0.25">
      <c r="A236" s="65">
        <v>42369</v>
      </c>
      <c r="B236" s="67">
        <f>营业收入分析!D7</f>
        <v>0</v>
      </c>
      <c r="C236" s="66" t="e">
        <f t="shared" si="84"/>
        <v>#DIV/0!</v>
      </c>
      <c r="D236" s="67">
        <f>营业成本分析!D7</f>
        <v>0</v>
      </c>
      <c r="E236" s="66" t="e">
        <f t="shared" si="82"/>
        <v>#DIV/0!</v>
      </c>
      <c r="F236" s="69">
        <f t="shared" si="85"/>
        <v>0</v>
      </c>
      <c r="G236" s="63" t="e">
        <f t="shared" si="83"/>
        <v>#DIV/0!</v>
      </c>
      <c r="H236" s="63" t="e">
        <f t="shared" si="86"/>
        <v>#DIV/0!</v>
      </c>
      <c r="I236" s="63"/>
      <c r="J236" s="124">
        <f t="shared" si="74"/>
        <v>0</v>
      </c>
      <c r="K236" s="69">
        <f t="shared" si="80"/>
        <v>0</v>
      </c>
      <c r="L236" s="63">
        <v>0.14000000000000001</v>
      </c>
      <c r="M236" s="69">
        <f t="shared" si="81"/>
        <v>0</v>
      </c>
    </row>
    <row r="237" spans="1:13" x14ac:dyDescent="0.25">
      <c r="A237" s="65">
        <v>42735</v>
      </c>
      <c r="B237" s="67">
        <f>营业收入分析!D8</f>
        <v>0</v>
      </c>
      <c r="C237" s="66" t="e">
        <f t="shared" si="84"/>
        <v>#DIV/0!</v>
      </c>
      <c r="D237" s="67">
        <f>营业成本分析!D8</f>
        <v>0</v>
      </c>
      <c r="E237" s="66" t="e">
        <f t="shared" si="82"/>
        <v>#DIV/0!</v>
      </c>
      <c r="F237" s="69">
        <f t="shared" si="85"/>
        <v>0</v>
      </c>
      <c r="G237" s="63" t="e">
        <f t="shared" si="83"/>
        <v>#DIV/0!</v>
      </c>
      <c r="H237" s="63" t="e">
        <f t="shared" si="86"/>
        <v>#DIV/0!</v>
      </c>
      <c r="I237" s="63"/>
      <c r="J237" s="124">
        <f t="shared" si="74"/>
        <v>0</v>
      </c>
      <c r="K237" s="69">
        <f t="shared" si="80"/>
        <v>0</v>
      </c>
      <c r="L237" s="63">
        <v>0.14000000000000001</v>
      </c>
      <c r="M237" s="69">
        <f t="shared" si="81"/>
        <v>0</v>
      </c>
    </row>
    <row r="238" spans="1:13" x14ac:dyDescent="0.25">
      <c r="A238" s="65">
        <v>43100</v>
      </c>
      <c r="B238" s="67">
        <f>营业收入分析!L9</f>
        <v>0</v>
      </c>
      <c r="C238" s="66" t="e">
        <f t="shared" si="84"/>
        <v>#DIV/0!</v>
      </c>
      <c r="D238" s="67">
        <f>营业成本分析!L9</f>
        <v>0</v>
      </c>
      <c r="E238" s="66" t="e">
        <f t="shared" si="82"/>
        <v>#DIV/0!</v>
      </c>
      <c r="F238" s="69">
        <f t="shared" si="85"/>
        <v>0</v>
      </c>
      <c r="G238" s="63" t="e">
        <f t="shared" si="83"/>
        <v>#DIV/0!</v>
      </c>
      <c r="H238" s="63" t="e">
        <f t="shared" si="86"/>
        <v>#DIV/0!</v>
      </c>
      <c r="I238" s="63"/>
      <c r="J238" s="124">
        <f t="shared" si="74"/>
        <v>0</v>
      </c>
      <c r="K238" s="69">
        <f t="shared" si="80"/>
        <v>0</v>
      </c>
      <c r="L238" s="63">
        <v>0.14000000000000001</v>
      </c>
      <c r="M238" s="69">
        <f t="shared" si="81"/>
        <v>0</v>
      </c>
    </row>
    <row r="239" spans="1:13" x14ac:dyDescent="0.25">
      <c r="A239" s="65">
        <v>43465</v>
      </c>
      <c r="B239" s="67">
        <f>营业收入分析!L10</f>
        <v>0</v>
      </c>
      <c r="C239" s="66" t="e">
        <f t="shared" si="84"/>
        <v>#DIV/0!</v>
      </c>
      <c r="D239" s="67">
        <f>营业成本分析!L10</f>
        <v>0</v>
      </c>
      <c r="E239" s="66" t="e">
        <f t="shared" si="82"/>
        <v>#DIV/0!</v>
      </c>
      <c r="F239" s="69">
        <f t="shared" ref="F239:F246" si="87">B239-D239</f>
        <v>0</v>
      </c>
      <c r="G239" s="63" t="e">
        <f t="shared" si="83"/>
        <v>#DIV/0!</v>
      </c>
      <c r="H239" s="63" t="e">
        <f t="shared" ref="H239:H246" si="88">F239/B239</f>
        <v>#DIV/0!</v>
      </c>
      <c r="I239" s="63"/>
      <c r="J239" s="124">
        <f t="shared" si="74"/>
        <v>0</v>
      </c>
      <c r="K239" s="69">
        <f t="shared" si="80"/>
        <v>0</v>
      </c>
      <c r="L239" s="63">
        <v>0.14000000000000001</v>
      </c>
      <c r="M239" s="69">
        <f t="shared" si="81"/>
        <v>0</v>
      </c>
    </row>
    <row r="240" spans="1:13" x14ac:dyDescent="0.25">
      <c r="A240" s="65">
        <v>43830</v>
      </c>
      <c r="B240" s="67">
        <f>营业收入分析!L11</f>
        <v>0</v>
      </c>
      <c r="C240" s="66" t="e">
        <f t="shared" si="84"/>
        <v>#DIV/0!</v>
      </c>
      <c r="D240" s="67">
        <f>营业成本分析!L11</f>
        <v>0</v>
      </c>
      <c r="E240" s="66" t="e">
        <f t="shared" si="82"/>
        <v>#DIV/0!</v>
      </c>
      <c r="F240" s="69">
        <f t="shared" si="87"/>
        <v>0</v>
      </c>
      <c r="G240" s="63" t="e">
        <f t="shared" si="83"/>
        <v>#DIV/0!</v>
      </c>
      <c r="H240" s="63" t="e">
        <f t="shared" si="88"/>
        <v>#DIV/0!</v>
      </c>
      <c r="I240" s="63"/>
      <c r="J240" s="124">
        <f t="shared" si="74"/>
        <v>0</v>
      </c>
      <c r="K240" s="69">
        <f>B240-D240/0.65</f>
        <v>0</v>
      </c>
      <c r="L240" s="63">
        <v>0.14000000000000001</v>
      </c>
      <c r="M240" s="69">
        <f t="shared" si="81"/>
        <v>0</v>
      </c>
    </row>
    <row r="241" spans="1:13" s="71" customFormat="1" x14ac:dyDescent="0.25">
      <c r="A241" s="72">
        <v>43831</v>
      </c>
      <c r="B241" s="91">
        <f>营业收入分析!L12</f>
        <v>0</v>
      </c>
      <c r="C241" s="74" t="e">
        <f t="shared" si="84"/>
        <v>#DIV/0!</v>
      </c>
      <c r="D241" s="91">
        <f>营业成本分析!L12</f>
        <v>0</v>
      </c>
      <c r="E241" s="74" t="e">
        <f t="shared" si="82"/>
        <v>#DIV/0!</v>
      </c>
      <c r="F241" s="92">
        <f t="shared" si="87"/>
        <v>0</v>
      </c>
      <c r="G241" s="93" t="e">
        <f t="shared" si="83"/>
        <v>#DIV/0!</v>
      </c>
      <c r="H241" s="93" t="e">
        <f t="shared" si="88"/>
        <v>#DIV/0!</v>
      </c>
      <c r="I241" s="93"/>
      <c r="J241" s="124">
        <f t="shared" si="74"/>
        <v>0</v>
      </c>
      <c r="K241" s="92">
        <f t="shared" ref="K241:K259" si="89">B241-D241/0.65</f>
        <v>0</v>
      </c>
      <c r="L241" s="63">
        <v>0.14000000000000001</v>
      </c>
      <c r="M241" s="92">
        <f t="shared" si="81"/>
        <v>0</v>
      </c>
    </row>
    <row r="242" spans="1:13" x14ac:dyDescent="0.25">
      <c r="A242" s="85">
        <f>A14+1</f>
        <v>2021</v>
      </c>
      <c r="B242" s="67">
        <f>B241</f>
        <v>0</v>
      </c>
      <c r="C242" s="66" t="e">
        <f t="shared" si="84"/>
        <v>#DIV/0!</v>
      </c>
      <c r="D242" s="67">
        <f>B242*0.1</f>
        <v>0</v>
      </c>
      <c r="E242" s="66" t="e">
        <f t="shared" si="82"/>
        <v>#DIV/0!</v>
      </c>
      <c r="F242" s="69">
        <f t="shared" si="87"/>
        <v>0</v>
      </c>
      <c r="G242" s="63" t="e">
        <f t="shared" si="83"/>
        <v>#DIV/0!</v>
      </c>
      <c r="H242" s="63" t="e">
        <f t="shared" si="88"/>
        <v>#DIV/0!</v>
      </c>
      <c r="I242" s="63"/>
      <c r="J242" s="124">
        <f t="shared" si="74"/>
        <v>0</v>
      </c>
      <c r="K242" s="69">
        <f t="shared" si="89"/>
        <v>0</v>
      </c>
      <c r="L242" s="63">
        <v>0.14000000000000001</v>
      </c>
      <c r="M242" s="69">
        <f t="shared" si="81"/>
        <v>0</v>
      </c>
    </row>
    <row r="243" spans="1:13" x14ac:dyDescent="0.25">
      <c r="A243" s="85">
        <f>A242+1</f>
        <v>2022</v>
      </c>
      <c r="B243" s="67">
        <f>B242*1.1</f>
        <v>0</v>
      </c>
      <c r="C243" s="66" t="e">
        <f t="shared" si="84"/>
        <v>#DIV/0!</v>
      </c>
      <c r="D243" s="67">
        <f>B243*0.1</f>
        <v>0</v>
      </c>
      <c r="E243" s="66" t="e">
        <f t="shared" si="82"/>
        <v>#DIV/0!</v>
      </c>
      <c r="F243" s="69">
        <f t="shared" si="87"/>
        <v>0</v>
      </c>
      <c r="G243" s="63" t="e">
        <f t="shared" si="83"/>
        <v>#DIV/0!</v>
      </c>
      <c r="H243" s="63" t="e">
        <f t="shared" si="88"/>
        <v>#DIV/0!</v>
      </c>
      <c r="I243" s="63"/>
      <c r="J243" s="124">
        <f t="shared" si="74"/>
        <v>0</v>
      </c>
      <c r="K243" s="69">
        <f t="shared" si="89"/>
        <v>0</v>
      </c>
      <c r="L243" s="63">
        <v>0.14000000000000001</v>
      </c>
      <c r="M243" s="69">
        <f t="shared" si="81"/>
        <v>0</v>
      </c>
    </row>
    <row r="244" spans="1:13" x14ac:dyDescent="0.25">
      <c r="A244" s="85">
        <f>A243+1</f>
        <v>2023</v>
      </c>
      <c r="B244" s="67">
        <f>B243*1.1</f>
        <v>0</v>
      </c>
      <c r="C244" s="66" t="e">
        <f t="shared" si="84"/>
        <v>#DIV/0!</v>
      </c>
      <c r="D244" s="67">
        <f>B244*0.1</f>
        <v>0</v>
      </c>
      <c r="E244" s="66" t="e">
        <f t="shared" si="82"/>
        <v>#DIV/0!</v>
      </c>
      <c r="F244" s="69">
        <f t="shared" si="87"/>
        <v>0</v>
      </c>
      <c r="G244" s="63" t="e">
        <f t="shared" si="83"/>
        <v>#DIV/0!</v>
      </c>
      <c r="H244" s="63" t="e">
        <f t="shared" si="88"/>
        <v>#DIV/0!</v>
      </c>
      <c r="I244" s="63"/>
      <c r="J244" s="124">
        <f t="shared" si="74"/>
        <v>0</v>
      </c>
      <c r="K244" s="69">
        <f t="shared" si="89"/>
        <v>0</v>
      </c>
      <c r="L244" s="63">
        <v>0.14000000000000001</v>
      </c>
      <c r="M244" s="69">
        <f t="shared" si="81"/>
        <v>0</v>
      </c>
    </row>
    <row r="245" spans="1:13" x14ac:dyDescent="0.25">
      <c r="A245" s="85">
        <f>A244+1</f>
        <v>2024</v>
      </c>
      <c r="B245" s="67">
        <f>B244*1.1</f>
        <v>0</v>
      </c>
      <c r="C245" s="66" t="e">
        <f t="shared" si="84"/>
        <v>#DIV/0!</v>
      </c>
      <c r="D245" s="67">
        <f>B245*0.1</f>
        <v>0</v>
      </c>
      <c r="E245" s="66" t="e">
        <f t="shared" si="82"/>
        <v>#DIV/0!</v>
      </c>
      <c r="F245" s="69">
        <f t="shared" si="87"/>
        <v>0</v>
      </c>
      <c r="G245" s="63" t="e">
        <f t="shared" si="83"/>
        <v>#DIV/0!</v>
      </c>
      <c r="H245" s="63" t="e">
        <f t="shared" si="88"/>
        <v>#DIV/0!</v>
      </c>
      <c r="I245" s="63"/>
      <c r="J245" s="124">
        <f t="shared" si="74"/>
        <v>0</v>
      </c>
      <c r="K245" s="69">
        <f t="shared" si="89"/>
        <v>0</v>
      </c>
      <c r="L245" s="63">
        <v>0.14000000000000001</v>
      </c>
      <c r="M245" s="69">
        <f t="shared" si="81"/>
        <v>0</v>
      </c>
    </row>
    <row r="246" spans="1:13" x14ac:dyDescent="0.25">
      <c r="A246" s="85">
        <f>A245+1</f>
        <v>2025</v>
      </c>
      <c r="B246" s="67">
        <f>B245*1.1</f>
        <v>0</v>
      </c>
      <c r="C246" s="66" t="e">
        <f t="shared" si="84"/>
        <v>#DIV/0!</v>
      </c>
      <c r="D246" s="67">
        <f>B246*0.1</f>
        <v>0</v>
      </c>
      <c r="E246" s="66" t="e">
        <f t="shared" si="82"/>
        <v>#DIV/0!</v>
      </c>
      <c r="F246" s="69">
        <f t="shared" si="87"/>
        <v>0</v>
      </c>
      <c r="G246" s="63" t="e">
        <f t="shared" si="83"/>
        <v>#DIV/0!</v>
      </c>
      <c r="H246" s="63" t="e">
        <f t="shared" si="88"/>
        <v>#DIV/0!</v>
      </c>
      <c r="I246" s="63"/>
      <c r="J246" s="124">
        <f t="shared" si="74"/>
        <v>0</v>
      </c>
      <c r="K246" s="69">
        <f t="shared" si="89"/>
        <v>0</v>
      </c>
      <c r="L246" s="63">
        <v>0.14000000000000001</v>
      </c>
      <c r="M246" s="69">
        <f t="shared" si="81"/>
        <v>0</v>
      </c>
    </row>
    <row r="247" spans="1:13" x14ac:dyDescent="0.25">
      <c r="C247" s="66" t="e">
        <f>(B247-B241)/B241</f>
        <v>#DIV/0!</v>
      </c>
      <c r="E247" s="66" t="e">
        <f>(D247-D241)/D241</f>
        <v>#DIV/0!</v>
      </c>
      <c r="G247" s="63" t="e">
        <f>(F247-F241)/F241</f>
        <v>#DIV/0!</v>
      </c>
      <c r="J247" s="124">
        <f t="shared" si="74"/>
        <v>0</v>
      </c>
      <c r="K247" s="69">
        <f t="shared" si="89"/>
        <v>0</v>
      </c>
      <c r="L247" s="63">
        <v>0.14000000000000001</v>
      </c>
      <c r="M247" s="69">
        <f t="shared" si="81"/>
        <v>0</v>
      </c>
    </row>
    <row r="248" spans="1:13" x14ac:dyDescent="0.25">
      <c r="C248" s="66" t="e">
        <f t="shared" si="84"/>
        <v>#DIV/0!</v>
      </c>
      <c r="E248" s="66" t="e">
        <f t="shared" si="82"/>
        <v>#DIV/0!</v>
      </c>
      <c r="G248" s="63" t="e">
        <f t="shared" si="83"/>
        <v>#DIV/0!</v>
      </c>
      <c r="J248" s="124">
        <f t="shared" si="74"/>
        <v>0</v>
      </c>
      <c r="K248" s="69">
        <f t="shared" si="89"/>
        <v>0</v>
      </c>
      <c r="L248" s="63">
        <v>0.14000000000000001</v>
      </c>
      <c r="M248" s="69">
        <f t="shared" si="81"/>
        <v>0</v>
      </c>
    </row>
    <row r="249" spans="1:13" x14ac:dyDescent="0.25">
      <c r="C249" s="66" t="e">
        <f t="shared" si="84"/>
        <v>#DIV/0!</v>
      </c>
      <c r="E249" s="66" t="e">
        <f t="shared" si="82"/>
        <v>#DIV/0!</v>
      </c>
      <c r="G249" s="63" t="e">
        <f t="shared" si="83"/>
        <v>#DIV/0!</v>
      </c>
      <c r="J249" s="124">
        <f t="shared" si="74"/>
        <v>0</v>
      </c>
      <c r="K249" s="69">
        <f t="shared" si="89"/>
        <v>0</v>
      </c>
      <c r="L249" s="63">
        <v>0.14000000000000001</v>
      </c>
      <c r="M249" s="69">
        <f t="shared" si="81"/>
        <v>0</v>
      </c>
    </row>
    <row r="250" spans="1:13" x14ac:dyDescent="0.25">
      <c r="C250" s="66" t="e">
        <f t="shared" si="84"/>
        <v>#DIV/0!</v>
      </c>
      <c r="E250" s="66" t="e">
        <f t="shared" si="82"/>
        <v>#DIV/0!</v>
      </c>
      <c r="G250" s="63" t="e">
        <f t="shared" si="83"/>
        <v>#DIV/0!</v>
      </c>
      <c r="J250" s="124">
        <f t="shared" si="74"/>
        <v>0</v>
      </c>
      <c r="K250" s="69">
        <f t="shared" si="89"/>
        <v>0</v>
      </c>
      <c r="L250" s="63">
        <v>0.14000000000000001</v>
      </c>
      <c r="M250" s="69">
        <f t="shared" si="81"/>
        <v>0</v>
      </c>
    </row>
    <row r="251" spans="1:13" x14ac:dyDescent="0.25">
      <c r="C251" s="66" t="e">
        <f t="shared" si="84"/>
        <v>#DIV/0!</v>
      </c>
      <c r="E251" s="66" t="e">
        <f t="shared" si="82"/>
        <v>#DIV/0!</v>
      </c>
      <c r="G251" s="63" t="e">
        <f t="shared" si="83"/>
        <v>#DIV/0!</v>
      </c>
      <c r="J251" s="124">
        <f t="shared" si="74"/>
        <v>0</v>
      </c>
      <c r="K251" s="69">
        <f t="shared" si="89"/>
        <v>0</v>
      </c>
      <c r="L251" s="63">
        <v>0.14000000000000001</v>
      </c>
      <c r="M251" s="69">
        <f t="shared" si="81"/>
        <v>0</v>
      </c>
    </row>
    <row r="252" spans="1:13" x14ac:dyDescent="0.25">
      <c r="C252" s="66" t="e">
        <f t="shared" si="84"/>
        <v>#DIV/0!</v>
      </c>
      <c r="E252" s="66" t="e">
        <f t="shared" si="82"/>
        <v>#DIV/0!</v>
      </c>
      <c r="G252" s="63" t="e">
        <f t="shared" si="83"/>
        <v>#DIV/0!</v>
      </c>
      <c r="J252" s="124">
        <f t="shared" si="74"/>
        <v>0</v>
      </c>
      <c r="K252" s="69">
        <f t="shared" si="89"/>
        <v>0</v>
      </c>
      <c r="L252" s="63">
        <v>0.14000000000000001</v>
      </c>
      <c r="M252" s="69">
        <f t="shared" si="81"/>
        <v>0</v>
      </c>
    </row>
    <row r="253" spans="1:13" x14ac:dyDescent="0.25">
      <c r="A253" s="67">
        <f>营业收入分析!M1</f>
        <v>0</v>
      </c>
      <c r="C253" s="66" t="e">
        <f t="shared" si="84"/>
        <v>#DIV/0!</v>
      </c>
      <c r="E253" s="66" t="e">
        <f t="shared" si="82"/>
        <v>#DIV/0!</v>
      </c>
      <c r="G253" s="63" t="e">
        <f t="shared" si="83"/>
        <v>#DIV/0!</v>
      </c>
      <c r="J253" s="124">
        <f t="shared" si="74"/>
        <v>0</v>
      </c>
      <c r="K253" s="69">
        <f t="shared" si="89"/>
        <v>0</v>
      </c>
      <c r="L253" s="63">
        <v>0.14000000000000001</v>
      </c>
      <c r="M253" s="69">
        <f t="shared" si="81"/>
        <v>0</v>
      </c>
    </row>
    <row r="254" spans="1:13" ht="31.5" x14ac:dyDescent="0.25">
      <c r="A254" s="64" t="s">
        <v>72</v>
      </c>
      <c r="B254" s="60" t="s">
        <v>82</v>
      </c>
      <c r="C254" s="60" t="s">
        <v>87</v>
      </c>
      <c r="D254" t="s">
        <v>83</v>
      </c>
      <c r="E254" t="s">
        <v>88</v>
      </c>
      <c r="F254" t="s">
        <v>84</v>
      </c>
      <c r="G254" t="s">
        <v>89</v>
      </c>
      <c r="H254" t="s">
        <v>85</v>
      </c>
      <c r="J254" s="124" t="e">
        <f t="shared" si="74"/>
        <v>#VALUE!</v>
      </c>
      <c r="K254" s="107" t="s">
        <v>244</v>
      </c>
      <c r="L254" s="107" t="s">
        <v>245</v>
      </c>
      <c r="M254" t="s">
        <v>49</v>
      </c>
    </row>
    <row r="255" spans="1:13" x14ac:dyDescent="0.25">
      <c r="A255" s="65">
        <v>40543</v>
      </c>
      <c r="B255" s="67">
        <f>营业收入分析!M2</f>
        <v>0</v>
      </c>
      <c r="C255" s="66" t="e">
        <f t="shared" si="84"/>
        <v>#VALUE!</v>
      </c>
      <c r="D255">
        <f>营业成本分析!M2</f>
        <v>0</v>
      </c>
      <c r="E255" s="66" t="e">
        <f t="shared" si="82"/>
        <v>#VALUE!</v>
      </c>
      <c r="F255" s="69">
        <f t="shared" ref="F255:F262" si="90">B255-D255</f>
        <v>0</v>
      </c>
      <c r="G255" s="63" t="e">
        <f t="shared" si="83"/>
        <v>#VALUE!</v>
      </c>
      <c r="H255" s="63" t="e">
        <f t="shared" ref="H255:H262" si="91">F255/B255</f>
        <v>#DIV/0!</v>
      </c>
      <c r="I255" s="63"/>
      <c r="J255" s="124">
        <f t="shared" si="74"/>
        <v>0</v>
      </c>
      <c r="K255" s="69">
        <f t="shared" si="89"/>
        <v>0</v>
      </c>
      <c r="L255" s="63">
        <v>0.14000000000000001</v>
      </c>
      <c r="M255" s="69">
        <f t="shared" si="81"/>
        <v>0</v>
      </c>
    </row>
    <row r="256" spans="1:13" x14ac:dyDescent="0.25">
      <c r="A256" s="65">
        <v>40908</v>
      </c>
      <c r="B256" s="67">
        <f>营业收入分析!M3</f>
        <v>0</v>
      </c>
      <c r="C256" s="66" t="e">
        <f>(B256-B255)/B255</f>
        <v>#DIV/0!</v>
      </c>
      <c r="D256">
        <f>营业成本分析!M3</f>
        <v>0</v>
      </c>
      <c r="E256" s="66" t="e">
        <f t="shared" si="82"/>
        <v>#DIV/0!</v>
      </c>
      <c r="F256" s="69">
        <f t="shared" si="90"/>
        <v>0</v>
      </c>
      <c r="G256" s="63" t="e">
        <f t="shared" si="83"/>
        <v>#DIV/0!</v>
      </c>
      <c r="H256" s="63" t="e">
        <f t="shared" si="91"/>
        <v>#DIV/0!</v>
      </c>
      <c r="I256" s="63"/>
      <c r="J256" s="124">
        <f t="shared" si="74"/>
        <v>0</v>
      </c>
      <c r="K256" s="69">
        <f t="shared" si="89"/>
        <v>0</v>
      </c>
      <c r="L256" s="63">
        <v>0.14000000000000001</v>
      </c>
      <c r="M256" s="69">
        <f t="shared" si="81"/>
        <v>0</v>
      </c>
    </row>
    <row r="257" spans="1:13" x14ac:dyDescent="0.25">
      <c r="A257" s="65">
        <v>41274</v>
      </c>
      <c r="B257" s="67">
        <f>营业收入分析!M4</f>
        <v>0</v>
      </c>
      <c r="C257" s="66" t="e">
        <f t="shared" ref="C257:C270" si="92">(B257-B256)/B256</f>
        <v>#DIV/0!</v>
      </c>
      <c r="D257">
        <f>营业成本分析!M4</f>
        <v>0</v>
      </c>
      <c r="E257" s="66" t="e">
        <f t="shared" si="82"/>
        <v>#DIV/0!</v>
      </c>
      <c r="F257" s="69">
        <f t="shared" si="90"/>
        <v>0</v>
      </c>
      <c r="G257" s="63" t="e">
        <f t="shared" si="83"/>
        <v>#DIV/0!</v>
      </c>
      <c r="H257" s="63" t="e">
        <f t="shared" si="91"/>
        <v>#DIV/0!</v>
      </c>
      <c r="I257" s="63"/>
      <c r="J257" s="124">
        <f t="shared" si="74"/>
        <v>0</v>
      </c>
      <c r="K257" s="69">
        <f t="shared" si="89"/>
        <v>0</v>
      </c>
      <c r="L257" s="63">
        <v>0.14000000000000001</v>
      </c>
      <c r="M257" s="69">
        <f t="shared" si="81"/>
        <v>0</v>
      </c>
    </row>
    <row r="258" spans="1:13" x14ac:dyDescent="0.25">
      <c r="A258" s="65">
        <v>41639</v>
      </c>
      <c r="B258" s="67">
        <f>营业收入分析!M5</f>
        <v>0</v>
      </c>
      <c r="C258" s="66" t="e">
        <f t="shared" si="92"/>
        <v>#DIV/0!</v>
      </c>
      <c r="D258">
        <f>营业成本分析!M5</f>
        <v>0</v>
      </c>
      <c r="E258" s="66" t="e">
        <f t="shared" si="82"/>
        <v>#DIV/0!</v>
      </c>
      <c r="F258" s="69">
        <f t="shared" si="90"/>
        <v>0</v>
      </c>
      <c r="G258" s="63" t="e">
        <f t="shared" si="83"/>
        <v>#DIV/0!</v>
      </c>
      <c r="H258" s="63" t="e">
        <f t="shared" si="91"/>
        <v>#DIV/0!</v>
      </c>
      <c r="I258" s="63"/>
      <c r="J258" s="124">
        <f t="shared" si="74"/>
        <v>0</v>
      </c>
      <c r="K258" s="69">
        <f t="shared" si="89"/>
        <v>0</v>
      </c>
      <c r="L258" s="63">
        <v>0.14000000000000001</v>
      </c>
      <c r="M258" s="69">
        <f t="shared" si="81"/>
        <v>0</v>
      </c>
    </row>
    <row r="259" spans="1:13" x14ac:dyDescent="0.25">
      <c r="A259" s="65">
        <v>42004</v>
      </c>
      <c r="B259" s="67">
        <f>营业收入分析!M6</f>
        <v>0</v>
      </c>
      <c r="C259" s="66" t="e">
        <f t="shared" si="92"/>
        <v>#DIV/0!</v>
      </c>
      <c r="D259">
        <f>营业成本分析!M6</f>
        <v>0</v>
      </c>
      <c r="E259" s="66" t="e">
        <f t="shared" si="82"/>
        <v>#DIV/0!</v>
      </c>
      <c r="F259" s="69">
        <f t="shared" si="90"/>
        <v>0</v>
      </c>
      <c r="G259" s="63" t="e">
        <f t="shared" si="83"/>
        <v>#DIV/0!</v>
      </c>
      <c r="H259" s="63" t="e">
        <f t="shared" si="91"/>
        <v>#DIV/0!</v>
      </c>
      <c r="I259" s="63"/>
      <c r="J259" s="124">
        <f t="shared" si="74"/>
        <v>0</v>
      </c>
      <c r="K259" s="69">
        <f t="shared" si="89"/>
        <v>0</v>
      </c>
      <c r="L259" s="63">
        <v>0.14000000000000001</v>
      </c>
      <c r="M259" s="69">
        <f t="shared" si="81"/>
        <v>0</v>
      </c>
    </row>
    <row r="260" spans="1:13" x14ac:dyDescent="0.25">
      <c r="A260" s="65">
        <v>42369</v>
      </c>
      <c r="B260" s="67">
        <f>营业收入分析!M7</f>
        <v>0</v>
      </c>
      <c r="C260" s="66" t="e">
        <f t="shared" si="92"/>
        <v>#DIV/0!</v>
      </c>
      <c r="D260">
        <f>营业成本分析!M7</f>
        <v>0</v>
      </c>
      <c r="E260" s="66" t="e">
        <f t="shared" si="82"/>
        <v>#DIV/0!</v>
      </c>
      <c r="F260" s="69">
        <f t="shared" si="90"/>
        <v>0</v>
      </c>
      <c r="G260" s="63" t="e">
        <f t="shared" si="83"/>
        <v>#DIV/0!</v>
      </c>
      <c r="H260" s="63" t="e">
        <f t="shared" si="91"/>
        <v>#DIV/0!</v>
      </c>
      <c r="I260" s="63"/>
      <c r="J260" s="124">
        <f t="shared" si="74"/>
        <v>0</v>
      </c>
      <c r="K260" s="69">
        <f>B260-D260/0.65</f>
        <v>0</v>
      </c>
      <c r="L260" s="63">
        <v>0.14000000000000001</v>
      </c>
      <c r="M260" s="69">
        <f t="shared" si="81"/>
        <v>0</v>
      </c>
    </row>
    <row r="261" spans="1:13" x14ac:dyDescent="0.25">
      <c r="A261" s="65">
        <v>42735</v>
      </c>
      <c r="B261" s="67">
        <f>营业收入分析!M8</f>
        <v>0</v>
      </c>
      <c r="C261" s="66" t="e">
        <f t="shared" si="92"/>
        <v>#DIV/0!</v>
      </c>
      <c r="D261">
        <f>营业成本分析!M8</f>
        <v>0</v>
      </c>
      <c r="E261" s="66" t="e">
        <f t="shared" si="82"/>
        <v>#DIV/0!</v>
      </c>
      <c r="F261" s="69">
        <f t="shared" si="90"/>
        <v>0</v>
      </c>
      <c r="G261" s="63" t="e">
        <f t="shared" si="83"/>
        <v>#DIV/0!</v>
      </c>
      <c r="H261" s="63" t="e">
        <f t="shared" si="91"/>
        <v>#DIV/0!</v>
      </c>
      <c r="I261" s="63"/>
      <c r="J261" s="124">
        <f t="shared" si="74"/>
        <v>0</v>
      </c>
      <c r="K261" s="69">
        <f t="shared" ref="K261:K277" si="93">B261-D261/0.65</f>
        <v>0</v>
      </c>
      <c r="L261" s="63">
        <v>0.14000000000000001</v>
      </c>
      <c r="M261" s="69">
        <f t="shared" si="81"/>
        <v>0</v>
      </c>
    </row>
    <row r="262" spans="1:13" x14ac:dyDescent="0.25">
      <c r="A262" s="65">
        <v>43100</v>
      </c>
      <c r="B262" s="67">
        <f>营业收入分析!M9</f>
        <v>0</v>
      </c>
      <c r="C262" s="66" t="e">
        <f t="shared" si="92"/>
        <v>#DIV/0!</v>
      </c>
      <c r="D262">
        <f>营业成本分析!M9</f>
        <v>0</v>
      </c>
      <c r="E262" s="66" t="e">
        <f t="shared" si="82"/>
        <v>#DIV/0!</v>
      </c>
      <c r="F262" s="69">
        <f t="shared" si="90"/>
        <v>0</v>
      </c>
      <c r="G262" s="63" t="e">
        <f t="shared" si="83"/>
        <v>#DIV/0!</v>
      </c>
      <c r="H262" s="63" t="e">
        <f t="shared" si="91"/>
        <v>#DIV/0!</v>
      </c>
      <c r="I262" s="63"/>
      <c r="J262" s="124">
        <f t="shared" si="74"/>
        <v>0</v>
      </c>
      <c r="K262" s="69">
        <f t="shared" si="93"/>
        <v>0</v>
      </c>
      <c r="L262" s="63">
        <v>0.14000000000000001</v>
      </c>
      <c r="M262" s="69">
        <f t="shared" si="81"/>
        <v>0</v>
      </c>
    </row>
    <row r="263" spans="1:13" x14ac:dyDescent="0.25">
      <c r="A263" s="65">
        <v>43465</v>
      </c>
      <c r="B263" s="67">
        <f>营业收入分析!M10</f>
        <v>0</v>
      </c>
      <c r="C263" s="66" t="e">
        <f t="shared" si="92"/>
        <v>#DIV/0!</v>
      </c>
      <c r="D263">
        <f>营业成本分析!M10</f>
        <v>0</v>
      </c>
      <c r="E263" s="66" t="e">
        <f t="shared" si="82"/>
        <v>#DIV/0!</v>
      </c>
      <c r="F263" s="69">
        <f t="shared" ref="F263:F270" si="94">B263-D263</f>
        <v>0</v>
      </c>
      <c r="G263" s="63" t="e">
        <f t="shared" si="83"/>
        <v>#DIV/0!</v>
      </c>
      <c r="H263" s="63" t="e">
        <f t="shared" ref="H263:H270" si="95">F263/B263</f>
        <v>#DIV/0!</v>
      </c>
      <c r="I263" s="63"/>
      <c r="J263" s="124">
        <f t="shared" si="74"/>
        <v>0</v>
      </c>
      <c r="K263" s="69">
        <f t="shared" si="93"/>
        <v>0</v>
      </c>
      <c r="L263" s="63">
        <v>0.14000000000000001</v>
      </c>
      <c r="M263" s="69">
        <f t="shared" si="81"/>
        <v>0</v>
      </c>
    </row>
    <row r="264" spans="1:13" x14ac:dyDescent="0.25">
      <c r="A264" s="65">
        <v>43830</v>
      </c>
      <c r="B264" s="67">
        <f>营业收入分析!M11</f>
        <v>0</v>
      </c>
      <c r="C264" s="66" t="e">
        <f t="shared" si="92"/>
        <v>#DIV/0!</v>
      </c>
      <c r="D264">
        <f>营业成本分析!M11</f>
        <v>0</v>
      </c>
      <c r="E264" s="66" t="e">
        <f t="shared" si="82"/>
        <v>#DIV/0!</v>
      </c>
      <c r="F264" s="69">
        <f t="shared" si="94"/>
        <v>0</v>
      </c>
      <c r="G264" s="63" t="e">
        <f t="shared" si="83"/>
        <v>#DIV/0!</v>
      </c>
      <c r="H264" s="63" t="e">
        <f t="shared" si="95"/>
        <v>#DIV/0!</v>
      </c>
      <c r="I264" s="63"/>
      <c r="J264" s="124">
        <f t="shared" si="74"/>
        <v>0</v>
      </c>
      <c r="K264" s="69">
        <f t="shared" si="93"/>
        <v>0</v>
      </c>
      <c r="L264" s="63">
        <v>0.14000000000000001</v>
      </c>
      <c r="M264" s="69">
        <f t="shared" si="81"/>
        <v>0</v>
      </c>
    </row>
    <row r="265" spans="1:13" s="71" customFormat="1" x14ac:dyDescent="0.25">
      <c r="A265" s="72">
        <v>43831</v>
      </c>
      <c r="B265" s="91">
        <f>营业收入分析!M12</f>
        <v>0</v>
      </c>
      <c r="C265" s="74" t="e">
        <f t="shared" si="92"/>
        <v>#DIV/0!</v>
      </c>
      <c r="D265" s="71">
        <f>营业成本分析!M12</f>
        <v>0</v>
      </c>
      <c r="E265" s="74" t="e">
        <f t="shared" si="82"/>
        <v>#DIV/0!</v>
      </c>
      <c r="F265" s="92">
        <f t="shared" si="94"/>
        <v>0</v>
      </c>
      <c r="G265" s="93" t="e">
        <f t="shared" si="83"/>
        <v>#DIV/0!</v>
      </c>
      <c r="H265" s="93" t="e">
        <f t="shared" si="95"/>
        <v>#DIV/0!</v>
      </c>
      <c r="I265" s="93"/>
      <c r="J265" s="124">
        <f t="shared" si="74"/>
        <v>0</v>
      </c>
      <c r="K265" s="92">
        <f t="shared" si="93"/>
        <v>0</v>
      </c>
      <c r="L265" s="63">
        <v>0.14000000000000001</v>
      </c>
      <c r="M265" s="92">
        <f t="shared" si="81"/>
        <v>0</v>
      </c>
    </row>
    <row r="266" spans="1:13" x14ac:dyDescent="0.25">
      <c r="A266" s="85">
        <f>A14+1</f>
        <v>2021</v>
      </c>
      <c r="B266" s="67">
        <f>0</f>
        <v>0</v>
      </c>
      <c r="C266" s="66" t="e">
        <f t="shared" si="92"/>
        <v>#DIV/0!</v>
      </c>
      <c r="D266">
        <f>0</f>
        <v>0</v>
      </c>
      <c r="E266" s="66" t="e">
        <f t="shared" si="82"/>
        <v>#DIV/0!</v>
      </c>
      <c r="F266" s="69">
        <f t="shared" si="94"/>
        <v>0</v>
      </c>
      <c r="G266" s="63" t="e">
        <f t="shared" si="83"/>
        <v>#DIV/0!</v>
      </c>
      <c r="H266" s="63" t="e">
        <f t="shared" si="95"/>
        <v>#DIV/0!</v>
      </c>
      <c r="I266" s="63"/>
      <c r="J266" s="124">
        <f t="shared" si="74"/>
        <v>0</v>
      </c>
      <c r="K266" s="69">
        <f t="shared" si="93"/>
        <v>0</v>
      </c>
      <c r="L266" s="63">
        <v>0.14000000000000001</v>
      </c>
      <c r="M266" s="69">
        <f t="shared" si="81"/>
        <v>0</v>
      </c>
    </row>
    <row r="267" spans="1:13" x14ac:dyDescent="0.25">
      <c r="A267" s="85">
        <f>A266+1</f>
        <v>2022</v>
      </c>
      <c r="B267" s="67">
        <f>0</f>
        <v>0</v>
      </c>
      <c r="C267" s="66" t="e">
        <f t="shared" si="92"/>
        <v>#DIV/0!</v>
      </c>
      <c r="D267">
        <f>0</f>
        <v>0</v>
      </c>
      <c r="E267" s="66" t="e">
        <f t="shared" si="82"/>
        <v>#DIV/0!</v>
      </c>
      <c r="F267" s="69">
        <f t="shared" si="94"/>
        <v>0</v>
      </c>
      <c r="G267" s="63" t="e">
        <f t="shared" si="83"/>
        <v>#DIV/0!</v>
      </c>
      <c r="H267" s="63" t="e">
        <f t="shared" si="95"/>
        <v>#DIV/0!</v>
      </c>
      <c r="I267" s="63"/>
      <c r="J267" s="124">
        <f t="shared" si="74"/>
        <v>0</v>
      </c>
      <c r="K267" s="69">
        <f t="shared" si="93"/>
        <v>0</v>
      </c>
      <c r="L267" s="63">
        <v>0.14000000000000001</v>
      </c>
      <c r="M267" s="69">
        <f t="shared" si="81"/>
        <v>0</v>
      </c>
    </row>
    <row r="268" spans="1:13" x14ac:dyDescent="0.25">
      <c r="A268" s="85">
        <f>A267+1</f>
        <v>2023</v>
      </c>
      <c r="B268" s="67">
        <f>0</f>
        <v>0</v>
      </c>
      <c r="C268" s="66" t="e">
        <f t="shared" si="92"/>
        <v>#DIV/0!</v>
      </c>
      <c r="D268">
        <f>0</f>
        <v>0</v>
      </c>
      <c r="E268" s="66" t="e">
        <f t="shared" si="82"/>
        <v>#DIV/0!</v>
      </c>
      <c r="F268" s="69">
        <f t="shared" si="94"/>
        <v>0</v>
      </c>
      <c r="G268" s="63" t="e">
        <f t="shared" si="83"/>
        <v>#DIV/0!</v>
      </c>
      <c r="H268" s="63" t="e">
        <f t="shared" si="95"/>
        <v>#DIV/0!</v>
      </c>
      <c r="I268" s="63"/>
      <c r="J268" s="124">
        <f t="shared" si="74"/>
        <v>0</v>
      </c>
      <c r="K268" s="69">
        <f t="shared" si="93"/>
        <v>0</v>
      </c>
      <c r="L268" s="63">
        <v>0.14000000000000001</v>
      </c>
      <c r="M268" s="69">
        <f t="shared" si="81"/>
        <v>0</v>
      </c>
    </row>
    <row r="269" spans="1:13" x14ac:dyDescent="0.25">
      <c r="A269" s="85">
        <f>A268+1</f>
        <v>2024</v>
      </c>
      <c r="B269" s="67">
        <f>0</f>
        <v>0</v>
      </c>
      <c r="C269" s="66" t="e">
        <f t="shared" si="92"/>
        <v>#DIV/0!</v>
      </c>
      <c r="D269">
        <f>0</f>
        <v>0</v>
      </c>
      <c r="E269" s="66" t="e">
        <f t="shared" si="82"/>
        <v>#DIV/0!</v>
      </c>
      <c r="F269" s="69">
        <f t="shared" si="94"/>
        <v>0</v>
      </c>
      <c r="G269" s="63" t="e">
        <f t="shared" si="83"/>
        <v>#DIV/0!</v>
      </c>
      <c r="H269" s="63" t="e">
        <f t="shared" si="95"/>
        <v>#DIV/0!</v>
      </c>
      <c r="I269" s="63"/>
      <c r="J269" s="124">
        <f t="shared" si="74"/>
        <v>0</v>
      </c>
      <c r="K269" s="69">
        <f t="shared" si="93"/>
        <v>0</v>
      </c>
      <c r="L269" s="63">
        <v>0.14000000000000001</v>
      </c>
      <c r="M269" s="69">
        <f t="shared" si="81"/>
        <v>0</v>
      </c>
    </row>
    <row r="270" spans="1:13" x14ac:dyDescent="0.25">
      <c r="A270" s="85">
        <f>A269+1</f>
        <v>2025</v>
      </c>
      <c r="B270" s="67">
        <f>0</f>
        <v>0</v>
      </c>
      <c r="C270" s="66" t="e">
        <f t="shared" si="92"/>
        <v>#DIV/0!</v>
      </c>
      <c r="D270">
        <f>0</f>
        <v>0</v>
      </c>
      <c r="E270" s="66" t="e">
        <f t="shared" si="82"/>
        <v>#DIV/0!</v>
      </c>
      <c r="F270" s="69">
        <f t="shared" si="94"/>
        <v>0</v>
      </c>
      <c r="G270" s="63" t="e">
        <f t="shared" si="83"/>
        <v>#DIV/0!</v>
      </c>
      <c r="H270" s="63" t="e">
        <f t="shared" si="95"/>
        <v>#DIV/0!</v>
      </c>
      <c r="I270" s="63"/>
      <c r="J270" s="124">
        <f t="shared" si="74"/>
        <v>0</v>
      </c>
      <c r="K270" s="69">
        <f t="shared" si="93"/>
        <v>0</v>
      </c>
      <c r="L270" s="63">
        <v>0.14000000000000001</v>
      </c>
      <c r="M270" s="69">
        <f t="shared" si="81"/>
        <v>0</v>
      </c>
    </row>
    <row r="271" spans="1:13" s="88" customFormat="1" x14ac:dyDescent="0.25">
      <c r="E271" s="89" t="e">
        <f>(D271-D265)/D265</f>
        <v>#DIV/0!</v>
      </c>
      <c r="G271" s="88" t="e">
        <f>(F271-F265)/F265</f>
        <v>#DIV/0!</v>
      </c>
      <c r="J271" s="124">
        <f t="shared" ref="J271:J290" si="96">D271/0.795</f>
        <v>0</v>
      </c>
      <c r="K271" s="88">
        <f t="shared" si="93"/>
        <v>0</v>
      </c>
      <c r="L271" s="63">
        <v>0.14000000000000001</v>
      </c>
      <c r="M271" s="88">
        <f>F271*0.75</f>
        <v>0</v>
      </c>
    </row>
    <row r="272" spans="1:13" x14ac:dyDescent="0.25">
      <c r="E272" s="66" t="e">
        <f t="shared" si="82"/>
        <v>#DIV/0!</v>
      </c>
      <c r="G272" s="63" t="e">
        <f t="shared" si="83"/>
        <v>#DIV/0!</v>
      </c>
      <c r="J272" s="124">
        <f t="shared" si="96"/>
        <v>0</v>
      </c>
      <c r="K272" s="69">
        <f t="shared" si="93"/>
        <v>0</v>
      </c>
      <c r="L272" s="63">
        <v>0.14000000000000001</v>
      </c>
      <c r="M272" s="69">
        <f>F272*0.75</f>
        <v>0</v>
      </c>
    </row>
    <row r="273" spans="1:13" x14ac:dyDescent="0.25">
      <c r="A273" s="67" t="s">
        <v>90</v>
      </c>
      <c r="C273" s="66" t="e">
        <f>(B273-B272)/B272</f>
        <v>#DIV/0!</v>
      </c>
      <c r="E273" s="66" t="e">
        <f t="shared" si="82"/>
        <v>#DIV/0!</v>
      </c>
      <c r="G273" s="63" t="e">
        <f t="shared" si="83"/>
        <v>#DIV/0!</v>
      </c>
      <c r="J273" s="124">
        <f t="shared" si="96"/>
        <v>0</v>
      </c>
      <c r="K273" s="69">
        <f t="shared" si="93"/>
        <v>0</v>
      </c>
      <c r="L273" s="69"/>
      <c r="M273" s="69">
        <f>F273*0.75</f>
        <v>0</v>
      </c>
    </row>
    <row r="274" spans="1:13" ht="31.5" x14ac:dyDescent="0.25">
      <c r="A274" s="64" t="s">
        <v>72</v>
      </c>
      <c r="B274" s="60" t="s">
        <v>82</v>
      </c>
      <c r="C274" s="60" t="s">
        <v>87</v>
      </c>
      <c r="D274" t="s">
        <v>83</v>
      </c>
      <c r="E274" t="s">
        <v>88</v>
      </c>
      <c r="F274" t="s">
        <v>84</v>
      </c>
      <c r="G274" t="s">
        <v>89</v>
      </c>
      <c r="H274" t="s">
        <v>85</v>
      </c>
      <c r="J274" s="124" t="e">
        <f t="shared" si="96"/>
        <v>#VALUE!</v>
      </c>
      <c r="K274" s="107" t="s">
        <v>244</v>
      </c>
      <c r="L274" s="107" t="e">
        <f>-所得税金额</f>
        <v>#NAME?</v>
      </c>
      <c r="M274" t="s">
        <v>49</v>
      </c>
    </row>
    <row r="275" spans="1:13" x14ac:dyDescent="0.25">
      <c r="A275" s="65">
        <v>40543</v>
      </c>
      <c r="B275" s="67">
        <f>营业收入分析!O2</f>
        <v>0</v>
      </c>
      <c r="C275" s="66" t="e">
        <f>(B275-B274)/B274</f>
        <v>#VALUE!</v>
      </c>
      <c r="D275" s="69">
        <f>营业成本分析!O2</f>
        <v>0</v>
      </c>
      <c r="E275" s="66" t="e">
        <f t="shared" si="82"/>
        <v>#VALUE!</v>
      </c>
      <c r="F275" s="69">
        <f>B275-D275</f>
        <v>0</v>
      </c>
      <c r="G275" s="63" t="e">
        <f t="shared" si="83"/>
        <v>#VALUE!</v>
      </c>
      <c r="H275" s="63" t="e">
        <f t="shared" ref="H275:H282" si="97">F275/B275</f>
        <v>#DIV/0!</v>
      </c>
      <c r="I275" s="63"/>
      <c r="J275" s="124">
        <f t="shared" si="96"/>
        <v>0</v>
      </c>
      <c r="K275" s="69">
        <f>B275-J275</f>
        <v>0</v>
      </c>
      <c r="L275" s="69">
        <f>K275*0.75</f>
        <v>0</v>
      </c>
      <c r="M275" s="69">
        <f t="shared" ref="M275:M290" si="98">M4+M28+M50+M71+M96+M121+M147+M193+M212+M231+M255</f>
        <v>0</v>
      </c>
    </row>
    <row r="276" spans="1:13" x14ac:dyDescent="0.25">
      <c r="A276" s="65">
        <v>40908</v>
      </c>
      <c r="B276" s="67">
        <f>营业收入分析!O3</f>
        <v>0</v>
      </c>
      <c r="C276" s="66" t="e">
        <f>(B276-B275)/B275</f>
        <v>#DIV/0!</v>
      </c>
      <c r="D276" s="69">
        <f>营业成本分析!O3</f>
        <v>0</v>
      </c>
      <c r="E276" s="66" t="e">
        <f t="shared" si="82"/>
        <v>#DIV/0!</v>
      </c>
      <c r="F276" s="69">
        <f t="shared" ref="F276:F290" si="99">B276-D276</f>
        <v>0</v>
      </c>
      <c r="G276" s="63" t="e">
        <f t="shared" si="83"/>
        <v>#DIV/0!</v>
      </c>
      <c r="H276" s="63" t="e">
        <f t="shared" si="97"/>
        <v>#DIV/0!</v>
      </c>
      <c r="I276" s="63"/>
      <c r="J276" s="124">
        <f t="shared" si="96"/>
        <v>0</v>
      </c>
      <c r="K276" s="69">
        <f t="shared" ref="K276:K290" si="100">B276-J276</f>
        <v>0</v>
      </c>
      <c r="L276" s="69">
        <f t="shared" ref="L276:L281" si="101">K276*0.75</f>
        <v>0</v>
      </c>
      <c r="M276" s="69">
        <f t="shared" si="98"/>
        <v>0</v>
      </c>
    </row>
    <row r="277" spans="1:13" x14ac:dyDescent="0.25">
      <c r="A277" s="65">
        <v>41274</v>
      </c>
      <c r="B277" s="67">
        <f>营业收入分析!O4</f>
        <v>0</v>
      </c>
      <c r="C277" s="66" t="e">
        <f t="shared" ref="C277:C290" si="102">(B277-B276)/B276</f>
        <v>#DIV/0!</v>
      </c>
      <c r="D277" s="69">
        <f>营业成本分析!O4</f>
        <v>0</v>
      </c>
      <c r="E277" s="66" t="e">
        <f t="shared" si="82"/>
        <v>#DIV/0!</v>
      </c>
      <c r="F277" s="69">
        <f t="shared" si="99"/>
        <v>0</v>
      </c>
      <c r="G277" s="63" t="e">
        <f t="shared" si="83"/>
        <v>#DIV/0!</v>
      </c>
      <c r="H277" s="63" t="e">
        <f t="shared" si="97"/>
        <v>#DIV/0!</v>
      </c>
      <c r="I277" s="63"/>
      <c r="J277" s="124">
        <f t="shared" si="96"/>
        <v>0</v>
      </c>
      <c r="K277" s="69">
        <f t="shared" si="100"/>
        <v>0</v>
      </c>
      <c r="L277" s="69">
        <f t="shared" si="101"/>
        <v>0</v>
      </c>
      <c r="M277" s="69">
        <f t="shared" si="98"/>
        <v>0</v>
      </c>
    </row>
    <row r="278" spans="1:13" x14ac:dyDescent="0.25">
      <c r="A278" s="65">
        <v>41639</v>
      </c>
      <c r="B278" s="67">
        <f>营业收入分析!O5</f>
        <v>0</v>
      </c>
      <c r="C278" s="66" t="e">
        <f t="shared" si="102"/>
        <v>#DIV/0!</v>
      </c>
      <c r="D278" s="69">
        <f>营业成本分析!O5</f>
        <v>0</v>
      </c>
      <c r="E278" s="66" t="e">
        <f t="shared" si="82"/>
        <v>#DIV/0!</v>
      </c>
      <c r="F278" s="69">
        <f t="shared" si="99"/>
        <v>0</v>
      </c>
      <c r="G278" s="63" t="e">
        <f t="shared" si="83"/>
        <v>#DIV/0!</v>
      </c>
      <c r="H278" s="63" t="e">
        <f t="shared" si="97"/>
        <v>#DIV/0!</v>
      </c>
      <c r="I278" s="63"/>
      <c r="J278" s="124">
        <f t="shared" si="96"/>
        <v>0</v>
      </c>
      <c r="K278" s="69">
        <f t="shared" si="100"/>
        <v>0</v>
      </c>
      <c r="L278" s="69">
        <f t="shared" si="101"/>
        <v>0</v>
      </c>
      <c r="M278" s="69">
        <f t="shared" si="98"/>
        <v>0</v>
      </c>
    </row>
    <row r="279" spans="1:13" x14ac:dyDescent="0.25">
      <c r="A279" s="65">
        <v>42004</v>
      </c>
      <c r="B279" s="67">
        <f>营业收入分析!O6</f>
        <v>0</v>
      </c>
      <c r="C279" s="66" t="e">
        <f t="shared" si="102"/>
        <v>#DIV/0!</v>
      </c>
      <c r="D279" s="69">
        <f>营业成本分析!O6</f>
        <v>0</v>
      </c>
      <c r="E279" s="66" t="e">
        <f t="shared" si="82"/>
        <v>#DIV/0!</v>
      </c>
      <c r="F279" s="69">
        <f t="shared" si="99"/>
        <v>0</v>
      </c>
      <c r="G279" s="63" t="e">
        <f t="shared" si="83"/>
        <v>#DIV/0!</v>
      </c>
      <c r="H279" s="63" t="e">
        <f t="shared" si="97"/>
        <v>#DIV/0!</v>
      </c>
      <c r="I279" s="63"/>
      <c r="J279" s="124">
        <f t="shared" si="96"/>
        <v>0</v>
      </c>
      <c r="K279" s="69">
        <f t="shared" si="100"/>
        <v>0</v>
      </c>
      <c r="L279" s="69">
        <f t="shared" si="101"/>
        <v>0</v>
      </c>
      <c r="M279" s="69">
        <f t="shared" si="98"/>
        <v>0</v>
      </c>
    </row>
    <row r="280" spans="1:13" x14ac:dyDescent="0.25">
      <c r="A280" s="65">
        <v>42369</v>
      </c>
      <c r="B280" s="67">
        <f>营业收入分析!O7</f>
        <v>0</v>
      </c>
      <c r="C280" s="66" t="e">
        <f t="shared" si="102"/>
        <v>#DIV/0!</v>
      </c>
      <c r="D280" s="69">
        <f>营业成本分析!O7</f>
        <v>0</v>
      </c>
      <c r="E280" s="66" t="e">
        <f t="shared" si="82"/>
        <v>#DIV/0!</v>
      </c>
      <c r="F280" s="69">
        <f t="shared" si="99"/>
        <v>0</v>
      </c>
      <c r="G280" s="63" t="e">
        <f t="shared" si="83"/>
        <v>#DIV/0!</v>
      </c>
      <c r="H280" s="63" t="e">
        <f t="shared" si="97"/>
        <v>#DIV/0!</v>
      </c>
      <c r="I280" s="63"/>
      <c r="J280" s="124">
        <f t="shared" si="96"/>
        <v>0</v>
      </c>
      <c r="K280" s="69">
        <f t="shared" si="100"/>
        <v>0</v>
      </c>
      <c r="L280" s="69">
        <f t="shared" si="101"/>
        <v>0</v>
      </c>
      <c r="M280" s="69" t="e">
        <f t="shared" si="98"/>
        <v>#REF!</v>
      </c>
    </row>
    <row r="281" spans="1:13" x14ac:dyDescent="0.25">
      <c r="A281" s="65">
        <v>42735</v>
      </c>
      <c r="B281" s="67">
        <f>营业收入分析!O8</f>
        <v>0</v>
      </c>
      <c r="C281" s="66" t="e">
        <f t="shared" si="102"/>
        <v>#DIV/0!</v>
      </c>
      <c r="D281" s="69">
        <f>营业成本分析!O8</f>
        <v>0</v>
      </c>
      <c r="E281" s="66" t="e">
        <f t="shared" si="82"/>
        <v>#DIV/0!</v>
      </c>
      <c r="F281" s="69">
        <f t="shared" si="99"/>
        <v>0</v>
      </c>
      <c r="G281" s="63" t="e">
        <f t="shared" si="83"/>
        <v>#DIV/0!</v>
      </c>
      <c r="H281" s="63" t="e">
        <f t="shared" si="97"/>
        <v>#DIV/0!</v>
      </c>
      <c r="I281" s="63"/>
      <c r="J281" s="124">
        <f t="shared" si="96"/>
        <v>0</v>
      </c>
      <c r="K281" s="69">
        <f t="shared" si="100"/>
        <v>0</v>
      </c>
      <c r="L281" s="69">
        <f t="shared" si="101"/>
        <v>0</v>
      </c>
      <c r="M281" s="69" t="e">
        <f t="shared" si="98"/>
        <v>#REF!</v>
      </c>
    </row>
    <row r="282" spans="1:13" x14ac:dyDescent="0.25">
      <c r="A282" s="65">
        <v>43100</v>
      </c>
      <c r="B282" s="67">
        <f>营业收入分析!O9</f>
        <v>814176166.77999997</v>
      </c>
      <c r="C282" s="66" t="e">
        <f t="shared" si="102"/>
        <v>#DIV/0!</v>
      </c>
      <c r="D282" s="69">
        <f>营业成本分析!O9</f>
        <v>529954028.54000002</v>
      </c>
      <c r="E282" s="66" t="e">
        <f t="shared" si="82"/>
        <v>#DIV/0!</v>
      </c>
      <c r="F282" s="69">
        <f t="shared" si="99"/>
        <v>284222138.23999995</v>
      </c>
      <c r="G282" s="63" t="e">
        <f t="shared" si="83"/>
        <v>#DIV/0!</v>
      </c>
      <c r="H282" s="63">
        <f t="shared" si="97"/>
        <v>0.3490916951844405</v>
      </c>
      <c r="I282" s="63"/>
      <c r="J282" s="124">
        <f t="shared" si="96"/>
        <v>666608840.9308176</v>
      </c>
      <c r="K282" s="69">
        <f t="shared" si="100"/>
        <v>147567325.84918237</v>
      </c>
      <c r="L282" s="69">
        <f>K282*0.84</f>
        <v>123956553.71331318</v>
      </c>
      <c r="M282" s="69">
        <f t="shared" si="98"/>
        <v>25274968.856338784</v>
      </c>
    </row>
    <row r="283" spans="1:13" x14ac:dyDescent="0.25">
      <c r="A283" s="65">
        <v>43465</v>
      </c>
      <c r="B283" s="67">
        <f>营业收入分析!O10</f>
        <v>1029312558.64</v>
      </c>
      <c r="C283" s="66">
        <f t="shared" si="102"/>
        <v>0.26423813498600285</v>
      </c>
      <c r="D283" s="69">
        <f>营业成本分析!O10</f>
        <v>688081887.80999994</v>
      </c>
      <c r="E283" s="66">
        <f t="shared" si="82"/>
        <v>0.29838033254626861</v>
      </c>
      <c r="F283" s="69">
        <f t="shared" si="99"/>
        <v>341230670.83000004</v>
      </c>
      <c r="G283" s="63">
        <f t="shared" si="83"/>
        <v>0.2005773826874159</v>
      </c>
      <c r="H283" s="63">
        <f t="shared" ref="H283:H290" si="103">F283/B283</f>
        <v>0.33151317154903653</v>
      </c>
      <c r="I283" s="63"/>
      <c r="J283" s="124">
        <f t="shared" si="96"/>
        <v>865511808.56603765</v>
      </c>
      <c r="K283" s="69">
        <f t="shared" si="100"/>
        <v>163800750.07396233</v>
      </c>
      <c r="L283" s="69">
        <f t="shared" ref="L283:L290" si="104">K283*0.84</f>
        <v>137592630.06212837</v>
      </c>
      <c r="M283" s="69">
        <f t="shared" si="98"/>
        <v>26652023.742814858</v>
      </c>
    </row>
    <row r="284" spans="1:13" x14ac:dyDescent="0.25">
      <c r="A284" s="65">
        <v>43830</v>
      </c>
      <c r="B284" s="67">
        <f>营业收入分析!O11</f>
        <v>1371124665.8199999</v>
      </c>
      <c r="C284" s="66">
        <f t="shared" si="102"/>
        <v>0.33207804987012507</v>
      </c>
      <c r="D284" s="69">
        <f>营业成本分析!O11</f>
        <v>886913779.65999997</v>
      </c>
      <c r="E284" s="66">
        <f t="shared" si="82"/>
        <v>0.28896544927644352</v>
      </c>
      <c r="F284" s="69">
        <f t="shared" si="99"/>
        <v>484210886.15999997</v>
      </c>
      <c r="G284" s="63">
        <f t="shared" si="83"/>
        <v>0.41901337585574827</v>
      </c>
      <c r="H284" s="63">
        <f t="shared" si="103"/>
        <v>0.35314869481282218</v>
      </c>
      <c r="I284" s="63"/>
      <c r="J284" s="124">
        <f t="shared" si="96"/>
        <v>1115614817.1823897</v>
      </c>
      <c r="K284" s="69">
        <f t="shared" si="100"/>
        <v>255509848.6376102</v>
      </c>
      <c r="L284" s="69">
        <f t="shared" si="104"/>
        <v>214628272.85559255</v>
      </c>
      <c r="M284" s="69">
        <f t="shared" si="98"/>
        <v>96622793.963407159</v>
      </c>
    </row>
    <row r="285" spans="1:13" s="71" customFormat="1" x14ac:dyDescent="0.25">
      <c r="A285" s="72">
        <v>43831</v>
      </c>
      <c r="B285" s="91">
        <f>营业收入分析!O12</f>
        <v>1590152353.4100001</v>
      </c>
      <c r="C285" s="74">
        <f t="shared" si="102"/>
        <v>0.15974308759080694</v>
      </c>
      <c r="D285" s="92">
        <f>营业成本分析!O12</f>
        <v>1043951458.34</v>
      </c>
      <c r="E285" s="74">
        <f t="shared" si="82"/>
        <v>0.17706081727606121</v>
      </c>
      <c r="F285" s="92">
        <f t="shared" si="99"/>
        <v>546200895.07000005</v>
      </c>
      <c r="G285" s="93">
        <f t="shared" si="83"/>
        <v>0.12802274934710256</v>
      </c>
      <c r="H285" s="93">
        <f t="shared" si="103"/>
        <v>0.34348966242052231</v>
      </c>
      <c r="I285" s="93"/>
      <c r="J285" s="124">
        <f t="shared" si="96"/>
        <v>1313146488.4779873</v>
      </c>
      <c r="K285" s="69">
        <f t="shared" si="100"/>
        <v>277005864.9320128</v>
      </c>
      <c r="L285" s="92">
        <f t="shared" si="104"/>
        <v>232684926.54289073</v>
      </c>
      <c r="M285" s="92">
        <f t="shared" si="98"/>
        <v>126945945.91189925</v>
      </c>
    </row>
    <row r="286" spans="1:13" x14ac:dyDescent="0.25">
      <c r="A286" s="85">
        <f>A14+1</f>
        <v>2021</v>
      </c>
      <c r="B286" s="67">
        <f>B266+B242+B223+B204+B158+B132+B107+B82+B61+B39+B15+B185</f>
        <v>1002857168.8439999</v>
      </c>
      <c r="C286" s="66">
        <f t="shared" si="102"/>
        <v>-0.36933265124349618</v>
      </c>
      <c r="D286" s="69">
        <f>D266+D242+D223+D204+D158+D132+D107+D82+D61+D39+D15+D185</f>
        <v>404903387.93234998</v>
      </c>
      <c r="E286" s="66">
        <f t="shared" si="82"/>
        <v>-0.6121434720957315</v>
      </c>
      <c r="F286" s="69">
        <f t="shared" si="99"/>
        <v>597953780.91164994</v>
      </c>
      <c r="G286" s="63">
        <f t="shared" si="83"/>
        <v>9.4750642682519481E-2</v>
      </c>
      <c r="H286" s="63">
        <f t="shared" si="103"/>
        <v>0.59625019343573649</v>
      </c>
      <c r="I286" s="63"/>
      <c r="J286" s="124">
        <f t="shared" si="96"/>
        <v>509312437.65075469</v>
      </c>
      <c r="K286" s="69">
        <f t="shared" si="100"/>
        <v>493544731.19324517</v>
      </c>
      <c r="L286" s="69">
        <f t="shared" si="104"/>
        <v>414577574.20232594</v>
      </c>
      <c r="M286" s="69">
        <f t="shared" si="98"/>
        <v>371277654.64956343</v>
      </c>
    </row>
    <row r="287" spans="1:13" x14ac:dyDescent="0.25">
      <c r="A287" s="85">
        <f>A286+1</f>
        <v>2022</v>
      </c>
      <c r="B287" s="67">
        <f>B267+B243+B224+B205+B159+B133+B108+B83+B62+B40+B16+B186</f>
        <v>1561224526.9200001</v>
      </c>
      <c r="C287" s="66">
        <f t="shared" si="102"/>
        <v>0.55677655345440069</v>
      </c>
      <c r="D287" s="69">
        <f>D267+D243+D224+D205+D159+D133+D108+D83+D62+D40+D16</f>
        <v>359022362.36480004</v>
      </c>
      <c r="E287" s="66">
        <f t="shared" si="82"/>
        <v>-0.11331351363060367</v>
      </c>
      <c r="F287" s="69">
        <f t="shared" si="99"/>
        <v>1202202164.5552001</v>
      </c>
      <c r="G287" s="63">
        <f t="shared" si="83"/>
        <v>1.010526905143577</v>
      </c>
      <c r="H287" s="63">
        <f t="shared" si="103"/>
        <v>0.77003796944371417</v>
      </c>
      <c r="I287" s="63"/>
      <c r="J287" s="124">
        <f t="shared" si="96"/>
        <v>451600455.80477989</v>
      </c>
      <c r="K287" s="69">
        <f t="shared" si="100"/>
        <v>1109624071.1152201</v>
      </c>
      <c r="L287" s="69">
        <f t="shared" si="104"/>
        <v>932084219.73678482</v>
      </c>
      <c r="M287" s="69">
        <f t="shared" si="98"/>
        <v>751480974.87195778</v>
      </c>
    </row>
    <row r="288" spans="1:13" x14ac:dyDescent="0.25">
      <c r="A288" s="85">
        <f>A287+1</f>
        <v>2023</v>
      </c>
      <c r="B288" s="67">
        <f>B268+B244+B225+B206+B160+B134+B109+B84+B63+B41+B17+B187</f>
        <v>1792420223.5495</v>
      </c>
      <c r="C288" s="66">
        <f t="shared" si="102"/>
        <v>0.14808612896032652</v>
      </c>
      <c r="D288" s="69">
        <f>D268+D244+D225+D206+D160+D134+D109+D84+D63+D41+D17</f>
        <v>377600374.53973997</v>
      </c>
      <c r="E288" s="66">
        <f t="shared" si="82"/>
        <v>5.1746114232469304E-2</v>
      </c>
      <c r="F288" s="69">
        <f t="shared" si="99"/>
        <v>1414819849.0097599</v>
      </c>
      <c r="G288" s="63">
        <f t="shared" si="83"/>
        <v>0.17685684714535987</v>
      </c>
      <c r="H288" s="63">
        <f t="shared" si="103"/>
        <v>0.78933490619070101</v>
      </c>
      <c r="I288" s="63"/>
      <c r="J288" s="124">
        <f t="shared" si="96"/>
        <v>474969024.57828927</v>
      </c>
      <c r="K288" s="69">
        <f t="shared" si="100"/>
        <v>1317451198.9712107</v>
      </c>
      <c r="L288" s="69">
        <f t="shared" si="104"/>
        <v>1106659007.1358171</v>
      </c>
      <c r="M288" s="69">
        <f t="shared" si="98"/>
        <v>790921238.99973202</v>
      </c>
    </row>
    <row r="289" spans="1:13" x14ac:dyDescent="0.25">
      <c r="A289" s="85">
        <f>A288+1</f>
        <v>2024</v>
      </c>
      <c r="B289" s="67">
        <f>B269+B245+B226+B207+B161+B135+B110+B85+B64+B42+B18+B188</f>
        <v>2011489152.038825</v>
      </c>
      <c r="C289" s="66">
        <f t="shared" si="102"/>
        <v>0.12221962551588851</v>
      </c>
      <c r="D289" s="69">
        <f>D269+D245+D226+D207+D161+D135+D110+D85+D64+D42+D18</f>
        <v>397169976.72909701</v>
      </c>
      <c r="E289" s="66">
        <f t="shared" si="82"/>
        <v>5.1826225578326245E-2</v>
      </c>
      <c r="F289" s="69">
        <f t="shared" si="99"/>
        <v>1614319175.3097281</v>
      </c>
      <c r="G289" s="63">
        <f t="shared" si="83"/>
        <v>0.14100687549697505</v>
      </c>
      <c r="H289" s="63">
        <f t="shared" si="103"/>
        <v>0.80254928229340461</v>
      </c>
      <c r="I289" s="63"/>
      <c r="J289" s="124">
        <f t="shared" si="96"/>
        <v>499584876.38880122</v>
      </c>
      <c r="K289" s="69">
        <f t="shared" si="100"/>
        <v>1511904275.6500239</v>
      </c>
      <c r="L289" s="69">
        <f t="shared" si="104"/>
        <v>1269999591.54602</v>
      </c>
      <c r="M289" s="69">
        <f t="shared" si="98"/>
        <v>832520137.87231207</v>
      </c>
    </row>
    <row r="290" spans="1:13" x14ac:dyDescent="0.25">
      <c r="A290" s="85">
        <f>A289+1</f>
        <v>2025</v>
      </c>
      <c r="B290" s="67">
        <f>B270+B246+B227+B208+B162+B136+B111+B86+B65+B43+B19+B189</f>
        <v>2242614860.4924083</v>
      </c>
      <c r="C290" s="66">
        <f t="shared" si="102"/>
        <v>0.11490278643527188</v>
      </c>
      <c r="D290" s="69">
        <f>D270+D246+D227+D208+D162+D136+D111+D86+D65+D43+D19</f>
        <v>417938725.73588026</v>
      </c>
      <c r="E290" s="66">
        <f t="shared" si="82"/>
        <v>5.2291840329485084E-2</v>
      </c>
      <c r="F290" s="69">
        <f t="shared" si="99"/>
        <v>1824676134.7565279</v>
      </c>
      <c r="G290" s="63">
        <f t="shared" si="83"/>
        <v>0.13030691988555487</v>
      </c>
      <c r="H290" s="63">
        <f t="shared" si="103"/>
        <v>0.81363776139246935</v>
      </c>
      <c r="I290" s="63"/>
      <c r="J290" s="124">
        <f t="shared" si="96"/>
        <v>525709088.97595</v>
      </c>
      <c r="K290" s="69">
        <f t="shared" si="100"/>
        <v>1716905771.5164583</v>
      </c>
      <c r="L290" s="69">
        <f t="shared" si="104"/>
        <v>1442200848.0738249</v>
      </c>
      <c r="M290" s="69">
        <f t="shared" si="98"/>
        <v>876855889.50375164</v>
      </c>
    </row>
    <row r="291" spans="1:13" x14ac:dyDescent="0.25">
      <c r="K291" s="69">
        <f t="shared" ref="K279:K291" si="105">B291-D291/0.65</f>
        <v>0</v>
      </c>
      <c r="L291" s="69"/>
      <c r="M291" s="69">
        <f>F291*0.75</f>
        <v>0</v>
      </c>
    </row>
    <row r="293" spans="1:13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7"/>
  <sheetViews>
    <sheetView workbookViewId="0">
      <selection activeCell="F14" sqref="F14"/>
    </sheetView>
  </sheetViews>
  <sheetFormatPr defaultRowHeight="15.75" x14ac:dyDescent="0.25"/>
  <cols>
    <col min="2" max="2" width="15.375" customWidth="1"/>
    <col min="3" max="3" width="20.12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  <col min="16" max="16" width="19.375" bestFit="1" customWidth="1"/>
  </cols>
  <sheetData>
    <row r="1" spans="2:16" x14ac:dyDescent="0.25">
      <c r="B1" s="64" t="s">
        <v>72</v>
      </c>
      <c r="C1" s="60" t="s">
        <v>438</v>
      </c>
      <c r="D1" s="117" t="s">
        <v>439</v>
      </c>
      <c r="E1" s="117" t="s">
        <v>440</v>
      </c>
      <c r="F1" s="117"/>
      <c r="G1" s="117"/>
      <c r="H1" s="60"/>
      <c r="I1" s="60"/>
      <c r="J1" s="60"/>
      <c r="K1" s="60"/>
      <c r="L1" s="60"/>
      <c r="M1" s="60"/>
      <c r="N1" s="60" t="s">
        <v>79</v>
      </c>
      <c r="O1" s="60" t="s">
        <v>92</v>
      </c>
      <c r="P1" t="s">
        <v>442</v>
      </c>
    </row>
    <row r="2" spans="2:16" x14ac:dyDescent="0.25">
      <c r="B2" s="65">
        <v>40543</v>
      </c>
      <c r="C2" s="59"/>
      <c r="D2" s="60"/>
      <c r="E2" s="60"/>
      <c r="F2" s="60"/>
      <c r="G2" s="60"/>
      <c r="H2" s="60"/>
      <c r="I2" s="61"/>
      <c r="J2" s="60"/>
      <c r="K2" s="60"/>
      <c r="L2" s="60"/>
      <c r="M2" s="67"/>
      <c r="N2" s="61">
        <f>M2+L2+K2+J2+I2+H2+G2+E2+D2+C2+F2</f>
        <v>0</v>
      </c>
      <c r="O2" s="59"/>
      <c r="P2" s="69">
        <f t="shared" ref="P2:P11" si="0">O2-N2</f>
        <v>0</v>
      </c>
    </row>
    <row r="3" spans="2:16" x14ac:dyDescent="0.25">
      <c r="B3" s="65">
        <v>40908</v>
      </c>
      <c r="C3" s="59"/>
      <c r="D3" s="60"/>
      <c r="E3" s="60"/>
      <c r="F3" s="60"/>
      <c r="G3" s="60"/>
      <c r="H3" s="60"/>
      <c r="I3" s="61"/>
      <c r="J3" s="60"/>
      <c r="K3" s="60"/>
      <c r="L3" s="60"/>
      <c r="M3" s="67"/>
      <c r="N3" s="61">
        <f>M3+L3+K3+J3+I3+H3+G3+E3+D3+C3+F3</f>
        <v>0</v>
      </c>
      <c r="O3" s="59"/>
      <c r="P3" s="69">
        <f t="shared" si="0"/>
        <v>0</v>
      </c>
    </row>
    <row r="4" spans="2:16" x14ac:dyDescent="0.25">
      <c r="B4" s="65">
        <v>41274</v>
      </c>
      <c r="C4" s="59"/>
      <c r="D4" s="60"/>
      <c r="E4" s="60"/>
      <c r="F4" s="60"/>
      <c r="G4" s="60"/>
      <c r="H4" s="60"/>
      <c r="I4" s="61"/>
      <c r="J4" s="60"/>
      <c r="K4" s="60"/>
      <c r="L4" s="60"/>
      <c r="M4" s="67"/>
      <c r="N4" s="61">
        <f>M4+L4+K4+J4+I4+H4+G4+E4+D4+C4+F4</f>
        <v>0</v>
      </c>
      <c r="O4" s="59"/>
      <c r="P4" s="69">
        <f t="shared" si="0"/>
        <v>0</v>
      </c>
    </row>
    <row r="5" spans="2:16" x14ac:dyDescent="0.25">
      <c r="B5" s="65">
        <v>41639</v>
      </c>
      <c r="C5" s="59"/>
      <c r="D5" s="68"/>
      <c r="E5" s="60"/>
      <c r="F5" s="60"/>
      <c r="G5" s="60"/>
      <c r="H5" s="60"/>
      <c r="I5" s="61"/>
      <c r="J5" s="60"/>
      <c r="K5" s="68"/>
      <c r="L5" s="68"/>
      <c r="M5" s="67"/>
      <c r="N5" s="61">
        <f t="shared" ref="N5:N8" si="1">M5+L5+K5+J5+I5+H5+G5+E5+D5+C5+F5</f>
        <v>0</v>
      </c>
      <c r="O5" s="59"/>
      <c r="P5" s="69">
        <f t="shared" si="0"/>
        <v>0</v>
      </c>
    </row>
    <row r="6" spans="2:16" x14ac:dyDescent="0.25">
      <c r="B6" s="65">
        <v>42004</v>
      </c>
      <c r="C6" s="59"/>
      <c r="D6" s="68"/>
      <c r="E6" s="68"/>
      <c r="F6" s="68"/>
      <c r="G6" s="60"/>
      <c r="H6" s="60"/>
      <c r="I6" s="61"/>
      <c r="J6" s="68"/>
      <c r="K6" s="68"/>
      <c r="L6" s="68"/>
      <c r="M6" s="67"/>
      <c r="N6" s="61">
        <f t="shared" si="1"/>
        <v>0</v>
      </c>
      <c r="O6" s="59"/>
      <c r="P6" s="69">
        <f t="shared" si="0"/>
        <v>0</v>
      </c>
    </row>
    <row r="7" spans="2:16" x14ac:dyDescent="0.25">
      <c r="B7" s="65">
        <v>42369</v>
      </c>
      <c r="C7" s="59"/>
      <c r="D7" s="68"/>
      <c r="E7" s="68"/>
      <c r="F7" s="68"/>
      <c r="G7" s="60"/>
      <c r="H7" s="60"/>
      <c r="I7" s="61"/>
      <c r="J7" s="68"/>
      <c r="K7" s="68"/>
      <c r="M7" s="67"/>
      <c r="N7" s="61">
        <f t="shared" si="1"/>
        <v>0</v>
      </c>
      <c r="O7" s="59"/>
      <c r="P7" s="69">
        <f t="shared" si="0"/>
        <v>0</v>
      </c>
    </row>
    <row r="8" spans="2:16" x14ac:dyDescent="0.25">
      <c r="B8" s="65">
        <v>42735</v>
      </c>
      <c r="C8" s="59"/>
      <c r="D8" s="68"/>
      <c r="E8" s="68"/>
      <c r="F8" s="68"/>
      <c r="G8" s="60"/>
      <c r="H8" s="60"/>
      <c r="I8" s="61"/>
      <c r="J8" s="68"/>
      <c r="K8" s="68"/>
      <c r="M8" s="67"/>
      <c r="N8" s="61">
        <f t="shared" si="1"/>
        <v>0</v>
      </c>
      <c r="O8" s="59"/>
      <c r="P8" s="69">
        <f t="shared" si="0"/>
        <v>0</v>
      </c>
    </row>
    <row r="9" spans="2:16" x14ac:dyDescent="0.25">
      <c r="B9" s="65">
        <v>43100</v>
      </c>
      <c r="C9" s="61">
        <f>C10/1.6899</f>
        <v>240057306.25480798</v>
      </c>
      <c r="D9" s="68">
        <f>D10/1.1058</f>
        <v>492876494.87249053</v>
      </c>
      <c r="E9" s="68">
        <f>E10/0.9251</f>
        <v>73441480.002161935</v>
      </c>
      <c r="F9" s="68"/>
      <c r="G9" s="68"/>
      <c r="H9" s="68"/>
      <c r="I9" s="61"/>
      <c r="J9" s="68"/>
      <c r="K9" s="68"/>
      <c r="L9" s="68"/>
      <c r="M9" s="67"/>
      <c r="N9" s="61">
        <f>M9+L9+K9+J9+I9+H9+G9+E9+D9+C9+F9</f>
        <v>806375281.12946045</v>
      </c>
      <c r="O9" s="70">
        <v>814176166.77999997</v>
      </c>
      <c r="P9" s="69">
        <f t="shared" si="0"/>
        <v>7800885.6505395174</v>
      </c>
    </row>
    <row r="10" spans="2:16" x14ac:dyDescent="0.25">
      <c r="B10" s="65">
        <v>43465</v>
      </c>
      <c r="C10" s="61">
        <v>405672841.83999997</v>
      </c>
      <c r="D10" s="68">
        <v>545022828.02999997</v>
      </c>
      <c r="E10" s="68">
        <v>67940713.150000006</v>
      </c>
      <c r="F10" s="68"/>
      <c r="G10" s="68"/>
      <c r="H10" s="68"/>
      <c r="I10" s="61"/>
      <c r="J10" s="68"/>
      <c r="K10" s="68"/>
      <c r="L10" s="68"/>
      <c r="M10" s="67"/>
      <c r="N10" s="61">
        <f>M10+L10+K10+J10+I10+H10+G10+E10+D10+C10+F10</f>
        <v>1018636383.02</v>
      </c>
      <c r="O10" s="70">
        <v>1029312558.64</v>
      </c>
      <c r="P10" s="69">
        <f t="shared" si="0"/>
        <v>10676175.620000005</v>
      </c>
    </row>
    <row r="11" spans="2:16" x14ac:dyDescent="0.25">
      <c r="B11" s="65">
        <v>43830</v>
      </c>
      <c r="C11" s="61">
        <v>723145474.84000003</v>
      </c>
      <c r="D11" s="68">
        <v>575389646.40999997</v>
      </c>
      <c r="E11" s="68">
        <v>62689405.670000002</v>
      </c>
      <c r="F11" s="68"/>
      <c r="G11" s="68"/>
      <c r="H11" s="68"/>
      <c r="I11" s="61"/>
      <c r="J11" s="68"/>
      <c r="K11" s="68"/>
      <c r="L11" s="68"/>
      <c r="M11" s="67"/>
      <c r="N11" s="61">
        <f>M11+L11+K11+J11+I11+H11+G11+E11+D11+C11+F11</f>
        <v>1361224526.9200001</v>
      </c>
      <c r="O11" s="70">
        <v>1371124665.8199999</v>
      </c>
      <c r="P11" s="69">
        <f t="shared" si="0"/>
        <v>9900138.8999998569</v>
      </c>
    </row>
    <row r="12" spans="2:16" x14ac:dyDescent="0.25">
      <c r="B12" s="65">
        <v>43831</v>
      </c>
      <c r="C12" s="68">
        <v>905300886.26999998</v>
      </c>
      <c r="D12" s="68">
        <v>584285659.99000001</v>
      </c>
      <c r="E12" s="68">
        <v>90959252.939999998</v>
      </c>
      <c r="F12" s="68"/>
      <c r="G12" s="68"/>
      <c r="H12" s="68"/>
      <c r="I12" s="68"/>
      <c r="J12" s="68"/>
      <c r="K12" s="68"/>
      <c r="L12" s="68"/>
      <c r="M12" s="68"/>
      <c r="N12" s="61">
        <f>M12+L12+K12+J12+I12+H12+G12+E12+D12+C12+F12</f>
        <v>1580545799.2</v>
      </c>
      <c r="O12" s="70">
        <v>1590152353.4100001</v>
      </c>
      <c r="P12" s="69">
        <f>O12-N12</f>
        <v>9606554.2100000381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438</v>
      </c>
      <c r="D16" s="117" t="s">
        <v>439</v>
      </c>
      <c r="E16" s="117" t="s">
        <v>440</v>
      </c>
      <c r="F16" s="117"/>
      <c r="G16" s="117"/>
      <c r="H16" s="60"/>
      <c r="I16" s="60"/>
      <c r="J16" s="60"/>
      <c r="K16" s="60"/>
      <c r="L16" s="60"/>
      <c r="M16" s="60"/>
      <c r="N16" s="60" t="s">
        <v>79</v>
      </c>
      <c r="O16" s="60"/>
    </row>
    <row r="17" spans="2:15" x14ac:dyDescent="0.25">
      <c r="B17" s="65">
        <v>40543</v>
      </c>
      <c r="C17" s="66" t="e">
        <f t="shared" ref="C17:C27" si="2">C2/N2</f>
        <v>#DIV/0!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 t="e">
        <f>M17+L17+K17+J17+H17+G17+E17+D17+C17+F17</f>
        <v>#DIV/0!</v>
      </c>
      <c r="O17" s="68">
        <f t="shared" ref="O17:O26" si="3">O2</f>
        <v>0</v>
      </c>
    </row>
    <row r="18" spans="2:15" x14ac:dyDescent="0.25">
      <c r="B18" s="65">
        <v>40908</v>
      </c>
      <c r="C18" s="66" t="e">
        <f t="shared" si="2"/>
        <v>#DIV/0!</v>
      </c>
      <c r="D18" s="66"/>
      <c r="E18" s="66"/>
      <c r="F18" s="66"/>
      <c r="G18" s="66"/>
      <c r="H18" s="66"/>
      <c r="I18" s="66" t="e">
        <f t="shared" ref="I18:I26" si="4">I3/N3</f>
        <v>#DIV/0!</v>
      </c>
      <c r="J18" s="66"/>
      <c r="K18" s="66"/>
      <c r="L18" s="66"/>
      <c r="M18" s="66"/>
      <c r="N18" s="61" t="e">
        <f>M18+L18+K18+J18+H18+G18+E18+D18+C18+F18</f>
        <v>#DIV/0!</v>
      </c>
      <c r="O18" s="68">
        <f t="shared" si="3"/>
        <v>0</v>
      </c>
    </row>
    <row r="19" spans="2:15" x14ac:dyDescent="0.25">
      <c r="B19" s="65">
        <v>41274</v>
      </c>
      <c r="C19" s="66" t="e">
        <f t="shared" si="2"/>
        <v>#DIV/0!</v>
      </c>
      <c r="D19" s="66"/>
      <c r="E19" s="66"/>
      <c r="F19" s="66"/>
      <c r="G19" s="66"/>
      <c r="H19" s="66"/>
      <c r="I19" s="66" t="e">
        <f t="shared" si="4"/>
        <v>#DIV/0!</v>
      </c>
      <c r="J19" s="66" t="e">
        <f t="shared" ref="J19:J26" si="5">J4/N4</f>
        <v>#DIV/0!</v>
      </c>
      <c r="K19" s="66"/>
      <c r="L19" s="66"/>
      <c r="M19" s="66"/>
      <c r="N19" s="61" t="e">
        <f>M19+L19+K19+J19+H19+G19+E19+D19+C19+F19</f>
        <v>#DIV/0!</v>
      </c>
      <c r="O19" s="68">
        <f t="shared" si="3"/>
        <v>0</v>
      </c>
    </row>
    <row r="20" spans="2:15" x14ac:dyDescent="0.25">
      <c r="B20" s="65">
        <v>41639</v>
      </c>
      <c r="C20" s="66" t="e">
        <f t="shared" si="2"/>
        <v>#DIV/0!</v>
      </c>
      <c r="D20" s="66" t="e">
        <f>D5/N5</f>
        <v>#DIV/0!</v>
      </c>
      <c r="E20" s="66"/>
      <c r="F20" s="66"/>
      <c r="G20" s="66" t="e">
        <f t="shared" ref="G20:G26" si="6">G5/N5</f>
        <v>#DIV/0!</v>
      </c>
      <c r="H20" s="66" t="e">
        <f t="shared" ref="H20:H26" si="7">H5/N5</f>
        <v>#DIV/0!</v>
      </c>
      <c r="I20" s="66" t="e">
        <f t="shared" si="4"/>
        <v>#DIV/0!</v>
      </c>
      <c r="J20" s="66" t="e">
        <f t="shared" si="5"/>
        <v>#DIV/0!</v>
      </c>
      <c r="K20" s="66" t="e">
        <f>K5/N5</f>
        <v>#DIV/0!</v>
      </c>
      <c r="L20" s="66" t="e">
        <f>L5/N5</f>
        <v>#DIV/0!</v>
      </c>
      <c r="M20" s="66" t="e">
        <f>M5/N5</f>
        <v>#DIV/0!</v>
      </c>
      <c r="N20" s="61" t="e">
        <f>M20+L20+K20+J20+H20+G20+E20+D20+C20+F20</f>
        <v>#DIV/0!</v>
      </c>
      <c r="O20" s="68">
        <f t="shared" si="3"/>
        <v>0</v>
      </c>
    </row>
    <row r="21" spans="2:15" x14ac:dyDescent="0.25">
      <c r="B21" s="65">
        <v>42004</v>
      </c>
      <c r="C21" s="66" t="e">
        <f t="shared" si="2"/>
        <v>#DIV/0!</v>
      </c>
      <c r="D21" s="66" t="e">
        <f>D6/N6</f>
        <v>#DIV/0!</v>
      </c>
      <c r="E21" s="66" t="e">
        <f t="shared" ref="E21:E27" si="8">E6/N6</f>
        <v>#DIV/0!</v>
      </c>
      <c r="F21" s="66" t="e">
        <f t="shared" ref="F21:F27" si="9">F6/N6</f>
        <v>#DIV/0!</v>
      </c>
      <c r="G21" s="66" t="e">
        <f t="shared" si="6"/>
        <v>#DIV/0!</v>
      </c>
      <c r="H21" s="66" t="e">
        <f t="shared" si="7"/>
        <v>#DIV/0!</v>
      </c>
      <c r="I21" s="66" t="e">
        <f t="shared" si="4"/>
        <v>#DIV/0!</v>
      </c>
      <c r="J21" s="66" t="e">
        <f t="shared" si="5"/>
        <v>#DIV/0!</v>
      </c>
      <c r="K21" s="66" t="e">
        <f t="shared" ref="K21:K27" si="10">K6/N6</f>
        <v>#DIV/0!</v>
      </c>
      <c r="L21" s="66" t="e">
        <f t="shared" ref="L21:L27" si="11">L6/N6</f>
        <v>#DIV/0!</v>
      </c>
      <c r="M21" s="66" t="e">
        <f t="shared" ref="M21:M27" si="12">M6/N6</f>
        <v>#DIV/0!</v>
      </c>
      <c r="N21" s="61" t="e">
        <f>M21+L21+K21+J21+H21+G21+E21+D21+C21+F21+I21</f>
        <v>#DIV/0!</v>
      </c>
      <c r="O21" s="68">
        <f t="shared" si="3"/>
        <v>0</v>
      </c>
    </row>
    <row r="22" spans="2:15" x14ac:dyDescent="0.25">
      <c r="B22" s="65">
        <v>42369</v>
      </c>
      <c r="C22" s="66" t="e">
        <f t="shared" si="2"/>
        <v>#DIV/0!</v>
      </c>
      <c r="D22" s="66" t="e">
        <f t="shared" ref="D22:D23" si="13">D7/N7</f>
        <v>#DIV/0!</v>
      </c>
      <c r="E22" s="66" t="e">
        <f t="shared" si="8"/>
        <v>#DIV/0!</v>
      </c>
      <c r="F22" s="66" t="e">
        <f t="shared" si="9"/>
        <v>#DIV/0!</v>
      </c>
      <c r="G22" s="66" t="e">
        <f t="shared" si="6"/>
        <v>#DIV/0!</v>
      </c>
      <c r="H22" s="66" t="e">
        <f t="shared" si="7"/>
        <v>#DIV/0!</v>
      </c>
      <c r="I22" s="66" t="e">
        <f t="shared" si="4"/>
        <v>#DIV/0!</v>
      </c>
      <c r="J22" s="66" t="e">
        <f t="shared" si="5"/>
        <v>#DIV/0!</v>
      </c>
      <c r="K22" s="66" t="e">
        <f t="shared" si="10"/>
        <v>#DIV/0!</v>
      </c>
      <c r="L22" s="66" t="e">
        <f>D7/N7</f>
        <v>#DIV/0!</v>
      </c>
      <c r="M22" s="66" t="e">
        <f t="shared" si="12"/>
        <v>#DIV/0!</v>
      </c>
      <c r="N22" s="61" t="e">
        <f t="shared" ref="N22:N27" si="14">M22+L22+K22+J22+H22+G22+E22+D22+C22+F22+I22</f>
        <v>#DIV/0!</v>
      </c>
      <c r="O22" s="68">
        <f t="shared" si="3"/>
        <v>0</v>
      </c>
    </row>
    <row r="23" spans="2:15" x14ac:dyDescent="0.25">
      <c r="B23" s="65">
        <v>42735</v>
      </c>
      <c r="C23" s="66" t="e">
        <f t="shared" si="2"/>
        <v>#DIV/0!</v>
      </c>
      <c r="D23" s="66" t="e">
        <f t="shared" si="13"/>
        <v>#DIV/0!</v>
      </c>
      <c r="E23" s="66" t="e">
        <f t="shared" si="8"/>
        <v>#DIV/0!</v>
      </c>
      <c r="F23" s="66" t="e">
        <f t="shared" si="9"/>
        <v>#DIV/0!</v>
      </c>
      <c r="G23" s="66" t="e">
        <f t="shared" si="6"/>
        <v>#DIV/0!</v>
      </c>
      <c r="H23" s="66" t="e">
        <f t="shared" si="7"/>
        <v>#DIV/0!</v>
      </c>
      <c r="I23" s="66" t="e">
        <f t="shared" si="4"/>
        <v>#DIV/0!</v>
      </c>
      <c r="J23" s="66" t="e">
        <f t="shared" si="5"/>
        <v>#DIV/0!</v>
      </c>
      <c r="K23" s="66" t="e">
        <f t="shared" si="10"/>
        <v>#DIV/0!</v>
      </c>
      <c r="L23" s="66" t="e">
        <f>D8/N8</f>
        <v>#DIV/0!</v>
      </c>
      <c r="M23" s="66" t="e">
        <f t="shared" si="12"/>
        <v>#DIV/0!</v>
      </c>
      <c r="N23" s="61" t="e">
        <f t="shared" si="14"/>
        <v>#DIV/0!</v>
      </c>
      <c r="O23" s="68">
        <f t="shared" si="3"/>
        <v>0</v>
      </c>
    </row>
    <row r="24" spans="2:15" x14ac:dyDescent="0.25">
      <c r="B24" s="65">
        <v>43100</v>
      </c>
      <c r="C24" s="66">
        <f t="shared" si="2"/>
        <v>0.29769923740540316</v>
      </c>
      <c r="D24" s="66">
        <f>D9/N9</f>
        <v>0.6112247069157879</v>
      </c>
      <c r="E24" s="66">
        <f t="shared" si="8"/>
        <v>9.1076055678808915E-2</v>
      </c>
      <c r="F24" s="66">
        <f t="shared" si="9"/>
        <v>0</v>
      </c>
      <c r="G24" s="66">
        <f t="shared" si="6"/>
        <v>0</v>
      </c>
      <c r="H24" s="66">
        <f t="shared" si="7"/>
        <v>0</v>
      </c>
      <c r="I24" s="66">
        <f t="shared" si="4"/>
        <v>0</v>
      </c>
      <c r="J24" s="66">
        <f t="shared" si="5"/>
        <v>0</v>
      </c>
      <c r="K24" s="66">
        <f t="shared" si="10"/>
        <v>0</v>
      </c>
      <c r="L24" s="66">
        <f t="shared" si="11"/>
        <v>0</v>
      </c>
      <c r="M24" s="66">
        <f t="shared" si="12"/>
        <v>0</v>
      </c>
      <c r="N24" s="61">
        <f t="shared" si="14"/>
        <v>1</v>
      </c>
      <c r="O24" s="68">
        <f t="shared" si="3"/>
        <v>814176166.77999997</v>
      </c>
    </row>
    <row r="25" spans="2:15" x14ac:dyDescent="0.25">
      <c r="B25" s="65">
        <v>43465</v>
      </c>
      <c r="C25" s="66">
        <f t="shared" si="2"/>
        <v>0.39825088579428342</v>
      </c>
      <c r="D25" s="66">
        <f>D10/N10</f>
        <v>0.53505140510899951</v>
      </c>
      <c r="E25" s="66">
        <f t="shared" si="8"/>
        <v>6.6697709096717045E-2</v>
      </c>
      <c r="F25" s="66">
        <f t="shared" si="9"/>
        <v>0</v>
      </c>
      <c r="G25" s="66">
        <f t="shared" si="6"/>
        <v>0</v>
      </c>
      <c r="H25" s="66">
        <f t="shared" si="7"/>
        <v>0</v>
      </c>
      <c r="I25" s="66">
        <f t="shared" si="4"/>
        <v>0</v>
      </c>
      <c r="J25" s="66">
        <f t="shared" si="5"/>
        <v>0</v>
      </c>
      <c r="K25" s="66">
        <f t="shared" si="10"/>
        <v>0</v>
      </c>
      <c r="L25" s="66">
        <f t="shared" si="11"/>
        <v>0</v>
      </c>
      <c r="M25" s="66">
        <f t="shared" si="12"/>
        <v>0</v>
      </c>
      <c r="N25" s="61">
        <f t="shared" si="14"/>
        <v>1</v>
      </c>
      <c r="O25" s="68">
        <f t="shared" si="3"/>
        <v>1029312558.64</v>
      </c>
    </row>
    <row r="26" spans="2:15" x14ac:dyDescent="0.25">
      <c r="B26" s="65">
        <v>43830</v>
      </c>
      <c r="C26" s="66">
        <f t="shared" si="2"/>
        <v>0.53124628636852333</v>
      </c>
      <c r="D26" s="66">
        <f>D11/N11</f>
        <v>0.42270002856319083</v>
      </c>
      <c r="E26" s="66">
        <f t="shared" si="8"/>
        <v>4.6053685068285798E-2</v>
      </c>
      <c r="F26" s="66">
        <f t="shared" si="9"/>
        <v>0</v>
      </c>
      <c r="G26" s="66">
        <f t="shared" si="6"/>
        <v>0</v>
      </c>
      <c r="H26" s="66">
        <f t="shared" si="7"/>
        <v>0</v>
      </c>
      <c r="I26" s="66">
        <f t="shared" si="4"/>
        <v>0</v>
      </c>
      <c r="J26" s="66">
        <f t="shared" si="5"/>
        <v>0</v>
      </c>
      <c r="K26" s="66">
        <f t="shared" si="10"/>
        <v>0</v>
      </c>
      <c r="L26" s="66">
        <f t="shared" si="11"/>
        <v>0</v>
      </c>
      <c r="M26" s="66">
        <f t="shared" si="12"/>
        <v>0</v>
      </c>
      <c r="N26" s="61">
        <f t="shared" si="14"/>
        <v>1</v>
      </c>
      <c r="O26" s="68">
        <f t="shared" si="3"/>
        <v>1371124665.8199999</v>
      </c>
    </row>
    <row r="27" spans="2:15" x14ac:dyDescent="0.25">
      <c r="B27" s="65">
        <v>43831</v>
      </c>
      <c r="C27" s="66">
        <f t="shared" si="2"/>
        <v>0.57277738280549784</v>
      </c>
      <c r="D27" s="66">
        <f>D12/N12</f>
        <v>0.36967334972877008</v>
      </c>
      <c r="E27" s="66">
        <f t="shared" si="8"/>
        <v>5.7549267465732031E-2</v>
      </c>
      <c r="F27" s="66">
        <f t="shared" si="9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ref="J27" si="15">J12/N12</f>
        <v>0</v>
      </c>
      <c r="K27" s="66">
        <f t="shared" si="10"/>
        <v>0</v>
      </c>
      <c r="L27" s="66">
        <f t="shared" si="11"/>
        <v>0</v>
      </c>
      <c r="M27" s="66">
        <f t="shared" si="12"/>
        <v>0</v>
      </c>
      <c r="N27" s="61">
        <f t="shared" si="14"/>
        <v>1</v>
      </c>
      <c r="O27" s="68">
        <f>O12</f>
        <v>1590152353.4100001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D10" sqref="D10"/>
    </sheetView>
  </sheetViews>
  <sheetFormatPr defaultRowHeight="15.75" x14ac:dyDescent="0.25"/>
  <cols>
    <col min="3" max="3" width="18.875" customWidth="1"/>
    <col min="4" max="4" width="14.375" bestFit="1" customWidth="1"/>
    <col min="5" max="5" width="19.875" customWidth="1"/>
    <col min="6" max="6" width="13.375" bestFit="1" customWidth="1"/>
    <col min="7" max="7" width="14.375" bestFit="1" customWidth="1"/>
    <col min="8" max="8" width="13.375" bestFit="1" customWidth="1"/>
    <col min="9" max="9" width="15.125" customWidth="1"/>
    <col min="10" max="10" width="14.375" bestFit="1" customWidth="1"/>
    <col min="11" max="11" width="17.75" customWidth="1"/>
    <col min="12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7.625" customWidth="1"/>
  </cols>
  <sheetData>
    <row r="1" spans="2:16" x14ac:dyDescent="0.25">
      <c r="B1" s="64" t="s">
        <v>72</v>
      </c>
      <c r="C1" s="60" t="s">
        <v>438</v>
      </c>
      <c r="D1" s="117" t="s">
        <v>439</v>
      </c>
      <c r="E1" s="117" t="s">
        <v>441</v>
      </c>
      <c r="F1" s="117"/>
      <c r="G1" s="117"/>
      <c r="H1" s="60"/>
      <c r="I1" s="60"/>
      <c r="J1" s="60"/>
      <c r="K1" s="60"/>
      <c r="L1" s="60"/>
      <c r="M1" s="60"/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/>
      <c r="D2" s="60"/>
      <c r="E2" s="60"/>
      <c r="F2" s="60"/>
      <c r="G2" s="60"/>
      <c r="H2" s="60"/>
      <c r="I2" s="66"/>
      <c r="J2" s="60"/>
      <c r="K2" s="60"/>
      <c r="L2" s="60"/>
      <c r="M2" s="67"/>
      <c r="N2" s="61">
        <f t="shared" ref="N2:N12" si="0">M2+L2+K2+J2+H2+G2+E2+D2+C2+F2</f>
        <v>0</v>
      </c>
      <c r="O2" s="59"/>
      <c r="P2" s="62">
        <f>O2-N2</f>
        <v>0</v>
      </c>
    </row>
    <row r="3" spans="2:16" x14ac:dyDescent="0.25">
      <c r="B3" s="65">
        <v>40908</v>
      </c>
      <c r="C3" s="59"/>
      <c r="D3" s="60"/>
      <c r="E3" s="60"/>
      <c r="F3" s="60"/>
      <c r="G3" s="60"/>
      <c r="H3" s="60"/>
      <c r="I3" s="66"/>
      <c r="J3" s="60"/>
      <c r="K3" s="60"/>
      <c r="L3" s="60"/>
      <c r="M3" s="67"/>
      <c r="N3" s="61">
        <f t="shared" si="0"/>
        <v>0</v>
      </c>
      <c r="O3" s="59"/>
      <c r="P3" s="62">
        <f t="shared" ref="P3:P12" si="1">O3-N3</f>
        <v>0</v>
      </c>
    </row>
    <row r="4" spans="2:16" x14ac:dyDescent="0.25">
      <c r="B4" s="65">
        <v>41274</v>
      </c>
      <c r="C4" s="59"/>
      <c r="D4" s="60"/>
      <c r="E4" s="60"/>
      <c r="F4" s="60"/>
      <c r="G4" s="60"/>
      <c r="H4" s="60"/>
      <c r="I4" s="61"/>
      <c r="J4" s="60"/>
      <c r="K4" s="60"/>
      <c r="L4" s="60"/>
      <c r="M4" s="67"/>
      <c r="N4" s="61">
        <f t="shared" si="0"/>
        <v>0</v>
      </c>
      <c r="O4" s="59"/>
      <c r="P4" s="62">
        <f t="shared" si="1"/>
        <v>0</v>
      </c>
    </row>
    <row r="5" spans="2:16" x14ac:dyDescent="0.25">
      <c r="B5" s="65">
        <v>41639</v>
      </c>
      <c r="C5" s="59"/>
      <c r="D5" s="68"/>
      <c r="E5" s="60"/>
      <c r="F5" s="60"/>
      <c r="G5" s="60"/>
      <c r="H5" s="60"/>
      <c r="I5" s="61"/>
      <c r="J5" s="60"/>
      <c r="K5" s="68"/>
      <c r="L5" s="68"/>
      <c r="M5" s="67"/>
      <c r="N5" s="61">
        <f t="shared" si="0"/>
        <v>0</v>
      </c>
      <c r="O5" s="59"/>
      <c r="P5" s="62">
        <f t="shared" si="1"/>
        <v>0</v>
      </c>
    </row>
    <row r="6" spans="2:16" x14ac:dyDescent="0.25">
      <c r="B6" s="65">
        <v>42004</v>
      </c>
      <c r="C6" s="59"/>
      <c r="D6" s="68"/>
      <c r="E6" s="68"/>
      <c r="F6" s="68"/>
      <c r="G6" s="60"/>
      <c r="H6" s="60"/>
      <c r="I6" s="61"/>
      <c r="J6" s="60"/>
      <c r="K6" s="68"/>
      <c r="L6" s="68"/>
      <c r="M6" s="67"/>
      <c r="N6" s="61">
        <f t="shared" si="0"/>
        <v>0</v>
      </c>
      <c r="O6" s="59"/>
      <c r="P6" s="62">
        <f t="shared" si="1"/>
        <v>0</v>
      </c>
    </row>
    <row r="7" spans="2:16" x14ac:dyDescent="0.25">
      <c r="B7" s="65">
        <v>42369</v>
      </c>
      <c r="C7" s="59"/>
      <c r="D7" s="68"/>
      <c r="E7" s="68"/>
      <c r="F7" s="68"/>
      <c r="G7" s="60"/>
      <c r="H7" s="60"/>
      <c r="I7" s="61"/>
      <c r="J7" s="68"/>
      <c r="K7" s="68"/>
      <c r="M7" s="67"/>
      <c r="N7" s="61">
        <f t="shared" si="0"/>
        <v>0</v>
      </c>
      <c r="O7" s="59"/>
      <c r="P7" s="62">
        <f t="shared" si="1"/>
        <v>0</v>
      </c>
    </row>
    <row r="8" spans="2:16" x14ac:dyDescent="0.25">
      <c r="B8" s="65">
        <v>42735</v>
      </c>
      <c r="C8" s="59"/>
      <c r="D8" s="68"/>
      <c r="E8" s="68"/>
      <c r="F8" s="68"/>
      <c r="G8" s="60"/>
      <c r="H8" s="60"/>
      <c r="I8" s="61"/>
      <c r="J8" s="68"/>
      <c r="K8" s="68"/>
      <c r="M8" s="67"/>
      <c r="N8" s="61">
        <f t="shared" si="0"/>
        <v>0</v>
      </c>
      <c r="O8" s="59"/>
      <c r="P8" s="62">
        <f t="shared" si="1"/>
        <v>0</v>
      </c>
    </row>
    <row r="9" spans="2:16" x14ac:dyDescent="0.25">
      <c r="B9" s="65">
        <v>43100</v>
      </c>
      <c r="C9" s="61">
        <f>C10/1.9494</f>
        <v>123803247.21965733</v>
      </c>
      <c r="D9" s="68">
        <f>D10/1.115</f>
        <v>350247430.19730943</v>
      </c>
      <c r="E9" s="68">
        <f>E10/0.9351</f>
        <v>49601026.84204898</v>
      </c>
      <c r="F9" s="68"/>
      <c r="G9" s="60"/>
      <c r="H9" s="68"/>
      <c r="I9" s="61"/>
      <c r="J9" s="68"/>
      <c r="K9" s="68"/>
      <c r="L9" s="68"/>
      <c r="M9" s="67"/>
      <c r="N9" s="61">
        <f t="shared" si="0"/>
        <v>523651704.2590158</v>
      </c>
      <c r="O9" s="70">
        <v>529954028.54000002</v>
      </c>
      <c r="P9" s="62">
        <f t="shared" si="1"/>
        <v>6302324.2809842229</v>
      </c>
    </row>
    <row r="10" spans="2:16" x14ac:dyDescent="0.25">
      <c r="B10" s="65">
        <v>43465</v>
      </c>
      <c r="C10" s="61">
        <v>241342050.13</v>
      </c>
      <c r="D10" s="68">
        <v>390525884.67000002</v>
      </c>
      <c r="E10" s="68">
        <v>46381920.200000003</v>
      </c>
      <c r="F10" s="68"/>
      <c r="G10" s="68"/>
      <c r="H10" s="68"/>
      <c r="I10" s="61"/>
      <c r="J10" s="68"/>
      <c r="K10" s="68"/>
      <c r="L10" s="68"/>
      <c r="M10" s="67"/>
      <c r="N10" s="61">
        <f t="shared" si="0"/>
        <v>678249855</v>
      </c>
      <c r="O10" s="70">
        <v>688081887.80999994</v>
      </c>
      <c r="P10" s="62">
        <f t="shared" si="1"/>
        <v>9832032.8099999428</v>
      </c>
    </row>
    <row r="11" spans="2:16" x14ac:dyDescent="0.25">
      <c r="B11" s="65">
        <v>43830</v>
      </c>
      <c r="C11" s="61">
        <v>437167521.41000003</v>
      </c>
      <c r="D11" s="68">
        <v>396770223.36000001</v>
      </c>
      <c r="E11" s="68">
        <v>43547335.240000002</v>
      </c>
      <c r="F11" s="68"/>
      <c r="G11" s="68"/>
      <c r="H11" s="68"/>
      <c r="I11" s="61"/>
      <c r="J11" s="68"/>
      <c r="K11" s="68"/>
      <c r="L11" s="68"/>
      <c r="M11" s="67"/>
      <c r="N11" s="61">
        <f t="shared" si="0"/>
        <v>877485080.00999999</v>
      </c>
      <c r="O11" s="70">
        <v>886913779.65999997</v>
      </c>
      <c r="P11" s="62">
        <f t="shared" si="1"/>
        <v>9428699.6499999762</v>
      </c>
    </row>
    <row r="12" spans="2:16" x14ac:dyDescent="0.25">
      <c r="B12" s="65">
        <v>43831</v>
      </c>
      <c r="C12" s="68">
        <v>566153269.84000003</v>
      </c>
      <c r="D12" s="68">
        <v>410367402.79000002</v>
      </c>
      <c r="E12" s="68">
        <v>58147238.869999997</v>
      </c>
      <c r="F12" s="68"/>
      <c r="G12" s="68"/>
      <c r="H12" s="68"/>
      <c r="I12" s="68"/>
      <c r="J12" s="68"/>
      <c r="K12" s="68"/>
      <c r="L12" s="68"/>
      <c r="M12" s="68"/>
      <c r="N12" s="61">
        <f t="shared" si="0"/>
        <v>1034667911.5</v>
      </c>
      <c r="O12" s="70">
        <v>1043951458.34</v>
      </c>
      <c r="P12" s="62">
        <f t="shared" si="1"/>
        <v>9283546.8400000334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 t="s">
        <v>79</v>
      </c>
      <c r="O16" s="60"/>
    </row>
    <row r="17" spans="2:15" x14ac:dyDescent="0.25">
      <c r="B17" s="65">
        <v>40543</v>
      </c>
      <c r="C17" s="66" t="e">
        <f>C2/N2</f>
        <v>#DIV/0!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 t="e">
        <f t="shared" ref="N17:N27" si="2">M17+L17+K17+J17+H17+G17+E17+D17+C17+F17</f>
        <v>#DIV/0!</v>
      </c>
      <c r="O17" s="59">
        <f>O2</f>
        <v>0</v>
      </c>
    </row>
    <row r="18" spans="2:15" x14ac:dyDescent="0.25">
      <c r="B18" s="65">
        <v>40908</v>
      </c>
      <c r="C18" s="66" t="e">
        <f t="shared" ref="C18:C27" si="3">C3/N3</f>
        <v>#DIV/0!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 t="e">
        <f t="shared" si="2"/>
        <v>#DIV/0!</v>
      </c>
      <c r="O18" s="59">
        <f t="shared" ref="O18:O27" si="4">O3</f>
        <v>0</v>
      </c>
    </row>
    <row r="19" spans="2:15" x14ac:dyDescent="0.25">
      <c r="B19" s="65">
        <v>41274</v>
      </c>
      <c r="C19" s="66" t="e">
        <f t="shared" si="3"/>
        <v>#DIV/0!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 t="e">
        <f t="shared" si="2"/>
        <v>#DIV/0!</v>
      </c>
      <c r="O19" s="59">
        <f t="shared" si="4"/>
        <v>0</v>
      </c>
    </row>
    <row r="20" spans="2:15" x14ac:dyDescent="0.25">
      <c r="B20" s="65">
        <v>41639</v>
      </c>
      <c r="C20" s="66" t="e">
        <f t="shared" si="3"/>
        <v>#DIV/0!</v>
      </c>
      <c r="D20" s="66" t="e">
        <f>D5/N5</f>
        <v>#DIV/0!</v>
      </c>
      <c r="E20" s="66"/>
      <c r="F20" s="66"/>
      <c r="G20" s="66"/>
      <c r="H20" s="66"/>
      <c r="I20" s="66"/>
      <c r="J20" s="66"/>
      <c r="K20" s="66" t="e">
        <f>K5/N5</f>
        <v>#DIV/0!</v>
      </c>
      <c r="L20" s="66" t="e">
        <f>L5/N5</f>
        <v>#DIV/0!</v>
      </c>
      <c r="M20" s="66" t="e">
        <f>M5/N5</f>
        <v>#DIV/0!</v>
      </c>
      <c r="N20" s="61" t="e">
        <f t="shared" si="2"/>
        <v>#DIV/0!</v>
      </c>
      <c r="O20" s="59">
        <f t="shared" si="4"/>
        <v>0</v>
      </c>
    </row>
    <row r="21" spans="2:15" x14ac:dyDescent="0.25">
      <c r="B21" s="65">
        <v>42004</v>
      </c>
      <c r="C21" s="66" t="e">
        <f t="shared" si="3"/>
        <v>#DIV/0!</v>
      </c>
      <c r="D21" s="66" t="e">
        <f t="shared" ref="D21:D27" si="5">D6/N6</f>
        <v>#DIV/0!</v>
      </c>
      <c r="E21" s="66" t="e">
        <f>E6/N6</f>
        <v>#DIV/0!</v>
      </c>
      <c r="F21" s="66" t="e">
        <f>F6/N6</f>
        <v>#DIV/0!</v>
      </c>
      <c r="G21" s="66"/>
      <c r="H21" s="66"/>
      <c r="I21" s="66"/>
      <c r="J21" s="66"/>
      <c r="K21" s="66" t="e">
        <f t="shared" ref="K21:K27" si="6">K6/N6</f>
        <v>#DIV/0!</v>
      </c>
      <c r="L21" s="66" t="e">
        <f t="shared" ref="L21:L27" si="7">L6/N6</f>
        <v>#DIV/0!</v>
      </c>
      <c r="M21" s="66" t="e">
        <f t="shared" ref="M21:M27" si="8">M6/N6</f>
        <v>#DIV/0!</v>
      </c>
      <c r="N21" s="61" t="e">
        <f t="shared" si="2"/>
        <v>#DIV/0!</v>
      </c>
      <c r="O21" s="59">
        <f t="shared" si="4"/>
        <v>0</v>
      </c>
    </row>
    <row r="22" spans="2:15" x14ac:dyDescent="0.25">
      <c r="B22" s="65">
        <v>42369</v>
      </c>
      <c r="C22" s="66" t="e">
        <f t="shared" si="3"/>
        <v>#DIV/0!</v>
      </c>
      <c r="D22" s="66" t="e">
        <f>#REF!/N7</f>
        <v>#REF!</v>
      </c>
      <c r="E22" s="66" t="e">
        <f t="shared" ref="E22:E27" si="9">E7/N7</f>
        <v>#DIV/0!</v>
      </c>
      <c r="F22" s="66" t="e">
        <f t="shared" ref="F22:F27" si="10">F7/N7</f>
        <v>#DIV/0!</v>
      </c>
      <c r="G22" s="66"/>
      <c r="H22" s="66"/>
      <c r="I22" s="66"/>
      <c r="J22" s="66" t="e">
        <f t="shared" ref="J22:J27" si="11">J7/N7</f>
        <v>#DIV/0!</v>
      </c>
      <c r="K22" s="66" t="e">
        <f t="shared" si="6"/>
        <v>#DIV/0!</v>
      </c>
      <c r="L22" s="66" t="e">
        <f>D7/N7</f>
        <v>#DIV/0!</v>
      </c>
      <c r="M22" s="66" t="e">
        <f t="shared" si="8"/>
        <v>#DIV/0!</v>
      </c>
      <c r="N22" s="61" t="e">
        <f t="shared" si="2"/>
        <v>#DIV/0!</v>
      </c>
      <c r="O22" s="59">
        <f t="shared" si="4"/>
        <v>0</v>
      </c>
    </row>
    <row r="23" spans="2:15" x14ac:dyDescent="0.25">
      <c r="B23" s="65">
        <v>42735</v>
      </c>
      <c r="C23" s="66" t="e">
        <f t="shared" si="3"/>
        <v>#DIV/0!</v>
      </c>
      <c r="D23" s="66" t="e">
        <f>#REF!/N8</f>
        <v>#REF!</v>
      </c>
      <c r="E23" s="66" t="e">
        <f t="shared" si="9"/>
        <v>#DIV/0!</v>
      </c>
      <c r="F23" s="66" t="e">
        <f t="shared" si="10"/>
        <v>#DIV/0!</v>
      </c>
      <c r="G23" s="66"/>
      <c r="H23" s="66"/>
      <c r="I23" s="66"/>
      <c r="J23" s="66" t="e">
        <f t="shared" si="11"/>
        <v>#DIV/0!</v>
      </c>
      <c r="K23" s="66" t="e">
        <f t="shared" si="6"/>
        <v>#DIV/0!</v>
      </c>
      <c r="L23" s="66" t="e">
        <f>D8/N8</f>
        <v>#DIV/0!</v>
      </c>
      <c r="M23" s="66" t="e">
        <f t="shared" si="8"/>
        <v>#DIV/0!</v>
      </c>
      <c r="N23" s="61" t="e">
        <f t="shared" si="2"/>
        <v>#DIV/0!</v>
      </c>
      <c r="O23" s="59">
        <f t="shared" si="4"/>
        <v>0</v>
      </c>
    </row>
    <row r="24" spans="2:15" x14ac:dyDescent="0.25">
      <c r="B24" s="65">
        <v>43100</v>
      </c>
      <c r="C24" s="66">
        <f t="shared" si="3"/>
        <v>0.23642288607623832</v>
      </c>
      <c r="D24" s="66">
        <f t="shared" si="5"/>
        <v>0.66885570570790165</v>
      </c>
      <c r="E24" s="66">
        <f t="shared" si="9"/>
        <v>9.4721408215859906E-2</v>
      </c>
      <c r="F24" s="66">
        <f t="shared" si="10"/>
        <v>0</v>
      </c>
      <c r="G24" s="66"/>
      <c r="H24" s="66"/>
      <c r="I24" s="66"/>
      <c r="J24" s="66">
        <f t="shared" si="11"/>
        <v>0</v>
      </c>
      <c r="K24" s="66">
        <f t="shared" si="6"/>
        <v>0</v>
      </c>
      <c r="L24" s="66">
        <f t="shared" si="7"/>
        <v>0</v>
      </c>
      <c r="M24" s="66">
        <f t="shared" si="8"/>
        <v>0</v>
      </c>
      <c r="N24" s="61">
        <f t="shared" si="2"/>
        <v>0.99999999999999989</v>
      </c>
      <c r="O24" s="59">
        <f t="shared" si="4"/>
        <v>529954028.54000002</v>
      </c>
    </row>
    <row r="25" spans="2:15" x14ac:dyDescent="0.25">
      <c r="B25" s="65">
        <v>43465</v>
      </c>
      <c r="C25" s="66">
        <f t="shared" si="3"/>
        <v>0.35583059598295086</v>
      </c>
      <c r="D25" s="66">
        <f t="shared" si="5"/>
        <v>0.57578469319392633</v>
      </c>
      <c r="E25" s="66">
        <f t="shared" si="9"/>
        <v>6.8384710823122849E-2</v>
      </c>
      <c r="F25" s="66">
        <f t="shared" si="10"/>
        <v>0</v>
      </c>
      <c r="G25" s="66">
        <f>G10/N10</f>
        <v>0</v>
      </c>
      <c r="H25" s="66"/>
      <c r="I25" s="66"/>
      <c r="J25" s="66">
        <f t="shared" si="11"/>
        <v>0</v>
      </c>
      <c r="K25" s="66">
        <f t="shared" si="6"/>
        <v>0</v>
      </c>
      <c r="L25" s="66">
        <f t="shared" si="7"/>
        <v>0</v>
      </c>
      <c r="M25" s="66">
        <f t="shared" si="8"/>
        <v>0</v>
      </c>
      <c r="N25" s="61">
        <f t="shared" si="2"/>
        <v>1</v>
      </c>
      <c r="O25" s="59">
        <f t="shared" si="4"/>
        <v>688081887.80999994</v>
      </c>
    </row>
    <row r="26" spans="2:15" x14ac:dyDescent="0.25">
      <c r="B26" s="65">
        <v>43830</v>
      </c>
      <c r="C26" s="66">
        <f t="shared" si="3"/>
        <v>0.4982050764954522</v>
      </c>
      <c r="D26" s="66">
        <f t="shared" si="5"/>
        <v>0.45216748683120439</v>
      </c>
      <c r="E26" s="66">
        <f t="shared" si="9"/>
        <v>4.9627436673343468E-2</v>
      </c>
      <c r="F26" s="66">
        <f t="shared" si="10"/>
        <v>0</v>
      </c>
      <c r="G26" s="66">
        <f>G11/N11</f>
        <v>0</v>
      </c>
      <c r="H26" s="66">
        <f>H11/N11</f>
        <v>0</v>
      </c>
      <c r="I26" s="66"/>
      <c r="J26" s="66">
        <f t="shared" si="11"/>
        <v>0</v>
      </c>
      <c r="K26" s="66">
        <f t="shared" si="6"/>
        <v>0</v>
      </c>
      <c r="L26" s="66">
        <f t="shared" si="7"/>
        <v>0</v>
      </c>
      <c r="M26" s="66">
        <f t="shared" si="8"/>
        <v>0</v>
      </c>
      <c r="N26" s="61">
        <f t="shared" si="2"/>
        <v>1</v>
      </c>
      <c r="O26" s="59">
        <f t="shared" si="4"/>
        <v>886913779.65999997</v>
      </c>
    </row>
    <row r="27" spans="2:15" x14ac:dyDescent="0.25">
      <c r="B27" s="65">
        <v>43831</v>
      </c>
      <c r="C27" s="66">
        <f t="shared" si="3"/>
        <v>0.54718355865431711</v>
      </c>
      <c r="D27" s="66">
        <f t="shared" si="5"/>
        <v>0.39661750232021187</v>
      </c>
      <c r="E27" s="66">
        <f t="shared" si="9"/>
        <v>5.6198939025471073E-2</v>
      </c>
      <c r="F27" s="66">
        <f t="shared" si="10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0</v>
      </c>
      <c r="M27" s="66">
        <f t="shared" si="8"/>
        <v>0</v>
      </c>
      <c r="N27" s="61">
        <f t="shared" si="2"/>
        <v>1</v>
      </c>
      <c r="O27" s="59">
        <f t="shared" si="4"/>
        <v>1043951458.34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6"/>
      <c r="B3" s="86" t="s">
        <v>82</v>
      </c>
      <c r="C3" s="86"/>
      <c r="D3" s="87">
        <v>902586125.63</v>
      </c>
      <c r="E3" s="87">
        <v>2611753208.8600001</v>
      </c>
      <c r="F3" s="87">
        <v>3211192814.48</v>
      </c>
      <c r="G3" s="87">
        <v>3023831231.2600002</v>
      </c>
      <c r="H3" s="87">
        <v>2644228901.6500001</v>
      </c>
      <c r="I3" s="87">
        <v>1694513980</v>
      </c>
      <c r="J3" s="87">
        <v>935119130.20000005</v>
      </c>
      <c r="K3" s="87">
        <v>678715861.76999998</v>
      </c>
      <c r="L3" s="87">
        <v>586157062.79999995</v>
      </c>
      <c r="M3" s="87">
        <v>504532175.13999999</v>
      </c>
      <c r="N3" s="87">
        <v>444756661.94999999</v>
      </c>
      <c r="O3" s="87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6" t="s">
        <v>144</v>
      </c>
      <c r="B18" s="86" t="s">
        <v>83</v>
      </c>
      <c r="C18" s="86"/>
      <c r="D18" s="87">
        <v>352670473.42000002</v>
      </c>
      <c r="E18" s="87">
        <v>747189301.24000001</v>
      </c>
      <c r="F18" s="87">
        <v>1078093212.26</v>
      </c>
      <c r="G18" s="87">
        <v>1113022779.3699999</v>
      </c>
      <c r="H18" s="87">
        <v>1014187220.09</v>
      </c>
      <c r="I18" s="87">
        <v>582067363.26999998</v>
      </c>
      <c r="J18" s="87">
        <v>306886789.69</v>
      </c>
      <c r="K18" s="87">
        <v>198128917.91</v>
      </c>
      <c r="L18" s="87">
        <v>177879156.28</v>
      </c>
      <c r="M18" s="87">
        <v>122278040.84</v>
      </c>
      <c r="N18" s="87">
        <v>105488846.31999999</v>
      </c>
      <c r="O18" s="87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 t="shared" ref="D84:O84" si="3">D18/D17</f>
        <v>0.47594985600921164</v>
      </c>
      <c r="E84" s="63">
        <f t="shared" si="3"/>
        <v>0.65100156196586467</v>
      </c>
      <c r="F84" s="63">
        <f t="shared" si="3"/>
        <v>0.63357634230876336</v>
      </c>
      <c r="G84" s="63">
        <f t="shared" si="3"/>
        <v>0.65433330301448445</v>
      </c>
      <c r="H84" s="63">
        <f t="shared" si="3"/>
        <v>0.67136890497531687</v>
      </c>
      <c r="I84" s="63">
        <f t="shared" si="3"/>
        <v>0.66783914246719722</v>
      </c>
      <c r="J84" s="63">
        <f t="shared" si="3"/>
        <v>0.6534411911036373</v>
      </c>
      <c r="K84" s="63">
        <f t="shared" si="3"/>
        <v>0.642270586874923</v>
      </c>
      <c r="L84" s="63">
        <f t="shared" si="3"/>
        <v>0.69264241077936595</v>
      </c>
      <c r="M84" s="63">
        <f t="shared" si="3"/>
        <v>0.5462631026245065</v>
      </c>
      <c r="N84" s="63">
        <f t="shared" si="3"/>
        <v>0.488061087042932</v>
      </c>
      <c r="O84" s="63">
        <f t="shared" si="3"/>
        <v>0.5218235319216844</v>
      </c>
    </row>
    <row r="85" spans="1:15" x14ac:dyDescent="0.25">
      <c r="B85" s="75" t="s">
        <v>106</v>
      </c>
      <c r="D85" s="63">
        <f t="shared" ref="D85:O85" si="4">D30/D17</f>
        <v>1.610496662097869E-2</v>
      </c>
      <c r="E85" s="63">
        <f t="shared" si="4"/>
        <v>3.1509195501118206E-2</v>
      </c>
      <c r="F85" s="63">
        <f t="shared" si="4"/>
        <v>1.8822322202153949E-2</v>
      </c>
      <c r="G85" s="63">
        <f t="shared" si="4"/>
        <v>1.7861008102107202E-2</v>
      </c>
      <c r="H85" s="63">
        <f t="shared" si="4"/>
        <v>2.2681219330114612E-2</v>
      </c>
      <c r="I85" s="63">
        <f t="shared" si="4"/>
        <v>5.5904879362059005E-2</v>
      </c>
      <c r="J85" s="63">
        <f t="shared" si="4"/>
        <v>7.2955194596829906E-2</v>
      </c>
      <c r="K85" s="63">
        <f t="shared" si="4"/>
        <v>8.1072564121866433E-2</v>
      </c>
      <c r="L85" s="63">
        <f t="shared" si="4"/>
        <v>8.5368094844716871E-2</v>
      </c>
      <c r="M85" s="63">
        <f t="shared" si="4"/>
        <v>8.6044568400562974E-2</v>
      </c>
      <c r="N85" s="63">
        <f t="shared" si="4"/>
        <v>7.2722884336346452E-2</v>
      </c>
      <c r="O85" s="63">
        <f t="shared" si="4"/>
        <v>6.1985709682166323E-2</v>
      </c>
    </row>
    <row r="86" spans="1:15" x14ac:dyDescent="0.25">
      <c r="B86" s="75" t="s">
        <v>107</v>
      </c>
      <c r="D86" s="63">
        <f t="shared" ref="D86:O86" si="5">D31/D17</f>
        <v>8.5899137505139639E-2</v>
      </c>
      <c r="E86" s="63">
        <f t="shared" si="5"/>
        <v>0.12677255223964748</v>
      </c>
      <c r="F86" s="63">
        <f t="shared" si="5"/>
        <v>0.16898170260319262</v>
      </c>
      <c r="G86" s="63">
        <f t="shared" si="5"/>
        <v>0.19123944955179131</v>
      </c>
      <c r="H86" s="63">
        <f t="shared" si="5"/>
        <v>0.18310650194637587</v>
      </c>
      <c r="I86" s="63">
        <f t="shared" si="5"/>
        <v>0.12221679169982098</v>
      </c>
      <c r="J86" s="63">
        <f t="shared" si="5"/>
        <v>7.7900601623712901E-2</v>
      </c>
      <c r="K86" s="63">
        <f t="shared" si="5"/>
        <v>7.6510139537580499E-2</v>
      </c>
      <c r="L86" s="63">
        <f t="shared" si="5"/>
        <v>0.14773920473596405</v>
      </c>
      <c r="M86" s="63">
        <f t="shared" si="5"/>
        <v>0.18702532665306829</v>
      </c>
      <c r="N86" s="63">
        <f t="shared" si="5"/>
        <v>0.1405048641479712</v>
      </c>
      <c r="O86" s="63">
        <f t="shared" si="5"/>
        <v>0.14019183758138445</v>
      </c>
    </row>
    <row r="87" spans="1:15" x14ac:dyDescent="0.25">
      <c r="B87" s="75" t="s">
        <v>108</v>
      </c>
      <c r="D87" s="63">
        <f t="shared" ref="D87:O87" si="6">D32/D17</f>
        <v>0.38878678111250931</v>
      </c>
      <c r="E87" s="63">
        <f t="shared" si="6"/>
        <v>0.16398566963282576</v>
      </c>
      <c r="F87" s="63">
        <f t="shared" si="6"/>
        <v>0.11904017724349132</v>
      </c>
      <c r="G87" s="63">
        <f t="shared" si="6"/>
        <v>9.3416147380837575E-2</v>
      </c>
      <c r="H87" s="63">
        <f t="shared" si="6"/>
        <v>0.11196216357759968</v>
      </c>
      <c r="I87" s="63">
        <f t="shared" si="6"/>
        <v>0.1515156952915061</v>
      </c>
      <c r="J87" s="63">
        <f t="shared" si="6"/>
        <v>0.21946232635159973</v>
      </c>
      <c r="K87" s="63">
        <f t="shared" si="6"/>
        <v>0.24625923361297664</v>
      </c>
      <c r="L87" s="63">
        <f t="shared" si="6"/>
        <v>0.24316663616998183</v>
      </c>
      <c r="M87" s="63">
        <f t="shared" si="6"/>
        <v>0.22314853106137886</v>
      </c>
      <c r="N87" s="63">
        <f t="shared" si="6"/>
        <v>0.18789568842888885</v>
      </c>
      <c r="O87" s="63">
        <f t="shared" si="6"/>
        <v>0.17074112581776418</v>
      </c>
    </row>
    <row r="88" spans="1:15" x14ac:dyDescent="0.25">
      <c r="B88" s="75" t="s">
        <v>109</v>
      </c>
      <c r="D88" s="63">
        <f t="shared" ref="D88:O88" si="7">D33/D17</f>
        <v>5.0592245205143008E-2</v>
      </c>
      <c r="E88" s="63">
        <f t="shared" si="7"/>
        <v>4.2190698470483491E-2</v>
      </c>
      <c r="F88" s="63">
        <f t="shared" si="7"/>
        <v>4.1471318512494054E-2</v>
      </c>
      <c r="G88" s="63">
        <f t="shared" si="7"/>
        <v>3.1092688458001769E-2</v>
      </c>
      <c r="H88" s="63">
        <f t="shared" si="7"/>
        <v>0</v>
      </c>
      <c r="I88" s="63">
        <f t="shared" si="7"/>
        <v>0</v>
      </c>
      <c r="J88" s="63">
        <f t="shared" si="7"/>
        <v>0</v>
      </c>
      <c r="K88" s="63">
        <f t="shared" si="7"/>
        <v>0</v>
      </c>
      <c r="L88" s="63">
        <f t="shared" si="7"/>
        <v>0</v>
      </c>
      <c r="M88" s="63">
        <f t="shared" si="7"/>
        <v>0</v>
      </c>
      <c r="N88" s="63">
        <f t="shared" si="7"/>
        <v>0</v>
      </c>
      <c r="O88" s="63">
        <f t="shared" si="7"/>
        <v>0</v>
      </c>
    </row>
    <row r="89" spans="1:15" x14ac:dyDescent="0.25">
      <c r="B89" s="75" t="s">
        <v>110</v>
      </c>
      <c r="D89" s="63">
        <f t="shared" ref="D89:O89" si="8">D34/D17</f>
        <v>-1.7332986452982303E-2</v>
      </c>
      <c r="E89" s="63">
        <f t="shared" si="8"/>
        <v>-1.5459677809939587E-2</v>
      </c>
      <c r="F89" s="63">
        <f t="shared" si="8"/>
        <v>-6.3859445470371059E-4</v>
      </c>
      <c r="G89" s="63">
        <f t="shared" si="8"/>
        <v>6.7906545023670691E-3</v>
      </c>
      <c r="H89" s="63">
        <f t="shared" si="8"/>
        <v>8.8873825806073427E-3</v>
      </c>
      <c r="I89" s="63">
        <f t="shared" si="8"/>
        <v>1.3711134273005417E-3</v>
      </c>
      <c r="J89" s="63">
        <f t="shared" si="8"/>
        <v>-2.6578212235446305E-2</v>
      </c>
      <c r="K89" s="63">
        <f t="shared" si="8"/>
        <v>-4.8655382172102836E-2</v>
      </c>
      <c r="L89" s="63">
        <f t="shared" si="8"/>
        <v>-5.1197150971593657E-2</v>
      </c>
      <c r="M89" s="63">
        <f t="shared" si="8"/>
        <v>-5.8814303733247544E-2</v>
      </c>
      <c r="N89" s="63">
        <f t="shared" si="8"/>
        <v>0.11053367179237611</v>
      </c>
      <c r="O89" s="63">
        <f t="shared" si="8"/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 t="shared" ref="D92:O92" si="9">D37/D17</f>
        <v>0.45735293216466671</v>
      </c>
      <c r="E92" s="63">
        <f t="shared" si="9"/>
        <v>0.27529854406253368</v>
      </c>
      <c r="F92" s="63">
        <f t="shared" si="9"/>
        <v>0.28738328539198027</v>
      </c>
      <c r="G92" s="63">
        <f t="shared" si="9"/>
        <v>0.29144625143499597</v>
      </c>
      <c r="H92" s="63">
        <f t="shared" si="9"/>
        <v>0.30395604810458288</v>
      </c>
      <c r="I92" s="63">
        <f t="shared" si="9"/>
        <v>0.27510360041862764</v>
      </c>
      <c r="J92" s="63">
        <f t="shared" si="9"/>
        <v>0.27078471573986634</v>
      </c>
      <c r="K92" s="63">
        <f t="shared" si="9"/>
        <v>0.27411399097845429</v>
      </c>
      <c r="L92" s="63">
        <f t="shared" si="9"/>
        <v>0.33970868993435221</v>
      </c>
      <c r="M92" s="63">
        <f t="shared" si="9"/>
        <v>0.35135955398119967</v>
      </c>
      <c r="N92" s="63">
        <f t="shared" si="9"/>
        <v>0.43893422436923613</v>
      </c>
      <c r="O92" s="63">
        <f t="shared" si="9"/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10">E51/E50</f>
        <v>0.162664690265231</v>
      </c>
      <c r="F106" s="63">
        <f t="shared" si="10"/>
        <v>0.17173952077325705</v>
      </c>
      <c r="G106" s="63">
        <f t="shared" si="10"/>
        <v>0.17582342208270127</v>
      </c>
      <c r="H106" s="63">
        <f t="shared" si="10"/>
        <v>0.20979689301822183</v>
      </c>
      <c r="I106" s="63">
        <f t="shared" si="10"/>
        <v>0.21776174496417905</v>
      </c>
      <c r="J106" s="63">
        <f t="shared" si="10"/>
        <v>0.25780831589428466</v>
      </c>
      <c r="K106" s="63">
        <f t="shared" si="10"/>
        <v>0.26215119182809271</v>
      </c>
      <c r="L106" s="63">
        <f t="shared" si="10"/>
        <v>0.2484931962472896</v>
      </c>
      <c r="M106" s="63">
        <f t="shared" si="10"/>
        <v>0.25282500385131734</v>
      </c>
      <c r="N106" s="63">
        <f>N51/N50</f>
        <v>0.25068654828972664</v>
      </c>
      <c r="O106" s="63">
        <f t="shared" si="10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B30" sqref="B30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500003370.67000002</v>
      </c>
      <c r="E3" s="70">
        <v>503501904.97000003</v>
      </c>
      <c r="F3" s="70">
        <v>227724099.49000001</v>
      </c>
      <c r="G3" s="70">
        <v>230100378.09</v>
      </c>
      <c r="H3" s="70"/>
      <c r="I3" s="70"/>
      <c r="J3" s="70"/>
      <c r="K3" s="70"/>
      <c r="L3" s="70"/>
      <c r="M3" s="70"/>
      <c r="N3" s="70"/>
      <c r="O3" s="70"/>
    </row>
    <row r="4" spans="1:15" ht="31.5" x14ac:dyDescent="0.25">
      <c r="B4" s="75" t="s">
        <v>156</v>
      </c>
      <c r="D4" s="70">
        <v>409888315.42000002</v>
      </c>
      <c r="E4" s="70">
        <v>350000000</v>
      </c>
      <c r="F4" s="70"/>
      <c r="G4" s="70"/>
      <c r="H4" s="70"/>
    </row>
    <row r="5" spans="1:15" ht="94.5" x14ac:dyDescent="0.25">
      <c r="B5" s="75" t="s">
        <v>236</v>
      </c>
      <c r="D5" s="70"/>
      <c r="E5" s="70"/>
      <c r="F5" s="70"/>
      <c r="G5" s="70"/>
      <c r="H5" s="70"/>
    </row>
    <row r="6" spans="1:15" x14ac:dyDescent="0.25">
      <c r="A6" s="113"/>
      <c r="B6" s="113" t="s">
        <v>412</v>
      </c>
      <c r="C6" s="113"/>
      <c r="D6" s="70"/>
      <c r="E6" s="70">
        <v>41747076.049999997</v>
      </c>
      <c r="F6" s="70">
        <v>24764064.149999999</v>
      </c>
      <c r="G6" s="70">
        <v>22696036.52</v>
      </c>
      <c r="H6" s="70"/>
      <c r="J6" s="70"/>
    </row>
    <row r="7" spans="1:15" x14ac:dyDescent="0.25">
      <c r="B7" s="75" t="s">
        <v>406</v>
      </c>
      <c r="D7" s="70">
        <v>525073362.38</v>
      </c>
      <c r="E7" s="70">
        <v>342804203.17000002</v>
      </c>
      <c r="F7" s="70">
        <v>204847838.18000001</v>
      </c>
      <c r="G7" s="70">
        <v>164509107.46000001</v>
      </c>
      <c r="H7" s="70"/>
      <c r="I7" s="70"/>
      <c r="J7" s="70"/>
      <c r="K7" s="70"/>
      <c r="L7" s="70"/>
      <c r="M7" s="70"/>
      <c r="N7" s="70"/>
      <c r="O7" s="70"/>
    </row>
    <row r="8" spans="1:15" ht="31.5" x14ac:dyDescent="0.25">
      <c r="A8" s="113"/>
      <c r="B8" s="113" t="s">
        <v>410</v>
      </c>
      <c r="C8" s="113"/>
      <c r="D8" s="70">
        <v>32327920.109999999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5" ht="31.5" x14ac:dyDescent="0.25">
      <c r="A9" s="113"/>
      <c r="B9" s="113" t="s">
        <v>411</v>
      </c>
      <c r="C9" s="113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</row>
    <row r="10" spans="1:15" x14ac:dyDescent="0.25">
      <c r="B10" s="75" t="s">
        <v>157</v>
      </c>
      <c r="D10" s="70">
        <v>2299492.48</v>
      </c>
      <c r="E10" s="70">
        <v>1759353.45</v>
      </c>
      <c r="F10" s="70">
        <v>1561049.15</v>
      </c>
      <c r="G10" s="70">
        <v>1700780.92</v>
      </c>
      <c r="H10" s="70"/>
      <c r="I10" s="70"/>
      <c r="J10" s="70"/>
      <c r="K10" s="70"/>
      <c r="L10" s="70"/>
      <c r="M10" s="70"/>
      <c r="N10" s="70"/>
      <c r="O10" s="70"/>
    </row>
    <row r="11" spans="1:15" x14ac:dyDescent="0.25">
      <c r="B11" s="75" t="s">
        <v>237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5" ht="31.5" x14ac:dyDescent="0.25">
      <c r="B12" s="75" t="s">
        <v>159</v>
      </c>
      <c r="D12" s="70">
        <v>18510662.5</v>
      </c>
      <c r="E12" s="70">
        <v>11432421.050000001</v>
      </c>
      <c r="F12" s="70">
        <v>10598648.029999999</v>
      </c>
      <c r="G12" s="70">
        <v>5804960.1500000004</v>
      </c>
      <c r="H12" s="70"/>
      <c r="I12" s="70"/>
      <c r="J12" s="70"/>
      <c r="K12" s="70"/>
      <c r="L12" s="70"/>
      <c r="M12" s="70"/>
      <c r="N12" s="70"/>
      <c r="O12" s="70"/>
    </row>
    <row r="13" spans="1:15" x14ac:dyDescent="0.25">
      <c r="B13" s="75" t="s">
        <v>158</v>
      </c>
      <c r="D13" s="70">
        <v>317125543.33999997</v>
      </c>
      <c r="E13" s="70">
        <v>285016368.54000002</v>
      </c>
      <c r="F13" s="70">
        <v>212072383.78999999</v>
      </c>
      <c r="G13" s="70">
        <v>134288477.96000001</v>
      </c>
      <c r="H13" s="70"/>
      <c r="I13" s="70"/>
      <c r="J13" s="70"/>
      <c r="K13" s="70"/>
      <c r="L13" s="70"/>
      <c r="M13" s="70"/>
      <c r="N13" s="70"/>
      <c r="O13" s="70"/>
    </row>
    <row r="14" spans="1:15" x14ac:dyDescent="0.25">
      <c r="A14" s="116"/>
      <c r="B14" s="116" t="s">
        <v>430</v>
      </c>
      <c r="C14" s="116"/>
      <c r="D14" s="70">
        <v>7302631.1299999999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</row>
    <row r="15" spans="1:15" ht="47.25" x14ac:dyDescent="0.25">
      <c r="B15" s="75" t="s">
        <v>238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</row>
    <row r="16" spans="1:15" ht="47.25" x14ac:dyDescent="0.25">
      <c r="A16" s="113"/>
      <c r="B16" s="113" t="s">
        <v>407</v>
      </c>
      <c r="C16" s="113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</row>
    <row r="17" spans="1:15" ht="31.5" x14ac:dyDescent="0.25">
      <c r="B17" s="75" t="s">
        <v>160</v>
      </c>
      <c r="D17" s="70">
        <v>5730298.6200000001</v>
      </c>
      <c r="E17" s="70">
        <v>2000846.87</v>
      </c>
      <c r="F17" s="70">
        <v>11039062.43</v>
      </c>
      <c r="G17" s="70">
        <v>4077706.97</v>
      </c>
      <c r="H17" s="70"/>
      <c r="I17" s="70"/>
      <c r="J17" s="70"/>
      <c r="K17" s="70"/>
      <c r="L17" s="70"/>
      <c r="M17" s="70"/>
      <c r="N17" s="70"/>
      <c r="O17" s="70"/>
    </row>
    <row r="18" spans="1:15" ht="31.5" x14ac:dyDescent="0.25">
      <c r="A18" s="75" t="s">
        <v>161</v>
      </c>
      <c r="D18" s="70">
        <v>1818261596.6500001</v>
      </c>
      <c r="E18" s="70">
        <v>1538262174.0999999</v>
      </c>
      <c r="F18" s="70">
        <v>692607145.22000003</v>
      </c>
      <c r="G18" s="70">
        <v>563177448.07000005</v>
      </c>
      <c r="H18" s="70"/>
      <c r="I18" s="70"/>
      <c r="J18" s="70"/>
      <c r="K18" s="70"/>
      <c r="L18" s="70"/>
      <c r="M18" s="70"/>
      <c r="N18" s="70"/>
      <c r="O18" s="70"/>
    </row>
    <row r="19" spans="1:15" s="78" customFormat="1" ht="31.5" x14ac:dyDescent="0.25">
      <c r="A19" s="77" t="s">
        <v>162</v>
      </c>
      <c r="B19" s="77"/>
      <c r="C19" s="77"/>
      <c r="D19" s="79"/>
      <c r="E19" s="79"/>
      <c r="F19" s="79"/>
      <c r="G19" s="79"/>
    </row>
    <row r="20" spans="1:15" s="73" customFormat="1" ht="31.5" x14ac:dyDescent="0.25">
      <c r="A20" s="76"/>
      <c r="B20" s="76" t="s">
        <v>224</v>
      </c>
      <c r="C20" s="76"/>
      <c r="D20" s="80"/>
      <c r="E20" s="80"/>
      <c r="F20" s="80"/>
      <c r="G20" s="80"/>
      <c r="H20" s="80"/>
      <c r="I20" s="80"/>
    </row>
    <row r="21" spans="1:15" s="73" customFormat="1" ht="31.5" x14ac:dyDescent="0.25">
      <c r="A21" s="76"/>
      <c r="B21" s="76" t="s">
        <v>431</v>
      </c>
      <c r="C21" s="76"/>
      <c r="D21" s="80">
        <v>963043.71</v>
      </c>
      <c r="E21" s="80">
        <v>1243364.43</v>
      </c>
      <c r="F21" s="80">
        <v>1058174.8500000001</v>
      </c>
      <c r="G21" s="80"/>
      <c r="H21" s="80"/>
      <c r="I21" s="80"/>
    </row>
    <row r="22" spans="1:15" ht="31.5" x14ac:dyDescent="0.25">
      <c r="B22" s="75" t="s">
        <v>225</v>
      </c>
      <c r="D22" s="70">
        <v>6334674.3799999999</v>
      </c>
      <c r="E22" s="70">
        <v>6205816.3300000001</v>
      </c>
      <c r="F22" s="70">
        <v>6082513.8899999997</v>
      </c>
      <c r="G22" s="70">
        <v>5461759.5999999996</v>
      </c>
      <c r="H22" s="70"/>
      <c r="I22" s="70"/>
      <c r="J22" s="70"/>
      <c r="K22" s="70"/>
      <c r="L22" s="70"/>
      <c r="M22" s="70"/>
      <c r="N22" s="70"/>
      <c r="O22" s="70"/>
    </row>
    <row r="23" spans="1:15" ht="31.5" x14ac:dyDescent="0.25">
      <c r="B23" s="75" t="s">
        <v>163</v>
      </c>
      <c r="D23" s="70"/>
      <c r="E23" s="70"/>
      <c r="F23" s="70"/>
      <c r="G23" s="70"/>
    </row>
    <row r="24" spans="1:15" ht="31.5" x14ac:dyDescent="0.25">
      <c r="A24" s="116"/>
      <c r="B24" s="116" t="s">
        <v>432</v>
      </c>
      <c r="C24" s="116"/>
      <c r="D24" s="70">
        <v>17319190.879999999</v>
      </c>
      <c r="E24" s="70">
        <v>17913258.920000002</v>
      </c>
      <c r="F24" s="70">
        <v>18507326.960000001</v>
      </c>
      <c r="G24" s="70">
        <v>19102606.440000001</v>
      </c>
    </row>
    <row r="25" spans="1:15" x14ac:dyDescent="0.25">
      <c r="B25" s="75" t="s">
        <v>164</v>
      </c>
      <c r="D25" s="70">
        <v>86970190.739999995</v>
      </c>
      <c r="E25" s="70">
        <v>86091411.659999996</v>
      </c>
      <c r="F25" s="70">
        <v>85598095.640000001</v>
      </c>
      <c r="G25" s="70">
        <v>86379407.019999996</v>
      </c>
      <c r="H25" s="70"/>
      <c r="I25" s="70"/>
      <c r="J25" s="70"/>
      <c r="K25" s="70"/>
      <c r="L25" s="70"/>
      <c r="M25" s="70"/>
      <c r="N25" s="70"/>
      <c r="O25" s="70"/>
    </row>
    <row r="26" spans="1:15" x14ac:dyDescent="0.25">
      <c r="B26" s="75" t="s">
        <v>165</v>
      </c>
      <c r="D26" s="70">
        <v>46445087.170000002</v>
      </c>
      <c r="E26" s="70"/>
      <c r="F26" s="70">
        <v>1549393.54</v>
      </c>
      <c r="G26" s="70">
        <v>1062820.51</v>
      </c>
      <c r="H26" s="70"/>
      <c r="I26" s="70"/>
      <c r="J26" s="70"/>
      <c r="K26" s="70"/>
      <c r="L26" s="70"/>
      <c r="M26" s="70"/>
      <c r="N26" s="70"/>
      <c r="O26" s="70"/>
    </row>
    <row r="27" spans="1:15" x14ac:dyDescent="0.25">
      <c r="B27" s="75" t="s">
        <v>166</v>
      </c>
      <c r="D27" s="70">
        <v>45604968.539999999</v>
      </c>
      <c r="E27" s="70">
        <v>34866769.340000004</v>
      </c>
      <c r="F27" s="70">
        <v>6139253.3899999997</v>
      </c>
      <c r="G27" s="70">
        <v>6324306.6900000004</v>
      </c>
      <c r="H27" s="70"/>
      <c r="I27" s="70"/>
      <c r="J27" s="70"/>
      <c r="K27" s="70"/>
      <c r="L27" s="70"/>
      <c r="M27" s="70"/>
      <c r="N27" s="70"/>
      <c r="O27" s="70"/>
    </row>
    <row r="28" spans="1:15" x14ac:dyDescent="0.25">
      <c r="B28" s="75" t="s">
        <v>167</v>
      </c>
      <c r="D28" s="70"/>
      <c r="E28" s="70"/>
      <c r="F28" s="70"/>
      <c r="G28" s="70"/>
      <c r="H28" s="70"/>
      <c r="I28" s="70"/>
      <c r="J28" s="70"/>
      <c r="K28" s="70"/>
      <c r="L28" s="70"/>
      <c r="O28" s="70"/>
    </row>
    <row r="29" spans="1:15" ht="31.5" x14ac:dyDescent="0.25">
      <c r="B29" s="75" t="s">
        <v>168</v>
      </c>
      <c r="D29" s="70">
        <v>5021370.97</v>
      </c>
      <c r="E29" s="70">
        <v>6801131.8399999999</v>
      </c>
      <c r="F29" s="70">
        <v>5077592.6900000004</v>
      </c>
      <c r="G29" s="70">
        <v>2739858.43</v>
      </c>
      <c r="H29" s="70"/>
      <c r="I29" s="70"/>
      <c r="J29" s="70"/>
      <c r="K29" s="70"/>
      <c r="L29" s="70"/>
      <c r="M29" s="70"/>
    </row>
    <row r="30" spans="1:15" ht="31.5" x14ac:dyDescent="0.25">
      <c r="B30" s="75" t="s">
        <v>169</v>
      </c>
      <c r="D30" s="70">
        <v>8326213.75</v>
      </c>
      <c r="E30" s="70">
        <v>5327972.5999999996</v>
      </c>
      <c r="F30" s="70">
        <v>3925797.44</v>
      </c>
      <c r="G30" s="70">
        <v>3392039.99</v>
      </c>
      <c r="H30" s="70"/>
      <c r="I30" s="70"/>
      <c r="J30" s="70"/>
      <c r="K30" s="70"/>
      <c r="L30" s="70"/>
      <c r="M30" s="70"/>
      <c r="N30" s="70"/>
      <c r="O30" s="70"/>
    </row>
    <row r="31" spans="1:15" ht="31.5" x14ac:dyDescent="0.25">
      <c r="B31" s="75" t="s">
        <v>170</v>
      </c>
      <c r="D31" s="70">
        <v>24677146.210000001</v>
      </c>
      <c r="E31" s="70">
        <v>3799881</v>
      </c>
      <c r="F31" s="70">
        <v>4034443.8</v>
      </c>
      <c r="G31" s="70">
        <v>1184811.95</v>
      </c>
      <c r="H31" s="70"/>
      <c r="I31" s="70"/>
      <c r="K31" s="70"/>
    </row>
    <row r="32" spans="1:15" ht="31.5" x14ac:dyDescent="0.25">
      <c r="A32" s="75" t="s">
        <v>227</v>
      </c>
      <c r="D32" s="70">
        <v>241661886.34999999</v>
      </c>
      <c r="E32" s="70">
        <v>162249606.12</v>
      </c>
      <c r="F32" s="70">
        <v>131972592.2</v>
      </c>
      <c r="G32" s="70">
        <v>125647610.63</v>
      </c>
      <c r="H32" s="70"/>
      <c r="I32" s="70"/>
      <c r="J32" s="70"/>
      <c r="K32" s="70"/>
      <c r="L32" s="70"/>
      <c r="M32" s="70"/>
      <c r="N32" s="70"/>
      <c r="O32" s="70"/>
    </row>
    <row r="33" spans="1:15" x14ac:dyDescent="0.25">
      <c r="A33" s="75" t="s">
        <v>228</v>
      </c>
      <c r="D33" s="70">
        <v>2059923483</v>
      </c>
      <c r="E33" s="70">
        <v>1700511780.22</v>
      </c>
      <c r="F33" s="70">
        <v>824579737.41999996</v>
      </c>
      <c r="G33" s="70">
        <v>688825058.70000005</v>
      </c>
      <c r="H33" s="70"/>
      <c r="I33" s="70"/>
      <c r="J33" s="70"/>
      <c r="K33" s="70"/>
      <c r="L33" s="70"/>
      <c r="M33" s="70"/>
      <c r="N33" s="70"/>
      <c r="O33" s="70"/>
    </row>
    <row r="34" spans="1:15" s="78" customFormat="1" ht="31.5" x14ac:dyDescent="0.25">
      <c r="A34" s="77" t="s">
        <v>226</v>
      </c>
      <c r="B34" s="77"/>
      <c r="C34" s="77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1:15" s="73" customFormat="1" x14ac:dyDescent="0.25">
      <c r="A35" s="76"/>
      <c r="B35" s="76" t="s">
        <v>243</v>
      </c>
      <c r="C35" s="76"/>
      <c r="D35" s="80">
        <v>10008797.58</v>
      </c>
      <c r="E35" s="80"/>
      <c r="F35" s="80">
        <v>8000000</v>
      </c>
      <c r="G35" s="80"/>
      <c r="H35" s="80"/>
      <c r="I35" s="80"/>
      <c r="J35" s="80"/>
      <c r="K35" s="80"/>
      <c r="L35" s="80"/>
      <c r="M35" s="80"/>
      <c r="N35" s="80"/>
      <c r="O35" s="80"/>
    </row>
    <row r="36" spans="1:15" s="73" customFormat="1" x14ac:dyDescent="0.25">
      <c r="A36" s="76"/>
      <c r="B36" s="76" t="s">
        <v>433</v>
      </c>
      <c r="C36" s="76"/>
      <c r="D36" s="80">
        <v>75690819.700000003</v>
      </c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x14ac:dyDescent="0.25">
      <c r="B37" s="75" t="s">
        <v>171</v>
      </c>
      <c r="D37" s="70">
        <v>297097199.67000002</v>
      </c>
      <c r="E37" s="70">
        <v>326035838.57999998</v>
      </c>
      <c r="F37" s="70">
        <v>200290013.68000001</v>
      </c>
      <c r="G37" s="70">
        <v>141760779.25999999</v>
      </c>
      <c r="H37" s="70"/>
      <c r="I37" s="70"/>
      <c r="J37" s="70"/>
      <c r="K37" s="70"/>
      <c r="L37" s="70"/>
      <c r="M37" s="70"/>
      <c r="N37" s="70"/>
      <c r="O37" s="70"/>
    </row>
    <row r="38" spans="1:15" x14ac:dyDescent="0.25">
      <c r="B38" s="75" t="s">
        <v>172</v>
      </c>
      <c r="D38" s="70"/>
      <c r="E38" s="70">
        <v>14834899.449999999</v>
      </c>
      <c r="F38" s="70">
        <v>29855885.390000001</v>
      </c>
      <c r="G38" s="70">
        <v>9868789.0899999999</v>
      </c>
      <c r="H38" s="70"/>
      <c r="I38" s="70"/>
      <c r="J38" s="70"/>
      <c r="K38" s="70"/>
      <c r="L38" s="70"/>
      <c r="M38" s="70"/>
      <c r="N38" s="70"/>
      <c r="O38" s="70"/>
    </row>
    <row r="39" spans="1:15" x14ac:dyDescent="0.25">
      <c r="B39" s="75" t="s">
        <v>173</v>
      </c>
      <c r="D39" s="70">
        <v>12627145.67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1:15" ht="31.5" x14ac:dyDescent="0.25">
      <c r="B40" s="75" t="s">
        <v>174</v>
      </c>
      <c r="D40" s="70">
        <v>50575449.049999997</v>
      </c>
      <c r="E40" s="70">
        <v>44180449.390000001</v>
      </c>
      <c r="F40" s="70">
        <v>30520795.23</v>
      </c>
      <c r="G40" s="70">
        <v>23115414.469999999</v>
      </c>
      <c r="H40" s="70"/>
      <c r="I40" s="70"/>
      <c r="J40" s="70"/>
      <c r="K40" s="70"/>
      <c r="L40" s="70"/>
      <c r="M40" s="70"/>
      <c r="N40" s="70"/>
      <c r="O40" s="70"/>
    </row>
    <row r="41" spans="1:15" x14ac:dyDescent="0.25">
      <c r="B41" s="75" t="s">
        <v>175</v>
      </c>
      <c r="D41" s="70">
        <v>64514153.420000002</v>
      </c>
      <c r="E41" s="70">
        <v>53145571.5</v>
      </c>
      <c r="F41" s="70">
        <v>29321705.100000001</v>
      </c>
      <c r="G41" s="70">
        <v>22719760.170000002</v>
      </c>
      <c r="H41" s="70"/>
      <c r="I41" s="70"/>
      <c r="J41" s="70"/>
      <c r="K41" s="70"/>
      <c r="L41" s="70"/>
      <c r="M41" s="70"/>
      <c r="N41" s="70"/>
      <c r="O41" s="70"/>
    </row>
    <row r="42" spans="1:15" x14ac:dyDescent="0.25">
      <c r="B42" s="75" t="s">
        <v>239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31.5" x14ac:dyDescent="0.25">
      <c r="B43" s="75" t="s">
        <v>176</v>
      </c>
      <c r="D43" s="70">
        <v>24268279.18</v>
      </c>
      <c r="E43" s="70">
        <v>8179302.5800000001</v>
      </c>
      <c r="F43" s="70">
        <v>5702677.8499999996</v>
      </c>
      <c r="G43" s="70">
        <v>13533373.699999999</v>
      </c>
      <c r="H43" s="70"/>
      <c r="I43" s="70"/>
      <c r="J43" s="70"/>
      <c r="K43" s="70"/>
      <c r="L43" s="70"/>
      <c r="M43" s="70"/>
      <c r="N43" s="70"/>
      <c r="O43" s="70"/>
    </row>
    <row r="44" spans="1:15" x14ac:dyDescent="0.25">
      <c r="A44" s="113"/>
      <c r="B44" s="113" t="s">
        <v>409</v>
      </c>
      <c r="C44" s="113" t="s">
        <v>239</v>
      </c>
      <c r="D44" s="70"/>
      <c r="E44" s="70"/>
      <c r="F44" s="70">
        <v>83748.81</v>
      </c>
      <c r="G44" s="70">
        <v>124517.95</v>
      </c>
      <c r="H44" s="70"/>
      <c r="I44" s="70"/>
      <c r="J44" s="70"/>
      <c r="K44" s="70"/>
      <c r="L44" s="70"/>
      <c r="M44" s="70"/>
      <c r="N44" s="70"/>
      <c r="O44" s="70"/>
    </row>
    <row r="45" spans="1:15" x14ac:dyDescent="0.25">
      <c r="A45" s="116"/>
      <c r="B45" s="116"/>
      <c r="C45" s="116" t="s">
        <v>434</v>
      </c>
      <c r="D45" s="70">
        <v>20800</v>
      </c>
      <c r="E45" s="70">
        <v>20000</v>
      </c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47.25" x14ac:dyDescent="0.25">
      <c r="B46" s="75" t="s">
        <v>177</v>
      </c>
      <c r="D46" s="70">
        <v>50038864.170000002</v>
      </c>
      <c r="E46" s="70"/>
      <c r="F46" s="70"/>
      <c r="G46" s="70">
        <v>50000000</v>
      </c>
      <c r="H46" s="70"/>
      <c r="I46" s="70"/>
      <c r="J46" s="70"/>
      <c r="K46" s="70"/>
      <c r="L46" s="70"/>
      <c r="M46" s="70"/>
      <c r="N46" s="70"/>
      <c r="O46" s="70"/>
    </row>
    <row r="47" spans="1:15" ht="31.5" x14ac:dyDescent="0.25">
      <c r="B47" s="75" t="s">
        <v>178</v>
      </c>
      <c r="D47" s="70">
        <v>11336004.699999999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</row>
    <row r="48" spans="1:15" ht="31.5" x14ac:dyDescent="0.25">
      <c r="A48" s="75" t="s">
        <v>229</v>
      </c>
      <c r="D48" s="70">
        <v>596156713.13999999</v>
      </c>
      <c r="E48" s="70">
        <v>446376061.5</v>
      </c>
      <c r="F48" s="70">
        <v>303691077.25</v>
      </c>
      <c r="G48" s="70">
        <v>260998116.69</v>
      </c>
      <c r="H48" s="70"/>
      <c r="I48" s="70"/>
      <c r="J48" s="70"/>
      <c r="K48" s="70"/>
      <c r="L48" s="70"/>
      <c r="M48" s="70"/>
      <c r="N48" s="70"/>
      <c r="O48" s="70"/>
    </row>
    <row r="49" spans="1:15" s="78" customFormat="1" ht="31.5" x14ac:dyDescent="0.25">
      <c r="A49" s="77" t="s">
        <v>179</v>
      </c>
      <c r="B49" s="77"/>
      <c r="C49" s="77"/>
      <c r="D49" s="79"/>
      <c r="E49" s="79"/>
      <c r="F49" s="79"/>
      <c r="G49" s="79"/>
    </row>
    <row r="50" spans="1:15" x14ac:dyDescent="0.25">
      <c r="B50" s="75" t="s">
        <v>180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1" spans="1:15" ht="31.5" x14ac:dyDescent="0.25">
      <c r="A51" s="116"/>
      <c r="B51" s="116" t="s">
        <v>435</v>
      </c>
      <c r="C51" s="116"/>
      <c r="D51" s="70">
        <v>1454315.15</v>
      </c>
      <c r="E51" s="70">
        <v>1462095.66</v>
      </c>
      <c r="F51" s="70">
        <v>1511281.39</v>
      </c>
      <c r="G51" s="70">
        <v>1602001.88</v>
      </c>
      <c r="H51" s="70"/>
      <c r="I51" s="70"/>
      <c r="J51" s="70"/>
      <c r="K51" s="70"/>
      <c r="L51" s="70"/>
      <c r="M51" s="70"/>
      <c r="N51" s="70"/>
      <c r="O51" s="70"/>
    </row>
    <row r="52" spans="1:15" x14ac:dyDescent="0.25">
      <c r="B52" s="75" t="s">
        <v>230</v>
      </c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</row>
    <row r="53" spans="1:15" x14ac:dyDescent="0.25">
      <c r="B53" s="75" t="s">
        <v>231</v>
      </c>
      <c r="D53" s="70">
        <v>3345337.79</v>
      </c>
      <c r="E53" s="70">
        <v>4392104.53</v>
      </c>
      <c r="F53" s="70">
        <v>5402093.3300000001</v>
      </c>
      <c r="G53" s="70">
        <v>5576016.6699999999</v>
      </c>
      <c r="H53" s="70"/>
      <c r="I53" s="70"/>
      <c r="J53" s="70"/>
      <c r="K53" s="70"/>
      <c r="L53" s="70"/>
      <c r="O53" s="70"/>
    </row>
    <row r="54" spans="1:15" ht="31.5" x14ac:dyDescent="0.25">
      <c r="B54" s="75" t="s">
        <v>232</v>
      </c>
      <c r="D54" s="70">
        <v>3020098.87</v>
      </c>
      <c r="E54" s="70">
        <v>2292190.14</v>
      </c>
      <c r="F54" s="70">
        <v>1064787.75</v>
      </c>
      <c r="G54" s="70"/>
      <c r="H54" s="70"/>
    </row>
    <row r="55" spans="1:15" ht="31.5" x14ac:dyDescent="0.25">
      <c r="A55" s="116"/>
      <c r="B55" s="116" t="s">
        <v>436</v>
      </c>
      <c r="C55" s="116"/>
      <c r="D55" s="70">
        <v>1888010.35</v>
      </c>
      <c r="E55" s="70"/>
      <c r="F55" s="70"/>
      <c r="G55" s="70"/>
      <c r="H55" s="70"/>
    </row>
    <row r="56" spans="1:15" ht="31.5" x14ac:dyDescent="0.25">
      <c r="A56" s="75" t="s">
        <v>181</v>
      </c>
      <c r="D56" s="70">
        <v>9707762.1600000001</v>
      </c>
      <c r="E56" s="70">
        <v>8146390.3300000001</v>
      </c>
      <c r="F56" s="70">
        <v>7978162.4699999997</v>
      </c>
      <c r="G56" s="70">
        <v>7178018.5499999998</v>
      </c>
      <c r="H56" s="70"/>
      <c r="I56" s="70"/>
      <c r="J56" s="70"/>
      <c r="K56" s="70"/>
      <c r="L56" s="70"/>
      <c r="M56" s="70"/>
      <c r="N56" s="70"/>
      <c r="O56" s="70"/>
    </row>
    <row r="57" spans="1:15" x14ac:dyDescent="0.25">
      <c r="A57" s="75" t="s">
        <v>182</v>
      </c>
      <c r="D57" s="70">
        <v>605864475.29999995</v>
      </c>
      <c r="E57" s="70">
        <v>454522451.82999998</v>
      </c>
      <c r="F57" s="70">
        <v>311669239.72000003</v>
      </c>
      <c r="G57" s="70">
        <v>268176135.24000001</v>
      </c>
      <c r="H57" s="70"/>
      <c r="I57" s="70"/>
      <c r="J57" s="70"/>
      <c r="K57" s="70"/>
      <c r="L57" s="70"/>
      <c r="M57" s="70"/>
      <c r="N57" s="70"/>
      <c r="O57" s="70"/>
    </row>
    <row r="58" spans="1:15" s="78" customFormat="1" ht="31.5" x14ac:dyDescent="0.25">
      <c r="A58" s="77" t="s">
        <v>183</v>
      </c>
      <c r="B58" s="77"/>
      <c r="C58" s="77"/>
      <c r="D58" s="79"/>
      <c r="E58" s="79"/>
    </row>
    <row r="59" spans="1:15" x14ac:dyDescent="0.25">
      <c r="B59" s="75" t="s">
        <v>184</v>
      </c>
      <c r="D59" s="70">
        <v>203242000</v>
      </c>
      <c r="E59" s="70">
        <v>156340000</v>
      </c>
      <c r="F59" s="70">
        <v>117250000</v>
      </c>
      <c r="G59" s="70">
        <v>117250000</v>
      </c>
      <c r="H59" s="70"/>
      <c r="I59" s="70"/>
      <c r="J59" s="70"/>
      <c r="K59" s="70"/>
      <c r="L59" s="70"/>
      <c r="M59" s="70"/>
      <c r="N59" s="70"/>
      <c r="O59" s="70"/>
    </row>
    <row r="60" spans="1:15" x14ac:dyDescent="0.25">
      <c r="B60" s="75" t="s">
        <v>185</v>
      </c>
      <c r="D60" s="70">
        <v>510683472.52999997</v>
      </c>
      <c r="E60" s="70">
        <v>557585472.52999997</v>
      </c>
      <c r="F60" s="70"/>
      <c r="G60" s="70"/>
      <c r="H60" s="70"/>
      <c r="I60" s="70"/>
      <c r="J60" s="70"/>
      <c r="K60" s="70"/>
      <c r="L60" s="70"/>
      <c r="M60" s="70"/>
      <c r="N60" s="70"/>
      <c r="O60" s="70"/>
    </row>
    <row r="61" spans="1:15" ht="31.5" x14ac:dyDescent="0.25">
      <c r="B61" s="75" t="s">
        <v>240</v>
      </c>
      <c r="D61" s="70">
        <v>19988015.16</v>
      </c>
      <c r="E61" s="70"/>
      <c r="F61" s="70"/>
      <c r="G61" s="70"/>
      <c r="H61" s="70"/>
      <c r="I61" s="70"/>
      <c r="J61" s="70"/>
    </row>
    <row r="62" spans="1:15" ht="31.5" x14ac:dyDescent="0.25">
      <c r="B62" s="75" t="s">
        <v>241</v>
      </c>
      <c r="D62" s="70"/>
      <c r="E62" s="70"/>
      <c r="F62" s="70"/>
      <c r="G62" s="70"/>
      <c r="H62" s="70"/>
    </row>
    <row r="63" spans="1:15" x14ac:dyDescent="0.25">
      <c r="A63" s="116"/>
      <c r="B63" s="116" t="s">
        <v>437</v>
      </c>
      <c r="C63" s="116"/>
      <c r="D63" s="70">
        <v>19882415.030000001</v>
      </c>
      <c r="E63" s="70">
        <v>17618215</v>
      </c>
      <c r="F63" s="70">
        <v>15155802.73</v>
      </c>
      <c r="G63" s="70">
        <v>13067736.630000001</v>
      </c>
      <c r="H63" s="70"/>
    </row>
    <row r="64" spans="1:15" x14ac:dyDescent="0.25">
      <c r="B64" s="75" t="s">
        <v>186</v>
      </c>
      <c r="D64" s="70">
        <v>101621000</v>
      </c>
      <c r="E64" s="70">
        <v>78170000</v>
      </c>
      <c r="F64" s="70">
        <v>62101297</v>
      </c>
      <c r="G64" s="70">
        <v>48369056.460000001</v>
      </c>
      <c r="H64" s="70"/>
      <c r="I64" s="70"/>
      <c r="J64" s="70"/>
      <c r="K64" s="70"/>
      <c r="L64" s="70"/>
      <c r="M64" s="70"/>
      <c r="N64" s="70"/>
      <c r="O64" s="70"/>
    </row>
    <row r="65" spans="1:15" ht="31.5" x14ac:dyDescent="0.25">
      <c r="B65" s="75" t="s">
        <v>187</v>
      </c>
      <c r="D65" s="70">
        <v>637192236.10000002</v>
      </c>
      <c r="E65" s="70">
        <v>434454234.25999999</v>
      </c>
      <c r="F65" s="70">
        <v>316396251.55000001</v>
      </c>
      <c r="G65" s="70">
        <v>239818550.09</v>
      </c>
      <c r="H65" s="70"/>
      <c r="I65" s="70"/>
      <c r="J65" s="70"/>
      <c r="K65" s="70"/>
      <c r="L65" s="70"/>
      <c r="M65" s="70"/>
      <c r="N65" s="70"/>
      <c r="O65" s="70"/>
    </row>
    <row r="66" spans="1:15" ht="63" x14ac:dyDescent="0.25">
      <c r="B66" s="75" t="s">
        <v>188</v>
      </c>
      <c r="D66" s="70">
        <v>1452633108.5</v>
      </c>
      <c r="E66" s="70">
        <v>1244167921.79</v>
      </c>
      <c r="F66" s="70">
        <v>510903351.27999997</v>
      </c>
      <c r="G66" s="70">
        <v>418505343.18000001</v>
      </c>
      <c r="H66" s="70"/>
      <c r="I66" s="70"/>
      <c r="J66" s="70"/>
      <c r="K66" s="70"/>
      <c r="L66" s="70"/>
      <c r="M66" s="70"/>
      <c r="N66" s="70"/>
      <c r="O66" s="70"/>
    </row>
    <row r="67" spans="1:15" ht="31.5" x14ac:dyDescent="0.25">
      <c r="B67" s="75" t="s">
        <v>189</v>
      </c>
      <c r="D67" s="70">
        <v>1425899.2</v>
      </c>
      <c r="E67" s="70">
        <v>1821406.6</v>
      </c>
      <c r="F67" s="70">
        <v>2007146.42</v>
      </c>
      <c r="G67" s="70">
        <v>2143580.2799999998</v>
      </c>
      <c r="H67" s="70"/>
      <c r="I67" s="70"/>
      <c r="J67" s="70"/>
      <c r="K67" s="70"/>
      <c r="L67" s="70"/>
    </row>
    <row r="68" spans="1:15" ht="31.5" x14ac:dyDescent="0.25">
      <c r="A68" s="75" t="s">
        <v>190</v>
      </c>
      <c r="D68" s="70">
        <v>1454059007.7</v>
      </c>
      <c r="E68" s="70">
        <v>1245989328.3900001</v>
      </c>
      <c r="F68" s="70">
        <v>512910497.69999999</v>
      </c>
      <c r="G68" s="70">
        <v>420648923.45999998</v>
      </c>
      <c r="H68" s="70"/>
      <c r="I68" s="70"/>
      <c r="J68" s="70"/>
      <c r="K68" s="70"/>
      <c r="L68" s="70"/>
      <c r="M68" s="70"/>
      <c r="N68" s="70"/>
      <c r="O68" s="70"/>
    </row>
    <row r="69" spans="1:15" ht="47.25" x14ac:dyDescent="0.25">
      <c r="A69" s="75" t="s">
        <v>191</v>
      </c>
      <c r="D69" s="70">
        <v>2059923483</v>
      </c>
      <c r="E69" s="70">
        <v>1700511780.22</v>
      </c>
      <c r="F69" s="70">
        <v>824579737.41999996</v>
      </c>
      <c r="G69" s="70">
        <v>688825058.70000005</v>
      </c>
      <c r="H69" s="70"/>
      <c r="I69" s="70"/>
      <c r="J69" s="70"/>
      <c r="K69" s="70"/>
      <c r="L69" s="70"/>
      <c r="M69" s="70"/>
      <c r="N69" s="70"/>
      <c r="O69" s="70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topLeftCell="A4" workbookViewId="0">
      <selection activeCell="E64" sqref="E64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1" customFormat="1" ht="31.5" x14ac:dyDescent="0.25">
      <c r="A2" s="86" t="s">
        <v>141</v>
      </c>
      <c r="B2" s="86" t="s">
        <v>101</v>
      </c>
      <c r="C2" s="86"/>
      <c r="D2" s="87">
        <v>1590152353.4100001</v>
      </c>
      <c r="E2" s="87">
        <v>1371124665.8199999</v>
      </c>
      <c r="F2" s="87">
        <v>1029312558.64</v>
      </c>
      <c r="G2" s="87">
        <v>814176166.77999997</v>
      </c>
      <c r="H2" s="87"/>
      <c r="I2" s="87"/>
      <c r="J2" s="87"/>
      <c r="K2" s="87"/>
      <c r="L2" s="87"/>
      <c r="M2" s="87"/>
      <c r="N2" s="87"/>
      <c r="O2" s="87"/>
    </row>
    <row r="3" spans="1:15" x14ac:dyDescent="0.25">
      <c r="B3" s="75" t="s">
        <v>102</v>
      </c>
      <c r="D3" s="70">
        <v>1590152353.4100001</v>
      </c>
      <c r="E3" s="70">
        <v>1371124665.8199999</v>
      </c>
      <c r="F3" s="70">
        <v>1029312558.64</v>
      </c>
      <c r="G3" s="70">
        <v>814176166.77999997</v>
      </c>
      <c r="H3" s="70"/>
      <c r="I3" s="70"/>
      <c r="J3" s="70"/>
      <c r="K3" s="70"/>
      <c r="L3" s="70"/>
      <c r="M3" s="70"/>
      <c r="N3" s="70"/>
      <c r="O3" s="70"/>
    </row>
    <row r="4" spans="1:15" x14ac:dyDescent="0.25">
      <c r="B4" s="75" t="s">
        <v>103</v>
      </c>
    </row>
    <row r="5" spans="1:15" x14ac:dyDescent="0.25">
      <c r="B5" s="75" t="s">
        <v>104</v>
      </c>
      <c r="H5" s="70"/>
      <c r="I5" s="70"/>
    </row>
    <row r="6" spans="1:15" s="71" customFormat="1" ht="31.5" x14ac:dyDescent="0.25">
      <c r="A6" s="86" t="s">
        <v>142</v>
      </c>
      <c r="B6" s="86"/>
      <c r="C6" s="86"/>
      <c r="D6" s="87">
        <v>1314715293.2</v>
      </c>
      <c r="E6" s="87">
        <v>1160981678.71</v>
      </c>
      <c r="F6" s="87">
        <v>896217684.44000006</v>
      </c>
      <c r="G6" s="87">
        <v>689381092.47000003</v>
      </c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75" t="s">
        <v>144</v>
      </c>
      <c r="B7" s="75" t="s">
        <v>105</v>
      </c>
      <c r="D7" s="70">
        <v>1043951458.34</v>
      </c>
      <c r="E7" s="70">
        <v>886913779.65999997</v>
      </c>
      <c r="F7" s="70">
        <v>688081887.80999994</v>
      </c>
      <c r="G7" s="70">
        <v>529954028.54000002</v>
      </c>
      <c r="H7" s="70"/>
      <c r="I7" s="70"/>
      <c r="J7" s="70"/>
      <c r="K7" s="70"/>
      <c r="L7" s="70"/>
      <c r="M7" s="70"/>
      <c r="N7" s="70"/>
      <c r="O7" s="70"/>
    </row>
    <row r="8" spans="1:15" x14ac:dyDescent="0.25">
      <c r="B8" s="75" t="s">
        <v>106</v>
      </c>
      <c r="D8" s="70">
        <v>10790892.210000001</v>
      </c>
      <c r="E8" s="70">
        <v>9330880.4100000001</v>
      </c>
      <c r="F8" s="70">
        <v>8556355.8100000005</v>
      </c>
      <c r="G8" s="70">
        <v>7291908.7300000004</v>
      </c>
      <c r="H8" s="70"/>
      <c r="I8" s="70"/>
      <c r="J8" s="70"/>
      <c r="K8" s="70"/>
      <c r="L8" s="70"/>
      <c r="M8" s="70"/>
      <c r="N8" s="70"/>
      <c r="O8" s="70"/>
    </row>
    <row r="9" spans="1:15" x14ac:dyDescent="0.25">
      <c r="B9" s="75" t="s">
        <v>107</v>
      </c>
      <c r="D9" s="70">
        <v>140567697.34999999</v>
      </c>
      <c r="E9" s="70">
        <v>171827239.22</v>
      </c>
      <c r="F9" s="70">
        <v>115956351.45999999</v>
      </c>
      <c r="G9" s="70">
        <v>75745713.079999998</v>
      </c>
      <c r="H9" s="70"/>
      <c r="I9" s="70"/>
      <c r="J9" s="70"/>
      <c r="K9" s="70"/>
      <c r="L9" s="70"/>
      <c r="M9" s="70"/>
      <c r="N9" s="70"/>
      <c r="O9" s="70"/>
    </row>
    <row r="10" spans="1:15" x14ac:dyDescent="0.25">
      <c r="B10" s="75" t="s">
        <v>108</v>
      </c>
      <c r="D10" s="70">
        <v>59426230.850000001</v>
      </c>
      <c r="E10" s="70">
        <v>53538540.07</v>
      </c>
      <c r="F10" s="70">
        <v>47642041.530000001</v>
      </c>
      <c r="G10" s="70">
        <v>43628850.130000003</v>
      </c>
      <c r="H10" s="70"/>
      <c r="I10" s="70"/>
      <c r="J10" s="70"/>
      <c r="K10" s="70"/>
      <c r="L10" s="70"/>
      <c r="M10" s="70"/>
      <c r="N10" s="70"/>
      <c r="O10" s="70"/>
    </row>
    <row r="11" spans="1:15" x14ac:dyDescent="0.25">
      <c r="B11" s="75" t="s">
        <v>109</v>
      </c>
      <c r="D11" s="70">
        <v>56882265.18</v>
      </c>
      <c r="E11" s="70">
        <v>41960236.619999997</v>
      </c>
      <c r="F11" s="70">
        <v>31612532.390000001</v>
      </c>
      <c r="G11" s="70">
        <v>23079552.120000001</v>
      </c>
    </row>
    <row r="12" spans="1:15" x14ac:dyDescent="0.25">
      <c r="B12" s="75" t="s">
        <v>110</v>
      </c>
      <c r="D12" s="70">
        <v>3096749.27</v>
      </c>
      <c r="E12" s="70">
        <v>-2588997.27</v>
      </c>
      <c r="F12" s="70">
        <v>-1331518.54</v>
      </c>
      <c r="G12" s="70">
        <v>7388024.0899999999</v>
      </c>
      <c r="H12" s="70"/>
      <c r="I12" s="70"/>
      <c r="J12" s="70"/>
      <c r="K12" s="70"/>
      <c r="L12" s="70"/>
      <c r="M12" s="70"/>
      <c r="N12" s="70"/>
      <c r="O12" s="70"/>
    </row>
    <row r="13" spans="1:15" x14ac:dyDescent="0.25">
      <c r="C13" s="75" t="s">
        <v>111</v>
      </c>
      <c r="D13" s="70">
        <v>946306.92</v>
      </c>
      <c r="E13" s="70">
        <v>31038.44</v>
      </c>
      <c r="F13" s="70">
        <v>1708658.53</v>
      </c>
      <c r="G13" s="70">
        <v>2858952.12</v>
      </c>
    </row>
    <row r="14" spans="1:15" x14ac:dyDescent="0.25">
      <c r="C14" s="75" t="s">
        <v>94</v>
      </c>
      <c r="D14" s="70">
        <v>2080430.21</v>
      </c>
      <c r="E14" s="70">
        <v>1778716.64</v>
      </c>
      <c r="F14" s="70">
        <v>470082.23</v>
      </c>
      <c r="G14" s="70">
        <v>436193.49</v>
      </c>
    </row>
    <row r="15" spans="1:15" x14ac:dyDescent="0.25">
      <c r="B15" s="75" t="s">
        <v>151</v>
      </c>
      <c r="D15" s="70">
        <f>D9+D10+D12</f>
        <v>203090677.47</v>
      </c>
      <c r="E15" s="70">
        <f t="shared" ref="E15:M15" si="1">E9+E10+E12</f>
        <v>222776782.01999998</v>
      </c>
      <c r="F15" s="70">
        <f t="shared" si="1"/>
        <v>162266874.45000002</v>
      </c>
      <c r="G15" s="70">
        <f t="shared" si="1"/>
        <v>126762587.30000001</v>
      </c>
      <c r="H15" s="70">
        <f t="shared" si="1"/>
        <v>0</v>
      </c>
      <c r="I15" s="70">
        <f t="shared" si="1"/>
        <v>0</v>
      </c>
      <c r="J15" s="70">
        <f t="shared" si="1"/>
        <v>0</v>
      </c>
      <c r="K15" s="70">
        <f t="shared" si="1"/>
        <v>0</v>
      </c>
      <c r="L15" s="70">
        <f t="shared" si="1"/>
        <v>0</v>
      </c>
      <c r="M15" s="70">
        <f t="shared" si="1"/>
        <v>0</v>
      </c>
      <c r="N15" s="70">
        <f t="shared" ref="N15" si="2">N9+N10+N12</f>
        <v>0</v>
      </c>
      <c r="O15" s="70">
        <f>O9+O10+O12</f>
        <v>0</v>
      </c>
    </row>
    <row r="16" spans="1:15" x14ac:dyDescent="0.25">
      <c r="A16" s="75" t="s">
        <v>143</v>
      </c>
      <c r="B16" s="75" t="s">
        <v>112</v>
      </c>
      <c r="D16" s="70">
        <v>37135318.799999997</v>
      </c>
      <c r="E16" s="70">
        <v>30256609.75</v>
      </c>
      <c r="F16" s="70">
        <v>16496569.99</v>
      </c>
      <c r="G16" s="70">
        <v>10571927</v>
      </c>
    </row>
    <row r="17" spans="1:15" x14ac:dyDescent="0.25">
      <c r="B17" s="75" t="s">
        <v>113</v>
      </c>
      <c r="D17" s="70">
        <v>13117406.449999999</v>
      </c>
      <c r="E17" s="70">
        <v>9685932.2200000007</v>
      </c>
      <c r="F17" s="70">
        <v>701495.27</v>
      </c>
      <c r="G17" s="70">
        <v>-68144.95</v>
      </c>
      <c r="H17" s="70"/>
      <c r="I17" s="70"/>
      <c r="J17" s="70"/>
      <c r="K17" s="70"/>
      <c r="L17" s="70"/>
      <c r="O17" s="70"/>
    </row>
    <row r="18" spans="1:15" ht="47.25" x14ac:dyDescent="0.25">
      <c r="C18" s="75" t="s">
        <v>146</v>
      </c>
      <c r="D18" s="70">
        <v>128858.05</v>
      </c>
      <c r="E18" s="70">
        <v>123302.44</v>
      </c>
      <c r="F18" s="70">
        <v>575754.29</v>
      </c>
      <c r="G18" s="70">
        <v>-1159118.05</v>
      </c>
      <c r="H18" s="70"/>
      <c r="I18" s="70"/>
      <c r="J18" s="70"/>
    </row>
    <row r="19" spans="1:15" x14ac:dyDescent="0.25">
      <c r="B19" s="75" t="s">
        <v>114</v>
      </c>
      <c r="D19" s="70">
        <v>1888315.42</v>
      </c>
      <c r="E19" s="70"/>
      <c r="F19" s="70"/>
      <c r="G19" s="70"/>
      <c r="H19" s="70"/>
    </row>
    <row r="20" spans="1:15" x14ac:dyDescent="0.25">
      <c r="B20" s="75" t="s">
        <v>98</v>
      </c>
      <c r="D20" s="70">
        <v>-19887934.27</v>
      </c>
      <c r="E20" s="70">
        <v>-13688618.029999999</v>
      </c>
    </row>
    <row r="21" spans="1:15" x14ac:dyDescent="0.25">
      <c r="B21" s="75" t="s">
        <v>115</v>
      </c>
      <c r="D21" s="70">
        <v>-2099790.42</v>
      </c>
      <c r="E21" s="70">
        <v>-485962.17</v>
      </c>
      <c r="F21" s="70">
        <v>5700033.9800000004</v>
      </c>
      <c r="G21" s="70">
        <v>2293015.7799999998</v>
      </c>
      <c r="H21" s="70"/>
      <c r="I21" s="70"/>
      <c r="J21" s="70"/>
      <c r="K21" s="70"/>
      <c r="L21" s="70"/>
      <c r="M21" s="70"/>
      <c r="N21" s="70"/>
      <c r="O21" s="70"/>
    </row>
    <row r="22" spans="1:15" x14ac:dyDescent="0.25">
      <c r="B22" s="75" t="s">
        <v>116</v>
      </c>
      <c r="D22" s="70">
        <v>-15255.4</v>
      </c>
      <c r="E22" s="70">
        <v>-9046.7199999999993</v>
      </c>
      <c r="F22" s="70">
        <v>-154226.04</v>
      </c>
      <c r="G22" s="70">
        <v>-42759.82</v>
      </c>
    </row>
    <row r="23" spans="1:15" s="71" customFormat="1" ht="31.5" x14ac:dyDescent="0.25">
      <c r="A23" s="86" t="s">
        <v>117</v>
      </c>
      <c r="B23" s="86"/>
      <c r="C23" s="86"/>
      <c r="D23" s="87">
        <v>305575120.79000002</v>
      </c>
      <c r="E23" s="87">
        <v>235901902.16</v>
      </c>
      <c r="F23" s="87">
        <v>150138713.41999999</v>
      </c>
      <c r="G23" s="87">
        <v>135256096.53999999</v>
      </c>
      <c r="H23" s="87"/>
      <c r="I23" s="87"/>
      <c r="J23" s="87"/>
      <c r="K23" s="87"/>
      <c r="L23" s="87"/>
      <c r="M23" s="87"/>
      <c r="N23" s="87"/>
      <c r="O23" s="87"/>
    </row>
    <row r="24" spans="1:15" x14ac:dyDescent="0.25">
      <c r="B24" s="75" t="s">
        <v>118</v>
      </c>
      <c r="D24" s="70">
        <v>11304244.039999999</v>
      </c>
      <c r="E24" s="70">
        <v>10577579.34</v>
      </c>
      <c r="F24" s="70">
        <v>9705860.3000000007</v>
      </c>
      <c r="G24" s="70">
        <v>9568651.2699999996</v>
      </c>
      <c r="H24" s="70"/>
      <c r="I24" s="70"/>
      <c r="J24" s="70"/>
      <c r="K24" s="70"/>
      <c r="L24" s="70"/>
      <c r="M24" s="70"/>
      <c r="N24" s="70"/>
      <c r="O24" s="70"/>
    </row>
    <row r="25" spans="1:15" ht="31.5" x14ac:dyDescent="0.25">
      <c r="C25" s="75" t="s">
        <v>147</v>
      </c>
      <c r="D25" s="70"/>
      <c r="E25" s="70"/>
      <c r="F25" s="70"/>
      <c r="H25" s="70"/>
      <c r="I25" s="70"/>
      <c r="J25" s="70"/>
      <c r="K25" s="70"/>
    </row>
    <row r="26" spans="1:15" x14ac:dyDescent="0.25">
      <c r="B26" s="75" t="s">
        <v>119</v>
      </c>
      <c r="D26" s="70">
        <v>1457825.91</v>
      </c>
      <c r="E26" s="70">
        <v>253772.67</v>
      </c>
      <c r="F26" s="70">
        <v>292713.55</v>
      </c>
      <c r="G26" s="70">
        <v>899596.88</v>
      </c>
      <c r="H26" s="70"/>
      <c r="I26" s="70"/>
      <c r="J26" s="70"/>
      <c r="K26" s="70"/>
      <c r="L26" s="70"/>
      <c r="M26" s="70"/>
      <c r="N26" s="70"/>
      <c r="O26" s="70"/>
    </row>
    <row r="27" spans="1:15" ht="31.5" x14ac:dyDescent="0.25">
      <c r="C27" s="75" t="s">
        <v>148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</row>
    <row r="28" spans="1:15" s="71" customFormat="1" ht="31.5" x14ac:dyDescent="0.25">
      <c r="A28" s="86" t="s">
        <v>120</v>
      </c>
      <c r="B28" s="86"/>
      <c r="C28" s="86"/>
      <c r="D28" s="87">
        <v>315421538.92000002</v>
      </c>
      <c r="E28" s="87">
        <v>246225708.83000001</v>
      </c>
      <c r="F28" s="87">
        <v>159551860.16999999</v>
      </c>
      <c r="G28" s="87">
        <v>143925150.93000001</v>
      </c>
      <c r="H28" s="87"/>
      <c r="I28" s="87"/>
      <c r="J28" s="87"/>
      <c r="K28" s="87"/>
      <c r="L28" s="87"/>
      <c r="M28" s="87"/>
      <c r="N28" s="87"/>
      <c r="O28" s="87"/>
    </row>
    <row r="29" spans="1:15" x14ac:dyDescent="0.25">
      <c r="B29" s="75" t="s">
        <v>121</v>
      </c>
      <c r="D29" s="70">
        <v>42726044.479999997</v>
      </c>
      <c r="E29" s="70">
        <v>33896362.939999998</v>
      </c>
      <c r="F29" s="70">
        <v>22064717.93</v>
      </c>
      <c r="G29" s="70">
        <v>22269148.629999999</v>
      </c>
      <c r="H29" s="70"/>
      <c r="I29" s="70"/>
      <c r="J29" s="70"/>
      <c r="K29" s="70"/>
      <c r="L29" s="70"/>
      <c r="M29" s="70"/>
      <c r="N29" s="70"/>
      <c r="O29" s="70"/>
    </row>
    <row r="30" spans="1:15" s="71" customFormat="1" x14ac:dyDescent="0.25">
      <c r="A30" s="86" t="s">
        <v>122</v>
      </c>
      <c r="B30" s="86"/>
      <c r="C30" s="86"/>
      <c r="D30" s="87">
        <v>272695494.44</v>
      </c>
      <c r="E30" s="87">
        <v>212329345.88999999</v>
      </c>
      <c r="F30" s="87">
        <v>137487142.24000001</v>
      </c>
      <c r="G30" s="87">
        <v>121656002.3</v>
      </c>
      <c r="H30" s="87"/>
      <c r="I30" s="87"/>
      <c r="J30" s="87"/>
      <c r="K30" s="87"/>
      <c r="L30" s="87"/>
      <c r="M30" s="87"/>
      <c r="N30" s="87"/>
      <c r="O30" s="87"/>
    </row>
    <row r="31" spans="1:15" ht="31.5" x14ac:dyDescent="0.25">
      <c r="B31" s="75" t="s">
        <v>123</v>
      </c>
      <c r="C31" s="75" t="s">
        <v>124</v>
      </c>
      <c r="D31" s="70">
        <v>272695494.44</v>
      </c>
      <c r="E31" s="70">
        <v>212329345.88999999</v>
      </c>
      <c r="F31" s="70">
        <v>137487142.24000001</v>
      </c>
      <c r="G31" s="70">
        <v>121656002.3</v>
      </c>
      <c r="H31" s="70"/>
      <c r="I31" s="70"/>
      <c r="J31" s="70"/>
    </row>
    <row r="32" spans="1:15" ht="31.5" x14ac:dyDescent="0.25">
      <c r="B32" s="75" t="s">
        <v>125</v>
      </c>
      <c r="C32" s="75" t="s">
        <v>126</v>
      </c>
      <c r="D32" s="70">
        <v>273091001.83999997</v>
      </c>
      <c r="E32" s="70">
        <v>212296685.71000001</v>
      </c>
      <c r="F32" s="70">
        <v>137209942</v>
      </c>
      <c r="G32" s="70">
        <v>121358212.61</v>
      </c>
      <c r="H32" s="70"/>
      <c r="I32" s="70"/>
      <c r="J32" s="70"/>
      <c r="K32" s="70"/>
      <c r="L32" s="70"/>
      <c r="M32" s="70"/>
      <c r="N32" s="70"/>
      <c r="O32" s="70"/>
    </row>
    <row r="33" spans="1:15" x14ac:dyDescent="0.25">
      <c r="C33" s="75" t="s">
        <v>149</v>
      </c>
      <c r="D33" s="70">
        <v>-395507.4</v>
      </c>
      <c r="E33" s="70">
        <v>32660.18</v>
      </c>
      <c r="F33" s="70">
        <v>277200.24</v>
      </c>
      <c r="G33" s="70">
        <v>297789.69</v>
      </c>
      <c r="H33" s="70"/>
      <c r="I33" s="70"/>
      <c r="J33" s="70"/>
      <c r="K33" s="70"/>
      <c r="L33" s="70"/>
      <c r="O33" s="70"/>
    </row>
    <row r="34" spans="1:15" s="71" customFormat="1" ht="47.25" x14ac:dyDescent="0.25">
      <c r="A34" s="86" t="s">
        <v>127</v>
      </c>
      <c r="B34" s="86"/>
      <c r="C34" s="86"/>
      <c r="D34" s="87"/>
      <c r="E34" s="87"/>
      <c r="F34" s="87"/>
      <c r="G34" s="87"/>
      <c r="H34" s="87"/>
    </row>
    <row r="35" spans="1:15" ht="47.25" x14ac:dyDescent="0.25">
      <c r="B35" s="75" t="s">
        <v>128</v>
      </c>
      <c r="D35" s="70"/>
      <c r="E35" s="70"/>
      <c r="F35" s="70"/>
      <c r="G35" s="70"/>
      <c r="H35" s="70"/>
    </row>
    <row r="36" spans="1:15" ht="47.25" x14ac:dyDescent="0.25">
      <c r="B36" s="75" t="s">
        <v>129</v>
      </c>
      <c r="D36" s="70"/>
      <c r="E36" s="70"/>
    </row>
    <row r="37" spans="1:15" ht="47.25" x14ac:dyDescent="0.25">
      <c r="C37" s="75" t="s">
        <v>130</v>
      </c>
      <c r="D37" s="70"/>
      <c r="E37" s="70"/>
    </row>
    <row r="38" spans="1:15" ht="47.25" x14ac:dyDescent="0.25">
      <c r="C38" s="75" t="s">
        <v>131</v>
      </c>
      <c r="D38" s="70"/>
      <c r="E38" s="70"/>
    </row>
    <row r="39" spans="1:15" ht="47.25" x14ac:dyDescent="0.25">
      <c r="B39" s="75" t="s">
        <v>132</v>
      </c>
      <c r="D39" s="70"/>
      <c r="E39" s="70"/>
      <c r="F39" s="70"/>
      <c r="G39" s="70"/>
      <c r="H39" s="70"/>
    </row>
    <row r="40" spans="1:15" ht="31.5" x14ac:dyDescent="0.25">
      <c r="C40" s="75" t="s">
        <v>133</v>
      </c>
      <c r="D40" s="70"/>
      <c r="E40" s="70"/>
      <c r="F40" s="70"/>
      <c r="G40" s="70"/>
      <c r="H40" s="70"/>
    </row>
    <row r="41" spans="1:15" x14ac:dyDescent="0.25">
      <c r="C41" s="75" t="s">
        <v>145</v>
      </c>
      <c r="D41" s="70"/>
      <c r="E41" s="70"/>
      <c r="F41" s="70"/>
      <c r="G41" s="70"/>
    </row>
    <row r="42" spans="1:15" ht="47.25" x14ac:dyDescent="0.25">
      <c r="B42" s="75" t="s">
        <v>134</v>
      </c>
      <c r="D42" s="70"/>
      <c r="E42" s="70"/>
    </row>
    <row r="43" spans="1:15" s="71" customFormat="1" ht="31.5" x14ac:dyDescent="0.25">
      <c r="A43" s="86" t="s">
        <v>135</v>
      </c>
      <c r="B43" s="86"/>
      <c r="C43" s="86"/>
      <c r="D43" s="87">
        <v>272695494.44</v>
      </c>
      <c r="E43" s="87">
        <v>212329345.88999999</v>
      </c>
      <c r="F43" s="87">
        <v>137487142.24000001</v>
      </c>
      <c r="G43" s="87">
        <v>121656002.3</v>
      </c>
      <c r="H43" s="87"/>
      <c r="I43" s="87"/>
      <c r="J43" s="87"/>
      <c r="K43" s="87"/>
      <c r="L43" s="87"/>
      <c r="M43" s="87"/>
      <c r="N43" s="87"/>
      <c r="O43" s="87"/>
    </row>
    <row r="44" spans="1:15" ht="47.25" x14ac:dyDescent="0.25">
      <c r="B44" s="75" t="s">
        <v>136</v>
      </c>
      <c r="D44" s="70">
        <v>273091001.83999997</v>
      </c>
      <c r="E44" s="70">
        <v>212296685.71000001</v>
      </c>
      <c r="F44" s="70">
        <v>137209942</v>
      </c>
      <c r="G44" s="70">
        <v>121358212.61</v>
      </c>
      <c r="H44" s="70"/>
      <c r="I44" s="70"/>
      <c r="J44" s="70"/>
      <c r="K44" s="70"/>
      <c r="L44" s="70"/>
      <c r="M44" s="70"/>
      <c r="N44" s="70"/>
      <c r="O44" s="70"/>
    </row>
    <row r="45" spans="1:15" ht="31.5" x14ac:dyDescent="0.25">
      <c r="B45" s="75" t="s">
        <v>137</v>
      </c>
      <c r="D45" s="70">
        <v>-395507.4</v>
      </c>
      <c r="E45" s="70">
        <v>32660.18</v>
      </c>
      <c r="F45" s="70">
        <v>277200.24</v>
      </c>
      <c r="G45" s="70">
        <v>297789.69</v>
      </c>
      <c r="H45" s="70"/>
      <c r="I45" s="70"/>
      <c r="J45" s="70"/>
      <c r="K45" s="70"/>
      <c r="L45" s="70"/>
    </row>
    <row r="46" spans="1:15" s="71" customFormat="1" ht="31.5" x14ac:dyDescent="0.25">
      <c r="A46" s="86" t="s">
        <v>138</v>
      </c>
      <c r="B46" s="86"/>
      <c r="C46" s="86"/>
    </row>
    <row r="47" spans="1:15" x14ac:dyDescent="0.25">
      <c r="B47" s="75" t="s">
        <v>139</v>
      </c>
      <c r="D47" s="70">
        <v>1.34</v>
      </c>
      <c r="E47" s="70">
        <v>1.06</v>
      </c>
      <c r="F47" s="70">
        <v>1.17</v>
      </c>
      <c r="G47" s="70">
        <v>1.04</v>
      </c>
      <c r="H47" s="70"/>
      <c r="I47" s="70"/>
      <c r="L47" s="70"/>
      <c r="M47" s="70"/>
      <c r="N47" s="70"/>
      <c r="O47" s="70"/>
    </row>
    <row r="48" spans="1:15" x14ac:dyDescent="0.25">
      <c r="B48" s="75" t="s">
        <v>140</v>
      </c>
      <c r="D48" s="70">
        <v>1.34</v>
      </c>
      <c r="E48" s="70">
        <v>1.06</v>
      </c>
      <c r="F48" s="70">
        <v>1.17</v>
      </c>
      <c r="G48" s="70">
        <v>1.04</v>
      </c>
      <c r="H48" s="70"/>
      <c r="I48" s="70"/>
      <c r="L48" s="70"/>
      <c r="M48" s="70"/>
      <c r="N48" s="70"/>
      <c r="O48" s="70"/>
    </row>
    <row r="55" spans="1:15" s="78" customFormat="1" x14ac:dyDescent="0.25">
      <c r="A55" s="77" t="s">
        <v>150</v>
      </c>
      <c r="B55" s="77"/>
    </row>
    <row r="56" spans="1:15" x14ac:dyDescent="0.25">
      <c r="D56">
        <v>2020</v>
      </c>
      <c r="E56">
        <f>D56-1</f>
        <v>2019</v>
      </c>
      <c r="F56">
        <f t="shared" ref="F56:O56" si="3">E56-1</f>
        <v>2018</v>
      </c>
      <c r="G56">
        <f t="shared" si="3"/>
        <v>2017</v>
      </c>
      <c r="H56">
        <f t="shared" si="3"/>
        <v>2016</v>
      </c>
      <c r="I56">
        <f t="shared" si="3"/>
        <v>2015</v>
      </c>
      <c r="J56">
        <f t="shared" si="3"/>
        <v>2014</v>
      </c>
      <c r="K56">
        <f t="shared" si="3"/>
        <v>2013</v>
      </c>
      <c r="L56">
        <f t="shared" si="3"/>
        <v>2012</v>
      </c>
      <c r="M56">
        <f t="shared" si="3"/>
        <v>2011</v>
      </c>
      <c r="N56">
        <f t="shared" si="3"/>
        <v>2010</v>
      </c>
      <c r="O56">
        <f t="shared" si="3"/>
        <v>2009</v>
      </c>
    </row>
    <row r="57" spans="1:15" ht="31.5" x14ac:dyDescent="0.25">
      <c r="A57" s="75" t="s">
        <v>141</v>
      </c>
      <c r="B57" s="75" t="s">
        <v>101</v>
      </c>
      <c r="D57" s="70">
        <f>D2</f>
        <v>1590152353.4100001</v>
      </c>
      <c r="E57" s="70">
        <f t="shared" ref="E57:O57" si="4">E2</f>
        <v>1371124665.8199999</v>
      </c>
      <c r="F57" s="70">
        <f t="shared" si="4"/>
        <v>1029312558.64</v>
      </c>
      <c r="G57" s="70">
        <f t="shared" si="4"/>
        <v>814176166.77999997</v>
      </c>
      <c r="H57" s="70">
        <f t="shared" si="4"/>
        <v>0</v>
      </c>
      <c r="I57" s="70">
        <f t="shared" si="4"/>
        <v>0</v>
      </c>
      <c r="J57" s="70">
        <f t="shared" si="4"/>
        <v>0</v>
      </c>
      <c r="K57" s="70">
        <f t="shared" si="4"/>
        <v>0</v>
      </c>
      <c r="L57" s="70">
        <f t="shared" si="4"/>
        <v>0</v>
      </c>
      <c r="M57" s="70">
        <f t="shared" si="4"/>
        <v>0</v>
      </c>
      <c r="N57" s="70">
        <f t="shared" si="4"/>
        <v>0</v>
      </c>
      <c r="O57" s="70">
        <f t="shared" si="4"/>
        <v>0</v>
      </c>
    </row>
    <row r="58" spans="1:15" x14ac:dyDescent="0.25">
      <c r="A58" s="114" t="s">
        <v>415</v>
      </c>
      <c r="B58" s="114"/>
      <c r="C58" s="114"/>
      <c r="D58" s="63">
        <f>(D57-E57)/E57</f>
        <v>0.15974308759080694</v>
      </c>
      <c r="E58" s="63">
        <f t="shared" ref="E58:J58" si="5">(E57-F57)/F57</f>
        <v>0.33207804987012507</v>
      </c>
      <c r="F58" s="63">
        <f t="shared" si="5"/>
        <v>0.26423813498600285</v>
      </c>
      <c r="G58" s="63" t="e">
        <f t="shared" si="5"/>
        <v>#DIV/0!</v>
      </c>
      <c r="H58" s="63" t="e">
        <f t="shared" si="5"/>
        <v>#DIV/0!</v>
      </c>
      <c r="I58" s="63" t="e">
        <f t="shared" si="5"/>
        <v>#DIV/0!</v>
      </c>
      <c r="J58" s="63" t="e">
        <f t="shared" si="5"/>
        <v>#DIV/0!</v>
      </c>
      <c r="K58" s="70"/>
      <c r="L58" s="70"/>
      <c r="M58" s="70"/>
      <c r="N58" s="70"/>
      <c r="O58" s="70"/>
    </row>
    <row r="59" spans="1:15" x14ac:dyDescent="0.25">
      <c r="B59" s="75" t="s">
        <v>102</v>
      </c>
      <c r="D59" s="70">
        <f>D3</f>
        <v>1590152353.4100001</v>
      </c>
      <c r="E59" s="70">
        <f t="shared" ref="E59:O59" si="6">E3</f>
        <v>1371124665.8199999</v>
      </c>
      <c r="F59" s="70">
        <f t="shared" si="6"/>
        <v>1029312558.64</v>
      </c>
      <c r="G59" s="70">
        <f t="shared" si="6"/>
        <v>814176166.77999997</v>
      </c>
      <c r="H59" s="70">
        <f t="shared" si="6"/>
        <v>0</v>
      </c>
      <c r="I59" s="70">
        <f t="shared" si="6"/>
        <v>0</v>
      </c>
      <c r="J59" s="70">
        <f t="shared" si="6"/>
        <v>0</v>
      </c>
      <c r="K59" s="70">
        <f t="shared" si="6"/>
        <v>0</v>
      </c>
      <c r="L59" s="70">
        <f t="shared" si="6"/>
        <v>0</v>
      </c>
      <c r="M59" s="70">
        <f t="shared" si="6"/>
        <v>0</v>
      </c>
      <c r="N59" s="70">
        <f t="shared" si="6"/>
        <v>0</v>
      </c>
      <c r="O59" s="70">
        <f t="shared" si="6"/>
        <v>0</v>
      </c>
    </row>
    <row r="60" spans="1:15" x14ac:dyDescent="0.25">
      <c r="B60" s="75" t="s">
        <v>103</v>
      </c>
    </row>
    <row r="61" spans="1:15" x14ac:dyDescent="0.25">
      <c r="B61" s="75" t="s">
        <v>104</v>
      </c>
      <c r="H61" s="70"/>
      <c r="I61" s="70"/>
    </row>
    <row r="62" spans="1:15" ht="31.5" x14ac:dyDescent="0.25">
      <c r="A62" s="75" t="s">
        <v>142</v>
      </c>
      <c r="D62" s="70">
        <f>D6</f>
        <v>1314715293.2</v>
      </c>
      <c r="E62" s="70">
        <f t="shared" ref="E62:O62" si="7">E6</f>
        <v>1160981678.71</v>
      </c>
      <c r="F62" s="70">
        <f t="shared" si="7"/>
        <v>896217684.44000006</v>
      </c>
      <c r="G62" s="70">
        <f t="shared" si="7"/>
        <v>689381092.47000003</v>
      </c>
      <c r="H62" s="70">
        <f t="shared" si="7"/>
        <v>0</v>
      </c>
      <c r="I62" s="70">
        <f t="shared" si="7"/>
        <v>0</v>
      </c>
      <c r="J62" s="70">
        <f t="shared" si="7"/>
        <v>0</v>
      </c>
      <c r="K62" s="70">
        <f t="shared" si="7"/>
        <v>0</v>
      </c>
      <c r="L62" s="70">
        <f t="shared" si="7"/>
        <v>0</v>
      </c>
      <c r="M62" s="70">
        <f t="shared" si="7"/>
        <v>0</v>
      </c>
      <c r="N62" s="70">
        <f t="shared" si="7"/>
        <v>0</v>
      </c>
      <c r="O62" s="70">
        <f t="shared" si="7"/>
        <v>0</v>
      </c>
    </row>
    <row r="63" spans="1:15" x14ac:dyDescent="0.25">
      <c r="A63" s="114"/>
      <c r="B63" s="114" t="s">
        <v>413</v>
      </c>
      <c r="C63" s="114"/>
      <c r="D63" s="63">
        <f>(D3-D7)/D3</f>
        <v>0.34348966242052231</v>
      </c>
      <c r="E63" s="63">
        <f t="shared" ref="E63:O63" si="8">(E3-E7)/E3</f>
        <v>0.35314869481282218</v>
      </c>
      <c r="F63" s="63">
        <f t="shared" si="8"/>
        <v>0.33151317154903653</v>
      </c>
      <c r="G63" s="63">
        <f t="shared" si="8"/>
        <v>0.3490916951844405</v>
      </c>
      <c r="H63" s="63" t="e">
        <f t="shared" si="8"/>
        <v>#DIV/0!</v>
      </c>
      <c r="I63" s="63" t="e">
        <f t="shared" si="8"/>
        <v>#DIV/0!</v>
      </c>
      <c r="J63" s="63" t="e">
        <f t="shared" si="8"/>
        <v>#DIV/0!</v>
      </c>
      <c r="K63" s="63" t="e">
        <f t="shared" si="8"/>
        <v>#DIV/0!</v>
      </c>
      <c r="L63" s="63" t="e">
        <f t="shared" si="8"/>
        <v>#DIV/0!</v>
      </c>
      <c r="M63" s="63" t="e">
        <f t="shared" si="8"/>
        <v>#DIV/0!</v>
      </c>
      <c r="N63" s="63" t="e">
        <f t="shared" si="8"/>
        <v>#DIV/0!</v>
      </c>
      <c r="O63" s="63" t="e">
        <f t="shared" si="8"/>
        <v>#DIV/0!</v>
      </c>
    </row>
    <row r="64" spans="1:15" x14ac:dyDescent="0.25">
      <c r="A64" s="75" t="s">
        <v>144</v>
      </c>
      <c r="B64" s="75" t="s">
        <v>105</v>
      </c>
      <c r="D64" s="63">
        <f>D7/D6</f>
        <v>0.79405135373380775</v>
      </c>
      <c r="E64" s="63">
        <f t="shared" ref="E64:O64" si="9">E7/E6</f>
        <v>0.76393434618664724</v>
      </c>
      <c r="F64" s="63">
        <f t="shared" si="9"/>
        <v>0.76776200666018612</v>
      </c>
      <c r="G64" s="63">
        <f t="shared" si="9"/>
        <v>0.76873885043933399</v>
      </c>
      <c r="H64" s="63" t="e">
        <f t="shared" si="9"/>
        <v>#DIV/0!</v>
      </c>
      <c r="I64" s="63" t="e">
        <f t="shared" si="9"/>
        <v>#DIV/0!</v>
      </c>
      <c r="J64" s="63" t="e">
        <f t="shared" si="9"/>
        <v>#DIV/0!</v>
      </c>
      <c r="K64" s="63" t="e">
        <f t="shared" si="9"/>
        <v>#DIV/0!</v>
      </c>
      <c r="L64" s="63" t="e">
        <f t="shared" si="9"/>
        <v>#DIV/0!</v>
      </c>
      <c r="M64" s="63" t="e">
        <f t="shared" si="9"/>
        <v>#DIV/0!</v>
      </c>
      <c r="N64" s="63" t="e">
        <f t="shared" si="9"/>
        <v>#DIV/0!</v>
      </c>
      <c r="O64" s="63" t="e">
        <f t="shared" si="9"/>
        <v>#DIV/0!</v>
      </c>
    </row>
    <row r="65" spans="1:15" x14ac:dyDescent="0.25">
      <c r="B65" s="75" t="s">
        <v>106</v>
      </c>
      <c r="D65" s="63">
        <f>D8/D6</f>
        <v>8.2077787227492482E-3</v>
      </c>
      <c r="E65" s="63">
        <f t="shared" ref="E65:O65" si="10">E8/E6</f>
        <v>8.0370608607431334E-3</v>
      </c>
      <c r="F65" s="63">
        <f t="shared" si="10"/>
        <v>9.5471847504843901E-3</v>
      </c>
      <c r="G65" s="63">
        <f t="shared" si="10"/>
        <v>1.0577471313977653E-2</v>
      </c>
      <c r="H65" s="63" t="e">
        <f t="shared" si="10"/>
        <v>#DIV/0!</v>
      </c>
      <c r="I65" s="63" t="e">
        <f t="shared" si="10"/>
        <v>#DIV/0!</v>
      </c>
      <c r="J65" s="63" t="e">
        <f t="shared" si="10"/>
        <v>#DIV/0!</v>
      </c>
      <c r="K65" s="63" t="e">
        <f t="shared" si="10"/>
        <v>#DIV/0!</v>
      </c>
      <c r="L65" s="63" t="e">
        <f t="shared" si="10"/>
        <v>#DIV/0!</v>
      </c>
      <c r="M65" s="63" t="e">
        <f t="shared" si="10"/>
        <v>#DIV/0!</v>
      </c>
      <c r="N65" s="63" t="e">
        <f t="shared" si="10"/>
        <v>#DIV/0!</v>
      </c>
      <c r="O65" s="63" t="e">
        <f t="shared" si="10"/>
        <v>#DIV/0!</v>
      </c>
    </row>
    <row r="66" spans="1:15" x14ac:dyDescent="0.25">
      <c r="B66" s="75" t="s">
        <v>107</v>
      </c>
      <c r="D66" s="63">
        <f>D9/D6</f>
        <v>0.10691873600090254</v>
      </c>
      <c r="E66" s="63">
        <f t="shared" ref="E66:O66" si="11">E9/E6</f>
        <v>0.14800168027709287</v>
      </c>
      <c r="F66" s="63">
        <f t="shared" si="11"/>
        <v>0.12938413677080596</v>
      </c>
      <c r="G66" s="63">
        <f t="shared" si="11"/>
        <v>0.10987495002018241</v>
      </c>
      <c r="H66" s="63" t="e">
        <f t="shared" si="11"/>
        <v>#DIV/0!</v>
      </c>
      <c r="I66" s="63" t="e">
        <f t="shared" si="11"/>
        <v>#DIV/0!</v>
      </c>
      <c r="J66" s="63" t="e">
        <f t="shared" si="11"/>
        <v>#DIV/0!</v>
      </c>
      <c r="K66" s="63" t="e">
        <f t="shared" si="11"/>
        <v>#DIV/0!</v>
      </c>
      <c r="L66" s="63" t="e">
        <f t="shared" si="11"/>
        <v>#DIV/0!</v>
      </c>
      <c r="M66" s="63" t="e">
        <f t="shared" si="11"/>
        <v>#DIV/0!</v>
      </c>
      <c r="N66" s="63" t="e">
        <f t="shared" si="11"/>
        <v>#DIV/0!</v>
      </c>
      <c r="O66" s="63" t="e">
        <f t="shared" si="11"/>
        <v>#DIV/0!</v>
      </c>
    </row>
    <row r="67" spans="1:15" x14ac:dyDescent="0.25">
      <c r="B67" s="75" t="s">
        <v>108</v>
      </c>
      <c r="D67" s="63">
        <f>D10/D6</f>
        <v>4.5200836376792515E-2</v>
      </c>
      <c r="E67" s="63">
        <f t="shared" ref="E67:O67" si="12">E10/E6</f>
        <v>4.611488798814483E-2</v>
      </c>
      <c r="F67" s="63">
        <f t="shared" si="12"/>
        <v>5.3159006296298474E-2</v>
      </c>
      <c r="G67" s="63">
        <f t="shared" si="12"/>
        <v>6.3286983943352942E-2</v>
      </c>
      <c r="H67" s="63" t="e">
        <f t="shared" si="12"/>
        <v>#DIV/0!</v>
      </c>
      <c r="I67" s="63" t="e">
        <f t="shared" si="12"/>
        <v>#DIV/0!</v>
      </c>
      <c r="J67" s="63" t="e">
        <f t="shared" si="12"/>
        <v>#DIV/0!</v>
      </c>
      <c r="K67" s="63" t="e">
        <f t="shared" si="12"/>
        <v>#DIV/0!</v>
      </c>
      <c r="L67" s="63" t="e">
        <f t="shared" si="12"/>
        <v>#DIV/0!</v>
      </c>
      <c r="M67" s="63" t="e">
        <f t="shared" si="12"/>
        <v>#DIV/0!</v>
      </c>
      <c r="N67" s="63" t="e">
        <f t="shared" si="12"/>
        <v>#DIV/0!</v>
      </c>
      <c r="O67" s="63" t="e">
        <f t="shared" si="12"/>
        <v>#DIV/0!</v>
      </c>
    </row>
    <row r="68" spans="1:15" x14ac:dyDescent="0.25">
      <c r="B68" s="75" t="s">
        <v>109</v>
      </c>
      <c r="D68" s="63">
        <f>D11/D6</f>
        <v>4.3265842783002322E-2</v>
      </c>
      <c r="E68" s="63">
        <f t="shared" ref="E68:O68" si="13">E11/E6</f>
        <v>3.6142031687031631E-2</v>
      </c>
      <c r="F68" s="63">
        <f t="shared" si="13"/>
        <v>3.5273274494413746E-2</v>
      </c>
      <c r="G68" s="63">
        <f t="shared" si="13"/>
        <v>3.347865552463547E-2</v>
      </c>
      <c r="H68" s="63" t="e">
        <f t="shared" si="13"/>
        <v>#DIV/0!</v>
      </c>
      <c r="I68" s="63" t="e">
        <f>I12/I6</f>
        <v>#DIV/0!</v>
      </c>
      <c r="J68" s="63" t="e">
        <f t="shared" si="13"/>
        <v>#DIV/0!</v>
      </c>
      <c r="K68" s="63" t="e">
        <f t="shared" si="13"/>
        <v>#DIV/0!</v>
      </c>
      <c r="L68" s="63" t="e">
        <f t="shared" si="13"/>
        <v>#DIV/0!</v>
      </c>
      <c r="M68" s="63" t="e">
        <f t="shared" si="13"/>
        <v>#DIV/0!</v>
      </c>
      <c r="N68" s="63" t="e">
        <f t="shared" si="13"/>
        <v>#DIV/0!</v>
      </c>
      <c r="O68" s="63" t="e">
        <f t="shared" si="13"/>
        <v>#DIV/0!</v>
      </c>
    </row>
    <row r="69" spans="1:15" x14ac:dyDescent="0.25">
      <c r="B69" s="75" t="s">
        <v>110</v>
      </c>
      <c r="D69" s="63">
        <f>D12/D6</f>
        <v>2.3554523827455844E-3</v>
      </c>
      <c r="E69" s="63">
        <f t="shared" ref="E69:O69" si="14">E12/E6</f>
        <v>-2.2300069996597266E-3</v>
      </c>
      <c r="F69" s="63">
        <f t="shared" si="14"/>
        <v>-1.4857088440873569E-3</v>
      </c>
      <c r="G69" s="63">
        <f t="shared" si="14"/>
        <v>1.0716893994770398E-2</v>
      </c>
      <c r="H69" s="63" t="e">
        <f t="shared" si="14"/>
        <v>#DIV/0!</v>
      </c>
      <c r="I69" s="63" t="e">
        <f>#REF!/I6</f>
        <v>#REF!</v>
      </c>
      <c r="J69" s="63" t="e">
        <f t="shared" si="14"/>
        <v>#DIV/0!</v>
      </c>
      <c r="K69" s="63" t="e">
        <f t="shared" si="14"/>
        <v>#DIV/0!</v>
      </c>
      <c r="L69" s="63" t="e">
        <f t="shared" si="14"/>
        <v>#DIV/0!</v>
      </c>
      <c r="M69" s="63" t="e">
        <f t="shared" si="14"/>
        <v>#DIV/0!</v>
      </c>
      <c r="N69" s="63" t="e">
        <f t="shared" si="14"/>
        <v>#DIV/0!</v>
      </c>
      <c r="O69" s="63" t="e">
        <f t="shared" si="14"/>
        <v>#DIV/0!</v>
      </c>
    </row>
    <row r="70" spans="1:15" x14ac:dyDescent="0.25">
      <c r="C70" s="75" t="s">
        <v>111</v>
      </c>
      <c r="D70" s="70">
        <v>7822986.1399999997</v>
      </c>
      <c r="F70" s="70">
        <v>2755000</v>
      </c>
      <c r="G70" s="70">
        <v>11213562.5</v>
      </c>
    </row>
    <row r="71" spans="1:15" x14ac:dyDescent="0.25">
      <c r="C71" s="75" t="s">
        <v>94</v>
      </c>
      <c r="D71" s="70">
        <v>32572127.48</v>
      </c>
      <c r="E71" s="70">
        <v>22648412.210000001</v>
      </c>
      <c r="F71" s="70">
        <v>8995034.3800000008</v>
      </c>
      <c r="G71" s="70">
        <v>8246271.8499999996</v>
      </c>
    </row>
    <row r="72" spans="1:15" ht="409.5" x14ac:dyDescent="0.25">
      <c r="A72" s="75" t="s">
        <v>153</v>
      </c>
      <c r="B72" s="75" t="s">
        <v>152</v>
      </c>
      <c r="D72" s="63">
        <f>D15/D6</f>
        <v>0.15447502476044064</v>
      </c>
      <c r="E72" s="63">
        <f t="shared" ref="E72:O72" si="15">E15/E6</f>
        <v>0.19188656126557796</v>
      </c>
      <c r="F72" s="63">
        <f t="shared" si="15"/>
        <v>0.18105743422301712</v>
      </c>
      <c r="G72" s="63">
        <f t="shared" si="15"/>
        <v>0.18387882795830576</v>
      </c>
      <c r="H72" s="63" t="e">
        <f t="shared" si="15"/>
        <v>#DIV/0!</v>
      </c>
      <c r="I72" s="63" t="e">
        <f t="shared" si="15"/>
        <v>#DIV/0!</v>
      </c>
      <c r="J72" s="63" t="e">
        <f t="shared" si="15"/>
        <v>#DIV/0!</v>
      </c>
      <c r="K72" s="63" t="e">
        <f t="shared" si="15"/>
        <v>#DIV/0!</v>
      </c>
      <c r="L72" s="63" t="e">
        <f t="shared" si="15"/>
        <v>#DIV/0!</v>
      </c>
      <c r="M72" s="63" t="e">
        <f t="shared" si="15"/>
        <v>#DIV/0!</v>
      </c>
      <c r="N72" s="63" t="e">
        <f>N15/N6</f>
        <v>#DIV/0!</v>
      </c>
      <c r="O72" s="63" t="e">
        <f t="shared" si="15"/>
        <v>#DIV/0!</v>
      </c>
    </row>
    <row r="73" spans="1:15" x14ac:dyDescent="0.25">
      <c r="A73" s="75" t="s">
        <v>143</v>
      </c>
      <c r="B73" s="75" t="s">
        <v>112</v>
      </c>
      <c r="D73" s="70">
        <v>34572160.229999997</v>
      </c>
      <c r="E73" s="70">
        <v>4285224.1900000004</v>
      </c>
      <c r="F73" s="70">
        <v>1591601.01</v>
      </c>
      <c r="G73" s="70">
        <v>4536456.47</v>
      </c>
    </row>
    <row r="74" spans="1:15" x14ac:dyDescent="0.25">
      <c r="B74" s="75" t="s">
        <v>113</v>
      </c>
      <c r="D74" s="70">
        <v>14014892.300000001</v>
      </c>
      <c r="E74" s="70">
        <v>273166244.68000001</v>
      </c>
      <c r="F74" s="70">
        <v>63280814.82</v>
      </c>
      <c r="G74" s="70">
        <v>17702729.920000002</v>
      </c>
      <c r="H74" s="70">
        <v>14451892.1</v>
      </c>
      <c r="I74" s="70">
        <v>4880868.04</v>
      </c>
      <c r="J74" s="70">
        <v>6516609.4299999997</v>
      </c>
      <c r="K74" s="70">
        <v>10656664.34</v>
      </c>
      <c r="L74" s="70">
        <v>1100350.93</v>
      </c>
      <c r="O74" s="70">
        <v>666438.85</v>
      </c>
    </row>
    <row r="75" spans="1:15" ht="47.25" x14ac:dyDescent="0.25">
      <c r="C75" s="75" t="s">
        <v>146</v>
      </c>
      <c r="D75" s="70">
        <v>-5356968.22</v>
      </c>
      <c r="E75" s="70">
        <v>72523327.469999999</v>
      </c>
      <c r="F75" s="70">
        <v>3255217.59</v>
      </c>
      <c r="G75" s="70">
        <v>4201481.01</v>
      </c>
      <c r="H75" s="70">
        <v>1569429.26</v>
      </c>
      <c r="I75" s="70">
        <v>3144719.19</v>
      </c>
      <c r="J75" s="70">
        <v>3377479.69</v>
      </c>
    </row>
    <row r="76" spans="1:15" x14ac:dyDescent="0.25">
      <c r="B76" s="75" t="s">
        <v>114</v>
      </c>
      <c r="D76" s="70">
        <v>247726.31</v>
      </c>
      <c r="E76" s="70">
        <v>991859.52</v>
      </c>
      <c r="F76" s="70">
        <v>9660319.4000000004</v>
      </c>
      <c r="G76" s="70">
        <v>1110054.4099999999</v>
      </c>
      <c r="H76" s="70">
        <v>113847.21</v>
      </c>
    </row>
    <row r="77" spans="1:15" x14ac:dyDescent="0.25">
      <c r="B77" s="75" t="s">
        <v>98</v>
      </c>
      <c r="D77" s="70">
        <v>-32739976.91</v>
      </c>
      <c r="E77" s="70">
        <v>1325984.52</v>
      </c>
    </row>
    <row r="78" spans="1:15" x14ac:dyDescent="0.25">
      <c r="B78" s="75" t="s">
        <v>115</v>
      </c>
      <c r="D78" s="70">
        <v>-1877720155.72</v>
      </c>
      <c r="E78" s="70">
        <v>-17425960.27</v>
      </c>
      <c r="F78" s="70">
        <v>-31899429.829999998</v>
      </c>
      <c r="G78" s="70">
        <v>-8958754.7699999996</v>
      </c>
      <c r="H78" s="70">
        <v>-3011927.49</v>
      </c>
      <c r="I78" s="70">
        <v>-1004375.81</v>
      </c>
      <c r="J78" s="70">
        <v>-1323887.6599999999</v>
      </c>
      <c r="K78" s="70">
        <v>-784425.94</v>
      </c>
      <c r="L78" s="70">
        <v>-231748.53</v>
      </c>
      <c r="M78" s="70">
        <v>656003.34</v>
      </c>
      <c r="N78" s="70">
        <v>-60908.78</v>
      </c>
      <c r="O78" s="70">
        <v>862012.65</v>
      </c>
    </row>
    <row r="79" spans="1:15" x14ac:dyDescent="0.25">
      <c r="B79" s="75" t="s">
        <v>116</v>
      </c>
      <c r="D79" s="70">
        <v>676435.92</v>
      </c>
      <c r="E79" s="70">
        <v>-767848.08</v>
      </c>
      <c r="F79" s="70">
        <v>19135248.57</v>
      </c>
      <c r="G79" s="70">
        <v>54373.41</v>
      </c>
    </row>
    <row r="80" spans="1:15" ht="31.5" x14ac:dyDescent="0.25">
      <c r="A80" s="75" t="s">
        <v>117</v>
      </c>
      <c r="D80" s="70">
        <v>-1699345206.5999999</v>
      </c>
      <c r="E80" s="70">
        <v>1725575244.1600001</v>
      </c>
      <c r="F80" s="70">
        <v>1603261258.8599999</v>
      </c>
      <c r="G80" s="70">
        <v>1346232047.29</v>
      </c>
      <c r="H80" s="70">
        <v>1148168794.9100001</v>
      </c>
      <c r="I80" s="70">
        <v>827826642.08000004</v>
      </c>
      <c r="J80" s="70">
        <v>471988594.83999997</v>
      </c>
      <c r="K80" s="70">
        <v>380890521.86000001</v>
      </c>
      <c r="L80" s="70">
        <v>300445018.88999999</v>
      </c>
      <c r="M80" s="70">
        <v>280687584.04000002</v>
      </c>
      <c r="N80" s="70">
        <v>228618049.13999999</v>
      </c>
      <c r="O80" s="70">
        <v>116549545.41</v>
      </c>
    </row>
    <row r="81" spans="1:15" x14ac:dyDescent="0.25">
      <c r="B81" s="75" t="s">
        <v>118</v>
      </c>
      <c r="D81" s="70">
        <v>3242377.14</v>
      </c>
      <c r="E81" s="70">
        <v>5997838.0300000003</v>
      </c>
      <c r="F81" s="70">
        <v>15539954.51</v>
      </c>
      <c r="G81" s="70">
        <v>1608758.68</v>
      </c>
      <c r="H81" s="70">
        <v>18472939.010000002</v>
      </c>
      <c r="I81" s="70">
        <v>35596062.060000002</v>
      </c>
      <c r="J81" s="70">
        <v>22031382.899999999</v>
      </c>
      <c r="K81" s="70">
        <v>38655367.579999998</v>
      </c>
      <c r="L81" s="70">
        <v>51479203.829999998</v>
      </c>
      <c r="M81" s="70">
        <v>20918624.41</v>
      </c>
      <c r="N81" s="70">
        <v>2309221.0299999998</v>
      </c>
      <c r="O81" s="70">
        <v>3576824.35</v>
      </c>
    </row>
    <row r="82" spans="1:15" ht="31.5" x14ac:dyDescent="0.25">
      <c r="C82" s="75" t="s">
        <v>147</v>
      </c>
      <c r="D82" s="70"/>
      <c r="E82" s="70"/>
      <c r="F82" s="70"/>
      <c r="G82" s="70"/>
      <c r="H82" s="70">
        <v>2517946.7400000002</v>
      </c>
      <c r="I82" s="70">
        <v>146066.43</v>
      </c>
      <c r="J82" s="70">
        <v>32891.68</v>
      </c>
      <c r="K82" s="70">
        <v>5581.25</v>
      </c>
    </row>
    <row r="83" spans="1:15" x14ac:dyDescent="0.25">
      <c r="B83" s="75" t="s">
        <v>119</v>
      </c>
      <c r="D83" s="70">
        <v>41007879.43</v>
      </c>
      <c r="E83" s="70">
        <v>101517003.90000001</v>
      </c>
      <c r="F83" s="70">
        <v>76342284.480000004</v>
      </c>
      <c r="G83" s="70">
        <v>50455986.030000001</v>
      </c>
      <c r="H83" s="70">
        <v>6855213.3499999996</v>
      </c>
      <c r="I83" s="70">
        <v>38296752.520000003</v>
      </c>
      <c r="J83" s="70">
        <v>2606799.54</v>
      </c>
      <c r="K83" s="70">
        <v>1083445.02</v>
      </c>
      <c r="L83" s="70">
        <v>10724941.41</v>
      </c>
      <c r="M83" s="70">
        <v>4194529.84</v>
      </c>
      <c r="N83" s="70">
        <v>12943823.5</v>
      </c>
      <c r="O83" s="70">
        <v>2642749.42</v>
      </c>
    </row>
    <row r="84" spans="1:15" ht="31.5" x14ac:dyDescent="0.25">
      <c r="C84" s="75" t="s">
        <v>148</v>
      </c>
      <c r="D84" s="70"/>
      <c r="E84" s="70"/>
      <c r="F84" s="70"/>
      <c r="G84" s="70"/>
      <c r="H84" s="70">
        <v>4639673.8099999996</v>
      </c>
      <c r="I84" s="70">
        <v>37765766.590000004</v>
      </c>
      <c r="J84" s="70">
        <v>1241098.6100000001</v>
      </c>
      <c r="K84" s="70">
        <v>240204.86</v>
      </c>
      <c r="L84" s="70">
        <v>9369971.2300000004</v>
      </c>
      <c r="M84" s="70">
        <v>3548876.35</v>
      </c>
      <c r="N84" s="70">
        <v>12584530.58</v>
      </c>
      <c r="O84" s="70">
        <v>2548321.41</v>
      </c>
    </row>
    <row r="85" spans="1:15" ht="31.5" x14ac:dyDescent="0.25">
      <c r="A85" s="75" t="s">
        <v>120</v>
      </c>
      <c r="D85" s="70">
        <v>-1737110708.8900001</v>
      </c>
      <c r="E85" s="70">
        <v>1630056078.29</v>
      </c>
      <c r="F85" s="70">
        <v>1542458928.8900001</v>
      </c>
      <c r="G85" s="70">
        <v>1297384819.9400001</v>
      </c>
      <c r="H85" s="70">
        <v>1159786520.5699999</v>
      </c>
      <c r="I85" s="70">
        <v>825125951.62</v>
      </c>
      <c r="J85" s="70">
        <v>491413178.19999999</v>
      </c>
      <c r="K85" s="70">
        <v>418462444.42000002</v>
      </c>
      <c r="L85" s="70">
        <v>341199281.31</v>
      </c>
      <c r="M85" s="70">
        <v>297411678.61000001</v>
      </c>
      <c r="N85" s="70">
        <v>217983446.66999999</v>
      </c>
      <c r="O85" s="70">
        <v>117483620.34</v>
      </c>
    </row>
    <row r="86" spans="1:15" s="71" customFormat="1" x14ac:dyDescent="0.25">
      <c r="A86" s="86"/>
      <c r="B86" s="86" t="s">
        <v>121</v>
      </c>
      <c r="C86" s="86"/>
      <c r="D86" s="93">
        <f>D29/D28</f>
        <v>0.1354569653876318</v>
      </c>
      <c r="E86" s="93">
        <f t="shared" ref="E86:O86" si="16">E29/E28</f>
        <v>0.13766378458637249</v>
      </c>
      <c r="F86" s="93">
        <f t="shared" si="16"/>
        <v>0.13829182503099866</v>
      </c>
      <c r="G86" s="93">
        <f t="shared" si="16"/>
        <v>0.15472729044300887</v>
      </c>
      <c r="H86" s="93" t="e">
        <f t="shared" si="16"/>
        <v>#DIV/0!</v>
      </c>
      <c r="I86" s="93" t="e">
        <f t="shared" si="16"/>
        <v>#DIV/0!</v>
      </c>
      <c r="J86" s="93" t="e">
        <f t="shared" si="16"/>
        <v>#DIV/0!</v>
      </c>
      <c r="K86" s="93" t="e">
        <f t="shared" si="16"/>
        <v>#DIV/0!</v>
      </c>
      <c r="L86" s="93" t="e">
        <f t="shared" si="16"/>
        <v>#DIV/0!</v>
      </c>
      <c r="M86" s="93" t="e">
        <f t="shared" si="16"/>
        <v>#DIV/0!</v>
      </c>
      <c r="N86" s="93" t="e">
        <f>N29/N28</f>
        <v>#DIV/0!</v>
      </c>
      <c r="O86" s="93" t="e">
        <f t="shared" si="16"/>
        <v>#DIV/0!</v>
      </c>
    </row>
    <row r="87" spans="1:15" x14ac:dyDescent="0.25">
      <c r="A87" s="75" t="s">
        <v>122</v>
      </c>
      <c r="D87" s="70">
        <f>D30</f>
        <v>272695494.44</v>
      </c>
      <c r="E87" s="70">
        <f t="shared" ref="E87:O87" si="17">E30</f>
        <v>212329345.88999999</v>
      </c>
      <c r="F87" s="70">
        <f t="shared" si="17"/>
        <v>137487142.24000001</v>
      </c>
      <c r="G87" s="70">
        <f t="shared" si="17"/>
        <v>121656002.3</v>
      </c>
      <c r="H87" s="70">
        <f t="shared" si="17"/>
        <v>0</v>
      </c>
      <c r="I87" s="70">
        <f t="shared" si="17"/>
        <v>0</v>
      </c>
      <c r="J87" s="70">
        <f t="shared" si="17"/>
        <v>0</v>
      </c>
      <c r="K87" s="70">
        <f t="shared" si="17"/>
        <v>0</v>
      </c>
      <c r="L87" s="70">
        <f t="shared" si="17"/>
        <v>0</v>
      </c>
      <c r="M87" s="70">
        <f t="shared" si="17"/>
        <v>0</v>
      </c>
      <c r="N87" s="70">
        <f t="shared" si="17"/>
        <v>0</v>
      </c>
      <c r="O87" s="70">
        <f t="shared" si="17"/>
        <v>0</v>
      </c>
    </row>
    <row r="88" spans="1:15" x14ac:dyDescent="0.25">
      <c r="A88" s="114" t="s">
        <v>416</v>
      </c>
      <c r="B88" s="114"/>
      <c r="C88" s="114"/>
      <c r="D88" s="63">
        <f>(D87-E87)/E87</f>
        <v>0.28430431176137794</v>
      </c>
      <c r="E88" s="63">
        <f t="shared" ref="E88:H88" si="18">(E87-F87)/F87</f>
        <v>0.54435783907235546</v>
      </c>
      <c r="F88" s="63">
        <f t="shared" si="18"/>
        <v>0.13013036464046307</v>
      </c>
      <c r="G88" s="63" t="e">
        <f t="shared" si="18"/>
        <v>#DIV/0!</v>
      </c>
      <c r="H88" s="63" t="e">
        <f t="shared" si="18"/>
        <v>#DIV/0!</v>
      </c>
      <c r="I88" s="63" t="e">
        <f>(I87-J87)/J87</f>
        <v>#DIV/0!</v>
      </c>
      <c r="J88" s="63" t="e">
        <f t="shared" ref="J88" si="19">(J87-K87)/K87</f>
        <v>#DIV/0!</v>
      </c>
      <c r="K88" s="70"/>
      <c r="L88" s="70"/>
      <c r="M88" s="70"/>
      <c r="N88" s="70"/>
      <c r="O88" s="70"/>
    </row>
    <row r="89" spans="1:15" ht="31.5" x14ac:dyDescent="0.25">
      <c r="B89" s="75" t="s">
        <v>123</v>
      </c>
      <c r="C89" s="75" t="s">
        <v>124</v>
      </c>
      <c r="D89" s="70">
        <v>-1766945878</v>
      </c>
      <c r="E89" s="70">
        <v>1364903511.2</v>
      </c>
      <c r="F89" s="70">
        <v>1277557771.6300001</v>
      </c>
      <c r="G89" s="70">
        <v>1069274181.14</v>
      </c>
    </row>
    <row r="90" spans="1:15" ht="31.5" x14ac:dyDescent="0.25">
      <c r="B90" s="75" t="s">
        <v>125</v>
      </c>
      <c r="C90" s="75" t="s">
        <v>126</v>
      </c>
      <c r="D90" s="70">
        <v>-1752398009.5999999</v>
      </c>
      <c r="E90" s="70">
        <v>1339790994.9400001</v>
      </c>
      <c r="F90" s="70">
        <v>1287186547.4100001</v>
      </c>
      <c r="G90" s="70">
        <v>1067612066.9299999</v>
      </c>
      <c r="H90" s="70">
        <v>902305171.90999997</v>
      </c>
      <c r="I90" s="70">
        <v>630560934.01999998</v>
      </c>
      <c r="J90" s="70">
        <v>361183249.79000002</v>
      </c>
      <c r="K90" s="70">
        <v>308423861.72000003</v>
      </c>
      <c r="L90" s="70">
        <v>256545865.97999999</v>
      </c>
      <c r="M90" s="70">
        <v>222218569.81999999</v>
      </c>
      <c r="N90" s="70">
        <v>163337928.84</v>
      </c>
      <c r="O90" s="70">
        <v>86995069.549999997</v>
      </c>
    </row>
    <row r="91" spans="1:15" x14ac:dyDescent="0.25">
      <c r="C91" s="75" t="s">
        <v>149</v>
      </c>
      <c r="D91" s="70">
        <v>-14547868.4</v>
      </c>
      <c r="E91" s="70">
        <v>25112516.260000002</v>
      </c>
      <c r="F91" s="70">
        <v>-9628775.7799999993</v>
      </c>
      <c r="G91" s="70">
        <v>1662114.21</v>
      </c>
      <c r="H91" s="70">
        <v>14161740.08</v>
      </c>
      <c r="I91" s="70">
        <v>14884150.560000001</v>
      </c>
      <c r="J91" s="70">
        <v>3539524.53</v>
      </c>
      <c r="K91" s="70">
        <v>338154.16</v>
      </c>
      <c r="L91" s="70">
        <v>-132284.64000000001</v>
      </c>
      <c r="O91" s="70">
        <v>1416966</v>
      </c>
    </row>
    <row r="92" spans="1:15" ht="47.25" x14ac:dyDescent="0.25">
      <c r="A92" s="75" t="s">
        <v>127</v>
      </c>
      <c r="D92" s="70">
        <v>-54643377.960000001</v>
      </c>
      <c r="E92" s="70">
        <v>-436587617.54000002</v>
      </c>
      <c r="F92" s="70">
        <v>27854228.039999999</v>
      </c>
      <c r="G92" s="70">
        <v>-367848.51</v>
      </c>
      <c r="H92" s="70">
        <v>-7080414.2000000002</v>
      </c>
    </row>
    <row r="93" spans="1:15" ht="47.25" x14ac:dyDescent="0.25">
      <c r="B93" s="75" t="s">
        <v>128</v>
      </c>
      <c r="D93" s="70">
        <v>-54643964.159999996</v>
      </c>
      <c r="E93" s="70">
        <v>-436587615.64999998</v>
      </c>
      <c r="F93" s="70">
        <v>27854228.039999999</v>
      </c>
      <c r="G93" s="70">
        <v>-367848.51</v>
      </c>
      <c r="H93" s="70">
        <v>-7080414.2000000002</v>
      </c>
    </row>
    <row r="94" spans="1:15" ht="47.25" x14ac:dyDescent="0.25">
      <c r="B94" s="75" t="s">
        <v>129</v>
      </c>
      <c r="D94" s="70">
        <v>-65726184.590000004</v>
      </c>
      <c r="E94" s="70">
        <v>-390940031.82999998</v>
      </c>
    </row>
    <row r="95" spans="1:15" ht="47.25" x14ac:dyDescent="0.25">
      <c r="C95" s="75" t="s">
        <v>130</v>
      </c>
      <c r="D95" s="70">
        <v>1356586.59</v>
      </c>
      <c r="E95" s="70">
        <v>-1356586.59</v>
      </c>
    </row>
    <row r="96" spans="1:15" ht="47.25" x14ac:dyDescent="0.25">
      <c r="C96" s="75" t="s">
        <v>131</v>
      </c>
      <c r="D96" s="70">
        <v>-67082771.18</v>
      </c>
      <c r="E96" s="70">
        <v>-389583445.24000001</v>
      </c>
    </row>
    <row r="97" spans="1:15" ht="47.25" x14ac:dyDescent="0.25">
      <c r="B97" s="75" t="s">
        <v>132</v>
      </c>
      <c r="D97" s="70">
        <v>11082220.43</v>
      </c>
      <c r="E97" s="70">
        <v>-45647583.82</v>
      </c>
      <c r="F97" s="70">
        <v>27854228.039999999</v>
      </c>
      <c r="G97" s="70">
        <v>-367848.51</v>
      </c>
      <c r="H97" s="70">
        <v>-7080414.2000000002</v>
      </c>
    </row>
    <row r="98" spans="1:15" ht="31.5" x14ac:dyDescent="0.25">
      <c r="C98" s="75" t="s">
        <v>133</v>
      </c>
      <c r="D98" s="70">
        <v>11082220.43</v>
      </c>
      <c r="E98" s="70">
        <v>7332056.4299999997</v>
      </c>
      <c r="F98" s="70">
        <v>-26055664.800000001</v>
      </c>
      <c r="G98" s="70">
        <v>-367848.51</v>
      </c>
      <c r="H98" s="70">
        <v>-7080414.2000000002</v>
      </c>
    </row>
    <row r="99" spans="1:15" x14ac:dyDescent="0.25">
      <c r="C99" s="75" t="s">
        <v>145</v>
      </c>
      <c r="D99" s="70"/>
      <c r="E99" s="70"/>
      <c r="F99" s="70">
        <v>53909892.840000004</v>
      </c>
      <c r="G99" s="70"/>
    </row>
    <row r="100" spans="1:15" ht="47.25" x14ac:dyDescent="0.25">
      <c r="B100" s="75" t="s">
        <v>134</v>
      </c>
      <c r="D100" s="70">
        <v>586.20000000000005</v>
      </c>
      <c r="E100" s="70">
        <v>-1.89</v>
      </c>
    </row>
    <row r="101" spans="1:15" ht="31.5" x14ac:dyDescent="0.25">
      <c r="A101" s="75" t="s">
        <v>135</v>
      </c>
      <c r="D101" s="70">
        <v>-1821589255.96</v>
      </c>
      <c r="E101" s="70">
        <v>928315893.65999997</v>
      </c>
      <c r="F101" s="70">
        <v>1305411999.6700001</v>
      </c>
      <c r="G101" s="70">
        <v>1068906332.63</v>
      </c>
      <c r="H101" s="70">
        <v>909386497.78999996</v>
      </c>
      <c r="I101" s="70">
        <v>645445084.58000004</v>
      </c>
      <c r="J101" s="70">
        <v>364722774.31999999</v>
      </c>
      <c r="K101" s="70">
        <v>308762015.88</v>
      </c>
      <c r="L101" s="70">
        <v>256413581.34</v>
      </c>
      <c r="M101" s="70">
        <v>222218569.81999999</v>
      </c>
      <c r="N101" s="70">
        <v>163337928.84</v>
      </c>
      <c r="O101" s="70">
        <v>88412035.549999997</v>
      </c>
    </row>
    <row r="102" spans="1:15" ht="47.25" x14ac:dyDescent="0.25">
      <c r="B102" s="75" t="s">
        <v>136</v>
      </c>
      <c r="D102" s="70">
        <v>-1807041973.76</v>
      </c>
      <c r="E102" s="70">
        <v>903203379.28999996</v>
      </c>
      <c r="F102" s="70">
        <v>1315040775.45</v>
      </c>
      <c r="G102" s="70">
        <v>1067244218.42</v>
      </c>
      <c r="H102" s="70">
        <v>895224757.71000004</v>
      </c>
      <c r="I102" s="70">
        <v>630560934.01999998</v>
      </c>
      <c r="J102" s="70">
        <v>361183249.79000002</v>
      </c>
      <c r="K102" s="70">
        <v>308423861.72000003</v>
      </c>
      <c r="L102" s="70">
        <v>256413581.34</v>
      </c>
      <c r="M102" s="70">
        <v>222218569.81999999</v>
      </c>
      <c r="N102" s="70">
        <v>163337928.84</v>
      </c>
      <c r="O102" s="70">
        <v>88412035.549999997</v>
      </c>
    </row>
    <row r="103" spans="1:15" ht="31.5" x14ac:dyDescent="0.25">
      <c r="B103" s="75" t="s">
        <v>137</v>
      </c>
      <c r="D103" s="70">
        <v>-14547282.199999999</v>
      </c>
      <c r="E103" s="70">
        <v>25112514.370000001</v>
      </c>
      <c r="F103" s="70">
        <v>-9628775.7799999993</v>
      </c>
      <c r="G103" s="70">
        <v>1662114.21</v>
      </c>
      <c r="H103" s="70">
        <v>14161740.08</v>
      </c>
      <c r="I103" s="70">
        <v>14884150.560000001</v>
      </c>
      <c r="J103" s="70">
        <v>3539524.53</v>
      </c>
      <c r="K103" s="70">
        <v>338154.16</v>
      </c>
      <c r="L103" s="70">
        <v>-132284.64000000001</v>
      </c>
    </row>
    <row r="104" spans="1:15" ht="31.5" x14ac:dyDescent="0.25">
      <c r="A104" s="75" t="s">
        <v>138</v>
      </c>
    </row>
    <row r="105" spans="1:15" x14ac:dyDescent="0.25">
      <c r="B105" s="75" t="s">
        <v>139</v>
      </c>
      <c r="D105" s="70">
        <v>-0.67020000000000002</v>
      </c>
      <c r="E105" s="70">
        <v>0.51239999999999997</v>
      </c>
      <c r="F105" s="70">
        <v>0.89</v>
      </c>
      <c r="G105" s="70">
        <v>0.73</v>
      </c>
      <c r="H105" s="70">
        <v>0.62</v>
      </c>
      <c r="I105" s="70">
        <v>0.45</v>
      </c>
      <c r="J105">
        <v>0.65</v>
      </c>
      <c r="K105">
        <v>0.55000000000000004</v>
      </c>
      <c r="L105" s="70">
        <v>0.46</v>
      </c>
      <c r="M105" s="70">
        <v>0.4</v>
      </c>
      <c r="N105" s="70">
        <v>1.26</v>
      </c>
      <c r="O105" s="70">
        <v>0.7</v>
      </c>
    </row>
    <row r="106" spans="1:15" x14ac:dyDescent="0.25">
      <c r="B106" s="75" t="s">
        <v>140</v>
      </c>
      <c r="D106" s="70">
        <v>-0.67020000000000002</v>
      </c>
      <c r="E106" s="70">
        <v>0.51239999999999997</v>
      </c>
      <c r="F106" s="70">
        <v>0.89</v>
      </c>
      <c r="G106" s="70">
        <v>0.73</v>
      </c>
      <c r="H106" s="70">
        <v>0.62</v>
      </c>
      <c r="I106" s="70">
        <v>0.45</v>
      </c>
      <c r="J106">
        <v>0.65</v>
      </c>
      <c r="K106">
        <v>0.55000000000000004</v>
      </c>
      <c r="L106" s="70">
        <v>0.46</v>
      </c>
      <c r="M106" s="70">
        <v>0.4</v>
      </c>
      <c r="N106" s="70">
        <v>1.26</v>
      </c>
      <c r="O106" s="70">
        <v>0.7</v>
      </c>
    </row>
    <row r="107" spans="1:15" x14ac:dyDescent="0.25">
      <c r="D107" s="75"/>
    </row>
  </sheetData>
  <phoneticPr fontId="2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H38" sqref="H38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217</v>
      </c>
      <c r="E2" s="70">
        <v>1492934038.47</v>
      </c>
      <c r="F2" s="70">
        <v>1330667190.52</v>
      </c>
      <c r="G2" s="70">
        <v>1119101028.3499999</v>
      </c>
      <c r="H2" s="70">
        <v>898782360.25</v>
      </c>
      <c r="I2" s="70"/>
      <c r="J2" s="70"/>
      <c r="K2" s="70"/>
      <c r="L2" s="70"/>
      <c r="M2" s="70"/>
      <c r="N2" s="70"/>
      <c r="O2" s="70"/>
      <c r="P2" s="70"/>
    </row>
    <row r="3" spans="1:16" ht="31.5" outlineLevel="2" x14ac:dyDescent="0.25">
      <c r="C3" s="75" t="s">
        <v>192</v>
      </c>
      <c r="E3" s="70">
        <v>41188799.609999999</v>
      </c>
      <c r="F3" s="70">
        <v>23369465.16</v>
      </c>
      <c r="G3" s="70">
        <v>11633547.98</v>
      </c>
      <c r="H3" s="70">
        <v>9462741.4499999993</v>
      </c>
    </row>
    <row r="4" spans="1:16" ht="63" outlineLevel="2" x14ac:dyDescent="0.25">
      <c r="C4" s="75" t="s">
        <v>193</v>
      </c>
      <c r="E4" s="70">
        <v>45726704.109999999</v>
      </c>
      <c r="F4" s="70">
        <v>51532750.43</v>
      </c>
      <c r="G4" s="70">
        <v>23273456.649999999</v>
      </c>
      <c r="H4" s="70">
        <v>27386626.190000001</v>
      </c>
      <c r="I4" s="70"/>
      <c r="J4" s="70"/>
      <c r="K4" s="70"/>
      <c r="L4" s="70"/>
      <c r="M4" s="70"/>
      <c r="N4" s="70"/>
      <c r="O4" s="70"/>
      <c r="P4" s="70"/>
    </row>
    <row r="5" spans="1:16" ht="47.25" outlineLevel="1" x14ac:dyDescent="0.25">
      <c r="B5" s="75" t="s">
        <v>194</v>
      </c>
      <c r="E5" s="70">
        <v>1579849542.1900001</v>
      </c>
      <c r="F5" s="70">
        <v>1405569406.1099999</v>
      </c>
      <c r="G5" s="70">
        <v>1154008032.98</v>
      </c>
      <c r="H5" s="70">
        <v>935631727.88999999</v>
      </c>
      <c r="I5" s="70"/>
      <c r="J5" s="70"/>
      <c r="K5" s="70"/>
      <c r="L5" s="70"/>
      <c r="M5" s="70"/>
      <c r="N5" s="70"/>
      <c r="O5" s="70"/>
      <c r="P5" s="70"/>
    </row>
    <row r="6" spans="1:16" ht="63" outlineLevel="2" x14ac:dyDescent="0.25">
      <c r="C6" s="75" t="s">
        <v>195</v>
      </c>
      <c r="E6" s="70">
        <v>1021727527.39</v>
      </c>
      <c r="F6" s="70">
        <v>869362540.89999998</v>
      </c>
      <c r="G6" s="70">
        <v>739795936</v>
      </c>
      <c r="H6" s="70">
        <v>564412837.33000004</v>
      </c>
      <c r="I6" s="70"/>
      <c r="J6" s="70"/>
      <c r="K6" s="70"/>
      <c r="L6" s="70"/>
      <c r="M6" s="70"/>
      <c r="N6" s="70"/>
      <c r="O6" s="70"/>
      <c r="P6" s="70"/>
    </row>
    <row r="7" spans="1:16" ht="63" outlineLevel="2" x14ac:dyDescent="0.25">
      <c r="C7" s="75" t="s">
        <v>196</v>
      </c>
      <c r="E7" s="70">
        <v>195128820.47</v>
      </c>
      <c r="F7" s="70">
        <v>160675521.28</v>
      </c>
      <c r="G7" s="70">
        <v>137934679.34</v>
      </c>
      <c r="H7" s="70">
        <v>117884553.95999999</v>
      </c>
      <c r="I7" s="70"/>
      <c r="J7" s="70"/>
      <c r="K7" s="70"/>
      <c r="L7" s="70"/>
      <c r="M7" s="70"/>
      <c r="N7" s="70"/>
      <c r="O7" s="70"/>
      <c r="P7" s="70"/>
    </row>
    <row r="8" spans="1:16" ht="31.5" outlineLevel="2" x14ac:dyDescent="0.25">
      <c r="C8" s="75" t="s">
        <v>197</v>
      </c>
      <c r="E8" s="70">
        <v>110158582.16</v>
      </c>
      <c r="F8" s="70">
        <v>81071338.489999995</v>
      </c>
      <c r="G8" s="70">
        <v>61291473.289999999</v>
      </c>
      <c r="H8" s="70">
        <v>48055621.25</v>
      </c>
      <c r="I8" s="70"/>
      <c r="J8" s="70"/>
      <c r="K8" s="70"/>
      <c r="L8" s="70"/>
      <c r="M8" s="70"/>
      <c r="N8" s="70"/>
      <c r="O8" s="70"/>
      <c r="P8" s="70"/>
    </row>
    <row r="9" spans="1:16" ht="63" outlineLevel="2" x14ac:dyDescent="0.25">
      <c r="C9" s="75" t="s">
        <v>198</v>
      </c>
      <c r="E9" s="70">
        <v>126075852.59999999</v>
      </c>
      <c r="F9" s="70">
        <v>154739248.72</v>
      </c>
      <c r="G9" s="70">
        <v>112844694.69</v>
      </c>
      <c r="H9" s="70">
        <v>71429940.959999993</v>
      </c>
      <c r="I9" s="70"/>
      <c r="J9" s="70"/>
      <c r="K9" s="70"/>
      <c r="L9" s="70"/>
      <c r="M9" s="70"/>
      <c r="N9" s="70"/>
      <c r="O9" s="70"/>
      <c r="P9" s="70"/>
    </row>
    <row r="10" spans="1:16" ht="47.25" outlineLevel="1" x14ac:dyDescent="0.25">
      <c r="B10" s="75" t="s">
        <v>199</v>
      </c>
      <c r="E10" s="70">
        <v>1453090782.6199999</v>
      </c>
      <c r="F10" s="70">
        <v>1265848649.3900001</v>
      </c>
      <c r="G10" s="70">
        <v>1051866783.3200001</v>
      </c>
      <c r="H10" s="70">
        <v>801782953.5</v>
      </c>
      <c r="I10" s="70"/>
      <c r="J10" s="70"/>
      <c r="K10" s="70"/>
      <c r="L10" s="70"/>
      <c r="M10" s="70"/>
      <c r="N10" s="70"/>
      <c r="O10" s="70"/>
      <c r="P10" s="70"/>
    </row>
    <row r="11" spans="1:16" s="83" customFormat="1" ht="47.25" x14ac:dyDescent="0.25">
      <c r="A11" s="81" t="s">
        <v>218</v>
      </c>
      <c r="B11" s="81"/>
      <c r="C11" s="81"/>
      <c r="D11" s="81"/>
      <c r="E11" s="82">
        <v>126758759.56999999</v>
      </c>
      <c r="F11" s="82">
        <v>139720756.72</v>
      </c>
      <c r="G11" s="82">
        <v>102141249.66</v>
      </c>
      <c r="H11" s="82">
        <v>133848774.39</v>
      </c>
      <c r="I11" s="82"/>
      <c r="J11" s="82"/>
      <c r="K11" s="82"/>
      <c r="L11" s="82"/>
      <c r="M11" s="82"/>
      <c r="N11" s="82"/>
      <c r="O11" s="82"/>
      <c r="P11" s="82"/>
    </row>
    <row r="12" spans="1:16" ht="47.25" outlineLevel="1" x14ac:dyDescent="0.25">
      <c r="C12" s="75" t="s">
        <v>200</v>
      </c>
      <c r="E12" s="70">
        <v>1596685518.6199999</v>
      </c>
      <c r="F12" s="70">
        <v>1095000000</v>
      </c>
      <c r="G12" s="70">
        <v>20082465.75</v>
      </c>
      <c r="H12" s="70">
        <v>103120064.31999999</v>
      </c>
      <c r="I12" s="70"/>
      <c r="J12" s="70"/>
      <c r="K12" s="70"/>
      <c r="L12" s="70"/>
      <c r="P12" s="70"/>
    </row>
    <row r="13" spans="1:16" ht="47.25" outlineLevel="1" x14ac:dyDescent="0.25">
      <c r="C13" s="75" t="s">
        <v>233</v>
      </c>
      <c r="E13" s="70">
        <v>12988548.4</v>
      </c>
      <c r="F13" s="70">
        <v>10127757.43</v>
      </c>
      <c r="G13" s="70"/>
      <c r="H13" s="70"/>
      <c r="I13" s="70"/>
      <c r="J13" s="70"/>
      <c r="K13" s="70"/>
      <c r="L13" s="70"/>
      <c r="M13" s="70"/>
    </row>
    <row r="14" spans="1:16" ht="110.25" outlineLevel="1" x14ac:dyDescent="0.25">
      <c r="C14" s="75" t="s">
        <v>201</v>
      </c>
      <c r="E14" s="70">
        <v>63410</v>
      </c>
      <c r="F14" s="70">
        <v>7228</v>
      </c>
      <c r="G14" s="70">
        <v>27555.9</v>
      </c>
      <c r="H14" s="70">
        <v>73920</v>
      </c>
      <c r="I14" s="70"/>
      <c r="J14" s="70"/>
      <c r="K14" s="70"/>
      <c r="L14" s="70"/>
      <c r="M14" s="70"/>
      <c r="N14" s="70"/>
      <c r="O14" s="70"/>
      <c r="P14" s="70"/>
    </row>
    <row r="15" spans="1:16" ht="94.5" outlineLevel="1" x14ac:dyDescent="0.25">
      <c r="C15" s="75" t="s">
        <v>234</v>
      </c>
      <c r="E15" s="70"/>
      <c r="F15" s="70"/>
      <c r="G15" s="70"/>
      <c r="H15" s="70"/>
      <c r="I15" s="70"/>
      <c r="J15" s="70"/>
      <c r="L15" s="70"/>
      <c r="M15" s="70"/>
      <c r="N15" s="70"/>
      <c r="O15" s="70"/>
      <c r="P15" s="70"/>
    </row>
    <row r="16" spans="1:16" ht="63" outlineLevel="1" x14ac:dyDescent="0.25">
      <c r="C16" s="75" t="s">
        <v>242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6" ht="47.25" outlineLevel="1" collapsed="1" x14ac:dyDescent="0.25">
      <c r="B17" s="75" t="s">
        <v>202</v>
      </c>
      <c r="E17" s="70">
        <v>1609737477.02</v>
      </c>
      <c r="F17" s="70">
        <v>1105134985.4300001</v>
      </c>
      <c r="G17" s="70">
        <v>20110021.649999999</v>
      </c>
      <c r="H17" s="70">
        <v>103193984.31999999</v>
      </c>
      <c r="I17" s="70"/>
      <c r="J17" s="70"/>
      <c r="K17" s="70"/>
      <c r="L17" s="70"/>
      <c r="M17" s="70"/>
      <c r="O17" s="70"/>
      <c r="P17" s="70"/>
    </row>
    <row r="18" spans="1:16" ht="110.25" outlineLevel="2" x14ac:dyDescent="0.25">
      <c r="C18" s="75" t="s">
        <v>203</v>
      </c>
      <c r="E18" s="70">
        <v>72842815.840000004</v>
      </c>
      <c r="F18" s="70">
        <v>44836090.560000002</v>
      </c>
      <c r="G18" s="70">
        <v>19458687.289999999</v>
      </c>
      <c r="H18" s="70">
        <v>9334115.5800000001</v>
      </c>
      <c r="I18" s="70"/>
      <c r="J18" s="70"/>
      <c r="K18" s="70"/>
      <c r="L18" s="70"/>
      <c r="M18" s="70"/>
      <c r="N18" s="70"/>
      <c r="O18" s="70"/>
      <c r="P18" s="70"/>
    </row>
    <row r="19" spans="1:16" ht="31.5" outlineLevel="2" x14ac:dyDescent="0.25">
      <c r="C19" s="75" t="s">
        <v>204</v>
      </c>
      <c r="E19" s="70">
        <v>1654000060</v>
      </c>
      <c r="F19" s="70">
        <v>1445000000</v>
      </c>
      <c r="G19" s="70">
        <v>20000000</v>
      </c>
      <c r="H19" s="70">
        <v>94890000</v>
      </c>
      <c r="I19" s="70"/>
      <c r="J19" s="70"/>
      <c r="K19" s="70"/>
      <c r="L19" s="70"/>
      <c r="P19" s="70"/>
    </row>
    <row r="20" spans="1:16" ht="94.5" outlineLevel="2" x14ac:dyDescent="0.25">
      <c r="C20" s="75" t="s">
        <v>205</v>
      </c>
      <c r="E20" s="70"/>
      <c r="F20" s="70"/>
      <c r="G20" s="70"/>
      <c r="H20" s="70"/>
      <c r="I20" s="70"/>
      <c r="J20" s="70"/>
      <c r="K20" s="70"/>
      <c r="M20" s="70"/>
    </row>
    <row r="21" spans="1:16" ht="63" outlineLevel="2" x14ac:dyDescent="0.25">
      <c r="C21" s="75" t="s">
        <v>206</v>
      </c>
      <c r="E21" s="70"/>
      <c r="F21" s="70"/>
      <c r="G21" s="70">
        <v>220646.72</v>
      </c>
      <c r="H21" s="70"/>
      <c r="K21" s="70"/>
      <c r="O21" s="70"/>
      <c r="P21" s="70"/>
    </row>
    <row r="22" spans="1:16" ht="47.25" outlineLevel="1" x14ac:dyDescent="0.25">
      <c r="B22" s="75" t="s">
        <v>207</v>
      </c>
      <c r="E22" s="70">
        <v>1726842875.8399999</v>
      </c>
      <c r="F22" s="70">
        <v>1489836090.5599999</v>
      </c>
      <c r="G22" s="70">
        <v>39679334.009999998</v>
      </c>
      <c r="H22" s="70">
        <v>104224115.58</v>
      </c>
      <c r="I22" s="70"/>
      <c r="J22" s="70"/>
      <c r="K22" s="70"/>
      <c r="L22" s="70"/>
      <c r="M22" s="70"/>
      <c r="N22" s="70"/>
      <c r="O22" s="70"/>
      <c r="P22" s="70"/>
    </row>
    <row r="23" spans="1:16" s="83" customFormat="1" ht="47.25" x14ac:dyDescent="0.25">
      <c r="A23" s="81" t="s">
        <v>219</v>
      </c>
      <c r="B23" s="81"/>
      <c r="C23" s="81"/>
      <c r="D23" s="81"/>
      <c r="E23" s="82">
        <v>-117105398.81999999</v>
      </c>
      <c r="F23" s="82">
        <v>-384701105.13</v>
      </c>
      <c r="G23" s="82">
        <v>-19569312.359999999</v>
      </c>
      <c r="H23" s="82">
        <v>-1030131.26</v>
      </c>
      <c r="I23" s="82"/>
      <c r="J23" s="82"/>
      <c r="K23" s="82"/>
      <c r="L23" s="82"/>
      <c r="O23" s="82"/>
      <c r="P23" s="82"/>
    </row>
    <row r="24" spans="1:16" ht="47.25" x14ac:dyDescent="0.25">
      <c r="C24" s="75" t="s">
        <v>208</v>
      </c>
      <c r="E24" s="70"/>
      <c r="F24" s="70">
        <v>612562698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</row>
    <row r="25" spans="1:16" ht="47.25" x14ac:dyDescent="0.25">
      <c r="D25" s="75" t="s">
        <v>209</v>
      </c>
      <c r="E25" s="70"/>
      <c r="F25" s="70"/>
      <c r="G25" s="70"/>
      <c r="H25" s="70"/>
      <c r="I25" s="70"/>
      <c r="J25" s="70"/>
      <c r="K25" s="70"/>
      <c r="L25" s="70"/>
    </row>
    <row r="26" spans="1:16" ht="47.25" x14ac:dyDescent="0.25">
      <c r="C26" s="75" t="s">
        <v>210</v>
      </c>
      <c r="E26" s="70">
        <v>60000000</v>
      </c>
      <c r="F26" s="70"/>
      <c r="G26" s="70">
        <v>90400000</v>
      </c>
      <c r="H26" s="70">
        <v>50000000</v>
      </c>
      <c r="I26" s="70"/>
      <c r="J26" s="70"/>
      <c r="K26" s="70"/>
      <c r="L26" s="70"/>
      <c r="M26" s="70"/>
      <c r="N26" s="70"/>
      <c r="O26" s="70"/>
      <c r="P26" s="70"/>
    </row>
    <row r="27" spans="1:16" ht="63" x14ac:dyDescent="0.25">
      <c r="A27" s="113"/>
      <c r="B27" s="113"/>
      <c r="C27" s="113" t="s">
        <v>408</v>
      </c>
      <c r="D27" s="113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 spans="1:16" ht="47.25" x14ac:dyDescent="0.25">
      <c r="B28" s="75" t="s">
        <v>211</v>
      </c>
      <c r="E28" s="70">
        <v>60000000</v>
      </c>
      <c r="F28" s="70">
        <v>612562698</v>
      </c>
      <c r="G28" s="70">
        <v>90400000</v>
      </c>
      <c r="H28" s="70">
        <v>50000000</v>
      </c>
      <c r="I28" s="70"/>
      <c r="J28" s="70"/>
      <c r="K28" s="70"/>
      <c r="L28" s="70"/>
      <c r="M28" s="70"/>
      <c r="N28" s="70"/>
      <c r="O28" s="70"/>
      <c r="P28" s="70"/>
    </row>
    <row r="29" spans="1:16" ht="47.25" x14ac:dyDescent="0.25">
      <c r="C29" s="75" t="s">
        <v>212</v>
      </c>
      <c r="E29" s="70">
        <v>22925</v>
      </c>
      <c r="F29" s="70">
        <v>8000000</v>
      </c>
      <c r="G29" s="70">
        <v>132400000</v>
      </c>
      <c r="H29" s="70">
        <v>50000000</v>
      </c>
      <c r="I29" s="70"/>
      <c r="J29" s="70"/>
      <c r="K29" s="70"/>
      <c r="L29" s="70"/>
      <c r="M29" s="70"/>
      <c r="N29" s="70"/>
      <c r="O29" s="70"/>
      <c r="P29" s="70"/>
    </row>
    <row r="30" spans="1:16" ht="78.75" x14ac:dyDescent="0.25">
      <c r="C30" s="75" t="s">
        <v>213</v>
      </c>
      <c r="E30" s="70">
        <v>47799845.170000002</v>
      </c>
      <c r="F30" s="70">
        <v>78405126.530000001</v>
      </c>
      <c r="G30" s="70">
        <v>48559839.159999996</v>
      </c>
      <c r="H30" s="70">
        <v>73213557.859999999</v>
      </c>
      <c r="I30" s="70"/>
      <c r="J30" s="70"/>
      <c r="K30" s="70"/>
      <c r="L30" s="70"/>
      <c r="M30" s="70"/>
      <c r="N30" s="70"/>
      <c r="O30" s="70"/>
      <c r="P30" s="70"/>
    </row>
    <row r="31" spans="1:16" ht="47.25" x14ac:dyDescent="0.25">
      <c r="D31" s="75" t="s">
        <v>214</v>
      </c>
      <c r="E31" s="70"/>
      <c r="F31" s="70">
        <v>218400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</row>
    <row r="32" spans="1:16" ht="31.5" x14ac:dyDescent="0.25">
      <c r="D32" s="75" t="s">
        <v>235</v>
      </c>
      <c r="E32" s="70">
        <v>19988015.16</v>
      </c>
      <c r="F32" s="70">
        <v>14041988.49</v>
      </c>
      <c r="G32" s="70"/>
      <c r="H32" s="70">
        <v>1000000</v>
      </c>
      <c r="I32" s="70"/>
      <c r="J32" s="70"/>
      <c r="K32" s="70"/>
      <c r="L32" s="70"/>
      <c r="M32" s="70"/>
      <c r="N32" s="70"/>
      <c r="O32" s="70"/>
      <c r="P32" s="70"/>
    </row>
    <row r="33" spans="1:16" ht="47.25" x14ac:dyDescent="0.25">
      <c r="B33" s="75" t="s">
        <v>215</v>
      </c>
      <c r="E33" s="70">
        <v>67810785.329999998</v>
      </c>
      <c r="F33" s="70">
        <v>100447115.02</v>
      </c>
      <c r="G33" s="70">
        <v>180959839.16</v>
      </c>
      <c r="H33" s="70">
        <v>124213557.86</v>
      </c>
      <c r="I33" s="70"/>
      <c r="J33" s="70"/>
      <c r="K33" s="70"/>
      <c r="L33" s="70"/>
      <c r="M33" s="70"/>
      <c r="N33" s="70"/>
      <c r="O33" s="70"/>
      <c r="P33" s="70"/>
    </row>
    <row r="34" spans="1:16" s="83" customFormat="1" ht="47.25" x14ac:dyDescent="0.25">
      <c r="A34" s="81" t="s">
        <v>220</v>
      </c>
      <c r="B34" s="81"/>
      <c r="C34" s="81"/>
      <c r="D34" s="81"/>
      <c r="E34" s="82">
        <v>-7810785.3300000001</v>
      </c>
      <c r="F34" s="82">
        <v>512115582.98000002</v>
      </c>
      <c r="G34" s="82">
        <v>-90559839.159999996</v>
      </c>
      <c r="H34" s="82">
        <v>-74213557.859999999</v>
      </c>
      <c r="I34" s="82"/>
      <c r="J34" s="82"/>
      <c r="K34" s="82"/>
      <c r="L34" s="82"/>
      <c r="M34" s="82"/>
      <c r="N34" s="82"/>
      <c r="O34" s="82"/>
      <c r="P34" s="82"/>
    </row>
    <row r="35" spans="1:16" s="83" customFormat="1" ht="63" x14ac:dyDescent="0.25">
      <c r="A35" s="81" t="s">
        <v>221</v>
      </c>
      <c r="B35" s="81"/>
      <c r="C35" s="81"/>
      <c r="D35" s="81"/>
      <c r="E35" s="82">
        <v>-2749113.93</v>
      </c>
      <c r="F35" s="82">
        <v>716339.36</v>
      </c>
      <c r="G35" s="82">
        <v>1345839.62</v>
      </c>
      <c r="H35" s="82">
        <v>-3094391.19</v>
      </c>
      <c r="I35" s="82"/>
      <c r="J35" s="82"/>
      <c r="K35" s="82"/>
      <c r="L35" s="82"/>
      <c r="M35" s="82"/>
      <c r="P35" s="82"/>
    </row>
    <row r="36" spans="1:16" s="83" customFormat="1" ht="47.25" x14ac:dyDescent="0.25">
      <c r="A36" s="81" t="s">
        <v>222</v>
      </c>
      <c r="B36" s="81"/>
      <c r="C36" s="81"/>
      <c r="D36" s="81"/>
      <c r="E36" s="82">
        <v>-906538.51</v>
      </c>
      <c r="F36" s="82">
        <v>267851573.93000001</v>
      </c>
      <c r="G36" s="82">
        <v>-6642062.2400000002</v>
      </c>
      <c r="H36" s="82">
        <v>55510694.079999998</v>
      </c>
      <c r="I36" s="82"/>
      <c r="J36" s="82"/>
      <c r="K36" s="82"/>
      <c r="L36" s="82"/>
      <c r="N36" s="84"/>
      <c r="O36" s="82"/>
      <c r="P36" s="82">
        <v>47224096.109999999</v>
      </c>
    </row>
    <row r="37" spans="1:16" ht="47.25" x14ac:dyDescent="0.25">
      <c r="C37" s="75" t="s">
        <v>216</v>
      </c>
      <c r="E37" s="70">
        <v>489645767.69999999</v>
      </c>
      <c r="F37" s="70">
        <v>221794193.77000001</v>
      </c>
      <c r="G37" s="70">
        <v>228436256.00999999</v>
      </c>
      <c r="H37" s="70">
        <v>172925561.93000001</v>
      </c>
      <c r="I37" s="70"/>
      <c r="J37" s="70"/>
      <c r="K37" s="70"/>
      <c r="L37" s="70"/>
      <c r="M37" s="70"/>
      <c r="N37" s="70"/>
      <c r="O37" s="70"/>
      <c r="P37" s="70">
        <v>39443829.810000002</v>
      </c>
    </row>
    <row r="38" spans="1:16" s="83" customFormat="1" ht="47.25" x14ac:dyDescent="0.25">
      <c r="A38" s="81" t="s">
        <v>223</v>
      </c>
      <c r="B38" s="81"/>
      <c r="C38" s="81"/>
      <c r="D38" s="81"/>
      <c r="E38" s="82">
        <v>488739229.19</v>
      </c>
      <c r="F38" s="82">
        <v>489645767.69999999</v>
      </c>
      <c r="G38" s="82">
        <v>221794193.77000001</v>
      </c>
      <c r="H38" s="82">
        <v>228436256.00999999</v>
      </c>
      <c r="I38" s="82"/>
      <c r="J38" s="82"/>
      <c r="K38" s="82"/>
      <c r="L38" s="82"/>
      <c r="M38" s="84"/>
      <c r="N38" s="84"/>
      <c r="O38" s="82"/>
      <c r="P38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DCF速算</vt:lpstr>
      <vt:lpstr>增速估值</vt:lpstr>
      <vt:lpstr>真实数据估值</vt:lpstr>
      <vt:lpstr>在建工程历史</vt:lpstr>
      <vt:lpstr>财务分析</vt:lpstr>
      <vt:lpstr>宋城发展史</vt:lpstr>
      <vt:lpstr>分产品营业收入成本分析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2021-07-23T00:51:25Z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c77fe969</vt:lpwstr>
  </property>
</Properties>
</file>