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601318_中国平安/"/>
    </mc:Choice>
  </mc:AlternateContent>
  <bookViews>
    <workbookView xWindow="0" yWindow="460" windowWidth="25600" windowHeight="14780" activeTab="2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账款周转率" sheetId="7" r:id="rId5"/>
    <sheet name="存货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C14" i="3"/>
  <c r="D14" i="3"/>
  <c r="E14" i="3"/>
  <c r="F14" i="3"/>
  <c r="G14" i="3"/>
  <c r="G15" i="3"/>
  <c r="B15" i="3"/>
  <c r="C15" i="3"/>
  <c r="D15" i="3"/>
  <c r="E15" i="3"/>
  <c r="F15" i="3"/>
  <c r="H15" i="3"/>
  <c r="J15" i="3"/>
  <c r="L15" i="3"/>
  <c r="A10" i="3"/>
  <c r="B6" i="3"/>
  <c r="B5" i="3"/>
  <c r="J19" i="3"/>
  <c r="J20" i="3"/>
  <c r="J21" i="3"/>
  <c r="J22" i="3"/>
  <c r="J23" i="3"/>
  <c r="J24" i="3"/>
  <c r="J25" i="3"/>
  <c r="J26" i="3"/>
  <c r="J27" i="3"/>
  <c r="W14" i="4"/>
  <c r="I5" i="4"/>
  <c r="I6" i="4"/>
  <c r="I7" i="4"/>
  <c r="I8" i="4"/>
  <c r="I9" i="4"/>
  <c r="I10" i="4"/>
  <c r="I11" i="4"/>
  <c r="I12" i="4"/>
  <c r="I13" i="4"/>
  <c r="H14" i="4"/>
  <c r="I14" i="4"/>
  <c r="H5" i="4"/>
  <c r="H6" i="4"/>
  <c r="H7" i="4"/>
  <c r="H8" i="4"/>
  <c r="H9" i="4"/>
  <c r="H10" i="4"/>
  <c r="H11" i="4"/>
  <c r="H12" i="4"/>
  <c r="H13" i="4"/>
  <c r="S14" i="4"/>
  <c r="E14" i="4"/>
  <c r="K12" i="4"/>
  <c r="F12" i="4"/>
  <c r="G12" i="4"/>
  <c r="L14" i="4"/>
  <c r="A5" i="4"/>
  <c r="A6" i="4"/>
  <c r="A7" i="4"/>
  <c r="A8" i="4"/>
  <c r="A9" i="4"/>
  <c r="A10" i="4"/>
  <c r="A11" i="4"/>
  <c r="A12" i="4"/>
  <c r="A13" i="4"/>
  <c r="X14" i="4"/>
  <c r="Y14" i="4"/>
  <c r="Z14" i="4"/>
  <c r="AA14" i="4"/>
  <c r="AB14" i="4"/>
  <c r="AC14" i="4"/>
  <c r="D14" i="4"/>
  <c r="J14" i="4"/>
  <c r="M14" i="4"/>
  <c r="N14" i="4"/>
  <c r="O14" i="4"/>
  <c r="P14" i="4"/>
  <c r="T14" i="4"/>
  <c r="Q14" i="4"/>
  <c r="R14" i="4"/>
  <c r="U14" i="4"/>
  <c r="V14" i="4"/>
  <c r="H4" i="4"/>
  <c r="H5" i="7"/>
  <c r="H6" i="7"/>
  <c r="H7" i="7"/>
  <c r="H8" i="7"/>
  <c r="H9" i="7"/>
  <c r="H10" i="7"/>
  <c r="H11" i="7"/>
  <c r="H12" i="7"/>
  <c r="H13" i="7"/>
  <c r="H4" i="7"/>
  <c r="G5" i="7"/>
  <c r="G6" i="7"/>
  <c r="G7" i="7"/>
  <c r="G8" i="7"/>
  <c r="G9" i="7"/>
  <c r="G10" i="7"/>
  <c r="G11" i="7"/>
  <c r="G12" i="7"/>
  <c r="G13" i="7"/>
  <c r="G4" i="7"/>
  <c r="D13" i="7"/>
  <c r="F5" i="7"/>
  <c r="F6" i="7"/>
  <c r="F7" i="7"/>
  <c r="F8" i="7"/>
  <c r="F9" i="7"/>
  <c r="F10" i="7"/>
  <c r="F11" i="7"/>
  <c r="F12" i="7"/>
  <c r="F13" i="7"/>
  <c r="F4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K13" i="7"/>
  <c r="E13" i="7"/>
  <c r="L13" i="7"/>
  <c r="I13" i="7"/>
  <c r="J13" i="7"/>
  <c r="C13" i="7"/>
  <c r="B13" i="7"/>
  <c r="L12" i="7"/>
  <c r="I12" i="7"/>
  <c r="J12" i="7"/>
  <c r="A5" i="7"/>
  <c r="A6" i="7"/>
  <c r="A7" i="7"/>
  <c r="A8" i="7"/>
  <c r="A9" i="7"/>
  <c r="A10" i="7"/>
  <c r="A11" i="7"/>
  <c r="A12" i="7"/>
  <c r="L11" i="7"/>
  <c r="I11" i="7"/>
  <c r="J11" i="7"/>
  <c r="L10" i="7"/>
  <c r="I10" i="7"/>
  <c r="J10" i="7"/>
  <c r="L9" i="7"/>
  <c r="I9" i="7"/>
  <c r="J9" i="7"/>
  <c r="L8" i="7"/>
  <c r="I8" i="7"/>
  <c r="J8" i="7"/>
  <c r="L7" i="7"/>
  <c r="I7" i="7"/>
  <c r="J7" i="7"/>
  <c r="L6" i="7"/>
  <c r="I6" i="7"/>
  <c r="J6" i="7"/>
  <c r="L5" i="7"/>
  <c r="I5" i="7"/>
  <c r="J5" i="7"/>
  <c r="L4" i="7"/>
  <c r="I4" i="7"/>
  <c r="J4" i="7"/>
  <c r="J83" i="1"/>
  <c r="J84" i="1"/>
  <c r="J85" i="1"/>
  <c r="J86" i="1"/>
  <c r="J87" i="1"/>
  <c r="J88" i="1"/>
  <c r="J89" i="1"/>
  <c r="J90" i="1"/>
  <c r="J82" i="1"/>
  <c r="A83" i="1"/>
  <c r="A84" i="1"/>
  <c r="A85" i="1"/>
  <c r="A86" i="1"/>
  <c r="A87" i="1"/>
  <c r="A88" i="1"/>
  <c r="A89" i="1"/>
  <c r="A90" i="1"/>
  <c r="H16" i="3"/>
  <c r="K5" i="4"/>
  <c r="K6" i="4"/>
  <c r="K7" i="4"/>
  <c r="K8" i="4"/>
  <c r="K9" i="4"/>
  <c r="K10" i="4"/>
  <c r="K11" i="4"/>
  <c r="K13" i="4"/>
  <c r="K14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B14" i="4"/>
  <c r="C14" i="4"/>
  <c r="F14" i="4"/>
  <c r="G5" i="4"/>
  <c r="G6" i="4"/>
  <c r="G7" i="4"/>
  <c r="G8" i="4"/>
  <c r="G9" i="4"/>
  <c r="G10" i="4"/>
  <c r="G11" i="4"/>
  <c r="G13" i="4"/>
  <c r="G14" i="4"/>
  <c r="G4" i="4"/>
  <c r="F5" i="4"/>
  <c r="F6" i="4"/>
  <c r="F7" i="4"/>
  <c r="F8" i="4"/>
  <c r="F9" i="4"/>
  <c r="F10" i="4"/>
  <c r="F11" i="4"/>
  <c r="F13" i="4"/>
  <c r="F4" i="4"/>
  <c r="D4" i="3"/>
  <c r="E4" i="3"/>
  <c r="F4" i="3"/>
  <c r="G4" i="3"/>
  <c r="H4" i="3"/>
  <c r="I4" i="3"/>
  <c r="J4" i="3"/>
  <c r="K4" i="3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I60" i="1"/>
  <c r="C60" i="1"/>
  <c r="L59" i="1"/>
  <c r="I59" i="1"/>
  <c r="C59" i="1"/>
  <c r="L58" i="1"/>
  <c r="I58" i="1"/>
  <c r="C58" i="1"/>
  <c r="L57" i="1"/>
  <c r="I57" i="1"/>
  <c r="C57" i="1"/>
  <c r="L56" i="1"/>
  <c r="I56" i="1"/>
  <c r="C56" i="1"/>
  <c r="L55" i="1"/>
  <c r="I55" i="1"/>
  <c r="C55" i="1"/>
  <c r="L54" i="1"/>
  <c r="I54" i="1"/>
  <c r="C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F19" i="1"/>
  <c r="I19" i="1"/>
  <c r="L19" i="1"/>
  <c r="N19" i="1"/>
  <c r="C19" i="1"/>
  <c r="I20" i="1"/>
  <c r="L20" i="1"/>
  <c r="N20" i="1"/>
  <c r="C20" i="1"/>
  <c r="I21" i="1"/>
  <c r="L21" i="1"/>
  <c r="N21" i="1"/>
  <c r="C21" i="1"/>
  <c r="I22" i="1"/>
  <c r="L22" i="1"/>
  <c r="N22" i="1"/>
  <c r="C22" i="1"/>
  <c r="I23" i="1"/>
  <c r="L23" i="1"/>
  <c r="N23" i="1"/>
  <c r="C23" i="1"/>
  <c r="I24" i="1"/>
  <c r="L24" i="1"/>
  <c r="N24" i="1"/>
  <c r="C24" i="1"/>
  <c r="I25" i="1"/>
  <c r="L25" i="1"/>
  <c r="N25" i="1"/>
  <c r="C25" i="1"/>
  <c r="I26" i="1"/>
  <c r="L26" i="1"/>
  <c r="N26" i="1"/>
  <c r="C26" i="1"/>
  <c r="I27" i="1"/>
  <c r="L27" i="1"/>
  <c r="N27" i="1"/>
  <c r="C27" i="1"/>
  <c r="I28" i="1"/>
  <c r="L28" i="1"/>
  <c r="N28" i="1"/>
  <c r="C28" i="1"/>
  <c r="N29" i="1"/>
  <c r="C29" i="1"/>
  <c r="F18" i="1"/>
  <c r="I18" i="1"/>
  <c r="L18" i="1"/>
  <c r="N18" i="1"/>
  <c r="C18" i="1"/>
  <c r="C50" i="1"/>
  <c r="C51" i="1"/>
  <c r="C36" i="1"/>
  <c r="C35" i="1"/>
  <c r="I4" i="4"/>
  <c r="F4" i="6"/>
  <c r="P68" i="1"/>
  <c r="C68" i="1"/>
  <c r="N68" i="1"/>
  <c r="P69" i="1"/>
  <c r="C69" i="1"/>
  <c r="N69" i="1"/>
  <c r="P70" i="1"/>
  <c r="C70" i="1"/>
  <c r="N70" i="1"/>
  <c r="P71" i="1"/>
  <c r="C71" i="1"/>
  <c r="N71" i="1"/>
  <c r="P72" i="1"/>
  <c r="C72" i="1"/>
  <c r="N72" i="1"/>
  <c r="P73" i="1"/>
  <c r="C73" i="1"/>
  <c r="N73" i="1"/>
  <c r="P74" i="1"/>
  <c r="C74" i="1"/>
  <c r="N74" i="1"/>
  <c r="P75" i="1"/>
  <c r="C75" i="1"/>
  <c r="N75" i="1"/>
  <c r="P76" i="1"/>
  <c r="C76" i="1"/>
  <c r="N76" i="1"/>
</calcChain>
</file>

<file path=xl/sharedStrings.xml><?xml version="1.0" encoding="utf-8"?>
<sst xmlns="http://schemas.openxmlformats.org/spreadsheetml/2006/main" count="174" uniqueCount="136">
  <si>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</si>
  <si>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</si>
  <si>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</si>
  <si>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</si>
  <si>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</si>
  <si>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</si>
  <si>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</si>
  <si>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</si>
  <si>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</si>
  <si>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</si>
  <si>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</si>
  <si>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</si>
  <si>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</si>
  <si>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</si>
  <si>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</si>
  <si>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</si>
  <si>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</si>
  <si>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</si>
  <si>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</si>
  <si>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</si>
  <si>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</si>
  <si>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</si>
  <si>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</si>
  <si>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</si>
  <si>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</si>
  <si>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</si>
  <si>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</si>
  <si>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</si>
  <si>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</si>
  <si>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</si>
  <si>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</si>
  <si>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</si>
  <si>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</si>
  <si>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</si>
  <si>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</si>
  <si>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</si>
  <si>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</si>
  <si>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</si>
  <si>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</si>
  <si>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</si>
  <si>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</si>
  <si>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</si>
  <si>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</si>
  <si>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</si>
  <si>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</si>
  <si>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</si>
  <si>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</si>
  <si>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</si>
  <si>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</si>
  <si>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</si>
  <si>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</si>
  <si>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</si>
  <si>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</si>
  <si>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</si>
  <si>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</si>
  <si>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</si>
  <si>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</si>
  <si>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</si>
  <si>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</si>
  <si>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</si>
  <si>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</si>
  <si>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</si>
  <si>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</si>
  <si>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</si>
  <si>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</si>
  <si>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</si>
  <si>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</si>
  <si>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</si>
  <si>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</si>
  <si>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</si>
  <si>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</si>
  <si>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</si>
  <si>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</si>
  <si>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</si>
  <si>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</si>
  <si>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</si>
  <si>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</si>
  <si>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</si>
  <si>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</si>
  <si>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</si>
  <si>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</si>
  <si>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</si>
  <si>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</si>
  <si>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</si>
  <si>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</si>
  <si>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</si>
  <si>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</si>
  <si>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</si>
  <si>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</si>
  <si>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</si>
  <si>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</si>
  <si>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</si>
  <si>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</si>
  <si>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</si>
  <si>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</si>
  <si>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</si>
  <si>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</si>
  <si>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</si>
  <si>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</si>
  <si>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</si>
  <si>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</si>
  <si>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</si>
  <si>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</si>
  <si>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</si>
  <si>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</si>
  <si>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</si>
  <si>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</si>
  <si>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</si>
  <si>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现利比为130.93%，占比健康，现金流比净利润大，分析主要原因，近9年累积净利润51亿，累积经营活动现金流净额只有67亿，差值16亿
近9年的差值主要为：折旧9亿+无形资产摊销+1.79亿+长期待摊销1.24亿+固定资产报废损失0.86+资产减值0.47+财务费用1.04亿+应付增加了9.48亿-应收增加了4.3亿-投资损失4.2亿=15.38亿约等于16亿
可以看到，差值的主要原因是：
1. 折旧9亿，利润减少，但现金流未流出，重资产公司，符合宋城特点。
2. 无形资产摊销+长期摊销3.03亿
3. 应付-应收增加4.18亿
4. 投资损失了4.2亿
总结：当前财报暂时未看出大问题，典型的第三方外包项目型公司</t>
    <rPh sb="3" eb="4">
      <t>wei</t>
    </rPh>
    <rPh sb="12" eb="13">
      <t>zhan'bi</t>
    </rPh>
    <rPh sb="14" eb="15">
      <t>jian'kang</t>
    </rPh>
    <rPh sb="17" eb="18">
      <t>xian'jin'liu</t>
    </rPh>
    <rPh sb="20" eb="21">
      <t>bi</t>
    </rPh>
    <rPh sb="21" eb="22">
      <t>jing'li'run</t>
    </rPh>
    <rPh sb="24" eb="25">
      <t>da</t>
    </rPh>
    <rPh sb="26" eb="27">
      <t>fen'xi</t>
    </rPh>
    <rPh sb="28" eb="29">
      <t>zhu'yao</t>
    </rPh>
    <rPh sb="30" eb="31">
      <t>yuan'y</t>
    </rPh>
    <rPh sb="33" eb="34">
      <t>jin</t>
    </rPh>
    <rPh sb="35" eb="36">
      <t>nian</t>
    </rPh>
    <rPh sb="36" eb="37">
      <t>lei'ji</t>
    </rPh>
    <rPh sb="38" eb="39">
      <t>jing'li'run</t>
    </rPh>
    <rPh sb="43" eb="44">
      <t>yi</t>
    </rPh>
    <rPh sb="45" eb="46">
      <t>lei'ji</t>
    </rPh>
    <rPh sb="47" eb="48">
      <t>jing'ying</t>
    </rPh>
    <rPh sb="49" eb="50">
      <t>huo'dong</t>
    </rPh>
    <rPh sb="51" eb="52">
      <t>xian'jin'liu</t>
    </rPh>
    <rPh sb="54" eb="55">
      <t>jing'e</t>
    </rPh>
    <rPh sb="56" eb="57">
      <t>zhi'you</t>
    </rPh>
    <rPh sb="60" eb="61">
      <t>yi</t>
    </rPh>
    <rPh sb="62" eb="63">
      <t>cha'zhi</t>
    </rPh>
    <rPh sb="66" eb="67">
      <t>yi</t>
    </rPh>
    <rPh sb="96" eb="97">
      <t>chang'qi</t>
    </rPh>
    <rPh sb="98" eb="99">
      <t>dai</t>
    </rPh>
    <rPh sb="99" eb="100">
      <t>tan'xiao</t>
    </rPh>
    <rPh sb="105" eb="106">
      <t>yi</t>
    </rPh>
    <rPh sb="107" eb="108">
      <t>gu'ding</t>
    </rPh>
    <rPh sb="109" eb="110">
      <t>zi'chan</t>
    </rPh>
    <rPh sb="111" eb="112">
      <t>bao'fei</t>
    </rPh>
    <rPh sb="113" eb="114">
      <t>sun'shi</t>
    </rPh>
    <rPh sb="120" eb="121">
      <t>zi'chan</t>
    </rPh>
    <rPh sb="122" eb="123">
      <t>jian'zhi</t>
    </rPh>
    <rPh sb="160" eb="161">
      <t>tou'zi</t>
    </rPh>
    <rPh sb="162" eb="163">
      <t>sun'shi</t>
    </rPh>
    <rPh sb="167" eb="168">
      <t>yi</t>
    </rPh>
    <rPh sb="200" eb="201">
      <t>zhe'jiu</t>
    </rPh>
    <rPh sb="203" eb="204">
      <t>yi</t>
    </rPh>
    <rPh sb="205" eb="206">
      <t>li'run</t>
    </rPh>
    <rPh sb="207" eb="208">
      <t>jian'shao</t>
    </rPh>
    <rPh sb="210" eb="211">
      <t>dan</t>
    </rPh>
    <rPh sb="211" eb="212">
      <t>xian'jin'liu</t>
    </rPh>
    <rPh sb="214" eb="215">
      <t>wei</t>
    </rPh>
    <rPh sb="215" eb="216">
      <t>liu'chu</t>
    </rPh>
    <rPh sb="218" eb="219">
      <t>zhong'zi'chan</t>
    </rPh>
    <rPh sb="221" eb="222">
      <t>gong'si</t>
    </rPh>
    <rPh sb="224" eb="225">
      <t>fu'he</t>
    </rPh>
    <rPh sb="226" eb="227">
      <t>song'cheng</t>
    </rPh>
    <rPh sb="228" eb="229">
      <t>te'dian</t>
    </rPh>
    <rPh sb="235" eb="236">
      <t>wu'xing</t>
    </rPh>
    <rPh sb="237" eb="238">
      <t>zi'chan</t>
    </rPh>
    <rPh sb="239" eb="240">
      <t>tan'xiao</t>
    </rPh>
    <rPh sb="242" eb="243">
      <t>chang'qi</t>
    </rPh>
    <rPh sb="244" eb="245">
      <t>tan'xiao</t>
    </rPh>
    <rPh sb="250" eb="251">
      <t>yi</t>
    </rPh>
    <rPh sb="255" eb="256">
      <t>ying'fu</t>
    </rPh>
    <rPh sb="258" eb="259">
      <t>ying'shou</t>
    </rPh>
    <rPh sb="260" eb="261">
      <t>zeng'jia</t>
    </rPh>
    <rPh sb="266" eb="267">
      <t>yi</t>
    </rPh>
    <rPh sb="271" eb="272">
      <t>tou'zi</t>
    </rPh>
    <rPh sb="273" eb="274">
      <t>sun'shi</t>
    </rPh>
    <rPh sb="275" eb="276">
      <t>l</t>
    </rPh>
    <rPh sb="279" eb="280">
      <t>yi</t>
    </rPh>
    <rPh sb="283" eb="284">
      <t>zong'jie</t>
    </rPh>
    <rPh sb="286" eb="287">
      <t>dang'qian</t>
    </rPh>
    <rPh sb="288" eb="289">
      <t>cai'bao</t>
    </rPh>
    <rPh sb="290" eb="291">
      <t>zan'shi</t>
    </rPh>
    <rPh sb="292" eb="293">
      <t>wei</t>
    </rPh>
    <rPh sb="293" eb="294">
      <t>kan'chu</t>
    </rPh>
    <rPh sb="295" eb="296">
      <t>da'wen'ti</t>
    </rPh>
    <rPh sb="299" eb="300">
      <t>dian'xing</t>
    </rPh>
    <rPh sb="301" eb="302">
      <t>de</t>
    </rPh>
    <rPh sb="302" eb="303">
      <t>di'san'fang</t>
    </rPh>
    <rPh sb="305" eb="306">
      <t>wai'bao</t>
    </rPh>
    <rPh sb="307" eb="308">
      <t>xiang'mu'xing</t>
    </rPh>
    <rPh sb="310" eb="311">
      <t>gong'si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</si>
  <si>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</si>
  <si>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</si>
  <si>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</si>
  <si>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</si>
  <si>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</si>
  <si>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</si>
  <si>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</t>
    <phoneticPr fontId="2" type="noConversion"/>
  </si>
  <si>
    <t>其他</t>
    <phoneticPr fontId="2" type="noConversion"/>
  </si>
  <si>
    <t>销售额</t>
    <rPh sb="0" eb="1">
      <t>gu'dong</t>
    </rPh>
    <rPh sb="2" eb="3">
      <t>jing'li'run</t>
    </rPh>
    <phoneticPr fontId="2" type="noConversion"/>
  </si>
  <si>
    <t>其他应收款</t>
    <rPh sb="0" eb="1">
      <t>jing'li'run</t>
    </rPh>
    <phoneticPr fontId="2" type="noConversion"/>
  </si>
  <si>
    <t>应收票据</t>
    <rPh sb="0" eb="1">
      <t>kou'fei</t>
    </rPh>
    <rPh sb="2" eb="3">
      <t>jing'li'run</t>
    </rPh>
    <phoneticPr fontId="2" type="noConversion"/>
  </si>
  <si>
    <t>应收款帐</t>
    <phoneticPr fontId="2" type="noConversion"/>
  </si>
  <si>
    <t>应收款合计</t>
    <rPh sb="0" eb="1">
      <t>jing'ying</t>
    </rPh>
    <rPh sb="2" eb="3">
      <t>huo'dong</t>
    </rPh>
    <rPh sb="4" eb="5">
      <t>jing'e</t>
    </rPh>
    <phoneticPr fontId="2" type="noConversion"/>
  </si>
  <si>
    <t>应收账款周转率</t>
    <rPh sb="0" eb="1">
      <t>kou'fei</t>
    </rPh>
    <rPh sb="2" eb="3">
      <t>zhan'bi</t>
    </rPh>
    <phoneticPr fontId="2" type="noConversion"/>
  </si>
  <si>
    <t>应收账款周转天数</t>
    <rPh sb="0" eb="1">
      <t>xian</t>
    </rPh>
    <rPh sb="1" eb="2">
      <t>li</t>
    </rPh>
    <rPh sb="2" eb="3">
      <t>bi</t>
    </rPh>
    <phoneticPr fontId="2" type="noConversion"/>
  </si>
  <si>
    <t>单位：百万</t>
    <rPh sb="0" eb="1">
      <t>dan'wei</t>
    </rPh>
    <rPh sb="3" eb="4">
      <t>bai'wan</t>
    </rPh>
    <phoneticPr fontId="2" type="noConversion"/>
  </si>
  <si>
    <t>投资性房地产折旧及摊销</t>
    <phoneticPr fontId="2" type="noConversion"/>
  </si>
  <si>
    <t>汇兑损失</t>
    <phoneticPr fontId="2" type="noConversion"/>
  </si>
  <si>
    <t>非银行业务利息支出</t>
    <phoneticPr fontId="2" type="noConversion"/>
  </si>
  <si>
    <t>提取各项保险准备金</t>
    <phoneticPr fontId="2" type="noConversion"/>
  </si>
  <si>
    <t>符合增长</t>
    <rPh sb="0" eb="1">
      <t>fu'he</t>
    </rPh>
    <rPh sb="2" eb="3">
      <t>zeng'zhang</t>
    </rPh>
    <phoneticPr fontId="2" type="noConversion"/>
  </si>
  <si>
    <t>近5年复合增长</t>
    <rPh sb="0" eb="1">
      <t>jin</t>
    </rPh>
    <rPh sb="2" eb="3">
      <t>nian</t>
    </rPh>
    <rPh sb="3" eb="4">
      <t>fu'he'zeng'z</t>
    </rPh>
    <phoneticPr fontId="2" type="noConversion"/>
  </si>
  <si>
    <t>总股本</t>
    <rPh sb="0" eb="1">
      <t>zong</t>
    </rPh>
    <rPh sb="1" eb="2">
      <t>gu'ben</t>
    </rPh>
    <phoneticPr fontId="2" type="noConversion"/>
  </si>
  <si>
    <t>现金流折扣</t>
    <rPh sb="0" eb="1">
      <t>xian'jin'liu</t>
    </rPh>
    <rPh sb="3" eb="4">
      <t>zhe'kou</t>
    </rPh>
    <phoneticPr fontId="2" type="noConversion"/>
  </si>
  <si>
    <t>目标价格</t>
    <rPh sb="0" eb="1">
      <t>mu'biao</t>
    </rPh>
    <rPh sb="2" eb="3">
      <t>jia'ge</t>
    </rPh>
    <phoneticPr fontId="2" type="noConversion"/>
  </si>
  <si>
    <t>当前价格</t>
    <rPh sb="0" eb="1">
      <t>dang'qian</t>
    </rPh>
    <rPh sb="2" eb="3">
      <t>jia'ge</t>
    </rPh>
    <phoneticPr fontId="2" type="noConversion"/>
  </si>
  <si>
    <t>目标涨幅</t>
    <rPh sb="0" eb="1">
      <t>mu'biao</t>
    </rPh>
    <rPh sb="2" eb="3">
      <t>zhang'fu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</si>
</sst>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应收账款周转率!$G$3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应收账款周转率!$A$4:$A$11</c:f>
              <c:numCache>
                <c:formatCode>General</c:formatCode>
                <c:ptCount val="8"/>
                <c:pt idx="0">
                  <c:v>2018.0</c:v>
                </c:pt>
                <c:pt idx="1">
                  <c:v>2017.0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  <c:pt idx="5">
                  <c:v>2013.0</c:v>
                </c:pt>
                <c:pt idx="6">
                  <c:v>2012.0</c:v>
                </c:pt>
                <c:pt idx="7">
                  <c:v>2011.0</c:v>
                </c:pt>
              </c:numCache>
            </c:numRef>
          </c:xVal>
          <c:yVal>
            <c:numRef>
              <c:f>应收账款周转率!$G$4:$G$11</c:f>
              <c:numCache>
                <c:formatCode>0.00%</c:formatCode>
                <c:ptCount val="8"/>
                <c:pt idx="0">
                  <c:v>1.86526659265606</c:v>
                </c:pt>
                <c:pt idx="1">
                  <c:v>2.397030252124918</c:v>
                </c:pt>
                <c:pt idx="2">
                  <c:v>2.341565718684221</c:v>
                </c:pt>
                <c:pt idx="3">
                  <c:v>3.219959803284714</c:v>
                </c:pt>
                <c:pt idx="4">
                  <c:v>4.549240308544177</c:v>
                </c:pt>
                <c:pt idx="5">
                  <c:v>7.659485139004544</c:v>
                </c:pt>
                <c:pt idx="6">
                  <c:v>8.889976595354736</c:v>
                </c:pt>
                <c:pt idx="7">
                  <c:v>14.72619567723305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EC-4F17-A396-5AF650E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004048"/>
        <c:axId val="-2084100352"/>
      </c:scatterChart>
      <c:valAx>
        <c:axId val="-20870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4100352"/>
        <c:crosses val="autoZero"/>
        <c:crossBetween val="midCat"/>
      </c:valAx>
      <c:valAx>
        <c:axId val="-20841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70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应收账款周转率!$H$3</c:f>
              <c:strCache>
                <c:ptCount val="1"/>
                <c:pt idx="0">
                  <c:v>应收账款周转天数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应收账款周转率!$A$4:$A$11</c:f>
              <c:numCache>
                <c:formatCode>General</c:formatCode>
                <c:ptCount val="8"/>
                <c:pt idx="0">
                  <c:v>2018.0</c:v>
                </c:pt>
                <c:pt idx="1">
                  <c:v>2017.0</c:v>
                </c:pt>
                <c:pt idx="2">
                  <c:v>2016.0</c:v>
                </c:pt>
                <c:pt idx="3">
                  <c:v>2015.0</c:v>
                </c:pt>
                <c:pt idx="4">
                  <c:v>2014.0</c:v>
                </c:pt>
                <c:pt idx="5">
                  <c:v>2013.0</c:v>
                </c:pt>
                <c:pt idx="6">
                  <c:v>2012.0</c:v>
                </c:pt>
                <c:pt idx="7">
                  <c:v>2011.0</c:v>
                </c:pt>
              </c:numCache>
            </c:numRef>
          </c:xVal>
          <c:yVal>
            <c:numRef>
              <c:f>应收账款周转率!$H$4:$H$11</c:f>
              <c:numCache>
                <c:formatCode>#,##0.00_ </c:formatCode>
                <c:ptCount val="8"/>
                <c:pt idx="0">
                  <c:v>193.0019019358383</c:v>
                </c:pt>
                <c:pt idx="1">
                  <c:v>150.1858391986782</c:v>
                </c:pt>
                <c:pt idx="2">
                  <c:v>153.7432825939612</c:v>
                </c:pt>
                <c:pt idx="3">
                  <c:v>111.8026379188834</c:v>
                </c:pt>
                <c:pt idx="4">
                  <c:v>79.13409175678503</c:v>
                </c:pt>
                <c:pt idx="5">
                  <c:v>47.00054813955641</c:v>
                </c:pt>
                <c:pt idx="6">
                  <c:v>40.4950447437747</c:v>
                </c:pt>
                <c:pt idx="7">
                  <c:v>24.44623227141863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B0-47C2-9953-0D844F95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92592"/>
        <c:axId val="2131182784"/>
      </c:scatterChart>
      <c:valAx>
        <c:axId val="21312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182784"/>
        <c:crosses val="autoZero"/>
        <c:crossBetween val="midCat"/>
      </c:valAx>
      <c:valAx>
        <c:axId val="21311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12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15</xdr:row>
      <xdr:rowOff>85725</xdr:rowOff>
    </xdr:from>
    <xdr:to>
      <xdr:col>4</xdr:col>
      <xdr:colOff>923925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15</xdr:row>
      <xdr:rowOff>9525</xdr:rowOff>
    </xdr:from>
    <xdr:to>
      <xdr:col>9</xdr:col>
      <xdr:colOff>76200</xdr:colOff>
      <xdr:row>30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106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ColWidth="11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F28" sqref="F28"/>
    </sheetView>
  </sheetViews>
  <sheetFormatPr baseColWidth="10" defaultColWidth="11" defaultRowHeight="15" x14ac:dyDescent="0.2"/>
  <cols>
    <col min="1" max="1" width="17.83203125" customWidth="1"/>
    <col min="2" max="2" width="15.1640625" bestFit="1" customWidth="1"/>
    <col min="3" max="4" width="14.5" customWidth="1"/>
    <col min="5" max="5" width="15.83203125" customWidth="1"/>
    <col min="6" max="6" width="15" customWidth="1"/>
    <col min="7" max="7" width="17.5" customWidth="1"/>
    <col min="8" max="8" width="15.83203125" customWidth="1"/>
    <col min="9" max="9" width="13.33203125" customWidth="1"/>
    <col min="10" max="10" width="16.83203125" customWidth="1"/>
    <col min="11" max="11" width="16.33203125" customWidth="1"/>
  </cols>
  <sheetData>
    <row r="1" spans="1:12" ht="15" customHeight="1" x14ac:dyDescent="0.2">
      <c r="A1" t="s">
        <v>124</v>
      </c>
    </row>
    <row r="2" spans="1:12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2" ht="21" x14ac:dyDescent="0.3">
      <c r="A3" s="10" t="s">
        <v>109</v>
      </c>
      <c r="B3" s="9">
        <v>13883</v>
      </c>
      <c r="C3" s="9">
        <v>17311</v>
      </c>
      <c r="D3" s="9">
        <v>19475</v>
      </c>
      <c r="E3" s="9">
        <v>20050</v>
      </c>
      <c r="F3" s="9">
        <v>28154</v>
      </c>
      <c r="G3" s="9">
        <v>39279</v>
      </c>
      <c r="H3" s="9">
        <v>54203</v>
      </c>
      <c r="I3" s="9">
        <v>62394</v>
      </c>
      <c r="J3" s="9">
        <v>89088</v>
      </c>
      <c r="K3" s="9">
        <v>107404</v>
      </c>
    </row>
    <row r="4" spans="1:12" x14ac:dyDescent="0.2">
      <c r="A4" t="s">
        <v>69</v>
      </c>
      <c r="C4" s="2">
        <f>(C3-B3)/B3</f>
        <v>0.24692069437441475</v>
      </c>
      <c r="D4" s="2">
        <f t="shared" ref="D4:K4" si="0">(D3-C3)/C3</f>
        <v>0.12500722084223903</v>
      </c>
      <c r="E4" s="2">
        <f t="shared" si="0"/>
        <v>2.9525032092426188E-2</v>
      </c>
      <c r="F4" s="2">
        <f t="shared" si="0"/>
        <v>0.40418952618453863</v>
      </c>
      <c r="G4" s="2">
        <f t="shared" si="0"/>
        <v>0.39514811394473254</v>
      </c>
      <c r="H4" s="2">
        <f t="shared" si="0"/>
        <v>0.37994857302884494</v>
      </c>
      <c r="I4" s="2">
        <f t="shared" si="0"/>
        <v>0.15111709683965832</v>
      </c>
      <c r="J4" s="2">
        <f t="shared" si="0"/>
        <v>0.42782959899990386</v>
      </c>
      <c r="K4" s="2">
        <f t="shared" si="0"/>
        <v>0.20559446839080459</v>
      </c>
    </row>
    <row r="5" spans="1:12" x14ac:dyDescent="0.2">
      <c r="A5" t="s">
        <v>129</v>
      </c>
      <c r="B5">
        <f>(K3/B3)^(1/9)-1</f>
        <v>0.2552387797724005</v>
      </c>
      <c r="C5" s="2"/>
      <c r="D5" s="2"/>
      <c r="E5" s="2"/>
      <c r="F5" s="2"/>
      <c r="G5" s="2"/>
      <c r="H5" s="2"/>
      <c r="I5" s="2"/>
      <c r="J5" s="2"/>
      <c r="K5" s="2"/>
    </row>
    <row r="6" spans="1:12" x14ac:dyDescent="0.2">
      <c r="A6" t="s">
        <v>130</v>
      </c>
      <c r="B6">
        <f>(K3/G3)^(1/4)-1</f>
        <v>0.28592313073237818</v>
      </c>
      <c r="C6" s="2"/>
      <c r="D6" s="2"/>
      <c r="E6" s="2"/>
      <c r="F6" s="2"/>
      <c r="G6" s="2"/>
      <c r="H6" s="2"/>
      <c r="I6" s="2"/>
      <c r="J6" s="2"/>
      <c r="K6" s="2"/>
    </row>
    <row r="9" spans="1:12" x14ac:dyDescent="0.2">
      <c r="A9" s="16" t="s">
        <v>110</v>
      </c>
      <c r="B9" s="16" t="s">
        <v>70</v>
      </c>
      <c r="C9" s="16" t="s">
        <v>71</v>
      </c>
      <c r="D9" s="16" t="s">
        <v>72</v>
      </c>
      <c r="E9" s="16" t="s">
        <v>132</v>
      </c>
    </row>
    <row r="10" spans="1:12" x14ac:dyDescent="0.2">
      <c r="A10" s="17">
        <f>K3*E10</f>
        <v>107404</v>
      </c>
      <c r="B10" s="16">
        <v>0.05</v>
      </c>
      <c r="C10" s="16">
        <v>10</v>
      </c>
      <c r="D10" s="16">
        <v>0.2</v>
      </c>
      <c r="E10" s="16">
        <v>1</v>
      </c>
    </row>
    <row r="11" spans="1:12" x14ac:dyDescent="0.2">
      <c r="A11" s="1"/>
    </row>
    <row r="12" spans="1:12" x14ac:dyDescent="0.2">
      <c r="A12" s="16"/>
      <c r="B12" s="18"/>
      <c r="C12" s="18"/>
      <c r="D12" s="18"/>
      <c r="E12" s="18"/>
      <c r="F12" s="18"/>
      <c r="G12" s="16"/>
      <c r="H12" s="16"/>
    </row>
    <row r="13" spans="1:12" x14ac:dyDescent="0.2">
      <c r="A13" s="16" t="s">
        <v>66</v>
      </c>
      <c r="B13" s="16">
        <v>2019</v>
      </c>
      <c r="C13" s="16">
        <v>2020</v>
      </c>
      <c r="D13" s="16">
        <v>2021</v>
      </c>
      <c r="E13" s="16">
        <v>2022</v>
      </c>
      <c r="F13" s="16">
        <v>2023</v>
      </c>
      <c r="G13" s="16"/>
      <c r="H13" s="16" t="s">
        <v>113</v>
      </c>
      <c r="I13" t="s">
        <v>131</v>
      </c>
      <c r="J13" t="s">
        <v>133</v>
      </c>
      <c r="K13" s="16" t="s">
        <v>134</v>
      </c>
      <c r="L13" s="16" t="s">
        <v>135</v>
      </c>
    </row>
    <row r="14" spans="1:12" x14ac:dyDescent="0.2">
      <c r="A14" s="16" t="s">
        <v>111</v>
      </c>
      <c r="B14" s="19">
        <f>A10*(1+D10)</f>
        <v>128884.79999999999</v>
      </c>
      <c r="C14" s="19">
        <f>B14*(1+D10)</f>
        <v>154661.75999999998</v>
      </c>
      <c r="D14" s="19">
        <f>C14*(1+D10)</f>
        <v>185594.11199999996</v>
      </c>
      <c r="E14" s="19">
        <f>D14*(1+D10)</f>
        <v>222712.93439999994</v>
      </c>
      <c r="F14" s="19">
        <f>E14*(1+D10)</f>
        <v>267255.52127999993</v>
      </c>
      <c r="G14" s="19">
        <f>F14*C10</f>
        <v>2672555.2127999994</v>
      </c>
      <c r="H14" s="16"/>
    </row>
    <row r="15" spans="1:12" x14ac:dyDescent="0.2">
      <c r="A15" s="16" t="s">
        <v>112</v>
      </c>
      <c r="B15" s="17">
        <f>B14/(1+B10)</f>
        <v>122747.42857142855</v>
      </c>
      <c r="C15" s="17">
        <f>C14/(1+B10)^2</f>
        <v>140282.77551020405</v>
      </c>
      <c r="D15" s="17">
        <f>D14/(1+B10)^3</f>
        <v>160323.17201166175</v>
      </c>
      <c r="E15" s="17">
        <f>E14/(1+B10)^4</f>
        <v>183226.48229904202</v>
      </c>
      <c r="F15" s="17">
        <f>F14/(1+B10)^5</f>
        <v>209401.694056048</v>
      </c>
      <c r="G15" s="17">
        <f>G14/(1+B10)^4</f>
        <v>2198717.7875885041</v>
      </c>
      <c r="H15" s="17">
        <f>SUM(B15:G15)</f>
        <v>3014699.3400368886</v>
      </c>
      <c r="I15" s="20">
        <v>18280241410</v>
      </c>
      <c r="J15">
        <f>H15*1000000/I15</f>
        <v>164.91572908811432</v>
      </c>
      <c r="K15">
        <v>89.22</v>
      </c>
      <c r="L15" s="2">
        <f>J15/K15</f>
        <v>1.8484166004047784</v>
      </c>
    </row>
    <row r="16" spans="1:12" x14ac:dyDescent="0.2">
      <c r="A16" s="16"/>
      <c r="B16" s="17"/>
      <c r="C16" s="17"/>
      <c r="D16" s="17"/>
      <c r="E16" s="17"/>
      <c r="F16" s="17"/>
      <c r="G16" s="17" t="s">
        <v>114</v>
      </c>
      <c r="H16" s="17">
        <f>H15*E10</f>
        <v>3014699.3400368886</v>
      </c>
    </row>
    <row r="18" spans="10:11" x14ac:dyDescent="0.2">
      <c r="J18">
        <v>2018</v>
      </c>
      <c r="K18" s="9">
        <v>107404</v>
      </c>
    </row>
    <row r="19" spans="10:11" x14ac:dyDescent="0.2">
      <c r="J19">
        <f>J18-1</f>
        <v>2017</v>
      </c>
      <c r="K19" s="9">
        <v>89088</v>
      </c>
    </row>
    <row r="20" spans="10:11" x14ac:dyDescent="0.2">
      <c r="J20">
        <f>J19-1</f>
        <v>2016</v>
      </c>
      <c r="K20" s="9">
        <v>62394</v>
      </c>
    </row>
    <row r="21" spans="10:11" x14ac:dyDescent="0.2">
      <c r="J21">
        <f t="shared" ref="J21:J27" si="1">J20-1</f>
        <v>2015</v>
      </c>
      <c r="K21" s="9">
        <v>54203</v>
      </c>
    </row>
    <row r="22" spans="10:11" x14ac:dyDescent="0.2">
      <c r="J22">
        <f>J21-1</f>
        <v>2014</v>
      </c>
      <c r="K22" s="9">
        <v>39279</v>
      </c>
    </row>
    <row r="23" spans="10:11" x14ac:dyDescent="0.2">
      <c r="J23">
        <f t="shared" si="1"/>
        <v>2013</v>
      </c>
      <c r="K23" s="9">
        <v>28154</v>
      </c>
    </row>
    <row r="24" spans="10:11" x14ac:dyDescent="0.2">
      <c r="J24">
        <f>J23-1</f>
        <v>2012</v>
      </c>
      <c r="K24" s="9">
        <v>20050</v>
      </c>
    </row>
    <row r="25" spans="10:11" x14ac:dyDescent="0.2">
      <c r="J25">
        <f t="shared" si="1"/>
        <v>2011</v>
      </c>
      <c r="K25" s="9">
        <v>19475</v>
      </c>
    </row>
    <row r="26" spans="10:11" x14ac:dyDescent="0.2">
      <c r="J26">
        <f t="shared" si="1"/>
        <v>2010</v>
      </c>
      <c r="K26" s="9">
        <v>17311</v>
      </c>
    </row>
    <row r="27" spans="10:11" x14ac:dyDescent="0.2">
      <c r="J27">
        <f t="shared" si="1"/>
        <v>2009</v>
      </c>
      <c r="K27" s="9">
        <v>13883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9"/>
  <sheetViews>
    <sheetView workbookViewId="0">
      <selection activeCell="A4" sqref="A4:B13"/>
    </sheetView>
  </sheetViews>
  <sheetFormatPr baseColWidth="10" defaultColWidth="11" defaultRowHeight="15" x14ac:dyDescent="0.2"/>
  <cols>
    <col min="2" max="2" width="16.1640625" customWidth="1"/>
    <col min="3" max="3" width="16.5" customWidth="1"/>
    <col min="4" max="4" width="15.1640625" bestFit="1" customWidth="1"/>
    <col min="5" max="5" width="14.83203125" customWidth="1"/>
    <col min="8" max="8" width="15.5" customWidth="1"/>
    <col min="9" max="9" width="16.1640625" customWidth="1"/>
    <col min="10" max="10" width="15.83203125" customWidth="1"/>
    <col min="11" max="12" width="16.6640625" customWidth="1"/>
    <col min="13" max="13" width="15" customWidth="1"/>
    <col min="14" max="14" width="14.5" customWidth="1"/>
    <col min="15" max="25" width="17.83203125" customWidth="1"/>
    <col min="26" max="26" width="15.6640625" customWidth="1"/>
    <col min="27" max="27" width="16.1640625" customWidth="1"/>
    <col min="28" max="28" width="15.6640625" bestFit="1" customWidth="1"/>
    <col min="29" max="30" width="15.1640625" bestFit="1" customWidth="1"/>
    <col min="31" max="31" width="13.6640625" bestFit="1" customWidth="1"/>
    <col min="32" max="32" width="14.6640625" customWidth="1"/>
    <col min="33" max="33" width="18.1640625" customWidth="1"/>
  </cols>
  <sheetData>
    <row r="2" spans="1:33" x14ac:dyDescent="0.2">
      <c r="A2" t="s">
        <v>124</v>
      </c>
      <c r="J2" t="s">
        <v>82</v>
      </c>
      <c r="M2" t="s">
        <v>82</v>
      </c>
      <c r="AE2" t="s">
        <v>82</v>
      </c>
      <c r="AG2" t="s">
        <v>82</v>
      </c>
    </row>
    <row r="3" spans="1:33" x14ac:dyDescent="0.2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125</v>
      </c>
      <c r="M3" t="s">
        <v>83</v>
      </c>
      <c r="N3" t="s">
        <v>84</v>
      </c>
      <c r="O3" t="s">
        <v>86</v>
      </c>
      <c r="P3" t="s">
        <v>87</v>
      </c>
      <c r="Q3" t="s">
        <v>94</v>
      </c>
      <c r="R3" t="s">
        <v>107</v>
      </c>
      <c r="S3" t="s">
        <v>88</v>
      </c>
      <c r="T3" t="s">
        <v>89</v>
      </c>
      <c r="U3" t="s">
        <v>126</v>
      </c>
      <c r="V3" t="s">
        <v>127</v>
      </c>
      <c r="W3" t="s">
        <v>128</v>
      </c>
      <c r="X3" t="s">
        <v>115</v>
      </c>
      <c r="Y3" t="s">
        <v>90</v>
      </c>
      <c r="Z3" t="s">
        <v>91</v>
      </c>
      <c r="AA3" t="s">
        <v>92</v>
      </c>
      <c r="AB3" t="s">
        <v>93</v>
      </c>
      <c r="AC3" t="s">
        <v>116</v>
      </c>
    </row>
    <row r="4" spans="1:33" x14ac:dyDescent="0.2">
      <c r="A4">
        <v>2018</v>
      </c>
      <c r="B4" s="9">
        <v>107404</v>
      </c>
      <c r="C4" s="9">
        <v>107597</v>
      </c>
      <c r="D4" s="9">
        <v>120452</v>
      </c>
      <c r="E4" s="9">
        <v>206260</v>
      </c>
      <c r="F4" s="2">
        <f t="shared" ref="F4:F14" si="0">C4/D4</f>
        <v>0.89327699000431704</v>
      </c>
      <c r="G4" s="2">
        <f t="shared" ref="G4:G14" si="1">E4/D4</f>
        <v>1.7123833560256367</v>
      </c>
      <c r="H4" s="9">
        <f>D4+J4+M4+N4+O4+P4+S4+T4+Y4+Z4+AA4+AB4+Q4+R4+X4+AC4+L4+U4+V4+W4</f>
        <v>206260</v>
      </c>
      <c r="I4" s="9">
        <f>H4-E4</f>
        <v>0</v>
      </c>
      <c r="J4" s="9">
        <v>53814</v>
      </c>
      <c r="K4" s="2">
        <f>J4/D4</f>
        <v>0.44676717696675855</v>
      </c>
      <c r="L4" s="9">
        <v>1335</v>
      </c>
      <c r="M4" s="9">
        <v>4029</v>
      </c>
      <c r="N4" s="9">
        <v>2794</v>
      </c>
      <c r="O4" s="9">
        <v>1684</v>
      </c>
      <c r="P4" s="9">
        <v>38</v>
      </c>
      <c r="Q4" s="9"/>
      <c r="R4" s="9">
        <v>28284</v>
      </c>
      <c r="S4" s="9"/>
      <c r="T4" s="11">
        <v>-195233</v>
      </c>
      <c r="U4" s="11">
        <v>946</v>
      </c>
      <c r="V4" s="11">
        <v>18227</v>
      </c>
      <c r="W4" s="11">
        <v>212784</v>
      </c>
      <c r="X4" s="11">
        <v>-8100</v>
      </c>
      <c r="Y4" s="11"/>
      <c r="Z4" s="9"/>
      <c r="AA4" s="9">
        <v>-161051</v>
      </c>
      <c r="AB4" s="9">
        <v>126257</v>
      </c>
      <c r="AC4" s="9"/>
      <c r="AD4" s="9"/>
      <c r="AE4" s="9"/>
      <c r="AF4" s="9"/>
      <c r="AG4" s="9"/>
    </row>
    <row r="5" spans="1:33" x14ac:dyDescent="0.2">
      <c r="A5">
        <f>A4-1</f>
        <v>2017</v>
      </c>
      <c r="B5" s="9">
        <v>89088</v>
      </c>
      <c r="C5" s="9">
        <v>89137</v>
      </c>
      <c r="D5" s="9">
        <v>99978</v>
      </c>
      <c r="E5" s="9">
        <v>121283</v>
      </c>
      <c r="F5" s="2">
        <f t="shared" si="0"/>
        <v>0.89156614455180139</v>
      </c>
      <c r="G5" s="2">
        <f t="shared" si="1"/>
        <v>1.2130968813138892</v>
      </c>
      <c r="H5" s="9">
        <f t="shared" ref="H5:H14" si="2">D5+J5+M5+N5+O5+P5+S5+T5+Y5+Z5+AA5+AB5+Q5+R5+X5+AC5+L5+U5+V5+W5</f>
        <v>121283</v>
      </c>
      <c r="I5" s="9">
        <f t="shared" ref="I5:I14" si="3">H5-E5</f>
        <v>0</v>
      </c>
      <c r="J5" s="9">
        <v>45251</v>
      </c>
      <c r="K5" s="2">
        <f t="shared" ref="K5:K14" si="4">J5/D5</f>
        <v>0.45260957410630337</v>
      </c>
      <c r="L5" s="9">
        <v>1341</v>
      </c>
      <c r="M5" s="9">
        <v>3312</v>
      </c>
      <c r="N5" s="9">
        <v>2286</v>
      </c>
      <c r="O5" s="9">
        <v>1668</v>
      </c>
      <c r="P5" s="9">
        <v>1</v>
      </c>
      <c r="Q5" s="9"/>
      <c r="R5" s="9">
        <v>-3271</v>
      </c>
      <c r="S5" s="9"/>
      <c r="T5" s="9">
        <v>-192757</v>
      </c>
      <c r="U5" s="9">
        <v>128</v>
      </c>
      <c r="V5" s="9">
        <v>11167</v>
      </c>
      <c r="W5" s="9">
        <v>234157</v>
      </c>
      <c r="X5" s="9">
        <v>-8896</v>
      </c>
      <c r="Y5" s="9"/>
      <c r="Z5" s="9"/>
      <c r="AA5" s="9">
        <v>-403512</v>
      </c>
      <c r="AB5" s="9">
        <v>330430</v>
      </c>
      <c r="AC5" s="9"/>
      <c r="AD5" s="9"/>
      <c r="AE5" s="9"/>
      <c r="AF5" s="9"/>
      <c r="AG5" s="9"/>
    </row>
    <row r="6" spans="1:33" x14ac:dyDescent="0.2">
      <c r="A6">
        <f>A5-1</f>
        <v>2016</v>
      </c>
      <c r="B6" s="9">
        <v>62394</v>
      </c>
      <c r="C6" s="9">
        <v>61516</v>
      </c>
      <c r="D6" s="9">
        <v>72368</v>
      </c>
      <c r="E6" s="9">
        <v>227821</v>
      </c>
      <c r="F6" s="2">
        <f t="shared" si="0"/>
        <v>0.85004421843908906</v>
      </c>
      <c r="G6" s="2">
        <f t="shared" si="1"/>
        <v>3.1480903161618397</v>
      </c>
      <c r="H6" s="9">
        <f t="shared" si="2"/>
        <v>227821</v>
      </c>
      <c r="I6" s="9">
        <f t="shared" si="3"/>
        <v>0</v>
      </c>
      <c r="J6" s="9">
        <v>48894</v>
      </c>
      <c r="K6" s="2">
        <f t="shared" si="4"/>
        <v>0.67563011275701967</v>
      </c>
      <c r="L6" s="9">
        <v>763</v>
      </c>
      <c r="M6" s="9">
        <v>2685</v>
      </c>
      <c r="N6" s="9">
        <v>2097</v>
      </c>
      <c r="O6" s="9">
        <v>1260</v>
      </c>
      <c r="P6" s="9">
        <v>51</v>
      </c>
      <c r="Q6" s="9"/>
      <c r="R6" s="9">
        <v>-3831</v>
      </c>
      <c r="S6" s="9">
        <v>12144</v>
      </c>
      <c r="T6" s="9">
        <v>-141168</v>
      </c>
      <c r="U6" s="9">
        <v>-1401</v>
      </c>
      <c r="V6" s="9"/>
      <c r="W6" s="9">
        <v>161243</v>
      </c>
      <c r="X6" s="9">
        <v>-11765</v>
      </c>
      <c r="Y6" s="9"/>
      <c r="Z6" s="9"/>
      <c r="AA6" s="9">
        <v>-337044</v>
      </c>
      <c r="AB6" s="9">
        <v>421525</v>
      </c>
      <c r="AC6" s="9"/>
      <c r="AD6" s="9"/>
      <c r="AE6" s="9"/>
      <c r="AF6" s="9"/>
      <c r="AG6" s="9"/>
    </row>
    <row r="7" spans="1:33" x14ac:dyDescent="0.2">
      <c r="A7">
        <f t="shared" ref="A7:A13" si="5">A6-1</f>
        <v>2015</v>
      </c>
      <c r="B7" s="9">
        <v>54203</v>
      </c>
      <c r="C7" s="9">
        <v>53892</v>
      </c>
      <c r="D7" s="9">
        <v>65178</v>
      </c>
      <c r="E7" s="9">
        <v>135618</v>
      </c>
      <c r="F7" s="2">
        <f t="shared" si="0"/>
        <v>0.82684341342170675</v>
      </c>
      <c r="G7" s="2">
        <f t="shared" si="1"/>
        <v>2.0807327625886036</v>
      </c>
      <c r="H7" s="9">
        <f t="shared" si="2"/>
        <v>135618</v>
      </c>
      <c r="I7" s="9">
        <f t="shared" si="3"/>
        <v>0</v>
      </c>
      <c r="J7" s="9">
        <v>36548</v>
      </c>
      <c r="K7" s="2">
        <f t="shared" si="4"/>
        <v>0.56074135444475126</v>
      </c>
      <c r="L7" s="9">
        <v>815</v>
      </c>
      <c r="M7" s="9">
        <v>2084</v>
      </c>
      <c r="N7" s="9">
        <v>1903</v>
      </c>
      <c r="O7" s="9">
        <v>1082</v>
      </c>
      <c r="P7" s="9">
        <v>14</v>
      </c>
      <c r="Q7" s="9"/>
      <c r="R7" s="9">
        <v>-125</v>
      </c>
      <c r="S7" s="9">
        <v>7539</v>
      </c>
      <c r="T7" s="9">
        <v>-167634</v>
      </c>
      <c r="U7" s="9">
        <v>-256</v>
      </c>
      <c r="V7" s="9"/>
      <c r="W7" s="9">
        <v>148939</v>
      </c>
      <c r="X7" s="9">
        <v>-128</v>
      </c>
      <c r="Y7" s="9"/>
      <c r="Z7" s="9"/>
      <c r="AA7" s="9">
        <v>-207876</v>
      </c>
      <c r="AB7" s="9">
        <v>247535</v>
      </c>
      <c r="AC7" s="9"/>
      <c r="AD7" s="9"/>
      <c r="AE7" s="9"/>
      <c r="AF7" s="9"/>
      <c r="AG7" s="9"/>
    </row>
    <row r="8" spans="1:33" x14ac:dyDescent="0.2">
      <c r="A8">
        <f>A7-1</f>
        <v>2014</v>
      </c>
      <c r="B8" s="9">
        <v>39279</v>
      </c>
      <c r="C8" s="9">
        <v>39215</v>
      </c>
      <c r="D8" s="9">
        <v>47930</v>
      </c>
      <c r="E8" s="9">
        <v>170260</v>
      </c>
      <c r="F8" s="2">
        <f t="shared" si="0"/>
        <v>0.81817233465470474</v>
      </c>
      <c r="G8" s="2">
        <f t="shared" si="1"/>
        <v>3.5522637179219694</v>
      </c>
      <c r="H8" s="9">
        <f t="shared" si="2"/>
        <v>170260</v>
      </c>
      <c r="I8" s="9">
        <f t="shared" si="3"/>
        <v>0</v>
      </c>
      <c r="J8" s="9">
        <v>24896</v>
      </c>
      <c r="K8" s="2">
        <f t="shared" si="4"/>
        <v>0.5194241602336741</v>
      </c>
      <c r="L8" s="9">
        <v>749</v>
      </c>
      <c r="M8" s="9">
        <v>1763</v>
      </c>
      <c r="N8" s="9">
        <v>1923</v>
      </c>
      <c r="O8" s="9">
        <v>953</v>
      </c>
      <c r="P8" s="9">
        <v>134</v>
      </c>
      <c r="Q8" s="9"/>
      <c r="R8" s="9">
        <v>-615</v>
      </c>
      <c r="S8" s="9">
        <v>6974</v>
      </c>
      <c r="T8" s="9">
        <v>-103364</v>
      </c>
      <c r="U8" s="9">
        <v>191</v>
      </c>
      <c r="V8" s="9"/>
      <c r="W8" s="9">
        <v>119807</v>
      </c>
      <c r="X8" s="9">
        <v>-7132</v>
      </c>
      <c r="Y8" s="9"/>
      <c r="Z8" s="9"/>
      <c r="AA8" s="9">
        <v>-290483</v>
      </c>
      <c r="AB8" s="9">
        <v>366534</v>
      </c>
      <c r="AC8" s="9"/>
      <c r="AD8" s="9"/>
      <c r="AE8" s="9"/>
      <c r="AF8" s="9"/>
      <c r="AG8" s="9"/>
    </row>
    <row r="9" spans="1:33" x14ac:dyDescent="0.2">
      <c r="A9">
        <f t="shared" si="5"/>
        <v>2013</v>
      </c>
      <c r="B9" s="9">
        <v>28154</v>
      </c>
      <c r="C9" s="9">
        <v>28348</v>
      </c>
      <c r="D9" s="7">
        <v>36014</v>
      </c>
      <c r="E9" s="9">
        <v>227916</v>
      </c>
      <c r="F9" s="2">
        <f t="shared" si="0"/>
        <v>0.78713833509190867</v>
      </c>
      <c r="G9" s="2">
        <f t="shared" si="1"/>
        <v>6.3285389015382902</v>
      </c>
      <c r="H9" s="9">
        <f t="shared" si="2"/>
        <v>227916</v>
      </c>
      <c r="I9" s="9">
        <f t="shared" si="3"/>
        <v>0</v>
      </c>
      <c r="J9" s="9">
        <v>8966</v>
      </c>
      <c r="K9" s="2">
        <f t="shared" si="4"/>
        <v>0.24895873826845116</v>
      </c>
      <c r="L9" s="9">
        <v>560</v>
      </c>
      <c r="M9" s="9">
        <v>1706</v>
      </c>
      <c r="N9" s="9">
        <v>1651</v>
      </c>
      <c r="O9" s="9">
        <v>831</v>
      </c>
      <c r="P9" s="9">
        <v>-22</v>
      </c>
      <c r="Q9" s="9"/>
      <c r="R9" s="9">
        <v>-596</v>
      </c>
      <c r="S9" s="9">
        <v>3202</v>
      </c>
      <c r="T9" s="9">
        <v>-73373</v>
      </c>
      <c r="U9" s="9">
        <v>381</v>
      </c>
      <c r="V9" s="9"/>
      <c r="W9" s="9">
        <v>100237</v>
      </c>
      <c r="X9" s="9">
        <v>-2105</v>
      </c>
      <c r="Y9" s="9"/>
      <c r="Z9" s="9"/>
      <c r="AA9" s="9">
        <v>-220451</v>
      </c>
      <c r="AB9" s="9">
        <v>370915</v>
      </c>
      <c r="AC9" s="9"/>
      <c r="AD9" s="9"/>
      <c r="AE9" s="9"/>
      <c r="AF9" s="9"/>
      <c r="AG9" s="9"/>
    </row>
    <row r="10" spans="1:33" x14ac:dyDescent="0.2">
      <c r="A10">
        <f>A9-1</f>
        <v>2012</v>
      </c>
      <c r="B10" s="9">
        <v>20050</v>
      </c>
      <c r="C10" s="9">
        <v>20098</v>
      </c>
      <c r="D10" s="9">
        <v>26750</v>
      </c>
      <c r="E10" s="9">
        <v>280897</v>
      </c>
      <c r="F10" s="2">
        <f t="shared" si="0"/>
        <v>0.75132710280373827</v>
      </c>
      <c r="G10" s="2">
        <f t="shared" si="1"/>
        <v>10.500822429906542</v>
      </c>
      <c r="H10" s="9">
        <f t="shared" si="2"/>
        <v>280897</v>
      </c>
      <c r="I10" s="9">
        <f t="shared" si="3"/>
        <v>0</v>
      </c>
      <c r="J10" s="9">
        <v>10017</v>
      </c>
      <c r="K10" s="2">
        <f t="shared" si="4"/>
        <v>0.37446728971962617</v>
      </c>
      <c r="L10" s="9">
        <v>398</v>
      </c>
      <c r="M10" s="9">
        <v>1595</v>
      </c>
      <c r="N10" s="9">
        <v>1630</v>
      </c>
      <c r="O10" s="9">
        <v>770</v>
      </c>
      <c r="P10" s="9">
        <v>-31</v>
      </c>
      <c r="Q10" s="9"/>
      <c r="R10" s="9">
        <v>-105</v>
      </c>
      <c r="S10" s="11">
        <v>1758</v>
      </c>
      <c r="T10" s="9">
        <v>-44040</v>
      </c>
      <c r="U10" s="9">
        <v>-255</v>
      </c>
      <c r="V10" s="9"/>
      <c r="W10" s="9">
        <v>79873</v>
      </c>
      <c r="X10" s="9">
        <v>-1371</v>
      </c>
      <c r="Y10" s="9"/>
      <c r="Z10" s="9"/>
      <c r="AA10" s="9">
        <v>-172968</v>
      </c>
      <c r="AB10" s="9">
        <v>376876</v>
      </c>
      <c r="AC10" s="9"/>
      <c r="AD10" s="9"/>
      <c r="AE10" s="9"/>
      <c r="AF10" s="9"/>
      <c r="AG10" s="9"/>
    </row>
    <row r="11" spans="1:33" ht="16" x14ac:dyDescent="0.2">
      <c r="A11">
        <f t="shared" si="5"/>
        <v>2011</v>
      </c>
      <c r="B11" s="9">
        <v>19475</v>
      </c>
      <c r="C11" s="9">
        <v>19435</v>
      </c>
      <c r="D11" s="9">
        <v>22582</v>
      </c>
      <c r="E11" s="9">
        <v>75348</v>
      </c>
      <c r="F11" s="2">
        <f t="shared" si="0"/>
        <v>0.86064121866973697</v>
      </c>
      <c r="G11" s="2">
        <f t="shared" si="1"/>
        <v>3.3366398016119034</v>
      </c>
      <c r="H11" s="9">
        <f t="shared" si="2"/>
        <v>75348</v>
      </c>
      <c r="I11" s="9">
        <f t="shared" si="3"/>
        <v>0</v>
      </c>
      <c r="J11" s="9">
        <v>4319</v>
      </c>
      <c r="K11" s="2">
        <f t="shared" si="4"/>
        <v>0.1912585244885307</v>
      </c>
      <c r="L11" s="9">
        <v>354</v>
      </c>
      <c r="M11" s="9">
        <v>1061</v>
      </c>
      <c r="N11" s="9">
        <v>1098</v>
      </c>
      <c r="O11" s="9">
        <v>621</v>
      </c>
      <c r="P11" s="9">
        <v>-75</v>
      </c>
      <c r="Q11" s="9"/>
      <c r="R11" s="9">
        <v>320</v>
      </c>
      <c r="S11" s="15">
        <v>1254</v>
      </c>
      <c r="T11" s="9">
        <v>-38742</v>
      </c>
      <c r="U11" s="9">
        <v>434</v>
      </c>
      <c r="V11" s="9"/>
      <c r="W11" s="9">
        <v>86182</v>
      </c>
      <c r="X11" s="9">
        <v>-1097</v>
      </c>
      <c r="Y11" s="9"/>
      <c r="Z11" s="9"/>
      <c r="AA11" s="9">
        <v>-187598</v>
      </c>
      <c r="AB11" s="9">
        <v>184635</v>
      </c>
      <c r="AC11" s="9"/>
      <c r="AD11" s="9"/>
      <c r="AE11" s="9"/>
      <c r="AF11" s="9"/>
      <c r="AG11" s="9"/>
    </row>
    <row r="12" spans="1:33" ht="16" x14ac:dyDescent="0.2">
      <c r="A12">
        <f t="shared" si="5"/>
        <v>2010</v>
      </c>
      <c r="B12" s="9">
        <v>17311</v>
      </c>
      <c r="C12" s="9">
        <v>17314</v>
      </c>
      <c r="D12" s="9">
        <v>4805</v>
      </c>
      <c r="E12" s="9">
        <v>-293</v>
      </c>
      <c r="F12" s="2">
        <f t="shared" si="0"/>
        <v>3.6033298647242455</v>
      </c>
      <c r="G12" s="2">
        <f t="shared" si="1"/>
        <v>-6.097814776274714E-2</v>
      </c>
      <c r="H12" s="9">
        <f t="shared" si="2"/>
        <v>-293</v>
      </c>
      <c r="I12" s="9">
        <f t="shared" si="3"/>
        <v>0</v>
      </c>
      <c r="J12" s="9">
        <v>39</v>
      </c>
      <c r="K12" s="2">
        <f t="shared" si="4"/>
        <v>8.1165452653485948E-3</v>
      </c>
      <c r="L12" s="9"/>
      <c r="M12" s="9">
        <v>23</v>
      </c>
      <c r="N12" s="9">
        <v>16</v>
      </c>
      <c r="O12" s="9">
        <v>10</v>
      </c>
      <c r="P12" s="9"/>
      <c r="Q12" s="9"/>
      <c r="R12" s="9">
        <v>34</v>
      </c>
      <c r="S12" s="15">
        <v>258</v>
      </c>
      <c r="T12" s="9">
        <v>-5321</v>
      </c>
      <c r="U12" s="9">
        <v>5</v>
      </c>
      <c r="V12" s="9"/>
      <c r="W12" s="9"/>
      <c r="X12" s="9">
        <v>10</v>
      </c>
      <c r="Y12" s="9"/>
      <c r="Z12" s="9"/>
      <c r="AA12" s="9">
        <v>-46</v>
      </c>
      <c r="AB12" s="9">
        <v>-126</v>
      </c>
      <c r="AC12" s="9"/>
      <c r="AD12" s="9"/>
      <c r="AE12" s="9"/>
      <c r="AF12" s="9"/>
      <c r="AG12" s="9"/>
    </row>
    <row r="13" spans="1:33" x14ac:dyDescent="0.2">
      <c r="A13">
        <f t="shared" si="5"/>
        <v>2009</v>
      </c>
      <c r="B13" s="9">
        <v>13883</v>
      </c>
      <c r="C13" s="9">
        <v>13689</v>
      </c>
      <c r="D13" s="9">
        <v>828</v>
      </c>
      <c r="E13" s="9">
        <v>-468</v>
      </c>
      <c r="F13" s="2">
        <f t="shared" si="0"/>
        <v>16.532608695652176</v>
      </c>
      <c r="G13" s="2">
        <f t="shared" si="1"/>
        <v>-0.56521739130434778</v>
      </c>
      <c r="H13" s="9">
        <f t="shared" si="2"/>
        <v>-468</v>
      </c>
      <c r="I13" s="9">
        <f t="shared" si="3"/>
        <v>0</v>
      </c>
      <c r="J13" s="9">
        <v>71</v>
      </c>
      <c r="K13" s="2">
        <f t="shared" si="4"/>
        <v>8.5748792270531407E-2</v>
      </c>
      <c r="L13" s="9"/>
      <c r="M13" s="9">
        <v>24</v>
      </c>
      <c r="N13" s="9">
        <v>17</v>
      </c>
      <c r="O13" s="9">
        <v>8</v>
      </c>
      <c r="P13" s="9"/>
      <c r="Q13" s="9"/>
      <c r="R13" s="9">
        <v>-33</v>
      </c>
      <c r="S13" s="9">
        <v>72</v>
      </c>
      <c r="T13" s="9">
        <v>-1523</v>
      </c>
      <c r="U13" s="9">
        <v>2</v>
      </c>
      <c r="V13" s="9"/>
      <c r="W13" s="9"/>
      <c r="X13" s="9">
        <v>93</v>
      </c>
      <c r="Y13" s="9"/>
      <c r="Z13" s="9"/>
      <c r="AA13" s="9">
        <v>2</v>
      </c>
      <c r="AB13" s="9">
        <v>-55</v>
      </c>
      <c r="AC13" s="9">
        <v>26</v>
      </c>
      <c r="AD13" s="9"/>
      <c r="AE13" s="9"/>
      <c r="AF13" s="9"/>
      <c r="AG13" s="9"/>
    </row>
    <row r="14" spans="1:33" x14ac:dyDescent="0.2">
      <c r="A14" t="s">
        <v>77</v>
      </c>
      <c r="B14" s="9">
        <f>SUM(B4:B13)</f>
        <v>451241</v>
      </c>
      <c r="C14" s="9">
        <f>SUM(C4:C13)</f>
        <v>450241</v>
      </c>
      <c r="D14" s="9">
        <f>SUM(D4:D13)</f>
        <v>496885</v>
      </c>
      <c r="E14" s="9">
        <f>SUM(E4:E13)</f>
        <v>1444642</v>
      </c>
      <c r="F14" s="2">
        <f t="shared" si="0"/>
        <v>0.90612717228332507</v>
      </c>
      <c r="G14" s="2">
        <f t="shared" si="1"/>
        <v>2.9073970838322749</v>
      </c>
      <c r="H14" s="9">
        <f t="shared" si="2"/>
        <v>1444642</v>
      </c>
      <c r="I14" s="9">
        <f t="shared" si="3"/>
        <v>0</v>
      </c>
      <c r="J14" s="9">
        <f>SUM(J4:J13)</f>
        <v>232815</v>
      </c>
      <c r="K14" s="2">
        <f t="shared" si="4"/>
        <v>0.46854906064783602</v>
      </c>
      <c r="L14" s="9">
        <f t="shared" ref="L14:AC14" si="6">SUM(L4:L13)</f>
        <v>6315</v>
      </c>
      <c r="M14" s="9">
        <f t="shared" si="6"/>
        <v>18282</v>
      </c>
      <c r="N14" s="9">
        <f t="shared" si="6"/>
        <v>15415</v>
      </c>
      <c r="O14" s="9">
        <f t="shared" si="6"/>
        <v>8887</v>
      </c>
      <c r="P14" s="9">
        <f t="shared" si="6"/>
        <v>110</v>
      </c>
      <c r="Q14" s="9">
        <f t="shared" si="6"/>
        <v>0</v>
      </c>
      <c r="R14" s="9">
        <f t="shared" si="6"/>
        <v>20062</v>
      </c>
      <c r="S14" s="9">
        <f t="shared" si="6"/>
        <v>33201</v>
      </c>
      <c r="T14" s="9">
        <f t="shared" si="6"/>
        <v>-963155</v>
      </c>
      <c r="U14" s="9">
        <f t="shared" si="6"/>
        <v>175</v>
      </c>
      <c r="V14" s="9">
        <f t="shared" si="6"/>
        <v>29394</v>
      </c>
      <c r="W14" s="9">
        <f t="shared" si="6"/>
        <v>1143222</v>
      </c>
      <c r="X14" s="9">
        <f t="shared" si="6"/>
        <v>-40491</v>
      </c>
      <c r="Y14" s="9">
        <f t="shared" si="6"/>
        <v>0</v>
      </c>
      <c r="Z14" s="9">
        <f t="shared" si="6"/>
        <v>0</v>
      </c>
      <c r="AA14" s="9">
        <f t="shared" si="6"/>
        <v>-1981027</v>
      </c>
      <c r="AB14" s="9">
        <f t="shared" si="6"/>
        <v>2424526</v>
      </c>
      <c r="AC14" s="9">
        <f t="shared" si="6"/>
        <v>26</v>
      </c>
      <c r="AD14" s="9"/>
      <c r="AE14" s="9"/>
      <c r="AF14" s="9"/>
      <c r="AG14" s="9"/>
    </row>
    <row r="15" spans="1:33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ht="170" customHeight="1" x14ac:dyDescent="0.2">
      <c r="A17" s="21" t="s">
        <v>108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x14ac:dyDescent="0.2">
      <c r="A19" s="1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</sheetData>
  <mergeCells count="1">
    <mergeCell ref="A17:O1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3"/>
  <sheetViews>
    <sheetView workbookViewId="0">
      <selection activeCell="L23" sqref="L23"/>
    </sheetView>
  </sheetViews>
  <sheetFormatPr baseColWidth="10" defaultColWidth="11" defaultRowHeight="15" x14ac:dyDescent="0.2"/>
  <cols>
    <col min="2" max="2" width="19.1640625" customWidth="1"/>
    <col min="3" max="4" width="18.5" customWidth="1"/>
    <col min="5" max="5" width="16.1640625" customWidth="1"/>
    <col min="6" max="6" width="16.1640625" bestFit="1" customWidth="1"/>
    <col min="7" max="7" width="17.1640625" customWidth="1"/>
    <col min="8" max="8" width="17.6640625" customWidth="1"/>
  </cols>
  <sheetData>
    <row r="3" spans="1:30" x14ac:dyDescent="0.2">
      <c r="A3" t="s">
        <v>73</v>
      </c>
      <c r="B3" t="s">
        <v>117</v>
      </c>
      <c r="C3" t="s">
        <v>119</v>
      </c>
      <c r="D3" t="s">
        <v>120</v>
      </c>
      <c r="E3" t="s">
        <v>118</v>
      </c>
      <c r="F3" t="s">
        <v>121</v>
      </c>
      <c r="G3" t="s">
        <v>122</v>
      </c>
      <c r="H3" t="s">
        <v>123</v>
      </c>
      <c r="I3" t="s">
        <v>79</v>
      </c>
      <c r="J3" t="s">
        <v>80</v>
      </c>
      <c r="K3" t="s">
        <v>81</v>
      </c>
      <c r="L3" t="s">
        <v>105</v>
      </c>
      <c r="M3" t="s">
        <v>83</v>
      </c>
      <c r="N3" t="s">
        <v>84</v>
      </c>
      <c r="O3" t="s">
        <v>86</v>
      </c>
      <c r="P3" t="s">
        <v>87</v>
      </c>
      <c r="Q3" t="s">
        <v>94</v>
      </c>
      <c r="R3" t="s">
        <v>107</v>
      </c>
      <c r="S3" t="s">
        <v>88</v>
      </c>
      <c r="T3" t="s">
        <v>89</v>
      </c>
      <c r="U3" t="s">
        <v>115</v>
      </c>
      <c r="V3" t="s">
        <v>90</v>
      </c>
      <c r="W3" t="s">
        <v>91</v>
      </c>
      <c r="X3" t="s">
        <v>92</v>
      </c>
      <c r="Y3" t="s">
        <v>93</v>
      </c>
      <c r="Z3" t="s">
        <v>116</v>
      </c>
    </row>
    <row r="4" spans="1:30" x14ac:dyDescent="0.2">
      <c r="A4">
        <v>2018</v>
      </c>
      <c r="B4" s="9">
        <v>9150288411.3799992</v>
      </c>
      <c r="C4" s="9">
        <v>105082497.23999999</v>
      </c>
      <c r="D4" s="9">
        <v>4865359555.0100002</v>
      </c>
      <c r="E4" s="9">
        <v>114076728.54000001</v>
      </c>
      <c r="F4" s="9">
        <f>C4+D4</f>
        <v>4970442052.25</v>
      </c>
      <c r="G4" s="2">
        <f>B4/((F4+F5)/2)</f>
        <v>1.8652665926560597</v>
      </c>
      <c r="H4" s="1">
        <f>360/G4</f>
        <v>193.00190193583828</v>
      </c>
      <c r="I4" s="9">
        <f>E4+K4+M4+N4+O4+P4+S4+T4+V4+W4+X4+Y4+Q4+R4+U4+Z4</f>
        <v>1140731103.2999997</v>
      </c>
      <c r="J4" s="9">
        <f>I4-F4</f>
        <v>-3829710948.9500003</v>
      </c>
      <c r="K4" s="9">
        <v>1451738988.05</v>
      </c>
      <c r="L4" s="2">
        <f>K4/E4</f>
        <v>12.725987207294084</v>
      </c>
      <c r="M4" s="9">
        <v>230568528.09999999</v>
      </c>
      <c r="N4" s="9">
        <v>75728611.670000002</v>
      </c>
      <c r="O4" s="9">
        <v>9105604.8300000001</v>
      </c>
      <c r="P4" s="9">
        <v>-11158802.279999999</v>
      </c>
      <c r="Q4" s="9">
        <v>-629658.09</v>
      </c>
      <c r="R4" s="9"/>
      <c r="S4" s="9">
        <v>607803022.25999999</v>
      </c>
      <c r="T4" s="11">
        <v>-43194721.909999996</v>
      </c>
      <c r="U4" s="11">
        <v>15028120.73</v>
      </c>
      <c r="V4" s="11">
        <v>-221700582.75999999</v>
      </c>
      <c r="W4" s="9">
        <v>-495185127.86000001</v>
      </c>
      <c r="X4" s="9">
        <v>-2304139391.8200002</v>
      </c>
      <c r="Y4" s="9">
        <v>1712689783.8399999</v>
      </c>
      <c r="Z4" s="9"/>
      <c r="AA4" s="9"/>
      <c r="AB4" s="9"/>
      <c r="AC4" s="9"/>
      <c r="AD4" s="9"/>
    </row>
    <row r="5" spans="1:30" x14ac:dyDescent="0.2">
      <c r="A5">
        <f>A4-1</f>
        <v>2017</v>
      </c>
      <c r="B5" s="9">
        <v>11789073516.690001</v>
      </c>
      <c r="C5" s="9">
        <v>432048433.19</v>
      </c>
      <c r="D5" s="9">
        <v>4408748773.7700005</v>
      </c>
      <c r="E5" s="9">
        <v>58490158.609999999</v>
      </c>
      <c r="F5" s="9">
        <f t="shared" ref="F5:F13" si="0">C5+D5</f>
        <v>4840797206.96</v>
      </c>
      <c r="G5" s="2">
        <f t="shared" ref="G5:G13" si="1">B5/((F5+F6)/2)</f>
        <v>2.3970302521249183</v>
      </c>
      <c r="H5" s="1">
        <f t="shared" ref="H5:H13" si="2">360/G5</f>
        <v>150.1858391986782</v>
      </c>
      <c r="I5" s="9">
        <f t="shared" ref="I5:I13" si="3">E5+K5+M5+N5+O5+P5+S5+T5+V5+W5+X5+Y5+Q5+R5+U5+Z5</f>
        <v>1244412201.1800001</v>
      </c>
      <c r="J5" s="9">
        <f t="shared" ref="J5:J13" si="4">I5-F5</f>
        <v>-3596385005.7799997</v>
      </c>
      <c r="K5" s="9">
        <v>29956438.440000001</v>
      </c>
      <c r="L5" s="2">
        <f t="shared" ref="L5:L13" si="5">K5/E5</f>
        <v>0.51216203121867376</v>
      </c>
      <c r="M5" s="9">
        <v>197938163.75</v>
      </c>
      <c r="N5" s="9">
        <v>59049996.5</v>
      </c>
      <c r="O5" s="9">
        <v>11177737.220000001</v>
      </c>
      <c r="P5" s="9">
        <v>238205.34</v>
      </c>
      <c r="Q5" s="9"/>
      <c r="R5" s="9">
        <v>-850000</v>
      </c>
      <c r="S5" s="9">
        <v>484728351.18000001</v>
      </c>
      <c r="T5" s="9">
        <v>-51846083.219999999</v>
      </c>
      <c r="U5" s="9">
        <v>4772174.0599999996</v>
      </c>
      <c r="V5" s="9">
        <v>-17777905.27</v>
      </c>
      <c r="W5" s="9">
        <v>8657711.1099999994</v>
      </c>
      <c r="X5" s="9">
        <v>284052413.99000001</v>
      </c>
      <c r="Y5" s="9">
        <v>174990223.30000001</v>
      </c>
      <c r="Z5" s="9">
        <v>834616.17</v>
      </c>
      <c r="AA5" s="9"/>
      <c r="AB5" s="9"/>
      <c r="AC5" s="9"/>
      <c r="AD5" s="9"/>
    </row>
    <row r="6" spans="1:30" x14ac:dyDescent="0.2">
      <c r="A6">
        <f>A5-1</f>
        <v>2016</v>
      </c>
      <c r="B6" s="9">
        <v>9232749388.8799992</v>
      </c>
      <c r="C6" s="9">
        <v>195613019.53999999</v>
      </c>
      <c r="D6" s="9">
        <v>4799989215.0500002</v>
      </c>
      <c r="E6" s="9">
        <v>22468439.190000001</v>
      </c>
      <c r="F6" s="9">
        <f t="shared" si="0"/>
        <v>4995602234.5900002</v>
      </c>
      <c r="G6" s="2">
        <f t="shared" si="1"/>
        <v>2.3415657186842211</v>
      </c>
      <c r="H6" s="1">
        <f t="shared" si="2"/>
        <v>153.74328259396117</v>
      </c>
      <c r="I6" s="9">
        <f t="shared" si="3"/>
        <v>-1990157904.76</v>
      </c>
      <c r="J6" s="9">
        <f t="shared" si="4"/>
        <v>-6985760139.3500004</v>
      </c>
      <c r="K6" s="9">
        <v>164488091.91</v>
      </c>
      <c r="L6" s="2">
        <f t="shared" si="5"/>
        <v>7.3208508396617287</v>
      </c>
      <c r="M6" s="9">
        <v>181260911.65000001</v>
      </c>
      <c r="N6" s="9">
        <v>56205820.43</v>
      </c>
      <c r="O6" s="9">
        <v>646321.86</v>
      </c>
      <c r="P6" s="9">
        <v>627516.66</v>
      </c>
      <c r="Q6" s="9"/>
      <c r="R6" s="9"/>
      <c r="S6" s="9">
        <v>239765940.99000001</v>
      </c>
      <c r="T6" s="9">
        <v>-25282857.18</v>
      </c>
      <c r="U6" s="9">
        <v>-600825.84</v>
      </c>
      <c r="V6" s="9">
        <v>-13337307.199999999</v>
      </c>
      <c r="W6" s="9">
        <v>-148611570.27000001</v>
      </c>
      <c r="X6" s="9">
        <v>-2550540994.3600001</v>
      </c>
      <c r="Y6" s="9">
        <v>53077878.520000003</v>
      </c>
      <c r="Z6" s="9">
        <v>29674728.879999999</v>
      </c>
      <c r="AA6" s="9"/>
      <c r="AB6" s="9"/>
      <c r="AC6" s="9"/>
      <c r="AD6" s="9"/>
    </row>
    <row r="7" spans="1:30" x14ac:dyDescent="0.2">
      <c r="A7">
        <f t="shared" ref="A7:A11" si="6">A6-1</f>
        <v>2015</v>
      </c>
      <c r="B7" s="9">
        <v>7560816182.5100002</v>
      </c>
      <c r="C7" s="9">
        <v>52297676.369999997</v>
      </c>
      <c r="D7" s="9">
        <v>2838062302.4499998</v>
      </c>
      <c r="E7" s="9">
        <v>18458522</v>
      </c>
      <c r="F7" s="9">
        <f t="shared" si="0"/>
        <v>2890359978.8199997</v>
      </c>
      <c r="G7" s="2">
        <f t="shared" si="1"/>
        <v>3.2199598032847141</v>
      </c>
      <c r="H7" s="1">
        <f t="shared" si="2"/>
        <v>111.80263791888343</v>
      </c>
      <c r="I7" s="9">
        <f t="shared" si="3"/>
        <v>-532545506.2100001</v>
      </c>
      <c r="J7" s="9">
        <f t="shared" si="4"/>
        <v>-3422905485.0299997</v>
      </c>
      <c r="K7" s="9">
        <v>70043433.900000006</v>
      </c>
      <c r="L7" s="2">
        <f t="shared" si="5"/>
        <v>3.7946393486975829</v>
      </c>
      <c r="M7" s="9">
        <v>192350081.12</v>
      </c>
      <c r="N7" s="9">
        <v>36626572.689999998</v>
      </c>
      <c r="O7" s="9">
        <v>81615.12</v>
      </c>
      <c r="P7" s="9">
        <v>98784.22</v>
      </c>
      <c r="Q7" s="9"/>
      <c r="R7" s="9"/>
      <c r="S7" s="9">
        <v>328135912.69999999</v>
      </c>
      <c r="T7" s="9">
        <v>1835475.81</v>
      </c>
      <c r="U7" s="9"/>
      <c r="V7" s="9">
        <v>-6806677.5999999996</v>
      </c>
      <c r="W7" s="9">
        <v>-17185568.890000001</v>
      </c>
      <c r="X7" s="9">
        <v>-1394007182.95</v>
      </c>
      <c r="Y7" s="9">
        <v>223569404.34999999</v>
      </c>
      <c r="Z7" s="9">
        <v>14254121.32</v>
      </c>
      <c r="AA7" s="9"/>
      <c r="AB7" s="9"/>
      <c r="AC7" s="9"/>
      <c r="AD7" s="9"/>
    </row>
    <row r="8" spans="1:30" x14ac:dyDescent="0.2">
      <c r="A8">
        <f>A7-1</f>
        <v>2014</v>
      </c>
      <c r="B8" s="9">
        <v>5208091770.6199999</v>
      </c>
      <c r="C8" s="9">
        <v>35516097.549999997</v>
      </c>
      <c r="D8" s="9">
        <v>1770341668.21</v>
      </c>
      <c r="E8" s="9">
        <v>15880211.34</v>
      </c>
      <c r="F8" s="9">
        <f t="shared" si="0"/>
        <v>1805857765.76</v>
      </c>
      <c r="G8" s="2">
        <f t="shared" si="1"/>
        <v>4.5492403085441779</v>
      </c>
      <c r="H8" s="1">
        <f t="shared" si="2"/>
        <v>79.134091756785025</v>
      </c>
      <c r="I8" s="9">
        <f t="shared" si="3"/>
        <v>-554650716.37000012</v>
      </c>
      <c r="J8" s="9">
        <f>I8-F8</f>
        <v>-2360508482.1300001</v>
      </c>
      <c r="K8" s="9">
        <v>78913357.269999996</v>
      </c>
      <c r="L8" s="2">
        <f t="shared" si="5"/>
        <v>4.9692888577136527</v>
      </c>
      <c r="M8" s="9">
        <v>162964970.91999999</v>
      </c>
      <c r="N8" s="9">
        <v>11364414.529999999</v>
      </c>
      <c r="O8" s="9">
        <v>596315.56000000006</v>
      </c>
      <c r="P8" s="9">
        <v>2699692.81</v>
      </c>
      <c r="Q8" s="9"/>
      <c r="R8" s="9"/>
      <c r="S8" s="9">
        <v>261776452.09999999</v>
      </c>
      <c r="T8" s="9"/>
      <c r="U8" s="9"/>
      <c r="V8" s="9">
        <v>-10538299.060000001</v>
      </c>
      <c r="W8" s="9">
        <v>-34160295.140000001</v>
      </c>
      <c r="X8" s="9">
        <v>-1116160298.97</v>
      </c>
      <c r="Y8" s="9">
        <v>53092587.509999998</v>
      </c>
      <c r="Z8" s="9">
        <v>18920174.760000002</v>
      </c>
      <c r="AA8" s="9"/>
      <c r="AB8" s="9"/>
      <c r="AC8" s="9"/>
      <c r="AD8" s="9"/>
    </row>
    <row r="9" spans="1:30" x14ac:dyDescent="0.2">
      <c r="A9">
        <f t="shared" si="6"/>
        <v>2013</v>
      </c>
      <c r="B9" s="9">
        <v>3192701967.0799999</v>
      </c>
      <c r="C9" s="9">
        <v>52690668.960000001</v>
      </c>
      <c r="D9" s="9">
        <v>431104965.57999998</v>
      </c>
      <c r="E9" s="7">
        <v>5459449.4000000004</v>
      </c>
      <c r="F9" s="9">
        <f t="shared" si="0"/>
        <v>483795634.53999996</v>
      </c>
      <c r="G9" s="2">
        <f t="shared" si="1"/>
        <v>7.659485139004544</v>
      </c>
      <c r="H9" s="1">
        <f t="shared" si="2"/>
        <v>47.000548139556415</v>
      </c>
      <c r="I9" s="9">
        <f t="shared" si="3"/>
        <v>-428603715.73000002</v>
      </c>
      <c r="J9" s="9">
        <f t="shared" si="4"/>
        <v>-912399350.26999998</v>
      </c>
      <c r="K9" s="9">
        <v>8659917.5299999993</v>
      </c>
      <c r="L9" s="2">
        <f t="shared" si="5"/>
        <v>1.5862254406094503</v>
      </c>
      <c r="M9" s="9">
        <v>60768544.579999998</v>
      </c>
      <c r="N9" s="9">
        <v>7524731.7300000004</v>
      </c>
      <c r="O9" s="9"/>
      <c r="P9" s="9">
        <v>33325.85</v>
      </c>
      <c r="Q9" s="9"/>
      <c r="R9" s="9"/>
      <c r="S9" s="9">
        <v>143852727.03</v>
      </c>
      <c r="T9" s="9"/>
      <c r="U9" s="9"/>
      <c r="V9" s="9">
        <v>-3154045.81</v>
      </c>
      <c r="W9" s="9">
        <v>-206286137.05000001</v>
      </c>
      <c r="X9" s="9">
        <v>-288663679.68000001</v>
      </c>
      <c r="Y9" s="9">
        <v>-186871463.80000001</v>
      </c>
      <c r="Z9" s="9">
        <v>30072914.489999998</v>
      </c>
      <c r="AA9" s="9"/>
      <c r="AB9" s="9"/>
      <c r="AC9" s="9"/>
      <c r="AD9" s="9"/>
    </row>
    <row r="10" spans="1:30" x14ac:dyDescent="0.2">
      <c r="A10">
        <f>A9-1</f>
        <v>2012</v>
      </c>
      <c r="B10" s="9">
        <v>2234623152.98</v>
      </c>
      <c r="C10" s="9">
        <v>28945010.789999999</v>
      </c>
      <c r="D10" s="9">
        <v>320919035.22000003</v>
      </c>
      <c r="E10" s="9">
        <v>2395768.89</v>
      </c>
      <c r="F10" s="9">
        <f t="shared" si="0"/>
        <v>349864046.01000005</v>
      </c>
      <c r="G10" s="2">
        <f t="shared" si="1"/>
        <v>8.8899765953547369</v>
      </c>
      <c r="H10" s="1">
        <f t="shared" si="2"/>
        <v>40.495044743774706</v>
      </c>
      <c r="I10" s="9">
        <f t="shared" si="3"/>
        <v>-150329914.44999999</v>
      </c>
      <c r="J10" s="9">
        <f t="shared" si="4"/>
        <v>-500193960.46000004</v>
      </c>
      <c r="K10" s="9">
        <v>10385228.449999999</v>
      </c>
      <c r="L10" s="2">
        <f t="shared" si="5"/>
        <v>4.3348206470783577</v>
      </c>
      <c r="M10" s="9">
        <v>33542649.300000001</v>
      </c>
      <c r="N10" s="9">
        <v>6826474.54</v>
      </c>
      <c r="O10" s="9"/>
      <c r="P10" s="9">
        <v>1065346.58</v>
      </c>
      <c r="Q10" s="9"/>
      <c r="R10" s="9"/>
      <c r="S10" s="9">
        <v>58593037.789999999</v>
      </c>
      <c r="T10" s="9"/>
      <c r="U10" s="9">
        <v>-207800.46</v>
      </c>
      <c r="V10" s="9">
        <v>-1998538.88</v>
      </c>
      <c r="W10" s="9">
        <v>-95900005.650000006</v>
      </c>
      <c r="X10" s="9">
        <v>-236359552.91</v>
      </c>
      <c r="Y10" s="9">
        <v>54937035.93</v>
      </c>
      <c r="Z10" s="9">
        <v>16390441.970000001</v>
      </c>
      <c r="AA10" s="9"/>
      <c r="AB10" s="9"/>
      <c r="AC10" s="9"/>
      <c r="AD10" s="9"/>
    </row>
    <row r="11" spans="1:30" ht="16" x14ac:dyDescent="0.2">
      <c r="A11">
        <f t="shared" si="6"/>
        <v>2011</v>
      </c>
      <c r="B11" s="9">
        <v>1526021238.48</v>
      </c>
      <c r="C11" s="9">
        <v>25842313.300000001</v>
      </c>
      <c r="D11" s="9">
        <v>127022332.72</v>
      </c>
      <c r="E11" s="9">
        <v>7288648.5999999996</v>
      </c>
      <c r="F11" s="9">
        <f t="shared" si="0"/>
        <v>152864646.02000001</v>
      </c>
      <c r="G11" s="2">
        <f t="shared" si="1"/>
        <v>14.726195677233045</v>
      </c>
      <c r="H11" s="1">
        <f t="shared" si="2"/>
        <v>24.44623227141863</v>
      </c>
      <c r="I11" s="9">
        <f t="shared" si="3"/>
        <v>37527446.98999998</v>
      </c>
      <c r="J11" s="9">
        <f t="shared" si="4"/>
        <v>-115337199.03000003</v>
      </c>
      <c r="K11" s="9">
        <v>4212918.57</v>
      </c>
      <c r="L11" s="2">
        <f t="shared" si="5"/>
        <v>0.57801093195794906</v>
      </c>
      <c r="M11" s="9">
        <v>15220897.67</v>
      </c>
      <c r="N11" s="9">
        <v>4153937.85</v>
      </c>
      <c r="O11" s="9"/>
      <c r="P11" s="9"/>
      <c r="Q11" s="9"/>
      <c r="R11" s="9"/>
      <c r="S11" s="15">
        <v>28069059.75</v>
      </c>
      <c r="T11" s="9"/>
      <c r="U11" s="9">
        <v>105433.97</v>
      </c>
      <c r="V11" s="9">
        <v>-1115462.19</v>
      </c>
      <c r="W11" s="9">
        <v>-102470426.26000001</v>
      </c>
      <c r="X11" s="9">
        <v>-250416750.28</v>
      </c>
      <c r="Y11" s="9">
        <v>332479189.31</v>
      </c>
      <c r="Z11" s="9"/>
      <c r="AA11" s="9"/>
      <c r="AB11" s="9"/>
      <c r="AC11" s="9"/>
      <c r="AD11" s="9"/>
    </row>
    <row r="12" spans="1:30" x14ac:dyDescent="0.2">
      <c r="A12">
        <f>A11-1</f>
        <v>2010</v>
      </c>
      <c r="B12" s="9">
        <v>524201146.48000002</v>
      </c>
      <c r="C12" s="9">
        <v>4870000</v>
      </c>
      <c r="D12" s="9">
        <v>49517963.130000003</v>
      </c>
      <c r="E12" s="9">
        <v>5743026.0199999996</v>
      </c>
      <c r="F12" s="9">
        <f t="shared" si="0"/>
        <v>54387963.130000003</v>
      </c>
      <c r="G12" s="2">
        <f t="shared" si="1"/>
        <v>5.0897368472833361E-2</v>
      </c>
      <c r="H12" s="1">
        <f t="shared" si="2"/>
        <v>7073.0572287278701</v>
      </c>
      <c r="I12" s="9">
        <f t="shared" si="3"/>
        <v>44746084.100000001</v>
      </c>
      <c r="J12" s="9">
        <f t="shared" si="4"/>
        <v>-9641879.0300000012</v>
      </c>
      <c r="K12" s="9">
        <v>715772.4</v>
      </c>
      <c r="L12" s="2">
        <f t="shared" si="5"/>
        <v>0.1246333200489313</v>
      </c>
      <c r="M12" s="9">
        <v>13779522.529999999</v>
      </c>
      <c r="N12" s="9">
        <v>1918598.32</v>
      </c>
      <c r="O12" s="9"/>
      <c r="P12" s="9"/>
      <c r="Q12" s="9"/>
      <c r="R12" s="9"/>
      <c r="S12" s="9">
        <v>10976370.67</v>
      </c>
      <c r="T12" s="9"/>
      <c r="U12" s="9">
        <v>83600.850000000006</v>
      </c>
      <c r="V12" s="9">
        <v>-315387.42</v>
      </c>
      <c r="W12" s="9">
        <v>-2251888.34</v>
      </c>
      <c r="X12" s="9">
        <v>-36766545.869999997</v>
      </c>
      <c r="Y12" s="9">
        <v>50863014.939999998</v>
      </c>
      <c r="Z12" s="9"/>
      <c r="AA12" s="9"/>
      <c r="AB12" s="9"/>
      <c r="AC12" s="9"/>
      <c r="AD12" s="9"/>
    </row>
    <row r="13" spans="1:30" x14ac:dyDescent="0.2">
      <c r="A13" t="s">
        <v>77</v>
      </c>
      <c r="B13" s="9">
        <f>SUM(B4:B12)</f>
        <v>50418566775.100014</v>
      </c>
      <c r="C13" s="9">
        <f>SUM(C4:C12)</f>
        <v>932905716.93999982</v>
      </c>
      <c r="D13" s="9">
        <f>SUM(D4:D12)</f>
        <v>19611065811.140007</v>
      </c>
      <c r="E13" s="9">
        <f>SUM(E4:E12)</f>
        <v>250260952.59</v>
      </c>
      <c r="F13" s="9">
        <f t="shared" si="0"/>
        <v>20543971528.080006</v>
      </c>
      <c r="G13" s="2">
        <f t="shared" si="1"/>
        <v>4.9083563717158265</v>
      </c>
      <c r="H13" s="1">
        <f t="shared" si="2"/>
        <v>73.34430769421779</v>
      </c>
      <c r="I13" s="9">
        <f t="shared" si="3"/>
        <v>-1188870921.9500003</v>
      </c>
      <c r="J13" s="9">
        <f t="shared" si="4"/>
        <v>-21732842450.030006</v>
      </c>
      <c r="K13" s="9">
        <f>SUM(K4:K12)</f>
        <v>1819114146.5200002</v>
      </c>
      <c r="L13" s="2">
        <f t="shared" si="5"/>
        <v>7.2688692650356712</v>
      </c>
      <c r="M13" s="9">
        <f t="shared" ref="M13:Z13" si="7">SUM(M4:M12)</f>
        <v>1088394269.6199999</v>
      </c>
      <c r="N13" s="9">
        <f t="shared" si="7"/>
        <v>259399158.25999999</v>
      </c>
      <c r="O13" s="9">
        <f t="shared" si="7"/>
        <v>21607594.59</v>
      </c>
      <c r="P13" s="9">
        <f t="shared" si="7"/>
        <v>-6395930.8199999984</v>
      </c>
      <c r="Q13" s="9">
        <f t="shared" si="7"/>
        <v>-629658.09</v>
      </c>
      <c r="R13" s="9">
        <f t="shared" si="7"/>
        <v>-850000</v>
      </c>
      <c r="S13" s="9">
        <f t="shared" si="7"/>
        <v>2163700874.4700003</v>
      </c>
      <c r="T13" s="9">
        <f t="shared" si="7"/>
        <v>-118488186.5</v>
      </c>
      <c r="U13" s="9">
        <f t="shared" si="7"/>
        <v>19180703.309999999</v>
      </c>
      <c r="V13" s="9">
        <f t="shared" si="7"/>
        <v>-276744206.19</v>
      </c>
      <c r="W13" s="9">
        <f t="shared" si="7"/>
        <v>-1093393308.3499999</v>
      </c>
      <c r="X13" s="9">
        <f t="shared" si="7"/>
        <v>-7893001982.8500004</v>
      </c>
      <c r="Y13" s="9">
        <f t="shared" si="7"/>
        <v>2468827653.9000001</v>
      </c>
      <c r="Z13" s="9">
        <f t="shared" si="7"/>
        <v>110146997.59</v>
      </c>
      <c r="AA13" s="9"/>
      <c r="AB13" s="9"/>
      <c r="AC13" s="9"/>
      <c r="AD13" s="9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ColWidth="11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应收账款周转率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2019-07-25T02:55:52Z</dcterms:modified>
</cp:coreProperties>
</file>