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5605" windowHeight="14775" activeTab="3"/>
  </bookViews>
  <sheets>
    <sheet name="估值" sheetId="3" r:id="rId1"/>
    <sheet name="现金流净利润比" sheetId="4" r:id="rId2"/>
    <sheet name="roe" sheetId="8" r:id="rId3"/>
    <sheet name="应收账款周转率" sheetId="7" r:id="rId4"/>
    <sheet name="存货" sheetId="6" r:id="rId5"/>
  </sheets>
  <externalReferences>
    <externalReference r:id="rId6"/>
  </externalReferenc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3" i="7" l="1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L13" i="7"/>
  <c r="F13" i="7"/>
  <c r="M13" i="7"/>
  <c r="J13" i="7"/>
  <c r="D13" i="7"/>
  <c r="E13" i="7"/>
  <c r="G13" i="7"/>
  <c r="K13" i="7"/>
  <c r="C13" i="7"/>
  <c r="H13" i="7"/>
  <c r="I13" i="7"/>
  <c r="M12" i="7"/>
  <c r="J12" i="7"/>
  <c r="G12" i="7"/>
  <c r="K12" i="7"/>
  <c r="H12" i="7"/>
  <c r="I12" i="7"/>
  <c r="B5" i="7"/>
  <c r="B6" i="7"/>
  <c r="B7" i="7"/>
  <c r="B8" i="7"/>
  <c r="B9" i="7"/>
  <c r="B10" i="7"/>
  <c r="B11" i="7"/>
  <c r="B12" i="7"/>
  <c r="M11" i="7"/>
  <c r="J11" i="7"/>
  <c r="G11" i="7"/>
  <c r="K11" i="7"/>
  <c r="H11" i="7"/>
  <c r="I11" i="7"/>
  <c r="M10" i="7"/>
  <c r="J10" i="7"/>
  <c r="G10" i="7"/>
  <c r="K10" i="7"/>
  <c r="H10" i="7"/>
  <c r="I10" i="7"/>
  <c r="M9" i="7"/>
  <c r="J9" i="7"/>
  <c r="G9" i="7"/>
  <c r="K9" i="7"/>
  <c r="H9" i="7"/>
  <c r="I9" i="7"/>
  <c r="M8" i="7"/>
  <c r="J8" i="7"/>
  <c r="G8" i="7"/>
  <c r="K8" i="7"/>
  <c r="H8" i="7"/>
  <c r="I8" i="7"/>
  <c r="M7" i="7"/>
  <c r="J7" i="7"/>
  <c r="G7" i="7"/>
  <c r="K7" i="7"/>
  <c r="H7" i="7"/>
  <c r="I7" i="7"/>
  <c r="M6" i="7"/>
  <c r="J6" i="7"/>
  <c r="G6" i="7"/>
  <c r="K6" i="7"/>
  <c r="H6" i="7"/>
  <c r="I6" i="7"/>
  <c r="M5" i="7"/>
  <c r="J5" i="7"/>
  <c r="G5" i="7"/>
  <c r="K5" i="7"/>
  <c r="H5" i="7"/>
  <c r="I5" i="7"/>
  <c r="M4" i="7"/>
  <c r="J4" i="7"/>
  <c r="G4" i="7"/>
  <c r="K4" i="7"/>
  <c r="H4" i="7"/>
  <c r="I4" i="7"/>
  <c r="A10" i="3"/>
  <c r="B14" i="3"/>
  <c r="B15" i="3"/>
  <c r="C14" i="3"/>
  <c r="C15" i="3"/>
  <c r="D14" i="3"/>
  <c r="D15" i="3"/>
  <c r="E14" i="3"/>
  <c r="E15" i="3"/>
  <c r="F14" i="3"/>
  <c r="F15" i="3"/>
  <c r="G14" i="3"/>
  <c r="G15" i="3"/>
  <c r="H15" i="3"/>
  <c r="J15" i="3"/>
  <c r="L15" i="3"/>
  <c r="B6" i="3"/>
  <c r="B5" i="3"/>
  <c r="J17" i="3"/>
  <c r="J18" i="3"/>
  <c r="J19" i="3"/>
  <c r="J20" i="3"/>
  <c r="J21" i="3"/>
  <c r="J22" i="3"/>
  <c r="J23" i="3"/>
  <c r="J24" i="3"/>
  <c r="H11" i="4"/>
  <c r="H5" i="4"/>
  <c r="H6" i="4"/>
  <c r="H7" i="4"/>
  <c r="H8" i="4"/>
  <c r="H9" i="4"/>
  <c r="H10" i="4"/>
  <c r="H12" i="4"/>
  <c r="D13" i="4"/>
  <c r="J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Z13" i="4"/>
  <c r="AA13" i="4"/>
  <c r="AB13" i="4"/>
  <c r="Y13" i="4"/>
  <c r="H13" i="4"/>
  <c r="H4" i="4"/>
  <c r="D5" i="8"/>
  <c r="D6" i="8"/>
  <c r="D7" i="8"/>
  <c r="D8" i="8"/>
  <c r="D9" i="8"/>
  <c r="D10" i="8"/>
  <c r="D11" i="8"/>
  <c r="D12" i="8"/>
  <c r="D13" i="8"/>
  <c r="D4" i="8"/>
  <c r="A5" i="8"/>
  <c r="A6" i="8"/>
  <c r="A7" i="8"/>
  <c r="A8" i="8"/>
  <c r="A9" i="8"/>
  <c r="A10" i="8"/>
  <c r="A11" i="8"/>
  <c r="A12" i="8"/>
  <c r="A13" i="8"/>
  <c r="D4" i="3"/>
  <c r="E4" i="3"/>
  <c r="F4" i="3"/>
  <c r="G4" i="3"/>
  <c r="H4" i="3"/>
  <c r="I4" i="3"/>
  <c r="J4" i="3"/>
  <c r="K4" i="3"/>
  <c r="I8" i="4"/>
  <c r="H16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C4" i="3"/>
  <c r="I4" i="4"/>
  <c r="F4" i="6"/>
</calcChain>
</file>

<file path=xl/sharedStrings.xml><?xml version="1.0" encoding="utf-8"?>
<sst xmlns="http://schemas.openxmlformats.org/spreadsheetml/2006/main" count="97" uniqueCount="73">
  <si>
    <t>净利润</t>
    <rPh sb="0" eb="1">
      <t>jing'li'run</t>
    </rPh>
    <phoneticPr fontId="2" type="noConversion"/>
  </si>
  <si>
    <t>年份</t>
    <rPh sb="0" eb="1">
      <t>nian'f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</si>
  <si>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</si>
  <si>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</si>
  <si>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</si>
  <si>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</si>
  <si>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</si>
  <si>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</si>
  <si>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</si>
  <si>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</si>
  <si>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</si>
  <si>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</si>
  <si>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</si>
  <si>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</si>
  <si>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</si>
  <si>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</si>
  <si>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</si>
  <si>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</si>
  <si>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</si>
  <si>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</si>
  <si>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</si>
  <si>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</si>
  <si>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</si>
  <si>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</si>
  <si>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</si>
  <si>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</si>
  <si>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</si>
  <si>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</si>
  <si>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</si>
  <si>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</si>
  <si>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</si>
  <si>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</si>
  <si>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</si>
  <si>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</si>
  <si>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</si>
  <si>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</si>
  <si>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</si>
  <si>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</si>
  <si>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</si>
  <si>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</si>
  <si>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</si>
  <si>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</si>
  <si>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</si>
  <si>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</si>
  <si>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</si>
  <si>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</si>
  <si>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</si>
  <si>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</si>
  <si>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</si>
  <si>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年份</t>
    <phoneticPr fontId="2" type="noConversion"/>
  </si>
  <si>
    <t>净利润</t>
    <phoneticPr fontId="2" type="noConversion"/>
  </si>
  <si>
    <t>所有者权益（净资产）</t>
    <phoneticPr fontId="2" type="noConversion"/>
  </si>
  <si>
    <t>roe</t>
    <phoneticPr fontId="2" type="noConversion"/>
  </si>
  <si>
    <t>以权益结算的股份支付</t>
    <phoneticPr fontId="2" type="noConversion"/>
  </si>
  <si>
    <t>受限资金的变动</t>
    <phoneticPr fontId="2" type="noConversion"/>
  </si>
  <si>
    <t>经营性其他非流动资产的增加</t>
    <phoneticPr fontId="2" type="noConversion"/>
  </si>
  <si>
    <t>现利比为74%，基本健康，分析主要原因，近9年累积净利润465亿，累积经营活动现金流净额只有347亿，差值118亿
近9年的差值主要为：资产减值20亿+折旧13亿+财务费用3亿+应付增加了145亿-递延所得税增加5.1亿-应收增加了227亿-投资损失4.8亿-存货58=113.9亿约等于118亿
可以看到，差值的主要原因是：
1. 应收227亿，应付145亿，应收-应付 82亿
2. 存货58亿
3. 折旧13亿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di'san'fangwai'baoxiang'mu'xinggong'si</t>
    </rPh>
    <phoneticPr fontId="2" type="noConversion"/>
  </si>
  <si>
    <t>现金流折扣</t>
    <rPh sb="0" eb="1">
      <t>xian'jin'liu</t>
    </rPh>
    <rPh sb="3" eb="4">
      <t>zhe'kou</t>
    </rPh>
    <phoneticPr fontId="2" type="noConversion"/>
  </si>
  <si>
    <t>符合增长</t>
    <rPh sb="0" eb="1">
      <t>fu'he</t>
    </rPh>
    <rPh sb="2" eb="3">
      <t>zeng'zhang</t>
    </rPh>
    <phoneticPr fontId="2" type="noConversion"/>
  </si>
  <si>
    <t>近5年复合增长</t>
    <rPh sb="0" eb="1">
      <t>jin</t>
    </rPh>
    <rPh sb="2" eb="3">
      <t>nian</t>
    </rPh>
    <rPh sb="3" eb="4">
      <t>fu'he</t>
    </rPh>
    <rPh sb="5" eb="6">
      <t>zeng'zhang</t>
    </rPh>
    <phoneticPr fontId="2" type="noConversion"/>
  </si>
  <si>
    <t>总股本</t>
    <rPh sb="0" eb="1">
      <t>zong</t>
    </rPh>
    <rPh sb="1" eb="2">
      <t>gu'ben</t>
    </rPh>
    <phoneticPr fontId="2" type="noConversion"/>
  </si>
  <si>
    <t>目标价格</t>
    <rPh sb="0" eb="1">
      <t>mu'biao</t>
    </rPh>
    <rPh sb="2" eb="3">
      <t>jia'ge</t>
    </rPh>
    <phoneticPr fontId="2" type="noConversion"/>
  </si>
  <si>
    <t>成本</t>
    <rPh sb="0" eb="1">
      <t>cheng'ben</t>
    </rPh>
    <phoneticPr fontId="2" type="noConversion"/>
  </si>
  <si>
    <t>期望涨幅</t>
    <rPh sb="0" eb="1">
      <t>qi'wang</t>
    </rPh>
    <rPh sb="2" eb="3">
      <t>zhang'fu</t>
    </rPh>
    <phoneticPr fontId="2" type="noConversion"/>
  </si>
  <si>
    <t>销售额</t>
    <rPh sb="0" eb="1">
      <t>gu'dong</t>
    </rPh>
    <rPh sb="2" eb="3">
      <t>jing'li'run</t>
    </rPh>
    <phoneticPr fontId="2" type="noConversion"/>
  </si>
  <si>
    <t>应收票据</t>
    <rPh sb="0" eb="1">
      <t>kou'fei</t>
    </rPh>
    <rPh sb="2" eb="3">
      <t>jing'li'run</t>
    </rPh>
    <phoneticPr fontId="2" type="noConversion"/>
  </si>
  <si>
    <t>应收款帐</t>
    <phoneticPr fontId="2" type="noConversion"/>
  </si>
  <si>
    <t>其他应收款</t>
    <rPh sb="0" eb="1">
      <t>jing'li'run</t>
    </rPh>
    <phoneticPr fontId="2" type="noConversion"/>
  </si>
  <si>
    <t>应收款合计</t>
    <rPh sb="0" eb="1">
      <t>jing'ying</t>
    </rPh>
    <rPh sb="2" eb="3">
      <t>huo'dong</t>
    </rPh>
    <rPh sb="4" eb="5">
      <t>jing'e</t>
    </rPh>
    <phoneticPr fontId="2" type="noConversion"/>
  </si>
  <si>
    <t>应收账款周转率</t>
    <rPh sb="0" eb="1">
      <t>kou'fei</t>
    </rPh>
    <rPh sb="2" eb="3">
      <t>zhan'bi</t>
    </rPh>
    <phoneticPr fontId="2" type="noConversion"/>
  </si>
  <si>
    <t>应收账款周转天数</t>
    <rPh sb="0" eb="1">
      <t>xian</t>
    </rPh>
    <rPh sb="1" eb="2">
      <t>li</t>
    </rPh>
    <rPh sb="2" eb="3">
      <t>bi</t>
    </rPh>
    <phoneticPr fontId="2" type="noConversion"/>
  </si>
  <si>
    <t>递延所得税负债增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</si>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</sst>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#,##0.00_ ;[Red]\-#,##0.00\ "/>
  </numFmts>
  <fonts count="6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rgb="FF333333"/>
      <name val="Microsoft YaHei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10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177" fontId="0" fillId="0" borderId="0" xfId="0" applyNumberFormat="1"/>
    <xf numFmtId="0" fontId="3" fillId="0" borderId="0" xfId="0" applyFont="1"/>
    <xf numFmtId="177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" fontId="4" fillId="0" borderId="1" xfId="0" applyNumberFormat="1" applyFont="1" applyBorder="1" applyAlignment="1">
      <alignment vertical="center" wrapText="1"/>
    </xf>
    <xf numFmtId="177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现金流净利润比!$D$3</c:f>
              <c:strCache>
                <c:ptCount val="1"/>
                <c:pt idx="0">
                  <c:v>净利润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现金流净利润比!$A$4:$A$12</c:f>
              <c:numCache>
                <c:formatCode>General</c:formatCode>
                <c:ptCount val="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</c:numCache>
            </c:numRef>
          </c:cat>
          <c:val>
            <c:numRef>
              <c:f>现金流净利润比!$D$4:$D$12</c:f>
              <c:numCache>
                <c:formatCode>#,##0.00_ ;[Red]\-#,##0.00\ </c:formatCode>
                <c:ptCount val="9"/>
                <c:pt idx="0">
                  <c:v>11381692864.66</c:v>
                </c:pt>
                <c:pt idx="1">
                  <c:v>9377501639.8199997</c:v>
                </c:pt>
                <c:pt idx="2">
                  <c:v>7420273140.4399996</c:v>
                </c:pt>
                <c:pt idx="3">
                  <c:v>5882397844.6999998</c:v>
                </c:pt>
                <c:pt idx="4">
                  <c:v>4680701236.6599998</c:v>
                </c:pt>
                <c:pt idx="5" formatCode="#,##0.00">
                  <c:v>3077052948.5599999</c:v>
                </c:pt>
                <c:pt idx="6">
                  <c:v>2140426340.48</c:v>
                </c:pt>
                <c:pt idx="7">
                  <c:v>1482482923.78</c:v>
                </c:pt>
                <c:pt idx="8">
                  <c:v>1052375236.76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3-4E57-94BB-29D1AB49CA2B}"/>
            </c:ext>
          </c:extLst>
        </c:ser>
        <c:ser>
          <c:idx val="1"/>
          <c:order val="1"/>
          <c:tx>
            <c:strRef>
              <c:f>现金流净利润比!$E$3</c:f>
              <c:strCache>
                <c:ptCount val="1"/>
                <c:pt idx="0">
                  <c:v>经营活动净额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现金流净利润比!$A$4:$A$12</c:f>
              <c:numCache>
                <c:formatCode>General</c:formatCode>
                <c:ptCount val="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</c:numCache>
            </c:numRef>
          </c:cat>
          <c:val>
            <c:numRef>
              <c:f>现金流净利润比!$E$4:$E$12</c:f>
              <c:numCache>
                <c:formatCode>#,##0.00_ ;[Red]\-#,##0.00\ </c:formatCode>
                <c:ptCount val="9"/>
                <c:pt idx="0">
                  <c:v>9114013286.0599995</c:v>
                </c:pt>
                <c:pt idx="1">
                  <c:v>7373160250.6800003</c:v>
                </c:pt>
                <c:pt idx="2">
                  <c:v>6213692160.5600004</c:v>
                </c:pt>
                <c:pt idx="3">
                  <c:v>3216722169.1700001</c:v>
                </c:pt>
                <c:pt idx="4">
                  <c:v>3706420782.04</c:v>
                </c:pt>
                <c:pt idx="5">
                  <c:v>1863365811.6300001</c:v>
                </c:pt>
                <c:pt idx="6">
                  <c:v>1436789861.4200001</c:v>
                </c:pt>
                <c:pt idx="7">
                  <c:v>1170461433.24</c:v>
                </c:pt>
                <c:pt idx="8">
                  <c:v>663926032.74000001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3-4E57-94BB-29D1AB49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616720"/>
        <c:axId val="-2085819552"/>
      </c:barChart>
      <c:catAx>
        <c:axId val="-21166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5819552"/>
        <c:crosses val="autoZero"/>
        <c:auto val="1"/>
        <c:lblAlgn val="ctr"/>
        <c:lblOffset val="100"/>
        <c:noMultiLvlLbl val="0"/>
      </c:catAx>
      <c:valAx>
        <c:axId val="-20858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6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应收账款周转率!$H$3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应收账款周转率!$B$4:$B$11</c:f>
              <c:numCache>
                <c:formatCode>General</c:formatCode>
                <c:ptCount val="8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</c:numCache>
            </c:numRef>
          </c:xVal>
          <c:yVal>
            <c:numRef>
              <c:f>应收账款周转率!$H$4:$H$11</c:f>
              <c:numCache>
                <c:formatCode>0.00%</c:formatCode>
                <c:ptCount val="8"/>
                <c:pt idx="0">
                  <c:v>2.6557808345944953</c:v>
                </c:pt>
                <c:pt idx="1">
                  <c:v>2.5844932699394954</c:v>
                </c:pt>
                <c:pt idx="2">
                  <c:v>2.5280047545337658</c:v>
                </c:pt>
                <c:pt idx="3">
                  <c:v>2.9169319670508425</c:v>
                </c:pt>
                <c:pt idx="4">
                  <c:v>3.5096419164575927</c:v>
                </c:pt>
                <c:pt idx="5">
                  <c:v>3.8529009566281185</c:v>
                </c:pt>
                <c:pt idx="6">
                  <c:v>4.5496531549010504</c:v>
                </c:pt>
                <c:pt idx="7">
                  <c:v>5.5141658696507756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0-4560-B35D-34CD3720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65983"/>
        <c:axId val="778764319"/>
      </c:scatterChart>
      <c:valAx>
        <c:axId val="7787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764319"/>
        <c:crosses val="autoZero"/>
        <c:crossBetween val="midCat"/>
      </c:valAx>
      <c:valAx>
        <c:axId val="7787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76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应收账款周转率!$I$3</c:f>
              <c:strCache>
                <c:ptCount val="1"/>
                <c:pt idx="0">
                  <c:v>应收账款周转天数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应收账款周转率!$B$4:$B$11</c:f>
              <c:numCache>
                <c:formatCode>General</c:formatCode>
                <c:ptCount val="8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</c:numCache>
            </c:numRef>
          </c:xVal>
          <c:yVal>
            <c:numRef>
              <c:f>应收账款周转率!$I$4:$I$11</c:f>
              <c:numCache>
                <c:formatCode>#,##0.00_ </c:formatCode>
                <c:ptCount val="8"/>
                <c:pt idx="0">
                  <c:v>135.55335414376071</c:v>
                </c:pt>
                <c:pt idx="1">
                  <c:v>139.29229539391596</c:v>
                </c:pt>
                <c:pt idx="2">
                  <c:v>142.40479546344602</c:v>
                </c:pt>
                <c:pt idx="3">
                  <c:v>123.41734537058031</c:v>
                </c:pt>
                <c:pt idx="4">
                  <c:v>102.57456702687233</c:v>
                </c:pt>
                <c:pt idx="5">
                  <c:v>93.436089858654299</c:v>
                </c:pt>
                <c:pt idx="6">
                  <c:v>79.126910940935133</c:v>
                </c:pt>
                <c:pt idx="7">
                  <c:v>65.286392993977813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7-481E-B9F4-4F528C0F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08783"/>
        <c:axId val="775212111"/>
      </c:scatterChart>
      <c:valAx>
        <c:axId val="77520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212111"/>
        <c:crosses val="autoZero"/>
        <c:crossBetween val="midCat"/>
      </c:valAx>
      <c:valAx>
        <c:axId val="7752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2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15</xdr:row>
      <xdr:rowOff>1209675</xdr:rowOff>
    </xdr:from>
    <xdr:to>
      <xdr:col>11</xdr:col>
      <xdr:colOff>19050</xdr:colOff>
      <xdr:row>27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16</xdr:row>
      <xdr:rowOff>85725</xdr:rowOff>
    </xdr:from>
    <xdr:to>
      <xdr:col>5</xdr:col>
      <xdr:colOff>809625</xdr:colOff>
      <xdr:row>31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1247775</xdr:colOff>
      <xdr:row>16</xdr:row>
      <xdr:rowOff>66675</xdr:rowOff>
    </xdr:from>
    <xdr:to>
      <xdr:col>10</xdr:col>
      <xdr:colOff>466725</xdr:colOff>
      <xdr:row>31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it\stock_learn\002450_&#24247;&#24471;&#26032;\&#24247;&#24471;&#26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自由现金流"/>
      <sheetName val="估值"/>
      <sheetName val="现金流净利润比"/>
      <sheetName val="应收账款周转率"/>
      <sheetName val="存货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G3" t="str">
            <v>应收账款周转率</v>
          </cell>
          <cell r="H3" t="str">
            <v>应收账款周转天数</v>
          </cell>
        </row>
        <row r="4">
          <cell r="A4">
            <v>2018</v>
          </cell>
          <cell r="G4">
            <v>1.8652665926560597</v>
          </cell>
          <cell r="H4">
            <v>193.00190193583828</v>
          </cell>
        </row>
        <row r="5">
          <cell r="A5">
            <v>2017</v>
          </cell>
          <cell r="G5">
            <v>2.3970302521249183</v>
          </cell>
          <cell r="H5">
            <v>150.1858391986782</v>
          </cell>
        </row>
        <row r="6">
          <cell r="A6">
            <v>2016</v>
          </cell>
          <cell r="G6">
            <v>2.3415657186842211</v>
          </cell>
          <cell r="H6">
            <v>153.74328259396117</v>
          </cell>
        </row>
        <row r="7">
          <cell r="A7">
            <v>2015</v>
          </cell>
          <cell r="G7">
            <v>3.2199598032847141</v>
          </cell>
          <cell r="H7">
            <v>111.80263791888343</v>
          </cell>
        </row>
        <row r="8">
          <cell r="A8">
            <v>2014</v>
          </cell>
          <cell r="G8">
            <v>4.5492403085441779</v>
          </cell>
          <cell r="H8">
            <v>79.134091756785025</v>
          </cell>
        </row>
        <row r="9">
          <cell r="A9">
            <v>2013</v>
          </cell>
          <cell r="G9">
            <v>7.659485139004544</v>
          </cell>
          <cell r="H9">
            <v>47.000548139556415</v>
          </cell>
        </row>
        <row r="10">
          <cell r="A10">
            <v>2012</v>
          </cell>
          <cell r="G10">
            <v>8.8899765953547369</v>
          </cell>
          <cell r="H10">
            <v>40.495044743774706</v>
          </cell>
        </row>
        <row r="11">
          <cell r="A11">
            <v>2011</v>
          </cell>
          <cell r="G11">
            <v>14.726195677233045</v>
          </cell>
          <cell r="H11">
            <v>24.44623227141863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26" sqref="F26"/>
    </sheetView>
  </sheetViews>
  <sheetFormatPr defaultColWidth="11" defaultRowHeight="14.25"/>
  <cols>
    <col min="1" max="1" width="17.875" customWidth="1"/>
    <col min="2" max="2" width="17.5" customWidth="1"/>
    <col min="3" max="3" width="15.875" customWidth="1"/>
    <col min="4" max="4" width="16.125" customWidth="1"/>
    <col min="5" max="5" width="15.875" customWidth="1"/>
    <col min="6" max="6" width="18.625" customWidth="1"/>
    <col min="7" max="7" width="17.5" customWidth="1"/>
    <col min="8" max="8" width="19.5" customWidth="1"/>
    <col min="9" max="9" width="16.375" customWidth="1"/>
    <col min="10" max="10" width="16.875" customWidth="1"/>
    <col min="11" max="11" width="16.375" customWidth="1"/>
  </cols>
  <sheetData>
    <row r="1" spans="1:12" ht="15" customHeight="1"/>
    <row r="2" spans="1:12" ht="20.25">
      <c r="A2" t="s">
        <v>1</v>
      </c>
      <c r="B2" s="6">
        <v>2009</v>
      </c>
      <c r="C2" s="6">
        <v>2010</v>
      </c>
      <c r="D2" s="6">
        <v>2011</v>
      </c>
      <c r="E2" s="6">
        <v>2012</v>
      </c>
      <c r="F2" s="6">
        <v>2013</v>
      </c>
      <c r="G2" s="6">
        <v>2014</v>
      </c>
      <c r="H2" s="6">
        <v>2015</v>
      </c>
      <c r="I2" s="6">
        <v>2016</v>
      </c>
      <c r="J2" s="6">
        <v>2017</v>
      </c>
      <c r="K2" s="6">
        <v>2018</v>
      </c>
    </row>
    <row r="3" spans="1:12" ht="20.25">
      <c r="A3" s="6" t="s">
        <v>41</v>
      </c>
      <c r="B3" s="6"/>
      <c r="C3" s="5">
        <v>1051804319.23</v>
      </c>
      <c r="D3" s="5">
        <v>1481012967.98</v>
      </c>
      <c r="E3" s="5">
        <v>2136873134.55</v>
      </c>
      <c r="F3" s="5">
        <v>2977541251.73</v>
      </c>
      <c r="G3" s="5">
        <v>4474975306.54</v>
      </c>
      <c r="H3" s="5">
        <v>5869049646</v>
      </c>
      <c r="I3" s="5">
        <v>7422261983.1669998</v>
      </c>
      <c r="J3" s="5">
        <v>9410855084.8199997</v>
      </c>
      <c r="K3" s="5">
        <v>11352869241.32</v>
      </c>
    </row>
    <row r="4" spans="1:12">
      <c r="A4" t="s">
        <v>2</v>
      </c>
      <c r="C4" s="2" t="e">
        <f>(C3-B3)/B3</f>
        <v>#DIV/0!</v>
      </c>
      <c r="D4" s="2">
        <f t="shared" ref="D4:K4" si="0">(D3-C3)/C3</f>
        <v>0.40806891634007841</v>
      </c>
      <c r="E4" s="2">
        <f t="shared" si="0"/>
        <v>0.44284566087530491</v>
      </c>
      <c r="F4" s="2">
        <f t="shared" si="0"/>
        <v>0.39341040120148957</v>
      </c>
      <c r="G4" s="2">
        <f t="shared" si="0"/>
        <v>0.50290959157659576</v>
      </c>
      <c r="H4" s="2">
        <f t="shared" si="0"/>
        <v>0.31152671109103447</v>
      </c>
      <c r="I4" s="2">
        <f t="shared" si="0"/>
        <v>0.26464460702348602</v>
      </c>
      <c r="J4" s="2">
        <f t="shared" si="0"/>
        <v>0.26792278501660871</v>
      </c>
      <c r="K4" s="2">
        <f t="shared" si="0"/>
        <v>0.20635894815047454</v>
      </c>
    </row>
    <row r="5" spans="1:12">
      <c r="A5" t="s">
        <v>58</v>
      </c>
      <c r="B5" s="2">
        <f>(K3/C3)^(1/8)-1</f>
        <v>0.34631391877263407</v>
      </c>
    </row>
    <row r="6" spans="1:12">
      <c r="A6" t="s">
        <v>59</v>
      </c>
      <c r="B6" s="2">
        <f>(K3/G3)^(1/4)-1</f>
        <v>0.26205635538735339</v>
      </c>
    </row>
    <row r="7" spans="1:12">
      <c r="B7" s="2"/>
    </row>
    <row r="9" spans="1:12">
      <c r="A9" s="12" t="s">
        <v>42</v>
      </c>
      <c r="B9" s="12" t="s">
        <v>3</v>
      </c>
      <c r="C9" s="12" t="s">
        <v>4</v>
      </c>
      <c r="D9" s="12" t="s">
        <v>5</v>
      </c>
      <c r="E9" s="12" t="s">
        <v>39</v>
      </c>
      <c r="F9" s="12" t="s">
        <v>57</v>
      </c>
    </row>
    <row r="10" spans="1:12">
      <c r="A10" s="13">
        <f>K3*F10</f>
        <v>8401123238.5767994</v>
      </c>
      <c r="B10" s="12">
        <v>0.05</v>
      </c>
      <c r="C10" s="12">
        <v>21</v>
      </c>
      <c r="D10" s="12">
        <v>0.1</v>
      </c>
      <c r="E10" s="12">
        <v>0.7</v>
      </c>
      <c r="F10" s="12">
        <v>0.74</v>
      </c>
    </row>
    <row r="11" spans="1:12">
      <c r="A11" s="1"/>
    </row>
    <row r="12" spans="1:12">
      <c r="A12" s="12"/>
      <c r="B12" s="14">
        <v>0.18</v>
      </c>
      <c r="C12" s="14">
        <v>0.18</v>
      </c>
      <c r="D12" s="14">
        <v>0.18</v>
      </c>
      <c r="E12" s="14">
        <v>0.18</v>
      </c>
      <c r="F12" s="14">
        <v>0.18</v>
      </c>
      <c r="G12" s="12"/>
      <c r="H12" s="12"/>
    </row>
    <row r="13" spans="1:12">
      <c r="A13" s="12" t="s">
        <v>1</v>
      </c>
      <c r="B13" s="12">
        <v>2019</v>
      </c>
      <c r="C13" s="12">
        <v>2020</v>
      </c>
      <c r="D13" s="12">
        <v>2021</v>
      </c>
      <c r="E13" s="12">
        <v>2022</v>
      </c>
      <c r="F13" s="12">
        <v>2023</v>
      </c>
      <c r="G13" s="12"/>
      <c r="H13" s="12" t="s">
        <v>45</v>
      </c>
      <c r="I13" t="s">
        <v>60</v>
      </c>
      <c r="J13" t="s">
        <v>61</v>
      </c>
      <c r="K13" s="12" t="s">
        <v>62</v>
      </c>
      <c r="L13" s="12" t="s">
        <v>63</v>
      </c>
    </row>
    <row r="14" spans="1:12">
      <c r="A14" s="12" t="s">
        <v>43</v>
      </c>
      <c r="B14" s="15">
        <f>A10*(1+D10)</f>
        <v>9241235562.4344807</v>
      </c>
      <c r="C14" s="15">
        <f>B14*(1+D10)</f>
        <v>10165359118.677929</v>
      </c>
      <c r="D14" s="15">
        <f>C14*(1+D10)</f>
        <v>11181895030.545723</v>
      </c>
      <c r="E14" s="15">
        <f>D14*(1+D10)</f>
        <v>12300084533.600296</v>
      </c>
      <c r="F14" s="15">
        <f>E14*(1+D10)</f>
        <v>13530092986.960327</v>
      </c>
      <c r="G14" s="15">
        <f>F14*C10</f>
        <v>284131952726.16687</v>
      </c>
      <c r="H14" s="12"/>
    </row>
    <row r="15" spans="1:12">
      <c r="A15" s="12" t="s">
        <v>44</v>
      </c>
      <c r="B15" s="13">
        <f>B14/(1+B10)</f>
        <v>8801176726.1280766</v>
      </c>
      <c r="C15" s="13">
        <f>C14/(1+B10)^2</f>
        <v>9220280379.7532234</v>
      </c>
      <c r="D15" s="13">
        <f>D14/(1+B10)^3</f>
        <v>9659341350.2176628</v>
      </c>
      <c r="E15" s="13">
        <f>E14/(1+B10)^4</f>
        <v>10119309985.942314</v>
      </c>
      <c r="F15" s="13">
        <f>F14/(1+B10)^5</f>
        <v>10601181890.034807</v>
      </c>
      <c r="G15" s="13">
        <f>G14/(1+B10)^4</f>
        <v>233756060675.26749</v>
      </c>
      <c r="H15" s="13">
        <f>SUM(B15:G15)</f>
        <v>282157351007.34357</v>
      </c>
      <c r="I15" s="16">
        <v>9348465931</v>
      </c>
      <c r="J15">
        <f>H15/I15</f>
        <v>30.182208834039294</v>
      </c>
      <c r="K15">
        <v>28.83</v>
      </c>
      <c r="L15" s="2">
        <f>J15/K15</f>
        <v>1.046902838502924</v>
      </c>
    </row>
    <row r="16" spans="1:12">
      <c r="A16" s="12"/>
      <c r="B16" s="13"/>
      <c r="C16" s="13"/>
      <c r="D16" s="13"/>
      <c r="E16" s="13"/>
      <c r="F16" s="13"/>
      <c r="G16" s="13" t="s">
        <v>46</v>
      </c>
      <c r="H16" s="13">
        <f>H15*E10</f>
        <v>197510145705.14047</v>
      </c>
      <c r="J16">
        <v>2018</v>
      </c>
      <c r="K16" s="5">
        <v>11352869241.32</v>
      </c>
    </row>
    <row r="17" spans="10:11">
      <c r="J17">
        <f>J16-1</f>
        <v>2017</v>
      </c>
      <c r="K17" s="5">
        <v>9410855084.8199997</v>
      </c>
    </row>
    <row r="18" spans="10:11">
      <c r="J18">
        <f>J17-1</f>
        <v>2016</v>
      </c>
      <c r="K18" s="5">
        <v>7422261983.1669998</v>
      </c>
    </row>
    <row r="19" spans="10:11">
      <c r="J19">
        <f t="shared" ref="J19:J23" si="1">J18-1</f>
        <v>2015</v>
      </c>
      <c r="K19" s="5">
        <v>5869049646</v>
      </c>
    </row>
    <row r="20" spans="10:11">
      <c r="J20">
        <f>J19-1</f>
        <v>2014</v>
      </c>
      <c r="K20" s="5">
        <v>4474975306.54</v>
      </c>
    </row>
    <row r="21" spans="10:11">
      <c r="J21">
        <f t="shared" si="1"/>
        <v>2013</v>
      </c>
      <c r="K21" s="5">
        <v>2977541251.73</v>
      </c>
    </row>
    <row r="22" spans="10:11">
      <c r="J22">
        <f>J21-1</f>
        <v>2012</v>
      </c>
      <c r="K22" s="5">
        <v>2136873134.55</v>
      </c>
    </row>
    <row r="23" spans="10:11">
      <c r="J23">
        <f t="shared" si="1"/>
        <v>2011</v>
      </c>
      <c r="K23" s="5">
        <v>1481012967.98</v>
      </c>
    </row>
    <row r="24" spans="10:11">
      <c r="J24">
        <f>J23-1</f>
        <v>2010</v>
      </c>
      <c r="K24" s="5">
        <v>1051804319.23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8"/>
  <sheetViews>
    <sheetView workbookViewId="0">
      <selection activeCell="A17" sqref="A17"/>
    </sheetView>
  </sheetViews>
  <sheetFormatPr defaultColWidth="11" defaultRowHeight="14.25"/>
  <cols>
    <col min="2" max="2" width="17.875" customWidth="1"/>
    <col min="3" max="3" width="16.375" customWidth="1"/>
    <col min="4" max="4" width="17.125" bestFit="1" customWidth="1"/>
    <col min="5" max="5" width="17.875" customWidth="1"/>
    <col min="8" max="8" width="18.5" customWidth="1"/>
    <col min="9" max="9" width="16.125" customWidth="1"/>
    <col min="10" max="10" width="17.375" customWidth="1"/>
    <col min="11" max="11" width="16.625" customWidth="1"/>
    <col min="12" max="12" width="15" customWidth="1"/>
    <col min="13" max="13" width="14.5" customWidth="1"/>
    <col min="14" max="23" width="17.875" customWidth="1"/>
    <col min="24" max="25" width="15.625" customWidth="1"/>
    <col min="26" max="26" width="17.875" customWidth="1"/>
    <col min="27" max="27" width="17.125" customWidth="1"/>
    <col min="28" max="29" width="15.125" bestFit="1" customWidth="1"/>
    <col min="30" max="30" width="13.625" bestFit="1" customWidth="1"/>
    <col min="31" max="31" width="14.625" customWidth="1"/>
    <col min="32" max="32" width="18.125" customWidth="1"/>
  </cols>
  <sheetData>
    <row r="2" spans="1:32">
      <c r="J2" t="s">
        <v>15</v>
      </c>
      <c r="L2" t="s">
        <v>15</v>
      </c>
      <c r="AD2" t="s">
        <v>15</v>
      </c>
      <c r="AF2" t="s">
        <v>15</v>
      </c>
    </row>
    <row r="3" spans="1:32">
      <c r="A3" t="s">
        <v>6</v>
      </c>
      <c r="B3" t="s">
        <v>18</v>
      </c>
      <c r="C3" t="s">
        <v>7</v>
      </c>
      <c r="D3" t="s">
        <v>0</v>
      </c>
      <c r="E3" t="s">
        <v>8</v>
      </c>
      <c r="F3" t="s">
        <v>9</v>
      </c>
      <c r="G3" t="s">
        <v>11</v>
      </c>
      <c r="H3" t="s">
        <v>12</v>
      </c>
      <c r="I3" t="s">
        <v>13</v>
      </c>
      <c r="J3" t="s">
        <v>14</v>
      </c>
      <c r="K3" t="s">
        <v>38</v>
      </c>
      <c r="L3" t="s">
        <v>16</v>
      </c>
      <c r="M3" t="s">
        <v>17</v>
      </c>
      <c r="N3" t="s">
        <v>19</v>
      </c>
      <c r="O3" t="s">
        <v>20</v>
      </c>
      <c r="P3" t="s">
        <v>27</v>
      </c>
      <c r="Q3" t="s">
        <v>40</v>
      </c>
      <c r="R3" t="s">
        <v>21</v>
      </c>
      <c r="S3" t="s">
        <v>22</v>
      </c>
      <c r="T3" t="s">
        <v>53</v>
      </c>
      <c r="U3" t="s">
        <v>54</v>
      </c>
      <c r="V3" t="s">
        <v>23</v>
      </c>
      <c r="W3" t="s">
        <v>47</v>
      </c>
      <c r="X3" t="s">
        <v>24</v>
      </c>
      <c r="Y3" t="s">
        <v>55</v>
      </c>
      <c r="Z3" t="s">
        <v>25</v>
      </c>
      <c r="AA3" t="s">
        <v>26</v>
      </c>
      <c r="AB3" t="s">
        <v>48</v>
      </c>
    </row>
    <row r="4" spans="1:32">
      <c r="A4">
        <v>2018</v>
      </c>
      <c r="B4" s="5">
        <v>11352869241.32</v>
      </c>
      <c r="C4" s="5">
        <v>10983228170.6</v>
      </c>
      <c r="D4" s="5">
        <v>11381692864.66</v>
      </c>
      <c r="E4" s="5">
        <v>9114013286.0599995</v>
      </c>
      <c r="F4" s="2">
        <f t="shared" ref="F4:F13" si="0">C4/D4</f>
        <v>0.96499073566663995</v>
      </c>
      <c r="G4" s="2">
        <f t="shared" ref="G4:G13" si="1">E4/D4</f>
        <v>0.80076078263883621</v>
      </c>
      <c r="H4" s="5">
        <f>D4+J4+L4+M4+N4+O4+R4+S4+V4+X4+Z4+AA4+P4+Q4+W4+AB4+T4+U4+Y4</f>
        <v>9114013286.0600014</v>
      </c>
      <c r="I4" s="5">
        <f>H4-E4</f>
        <v>0</v>
      </c>
      <c r="J4" s="5">
        <v>426949023.05000001</v>
      </c>
      <c r="K4" s="2">
        <f>J4/D4</f>
        <v>3.7511908652505539E-2</v>
      </c>
      <c r="L4" s="5">
        <v>417518901.57999998</v>
      </c>
      <c r="M4" s="5">
        <v>62161250.590000004</v>
      </c>
      <c r="N4" s="5"/>
      <c r="O4" s="5">
        <v>-4975825.83</v>
      </c>
      <c r="P4" s="5"/>
      <c r="Q4" s="5">
        <v>-13406932.17</v>
      </c>
      <c r="R4" s="5">
        <v>81142249.579999998</v>
      </c>
      <c r="S4" s="7">
        <v>-51929640.630000003</v>
      </c>
      <c r="T4" s="7">
        <v>145468181.28</v>
      </c>
      <c r="U4" s="7">
        <v>-89418285.569999993</v>
      </c>
      <c r="V4" s="7">
        <v>-55276291.759999998</v>
      </c>
      <c r="W4" s="7"/>
      <c r="X4" s="5">
        <v>-1021116536.92</v>
      </c>
      <c r="Y4" s="5">
        <v>-765228940.28999996</v>
      </c>
      <c r="Z4" s="5">
        <v>-2355926510.27</v>
      </c>
      <c r="AA4" s="5">
        <v>752106461.27999997</v>
      </c>
      <c r="AB4" s="5">
        <v>204253317.47999999</v>
      </c>
      <c r="AC4" s="5"/>
      <c r="AD4" s="5"/>
      <c r="AE4" s="5"/>
      <c r="AF4" s="5"/>
    </row>
    <row r="5" spans="1:32">
      <c r="A5">
        <f>A4-1</f>
        <v>2017</v>
      </c>
      <c r="B5" s="5">
        <v>9410855084.8199997</v>
      </c>
      <c r="C5" s="5">
        <v>9177116964.0599995</v>
      </c>
      <c r="D5" s="5">
        <v>9377501639.8199997</v>
      </c>
      <c r="E5" s="5">
        <v>7373160250.6800003</v>
      </c>
      <c r="F5" s="2">
        <f t="shared" si="0"/>
        <v>0.97863133663351232</v>
      </c>
      <c r="G5" s="2">
        <f t="shared" si="1"/>
        <v>0.78626061971251515</v>
      </c>
      <c r="H5" s="5">
        <f t="shared" ref="H5:H13" si="2">D5+J5+L5+M5+N5+O5+R5+S5+V5+X5+Z5+AA5+P5+Q5+W5+AB5+T5+U5+Y5</f>
        <v>7373160250.6799994</v>
      </c>
      <c r="I5" s="5">
        <f t="shared" ref="I5:I13" si="3">H5-E5</f>
        <v>0</v>
      </c>
      <c r="J5" s="5">
        <v>484568899.16000003</v>
      </c>
      <c r="K5" s="2">
        <f t="shared" ref="K5:K13" si="4">J5/D5</f>
        <v>5.1673560589140168E-2</v>
      </c>
      <c r="L5" s="5">
        <v>301861330.86000001</v>
      </c>
      <c r="M5" s="5">
        <v>39412000.700000003</v>
      </c>
      <c r="N5" s="5"/>
      <c r="O5" s="5">
        <v>-1585222.5</v>
      </c>
      <c r="P5" s="5"/>
      <c r="Q5" s="5">
        <v>-42090091.109999999</v>
      </c>
      <c r="R5" s="5">
        <v>272067756.31999999</v>
      </c>
      <c r="S5" s="5">
        <v>-44650105.119999997</v>
      </c>
      <c r="T5" s="5">
        <v>191200597.44999999</v>
      </c>
      <c r="U5" s="5">
        <v>-323504991.19</v>
      </c>
      <c r="V5" s="5">
        <v>-103759710.79000001</v>
      </c>
      <c r="W5" s="5"/>
      <c r="X5" s="5">
        <v>-1269276296.3199999</v>
      </c>
      <c r="Y5" s="5">
        <v>-488178801.99000001</v>
      </c>
      <c r="Z5" s="5">
        <v>-4734950220.7600002</v>
      </c>
      <c r="AA5" s="5">
        <v>3660640740.4899998</v>
      </c>
      <c r="AB5" s="5">
        <v>53902725.659999996</v>
      </c>
      <c r="AC5" s="5"/>
      <c r="AD5" s="5"/>
      <c r="AE5" s="5"/>
      <c r="AF5" s="5"/>
    </row>
    <row r="6" spans="1:32">
      <c r="A6">
        <f>A5-1</f>
        <v>2016</v>
      </c>
      <c r="B6" s="5">
        <v>7422261983.1669998</v>
      </c>
      <c r="C6" s="5">
        <v>7270742762.4700003</v>
      </c>
      <c r="D6" s="5">
        <v>7420273140.4399996</v>
      </c>
      <c r="E6" s="5">
        <v>6213692160.5600004</v>
      </c>
      <c r="F6" s="2">
        <f t="shared" si="0"/>
        <v>0.97984839976374072</v>
      </c>
      <c r="G6" s="2">
        <f t="shared" si="1"/>
        <v>0.83739399385391722</v>
      </c>
      <c r="H6" s="5">
        <f t="shared" si="2"/>
        <v>6213692160.5599995</v>
      </c>
      <c r="I6" s="5">
        <f t="shared" si="3"/>
        <v>0</v>
      </c>
      <c r="J6" s="5">
        <v>317497358.88</v>
      </c>
      <c r="K6" s="2">
        <f t="shared" si="4"/>
        <v>4.2787826387368451E-2</v>
      </c>
      <c r="L6" s="5">
        <v>211545008.25</v>
      </c>
      <c r="M6" s="5">
        <v>29127775.780000001</v>
      </c>
      <c r="N6" s="5"/>
      <c r="O6" s="5">
        <v>736149.02</v>
      </c>
      <c r="P6" s="5"/>
      <c r="Q6" s="5">
        <v>40171578.799999997</v>
      </c>
      <c r="R6" s="5">
        <v>63806734.82</v>
      </c>
      <c r="S6" s="5">
        <v>-40493287.659999996</v>
      </c>
      <c r="T6" s="5">
        <v>122970423.83</v>
      </c>
      <c r="U6" s="5">
        <v>-42273330.049999997</v>
      </c>
      <c r="V6" s="5">
        <v>-114039166.89</v>
      </c>
      <c r="W6" s="5"/>
      <c r="X6" s="5">
        <v>-1018145212.13</v>
      </c>
      <c r="Y6" s="5"/>
      <c r="Z6" s="5">
        <v>-3605922579.5700002</v>
      </c>
      <c r="AA6" s="5">
        <v>2817603821.0500002</v>
      </c>
      <c r="AB6" s="5">
        <v>10833745.99</v>
      </c>
      <c r="AC6" s="5"/>
      <c r="AD6" s="5"/>
      <c r="AE6" s="5"/>
      <c r="AF6" s="5"/>
    </row>
    <row r="7" spans="1:32">
      <c r="A7">
        <f t="shared" ref="A7:A11" si="5">A6-1</f>
        <v>2015</v>
      </c>
      <c r="B7" s="5">
        <v>5869049646</v>
      </c>
      <c r="C7" s="5">
        <v>5604890259.0900002</v>
      </c>
      <c r="D7" s="5">
        <v>5882397844.6999998</v>
      </c>
      <c r="E7" s="5">
        <v>3216722169.1700001</v>
      </c>
      <c r="F7" s="2">
        <f t="shared" si="0"/>
        <v>0.95282407056842777</v>
      </c>
      <c r="G7" s="2">
        <f t="shared" si="1"/>
        <v>0.54683859441235261</v>
      </c>
      <c r="H7" s="5">
        <f t="shared" si="2"/>
        <v>3216722169.1699996</v>
      </c>
      <c r="I7" s="5">
        <f t="shared" si="3"/>
        <v>0</v>
      </c>
      <c r="J7" s="5">
        <v>338874649.43000001</v>
      </c>
      <c r="K7" s="2">
        <f t="shared" si="4"/>
        <v>5.7608250644815492E-2</v>
      </c>
      <c r="L7" s="5">
        <v>132614495.73</v>
      </c>
      <c r="M7" s="5">
        <v>22864330.359999999</v>
      </c>
      <c r="N7" s="5"/>
      <c r="O7" s="5">
        <v>-1679868.58</v>
      </c>
      <c r="P7" s="5">
        <v>-35554.46</v>
      </c>
      <c r="Q7" s="5">
        <v>16154643.25</v>
      </c>
      <c r="R7" s="5">
        <v>-42631526.310000002</v>
      </c>
      <c r="S7" s="5">
        <v>-148673437.25</v>
      </c>
      <c r="T7" s="5">
        <v>155695500.62</v>
      </c>
      <c r="U7" s="5"/>
      <c r="V7" s="5">
        <v>-165132413.90000001</v>
      </c>
      <c r="W7" s="5"/>
      <c r="X7" s="5">
        <v>-541203699.08000004</v>
      </c>
      <c r="Y7" s="5"/>
      <c r="Z7" s="5">
        <v>-5385319432.6099997</v>
      </c>
      <c r="AA7" s="5">
        <v>2952796637.27</v>
      </c>
      <c r="AB7" s="5"/>
      <c r="AC7" s="5"/>
      <c r="AD7" s="5"/>
      <c r="AE7" s="5"/>
      <c r="AF7" s="5"/>
    </row>
    <row r="8" spans="1:32">
      <c r="A8">
        <f>A7-1</f>
        <v>2014</v>
      </c>
      <c r="B8" s="5">
        <v>4474975306.54</v>
      </c>
      <c r="C8" s="5">
        <v>3706420782.04</v>
      </c>
      <c r="D8" s="5">
        <v>4680701236.6599998</v>
      </c>
      <c r="E8" s="5">
        <v>3706420782.04</v>
      </c>
      <c r="F8" s="2">
        <f t="shared" si="0"/>
        <v>0.79185160398846233</v>
      </c>
      <c r="G8" s="2">
        <f t="shared" si="1"/>
        <v>0.79185160398846233</v>
      </c>
      <c r="H8" s="5">
        <f t="shared" si="2"/>
        <v>3706420782.0399995</v>
      </c>
      <c r="I8" s="5">
        <f>H8-E8</f>
        <v>0</v>
      </c>
      <c r="J8" s="5">
        <v>182907411.02000001</v>
      </c>
      <c r="K8" s="2">
        <f t="shared" si="4"/>
        <v>3.9076924967447177E-2</v>
      </c>
      <c r="L8" s="5">
        <v>96713691.319999993</v>
      </c>
      <c r="M8" s="5">
        <v>12662696.57</v>
      </c>
      <c r="N8" s="5"/>
      <c r="O8" s="5">
        <v>467280.37</v>
      </c>
      <c r="P8" s="5"/>
      <c r="Q8" s="5">
        <v>-3032932.74</v>
      </c>
      <c r="R8" s="5">
        <v>34497124.119999997</v>
      </c>
      <c r="S8" s="5">
        <v>-151024364.74000001</v>
      </c>
      <c r="T8" s="5"/>
      <c r="U8" s="5"/>
      <c r="V8" s="5">
        <v>-32408732.969999999</v>
      </c>
      <c r="W8" s="5"/>
      <c r="X8" s="5">
        <v>-905598767.37</v>
      </c>
      <c r="Y8" s="5"/>
      <c r="Z8" s="5">
        <v>-2857902731.8600001</v>
      </c>
      <c r="AA8" s="5">
        <v>2573833132.1399999</v>
      </c>
      <c r="AB8" s="5">
        <v>74605739.519999996</v>
      </c>
      <c r="AC8" s="5"/>
      <c r="AD8" s="5"/>
      <c r="AE8" s="5"/>
      <c r="AF8" s="5"/>
    </row>
    <row r="9" spans="1:32">
      <c r="A9">
        <f t="shared" si="5"/>
        <v>2013</v>
      </c>
      <c r="B9" s="5">
        <v>2977541251.73</v>
      </c>
      <c r="C9" s="5">
        <v>1863365811.6300001</v>
      </c>
      <c r="D9" s="4">
        <v>3077052948.5599999</v>
      </c>
      <c r="E9" s="5">
        <v>1863365811.6300001</v>
      </c>
      <c r="F9" s="2">
        <f t="shared" si="0"/>
        <v>0.60556832878095856</v>
      </c>
      <c r="G9" s="2">
        <f t="shared" si="1"/>
        <v>0.60556832878095856</v>
      </c>
      <c r="H9" s="5">
        <f t="shared" si="2"/>
        <v>1863365811.6300004</v>
      </c>
      <c r="I9" s="5">
        <f t="shared" si="3"/>
        <v>0</v>
      </c>
      <c r="J9" s="5">
        <v>157113213.55000001</v>
      </c>
      <c r="K9" s="2">
        <f t="shared" si="4"/>
        <v>5.105963926409713E-2</v>
      </c>
      <c r="L9" s="5">
        <v>66233752.909999996</v>
      </c>
      <c r="M9" s="5">
        <v>5441954.21</v>
      </c>
      <c r="N9" s="5">
        <v>607322.68999999994</v>
      </c>
      <c r="O9" s="5">
        <v>205710.43</v>
      </c>
      <c r="P9" s="5"/>
      <c r="Q9" s="5"/>
      <c r="R9" s="5">
        <v>25071294.82</v>
      </c>
      <c r="S9" s="5">
        <v>-38674251.789999999</v>
      </c>
      <c r="T9" s="5"/>
      <c r="U9" s="5"/>
      <c r="V9" s="5">
        <v>-25701098.239999998</v>
      </c>
      <c r="W9" s="5"/>
      <c r="X9" s="5">
        <v>-376774267.14999998</v>
      </c>
      <c r="Y9" s="5"/>
      <c r="Z9" s="5">
        <v>-1772359126.22</v>
      </c>
      <c r="AA9" s="5">
        <v>689514866.96000004</v>
      </c>
      <c r="AB9" s="5">
        <v>55633490.899999999</v>
      </c>
      <c r="AC9" s="5"/>
      <c r="AD9" s="5"/>
      <c r="AE9" s="5"/>
      <c r="AF9" s="5"/>
    </row>
    <row r="10" spans="1:32">
      <c r="A10">
        <f>A9-1</f>
        <v>2012</v>
      </c>
      <c r="B10" s="5">
        <v>2136873134.55</v>
      </c>
      <c r="C10" s="5">
        <v>2109396676.1199999</v>
      </c>
      <c r="D10" s="5">
        <v>2140426340.48</v>
      </c>
      <c r="E10" s="5">
        <v>1436789861.4200001</v>
      </c>
      <c r="F10" s="2">
        <f t="shared" si="0"/>
        <v>0.98550304499007357</v>
      </c>
      <c r="G10" s="2">
        <f t="shared" si="1"/>
        <v>0.67126339937388069</v>
      </c>
      <c r="H10" s="5">
        <f t="shared" si="2"/>
        <v>1436789861.4200001</v>
      </c>
      <c r="I10" s="5">
        <f t="shared" si="3"/>
        <v>0</v>
      </c>
      <c r="J10" s="5">
        <v>50325290.75</v>
      </c>
      <c r="K10" s="2">
        <f t="shared" si="4"/>
        <v>2.3511806876154558E-2</v>
      </c>
      <c r="L10" s="5">
        <v>55492100.969999999</v>
      </c>
      <c r="M10" s="5">
        <v>4951166.1900000004</v>
      </c>
      <c r="N10" s="5">
        <v>456480</v>
      </c>
      <c r="O10" s="5">
        <v>98281.8</v>
      </c>
      <c r="P10" s="5"/>
      <c r="Q10" s="5"/>
      <c r="R10" s="5">
        <v>1950668.37</v>
      </c>
      <c r="S10" s="5">
        <v>295093.96000000002</v>
      </c>
      <c r="T10" s="5"/>
      <c r="U10" s="5"/>
      <c r="V10" s="5">
        <v>14418351.77</v>
      </c>
      <c r="W10" s="5"/>
      <c r="X10" s="5">
        <v>-274112692.54000002</v>
      </c>
      <c r="Y10" s="5"/>
      <c r="Z10" s="5">
        <v>-922723508.51999998</v>
      </c>
      <c r="AA10" s="5">
        <v>347123922.70999998</v>
      </c>
      <c r="AB10" s="5">
        <v>18088365.48</v>
      </c>
      <c r="AC10" s="5"/>
      <c r="AD10" s="5"/>
      <c r="AE10" s="5"/>
      <c r="AF10" s="5"/>
    </row>
    <row r="11" spans="1:32" ht="15.75">
      <c r="A11">
        <f t="shared" si="5"/>
        <v>2011</v>
      </c>
      <c r="B11" s="5">
        <v>1481012967.98</v>
      </c>
      <c r="C11" s="5">
        <v>1438035174.24</v>
      </c>
      <c r="D11" s="5">
        <v>1482482923.78</v>
      </c>
      <c r="E11" s="5">
        <v>1170461433.24</v>
      </c>
      <c r="F11" s="2">
        <f t="shared" si="0"/>
        <v>0.97001803607513526</v>
      </c>
      <c r="G11" s="2">
        <f t="shared" si="1"/>
        <v>0.78952776754796272</v>
      </c>
      <c r="H11" s="5">
        <f t="shared" si="2"/>
        <v>1170461433.2399998</v>
      </c>
      <c r="I11" s="5">
        <f t="shared" si="3"/>
        <v>0</v>
      </c>
      <c r="J11" s="5">
        <v>26063331.170000002</v>
      </c>
      <c r="K11" s="2">
        <f t="shared" si="4"/>
        <v>1.7580864340443352E-2</v>
      </c>
      <c r="L11" s="5">
        <v>34602088.369999997</v>
      </c>
      <c r="M11" s="5">
        <v>3289630.76</v>
      </c>
      <c r="N11" s="5"/>
      <c r="O11" s="5">
        <v>-994268.3</v>
      </c>
      <c r="P11" s="5"/>
      <c r="Q11" s="5"/>
      <c r="R11" s="11">
        <v>-81941409.480000004</v>
      </c>
      <c r="S11" s="5">
        <v>-1521343.94</v>
      </c>
      <c r="T11" s="5"/>
      <c r="U11" s="5"/>
      <c r="V11" s="5">
        <v>-5385247.4800000004</v>
      </c>
      <c r="W11" s="5"/>
      <c r="X11" s="5">
        <v>-122216981.42</v>
      </c>
      <c r="Y11" s="5"/>
      <c r="Z11" s="5">
        <v>-657589648.41999996</v>
      </c>
      <c r="AA11" s="5">
        <v>493672358.19999999</v>
      </c>
      <c r="AB11" s="5"/>
      <c r="AC11" s="5"/>
      <c r="AD11" s="5"/>
      <c r="AE11" s="5"/>
      <c r="AF11" s="5"/>
    </row>
    <row r="12" spans="1:32">
      <c r="A12">
        <f>A11-1</f>
        <v>2010</v>
      </c>
      <c r="B12" s="5">
        <v>1051804319.23</v>
      </c>
      <c r="C12" s="5">
        <v>1030635202.54</v>
      </c>
      <c r="D12" s="5">
        <v>1052375236.76</v>
      </c>
      <c r="E12" s="5">
        <v>663926032.74000001</v>
      </c>
      <c r="F12" s="2">
        <f t="shared" si="0"/>
        <v>0.97934193673453196</v>
      </c>
      <c r="G12" s="2">
        <f t="shared" si="1"/>
        <v>0.63088336702416348</v>
      </c>
      <c r="H12" s="5">
        <f t="shared" si="2"/>
        <v>689224655.32000029</v>
      </c>
      <c r="I12" s="5">
        <f t="shared" si="3"/>
        <v>25298622.580000281</v>
      </c>
      <c r="J12" s="5">
        <v>49337089.689999998</v>
      </c>
      <c r="K12" s="2">
        <f t="shared" si="4"/>
        <v>4.6881652063475526E-2</v>
      </c>
      <c r="L12" s="5">
        <v>17916254.739999998</v>
      </c>
      <c r="M12" s="5">
        <v>2025971.64</v>
      </c>
      <c r="N12" s="5"/>
      <c r="O12" s="5">
        <v>195054.77</v>
      </c>
      <c r="P12" s="5"/>
      <c r="Q12" s="5"/>
      <c r="R12" s="5">
        <v>-21198480.52</v>
      </c>
      <c r="S12" s="5">
        <v>-3344701.73</v>
      </c>
      <c r="T12" s="5"/>
      <c r="U12" s="5"/>
      <c r="V12" s="5">
        <v>-26159608.43</v>
      </c>
      <c r="W12" s="5"/>
      <c r="X12" s="5">
        <v>-259685942.62</v>
      </c>
      <c r="Y12" s="5"/>
      <c r="Z12" s="5">
        <v>-386490001.5</v>
      </c>
      <c r="AA12" s="5">
        <v>238955159.94</v>
      </c>
      <c r="AB12" s="5">
        <v>25298622.579999998</v>
      </c>
      <c r="AC12" s="5"/>
      <c r="AD12" s="5"/>
      <c r="AE12" s="5"/>
      <c r="AF12" s="5"/>
    </row>
    <row r="13" spans="1:32">
      <c r="A13" t="s">
        <v>10</v>
      </c>
      <c r="B13" s="5">
        <f>SUM(B4:B12)</f>
        <v>46177242935.337013</v>
      </c>
      <c r="C13" s="5">
        <f>SUM(C4:C12)</f>
        <v>43183831802.790001</v>
      </c>
      <c r="D13" s="5">
        <f>SUM(D4:D12)</f>
        <v>46494904175.860001</v>
      </c>
      <c r="E13" s="5">
        <f>SUM(E4:E12)</f>
        <v>34758551787.540009</v>
      </c>
      <c r="F13" s="2">
        <f t="shared" si="0"/>
        <v>0.92878633837922608</v>
      </c>
      <c r="G13" s="2">
        <f t="shared" si="1"/>
        <v>0.74757766262020886</v>
      </c>
      <c r="H13" s="5">
        <f t="shared" si="2"/>
        <v>34783850410.12001</v>
      </c>
      <c r="I13" s="5">
        <f t="shared" si="3"/>
        <v>25298622.580001831</v>
      </c>
      <c r="J13" s="5">
        <f>SUM(J4:J12)</f>
        <v>2033636266.7000003</v>
      </c>
      <c r="K13" s="2">
        <f t="shared" si="4"/>
        <v>4.3738906504852147E-2</v>
      </c>
      <c r="L13" s="5">
        <f t="shared" ref="L13:AB13" si="6">SUM(L4:L12)</f>
        <v>1334497624.73</v>
      </c>
      <c r="M13" s="5">
        <f t="shared" si="6"/>
        <v>181936776.79999998</v>
      </c>
      <c r="N13" s="5">
        <f t="shared" si="6"/>
        <v>1063802.69</v>
      </c>
      <c r="O13" s="5">
        <f t="shared" si="6"/>
        <v>-7532708.8200000012</v>
      </c>
      <c r="P13" s="5">
        <f t="shared" si="6"/>
        <v>-35554.46</v>
      </c>
      <c r="Q13" s="5">
        <f t="shared" si="6"/>
        <v>-2203733.9700000044</v>
      </c>
      <c r="R13" s="5">
        <f t="shared" si="6"/>
        <v>332764411.71999997</v>
      </c>
      <c r="S13" s="5">
        <f t="shared" si="6"/>
        <v>-480016038.90000004</v>
      </c>
      <c r="T13" s="5">
        <f t="shared" si="6"/>
        <v>615334703.18000007</v>
      </c>
      <c r="U13" s="5">
        <f t="shared" si="6"/>
        <v>-455196606.81</v>
      </c>
      <c r="V13" s="5">
        <f t="shared" si="6"/>
        <v>-513443918.69000012</v>
      </c>
      <c r="W13" s="5">
        <f t="shared" si="6"/>
        <v>0</v>
      </c>
      <c r="X13" s="5">
        <f t="shared" si="6"/>
        <v>-5788130395.5499992</v>
      </c>
      <c r="Y13" s="5">
        <f t="shared" si="6"/>
        <v>-1253407742.28</v>
      </c>
      <c r="Z13" s="5">
        <f t="shared" si="6"/>
        <v>-22679183759.73</v>
      </c>
      <c r="AA13" s="5">
        <f t="shared" si="6"/>
        <v>14526247100.039999</v>
      </c>
      <c r="AB13" s="5">
        <f t="shared" si="6"/>
        <v>442616007.60999995</v>
      </c>
      <c r="AC13" s="5"/>
      <c r="AD13" s="5"/>
      <c r="AE13" s="5"/>
      <c r="AF13" s="5"/>
    </row>
    <row r="14" spans="1:3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2" ht="170.1" customHeight="1">
      <c r="A16" s="17" t="s">
        <v>56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</sheetData>
  <mergeCells count="1">
    <mergeCell ref="A16:N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G16" sqref="G16"/>
    </sheetView>
  </sheetViews>
  <sheetFormatPr defaultColWidth="8.875" defaultRowHeight="14.25"/>
  <cols>
    <col min="2" max="2" width="17.125" customWidth="1"/>
    <col min="3" max="3" width="20" customWidth="1"/>
  </cols>
  <sheetData>
    <row r="3" spans="1:4">
      <c r="A3" t="s">
        <v>49</v>
      </c>
      <c r="B3" t="s">
        <v>50</v>
      </c>
      <c r="C3" t="s">
        <v>51</v>
      </c>
      <c r="D3" t="s">
        <v>52</v>
      </c>
    </row>
    <row r="4" spans="1:4">
      <c r="A4">
        <v>2018</v>
      </c>
      <c r="B4" s="5">
        <v>2594592680.3400002</v>
      </c>
      <c r="C4" s="3">
        <v>12903265673.43</v>
      </c>
      <c r="D4" s="2">
        <f>B4*2/(C4+C5)</f>
        <v>0.22084933132346027</v>
      </c>
    </row>
    <row r="5" spans="1:4">
      <c r="A5">
        <f>A4-1</f>
        <v>2017</v>
      </c>
      <c r="B5" s="5">
        <v>2376786346.0999999</v>
      </c>
      <c r="C5" s="3">
        <v>10593230012.49</v>
      </c>
      <c r="D5" s="2">
        <f t="shared" ref="D5:D13" si="0">B5*2/(C5+C6)</f>
        <v>0.24993790583979392</v>
      </c>
    </row>
    <row r="6" spans="1:4">
      <c r="A6">
        <f t="shared" ref="A6:A13" si="1">A5-1</f>
        <v>2016</v>
      </c>
      <c r="B6" s="5">
        <v>1810152288.3099999</v>
      </c>
      <c r="C6" s="3">
        <v>8425784635.2799997</v>
      </c>
      <c r="D6" s="2">
        <f t="shared" si="0"/>
        <v>0.24147965875180533</v>
      </c>
    </row>
    <row r="7" spans="1:4">
      <c r="A7">
        <f t="shared" si="1"/>
        <v>2015</v>
      </c>
      <c r="B7" s="5">
        <v>1381123509.9000001</v>
      </c>
      <c r="C7" s="3">
        <v>6566387356.8999996</v>
      </c>
      <c r="D7" s="2">
        <f t="shared" si="0"/>
        <v>0.23453741926343227</v>
      </c>
    </row>
    <row r="8" spans="1:4">
      <c r="A8">
        <f t="shared" si="1"/>
        <v>2014</v>
      </c>
      <c r="B8" s="5">
        <v>1144264528.4000001</v>
      </c>
      <c r="C8" s="3">
        <v>5211038302.8299999</v>
      </c>
      <c r="D8" s="2">
        <f t="shared" si="0"/>
        <v>0.24385179611336147</v>
      </c>
    </row>
    <row r="9" spans="1:4">
      <c r="A9">
        <f t="shared" si="1"/>
        <v>2013</v>
      </c>
      <c r="B9" s="4">
        <v>1130138728.3299999</v>
      </c>
      <c r="C9" s="3">
        <v>4173879476.23</v>
      </c>
      <c r="D9" s="2">
        <f t="shared" si="0"/>
        <v>0.35755213526579355</v>
      </c>
    </row>
    <row r="10" spans="1:4">
      <c r="A10">
        <f t="shared" si="1"/>
        <v>2012</v>
      </c>
      <c r="B10" s="5">
        <v>696651234.15999997</v>
      </c>
      <c r="C10" s="3">
        <v>2147653060.5</v>
      </c>
      <c r="D10" s="2">
        <f t="shared" si="0"/>
        <v>0.38042083816289102</v>
      </c>
    </row>
    <row r="11" spans="1:4">
      <c r="A11">
        <f t="shared" si="1"/>
        <v>2011</v>
      </c>
      <c r="B11" s="5">
        <v>375560849.13</v>
      </c>
      <c r="C11" s="3">
        <v>1514876245.3299999</v>
      </c>
      <c r="D11" s="2">
        <f t="shared" si="0"/>
        <v>0.28024960500969937</v>
      </c>
    </row>
    <row r="12" spans="1:4">
      <c r="A12">
        <f t="shared" si="1"/>
        <v>2010</v>
      </c>
      <c r="B12" s="5">
        <v>259631611.78999999</v>
      </c>
      <c r="C12" s="3">
        <v>1165312004.1199999</v>
      </c>
      <c r="D12" s="2">
        <f t="shared" si="0"/>
        <v>0.26033340853605191</v>
      </c>
    </row>
    <row r="13" spans="1:4">
      <c r="A13">
        <f t="shared" si="1"/>
        <v>2009</v>
      </c>
      <c r="C13" s="3">
        <v>829296473.13999999</v>
      </c>
      <c r="D13" s="2">
        <f t="shared" si="0"/>
        <v>0</v>
      </c>
    </row>
    <row r="22" spans="7:9">
      <c r="G22" s="5"/>
      <c r="H22" s="5"/>
      <c r="I22" s="5"/>
    </row>
    <row r="23" spans="7:9">
      <c r="G23" s="5"/>
      <c r="H23" s="5"/>
      <c r="I23" s="5"/>
    </row>
    <row r="24" spans="7:9">
      <c r="G24" s="5"/>
      <c r="H24" s="5"/>
      <c r="I24" s="5"/>
    </row>
    <row r="25" spans="7:9">
      <c r="G25" s="5"/>
      <c r="H25" s="5"/>
      <c r="I25" s="5"/>
    </row>
    <row r="26" spans="7:9">
      <c r="G26" s="5"/>
      <c r="H26" s="5"/>
      <c r="I26" s="5"/>
    </row>
    <row r="27" spans="7:9">
      <c r="G27" s="5"/>
      <c r="H27" s="5"/>
      <c r="I27" s="4"/>
    </row>
    <row r="28" spans="7:9">
      <c r="G28" s="5"/>
      <c r="H28" s="5"/>
      <c r="I28" s="5"/>
    </row>
    <row r="29" spans="7:9">
      <c r="G29" s="5"/>
      <c r="H29" s="5"/>
      <c r="I29" s="5"/>
    </row>
    <row r="30" spans="7:9">
      <c r="G30" s="5"/>
      <c r="H30" s="5"/>
      <c r="I30" s="5"/>
    </row>
    <row r="31" spans="7:9">
      <c r="G31" s="5"/>
      <c r="H31" s="5"/>
      <c r="I31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3"/>
  <sheetViews>
    <sheetView tabSelected="1" workbookViewId="0">
      <selection activeCell="N19" sqref="N19"/>
    </sheetView>
  </sheetViews>
  <sheetFormatPr defaultColWidth="11" defaultRowHeight="14.25"/>
  <cols>
    <col min="3" max="3" width="17.25" customWidth="1"/>
    <col min="4" max="4" width="16.125" customWidth="1"/>
    <col min="5" max="5" width="17" customWidth="1"/>
    <col min="6" max="6" width="17.375" customWidth="1"/>
    <col min="7" max="7" width="17.875" customWidth="1"/>
    <col min="8" max="8" width="13" customWidth="1"/>
  </cols>
  <sheetData>
    <row r="3" spans="2:27">
      <c r="B3" t="s">
        <v>6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12</v>
      </c>
      <c r="K3" t="s">
        <v>13</v>
      </c>
      <c r="L3" t="s">
        <v>14</v>
      </c>
      <c r="M3" t="s">
        <v>38</v>
      </c>
      <c r="N3" t="s">
        <v>16</v>
      </c>
      <c r="O3" t="s">
        <v>17</v>
      </c>
      <c r="P3" t="s">
        <v>19</v>
      </c>
      <c r="Q3" t="s">
        <v>20</v>
      </c>
      <c r="R3" t="s">
        <v>27</v>
      </c>
      <c r="S3" t="s">
        <v>40</v>
      </c>
      <c r="T3" t="s">
        <v>21</v>
      </c>
      <c r="U3" t="s">
        <v>22</v>
      </c>
      <c r="V3" t="s">
        <v>71</v>
      </c>
      <c r="W3" t="s">
        <v>23</v>
      </c>
      <c r="X3" t="s">
        <v>24</v>
      </c>
      <c r="Y3" t="s">
        <v>25</v>
      </c>
      <c r="Z3" t="s">
        <v>26</v>
      </c>
      <c r="AA3" t="s">
        <v>72</v>
      </c>
    </row>
    <row r="4" spans="2:27">
      <c r="B4">
        <v>2018</v>
      </c>
      <c r="C4" s="19">
        <v>49837132481.610001</v>
      </c>
      <c r="D4" s="19">
        <v>2569445189.9200001</v>
      </c>
      <c r="E4" s="19">
        <v>16619441281.18</v>
      </c>
      <c r="F4" s="19">
        <v>109579422.43000001</v>
      </c>
      <c r="G4" s="5">
        <f>D4+E4</f>
        <v>19188886471.099998</v>
      </c>
      <c r="H4" s="2">
        <f>C4/((G4+G5)/2)</f>
        <v>2.6557808345944953</v>
      </c>
      <c r="I4" s="1">
        <f>360/H4</f>
        <v>135.55335414376071</v>
      </c>
      <c r="J4" s="5">
        <f>F4+L4+N4+O4+P4+Q4+T4+U4+W4+X4+Y4+Z4+R4+S4+V4+AA4</f>
        <v>1136233797.1900001</v>
      </c>
      <c r="K4" s="5">
        <f>J4-G4</f>
        <v>-18052652673.91</v>
      </c>
      <c r="L4" s="5">
        <v>1451738988.05</v>
      </c>
      <c r="M4" s="2">
        <f>L4/F4</f>
        <v>13.248281071908181</v>
      </c>
      <c r="N4" s="5">
        <v>230568528.09999999</v>
      </c>
      <c r="O4" s="5">
        <v>75728611.670000002</v>
      </c>
      <c r="P4" s="5">
        <v>9105604.8300000001</v>
      </c>
      <c r="Q4" s="5">
        <v>-11158802.279999999</v>
      </c>
      <c r="R4" s="5">
        <v>-629658.09</v>
      </c>
      <c r="S4" s="5"/>
      <c r="T4" s="5">
        <v>607803022.25999999</v>
      </c>
      <c r="U4" s="7">
        <v>-43194721.909999996</v>
      </c>
      <c r="V4" s="7">
        <v>15028120.73</v>
      </c>
      <c r="W4" s="7">
        <v>-221700582.75999999</v>
      </c>
      <c r="X4" s="5">
        <v>-495185127.86000001</v>
      </c>
      <c r="Y4" s="5">
        <v>-2304139391.8200002</v>
      </c>
      <c r="Z4" s="5">
        <v>1712689783.8399999</v>
      </c>
      <c r="AA4" s="5"/>
    </row>
    <row r="5" spans="2:27">
      <c r="B5">
        <f>B4-1</f>
        <v>2017</v>
      </c>
      <c r="C5" s="19">
        <v>41905476572.07</v>
      </c>
      <c r="D5" s="19">
        <v>3636961616.0300002</v>
      </c>
      <c r="E5" s="19">
        <v>14705210072.809999</v>
      </c>
      <c r="F5" s="19">
        <v>74093785.310000002</v>
      </c>
      <c r="G5" s="5">
        <f t="shared" ref="G5:G13" si="0">D5+E5</f>
        <v>18342171688.84</v>
      </c>
      <c r="H5" s="2">
        <f t="shared" ref="H5:H13" si="1">C5/((G5+G6)/2)</f>
        <v>2.5844932699394954</v>
      </c>
      <c r="I5" s="1">
        <f t="shared" ref="I5:I13" si="2">360/H5</f>
        <v>139.29229539391596</v>
      </c>
      <c r="J5" s="5">
        <f t="shared" ref="J5:J13" si="3">F5+L5+N5+O5+P5+Q5+T5+U5+W5+X5+Y5+Z5+R5+S5+V5+AA5</f>
        <v>1260015827.8799999</v>
      </c>
      <c r="K5" s="5">
        <f t="shared" ref="K5:K13" si="4">J5-G5</f>
        <v>-17082155860.960001</v>
      </c>
      <c r="L5" s="5">
        <v>29956438.440000001</v>
      </c>
      <c r="M5" s="2">
        <f t="shared" ref="M5:M13" si="5">L5/F5</f>
        <v>0.40430433287576895</v>
      </c>
      <c r="N5" s="5">
        <v>197938163.75</v>
      </c>
      <c r="O5" s="5">
        <v>59049996.5</v>
      </c>
      <c r="P5" s="5">
        <v>11177737.220000001</v>
      </c>
      <c r="Q5" s="5">
        <v>238205.34</v>
      </c>
      <c r="R5" s="5"/>
      <c r="S5" s="5">
        <v>-850000</v>
      </c>
      <c r="T5" s="5">
        <v>484728351.18000001</v>
      </c>
      <c r="U5" s="5">
        <v>-51846083.219999999</v>
      </c>
      <c r="V5" s="5">
        <v>4772174.0599999996</v>
      </c>
      <c r="W5" s="5">
        <v>-17777905.27</v>
      </c>
      <c r="X5" s="5">
        <v>8657711.1099999994</v>
      </c>
      <c r="Y5" s="5">
        <v>284052413.99000001</v>
      </c>
      <c r="Z5" s="5">
        <v>174990223.30000001</v>
      </c>
      <c r="AA5" s="5">
        <v>834616.17</v>
      </c>
    </row>
    <row r="6" spans="2:27">
      <c r="B6">
        <f>B5-1</f>
        <v>2016</v>
      </c>
      <c r="C6" s="20">
        <v>31924020872.439999</v>
      </c>
      <c r="D6" s="19">
        <v>2843404415.52</v>
      </c>
      <c r="E6" s="19">
        <v>11242812902.860001</v>
      </c>
      <c r="F6" s="19">
        <v>95727161.140000001</v>
      </c>
      <c r="G6" s="5">
        <f t="shared" si="0"/>
        <v>14086217318.380001</v>
      </c>
      <c r="H6" s="2">
        <f t="shared" si="1"/>
        <v>2.5280047545337658</v>
      </c>
      <c r="I6" s="1">
        <f t="shared" si="2"/>
        <v>142.40479546344602</v>
      </c>
      <c r="J6" s="5">
        <f t="shared" si="3"/>
        <v>-1916899182.8099997</v>
      </c>
      <c r="K6" s="5">
        <f t="shared" si="4"/>
        <v>-16003116501.190001</v>
      </c>
      <c r="L6" s="5">
        <v>164488091.91</v>
      </c>
      <c r="M6" s="2">
        <f t="shared" si="5"/>
        <v>1.7183011587425834</v>
      </c>
      <c r="N6" s="5">
        <v>181260911.65000001</v>
      </c>
      <c r="O6" s="5">
        <v>56205820.43</v>
      </c>
      <c r="P6" s="5">
        <v>646321.86</v>
      </c>
      <c r="Q6" s="5">
        <v>627516.66</v>
      </c>
      <c r="R6" s="5"/>
      <c r="S6" s="5"/>
      <c r="T6" s="5">
        <v>239765940.99000001</v>
      </c>
      <c r="U6" s="5">
        <v>-25282857.18</v>
      </c>
      <c r="V6" s="5">
        <v>-600825.84</v>
      </c>
      <c r="W6" s="5">
        <v>-13337307.199999999</v>
      </c>
      <c r="X6" s="5">
        <v>-148611570.27000001</v>
      </c>
      <c r="Y6" s="5">
        <v>-2550540994.3600001</v>
      </c>
      <c r="Z6" s="5">
        <v>53077878.520000003</v>
      </c>
      <c r="AA6" s="5">
        <v>29674728.879999999</v>
      </c>
    </row>
    <row r="7" spans="2:27">
      <c r="B7">
        <f t="shared" ref="B7:B11" si="6">B6-1</f>
        <v>2015</v>
      </c>
      <c r="C7" s="20">
        <v>25271390273.419998</v>
      </c>
      <c r="D7" s="19">
        <v>3044148064.8099999</v>
      </c>
      <c r="E7" s="19">
        <v>8125932742.9799995</v>
      </c>
      <c r="F7" s="19">
        <v>76135323.180000007</v>
      </c>
      <c r="G7" s="5">
        <f t="shared" si="0"/>
        <v>11170080807.789999</v>
      </c>
      <c r="H7" s="2">
        <f t="shared" si="1"/>
        <v>2.9169319670508425</v>
      </c>
      <c r="I7" s="1">
        <f t="shared" si="2"/>
        <v>123.41734537058031</v>
      </c>
      <c r="J7" s="5">
        <f t="shared" si="3"/>
        <v>-474868705.03000003</v>
      </c>
      <c r="K7" s="5">
        <f t="shared" si="4"/>
        <v>-11644949512.82</v>
      </c>
      <c r="L7" s="5">
        <v>70043433.900000006</v>
      </c>
      <c r="M7" s="2">
        <f t="shared" si="5"/>
        <v>0.9199860324281085</v>
      </c>
      <c r="N7" s="5">
        <v>192350081.12</v>
      </c>
      <c r="O7" s="5">
        <v>36626572.689999998</v>
      </c>
      <c r="P7" s="5">
        <v>81615.12</v>
      </c>
      <c r="Q7" s="5">
        <v>98784.22</v>
      </c>
      <c r="R7" s="5"/>
      <c r="S7" s="5"/>
      <c r="T7" s="5">
        <v>328135912.69999999</v>
      </c>
      <c r="U7" s="5">
        <v>1835475.81</v>
      </c>
      <c r="V7" s="5"/>
      <c r="W7" s="5">
        <v>-6806677.5999999996</v>
      </c>
      <c r="X7" s="5">
        <v>-17185568.890000001</v>
      </c>
      <c r="Y7" s="5">
        <v>-1394007182.95</v>
      </c>
      <c r="Z7" s="5">
        <v>223569404.34999999</v>
      </c>
      <c r="AA7" s="5">
        <v>14254121.32</v>
      </c>
    </row>
    <row r="8" spans="2:27">
      <c r="B8">
        <f>B7-1</f>
        <v>2014</v>
      </c>
      <c r="C8" s="5">
        <v>17233114021.700001</v>
      </c>
      <c r="D8" s="5">
        <v>1875769464.99</v>
      </c>
      <c r="E8" s="5">
        <v>4281526957.0500002</v>
      </c>
      <c r="F8" s="5">
        <v>255289608.69999999</v>
      </c>
      <c r="G8" s="5">
        <f t="shared" si="0"/>
        <v>6157296422.04</v>
      </c>
      <c r="H8" s="2">
        <f t="shared" si="1"/>
        <v>3.5096419164575927</v>
      </c>
      <c r="I8" s="1">
        <f t="shared" si="2"/>
        <v>102.57456702687233</v>
      </c>
      <c r="J8" s="5">
        <f t="shared" si="3"/>
        <v>-315241319.00999999</v>
      </c>
      <c r="K8" s="5">
        <f>J8-G8</f>
        <v>-6472537741.0500002</v>
      </c>
      <c r="L8" s="5">
        <v>78913357.269999996</v>
      </c>
      <c r="M8" s="2">
        <f t="shared" si="5"/>
        <v>0.30911308012827865</v>
      </c>
      <c r="N8" s="5">
        <v>162964970.91999999</v>
      </c>
      <c r="O8" s="5">
        <v>11364414.529999999</v>
      </c>
      <c r="P8" s="5">
        <v>596315.56000000006</v>
      </c>
      <c r="Q8" s="5">
        <v>2699692.81</v>
      </c>
      <c r="R8" s="5"/>
      <c r="S8" s="5"/>
      <c r="T8" s="5">
        <v>261776452.09999999</v>
      </c>
      <c r="U8" s="5"/>
      <c r="V8" s="5"/>
      <c r="W8" s="5">
        <v>-10538299.060000001</v>
      </c>
      <c r="X8" s="5">
        <v>-34160295.140000001</v>
      </c>
      <c r="Y8" s="5">
        <v>-1116160298.97</v>
      </c>
      <c r="Z8" s="5">
        <v>53092587.509999998</v>
      </c>
      <c r="AA8" s="5">
        <v>18920174.760000002</v>
      </c>
    </row>
    <row r="9" spans="2:27">
      <c r="B9">
        <f t="shared" si="6"/>
        <v>2013</v>
      </c>
      <c r="C9" s="5">
        <v>10745907038.84</v>
      </c>
      <c r="D9" s="5">
        <v>784502488.21000004</v>
      </c>
      <c r="E9" s="5">
        <v>2878641141.4200001</v>
      </c>
      <c r="F9" s="4">
        <v>229767929.84999999</v>
      </c>
      <c r="G9" s="5">
        <f t="shared" si="0"/>
        <v>3663143629.6300001</v>
      </c>
      <c r="H9" s="2">
        <f t="shared" si="1"/>
        <v>3.8529009566281185</v>
      </c>
      <c r="I9" s="1">
        <f t="shared" si="2"/>
        <v>93.436089858654299</v>
      </c>
      <c r="J9" s="5">
        <f t="shared" si="3"/>
        <v>-204295235.27999997</v>
      </c>
      <c r="K9" s="5">
        <f t="shared" si="4"/>
        <v>-3867438864.9099998</v>
      </c>
      <c r="L9" s="5">
        <v>8659917.5299999993</v>
      </c>
      <c r="M9" s="2">
        <f t="shared" si="5"/>
        <v>3.7689844425431676E-2</v>
      </c>
      <c r="N9" s="5">
        <v>60768544.579999998</v>
      </c>
      <c r="O9" s="5">
        <v>7524731.7300000004</v>
      </c>
      <c r="P9" s="5"/>
      <c r="Q9" s="5">
        <v>33325.85</v>
      </c>
      <c r="R9" s="5"/>
      <c r="S9" s="5"/>
      <c r="T9" s="5">
        <v>143852727.03</v>
      </c>
      <c r="U9" s="5"/>
      <c r="V9" s="5"/>
      <c r="W9" s="5">
        <v>-3154045.81</v>
      </c>
      <c r="X9" s="5">
        <v>-206286137.05000001</v>
      </c>
      <c r="Y9" s="5">
        <v>-288663679.68000001</v>
      </c>
      <c r="Z9" s="5">
        <v>-186871463.80000001</v>
      </c>
      <c r="AA9" s="5">
        <v>30072914.489999998</v>
      </c>
    </row>
    <row r="10" spans="2:27">
      <c r="B10">
        <f>B9-1</f>
        <v>2012</v>
      </c>
      <c r="C10" s="5">
        <v>7213789489.1800003</v>
      </c>
      <c r="D10" s="5">
        <v>318218110.31999999</v>
      </c>
      <c r="E10" s="5">
        <v>1596724569.46</v>
      </c>
      <c r="F10" s="5">
        <v>129037030.54000001</v>
      </c>
      <c r="G10" s="5">
        <f t="shared" si="0"/>
        <v>1914942679.78</v>
      </c>
      <c r="H10" s="2">
        <f t="shared" si="1"/>
        <v>4.5496531549010504</v>
      </c>
      <c r="I10" s="1">
        <f t="shared" si="2"/>
        <v>79.126910940935133</v>
      </c>
      <c r="J10" s="5">
        <f t="shared" si="3"/>
        <v>-23688652.799999982</v>
      </c>
      <c r="K10" s="5">
        <f t="shared" si="4"/>
        <v>-1938631332.5799999</v>
      </c>
      <c r="L10" s="5">
        <v>10385228.449999999</v>
      </c>
      <c r="M10" s="2">
        <f t="shared" si="5"/>
        <v>8.0482543705007972E-2</v>
      </c>
      <c r="N10" s="5">
        <v>33542649.300000001</v>
      </c>
      <c r="O10" s="5">
        <v>6826474.54</v>
      </c>
      <c r="P10" s="5"/>
      <c r="Q10" s="5">
        <v>1065346.58</v>
      </c>
      <c r="R10" s="5"/>
      <c r="S10" s="5"/>
      <c r="T10" s="5">
        <v>58593037.789999999</v>
      </c>
      <c r="U10" s="5"/>
      <c r="V10" s="5">
        <v>-207800.46</v>
      </c>
      <c r="W10" s="5">
        <v>-1998538.88</v>
      </c>
      <c r="X10" s="5">
        <v>-95900005.650000006</v>
      </c>
      <c r="Y10" s="5">
        <v>-236359552.91</v>
      </c>
      <c r="Z10" s="5">
        <v>54937035.93</v>
      </c>
      <c r="AA10" s="5">
        <v>16390441.970000001</v>
      </c>
    </row>
    <row r="11" spans="2:27" ht="15.75">
      <c r="B11">
        <f t="shared" si="6"/>
        <v>2011</v>
      </c>
      <c r="C11" s="5">
        <v>5231639749.7700005</v>
      </c>
      <c r="D11" s="5">
        <v>307926194.52999997</v>
      </c>
      <c r="E11" s="5">
        <v>948269339.34000003</v>
      </c>
      <c r="F11" s="5">
        <v>60139588.299999997</v>
      </c>
      <c r="G11" s="5">
        <f t="shared" si="0"/>
        <v>1256195533.8699999</v>
      </c>
      <c r="H11" s="2">
        <f t="shared" si="1"/>
        <v>5.5141658696507756</v>
      </c>
      <c r="I11" s="1">
        <f t="shared" si="2"/>
        <v>65.286392993977813</v>
      </c>
      <c r="J11" s="5">
        <f t="shared" si="3"/>
        <v>90378386.689999968</v>
      </c>
      <c r="K11" s="5">
        <f t="shared" si="4"/>
        <v>-1165817147.1799998</v>
      </c>
      <c r="L11" s="5">
        <v>4212918.57</v>
      </c>
      <c r="M11" s="2">
        <f t="shared" si="5"/>
        <v>7.0052334728071305E-2</v>
      </c>
      <c r="N11" s="5">
        <v>15220897.67</v>
      </c>
      <c r="O11" s="5">
        <v>4153937.85</v>
      </c>
      <c r="P11" s="5"/>
      <c r="Q11" s="5"/>
      <c r="R11" s="5"/>
      <c r="S11" s="5"/>
      <c r="T11" s="11">
        <v>28069059.75</v>
      </c>
      <c r="U11" s="5"/>
      <c r="V11" s="5">
        <v>105433.97</v>
      </c>
      <c r="W11" s="5">
        <v>-1115462.19</v>
      </c>
      <c r="X11" s="5">
        <v>-102470426.26000001</v>
      </c>
      <c r="Y11" s="5">
        <v>-250416750.28</v>
      </c>
      <c r="Z11" s="5">
        <v>332479189.31</v>
      </c>
      <c r="AA11" s="5"/>
    </row>
    <row r="12" spans="2:27">
      <c r="B12">
        <f>B11-1</f>
        <v>2010</v>
      </c>
      <c r="C12" s="5">
        <v>3605477285.21</v>
      </c>
      <c r="D12" s="5">
        <v>109035496.31999999</v>
      </c>
      <c r="E12" s="5">
        <v>532296129.29000002</v>
      </c>
      <c r="F12" s="5">
        <v>36008032</v>
      </c>
      <c r="G12" s="5">
        <f t="shared" si="0"/>
        <v>641331625.61000001</v>
      </c>
      <c r="H12" s="2">
        <f t="shared" si="1"/>
        <v>9.3573904201763508E-2</v>
      </c>
      <c r="I12" s="1">
        <f t="shared" si="2"/>
        <v>3847.2264577501232</v>
      </c>
      <c r="J12" s="5">
        <f t="shared" si="3"/>
        <v>75011090.079999983</v>
      </c>
      <c r="K12" s="5">
        <f t="shared" si="4"/>
        <v>-566320535.52999997</v>
      </c>
      <c r="L12" s="5">
        <v>715772.4</v>
      </c>
      <c r="M12" s="2">
        <f t="shared" si="5"/>
        <v>1.9878131634630852E-2</v>
      </c>
      <c r="N12" s="5">
        <v>13779522.529999999</v>
      </c>
      <c r="O12" s="5">
        <v>1918598.32</v>
      </c>
      <c r="P12" s="5"/>
      <c r="Q12" s="5"/>
      <c r="R12" s="5"/>
      <c r="S12" s="5"/>
      <c r="T12" s="5">
        <v>10976370.67</v>
      </c>
      <c r="U12" s="5"/>
      <c r="V12" s="5">
        <v>83600.850000000006</v>
      </c>
      <c r="W12" s="5">
        <v>-315387.42</v>
      </c>
      <c r="X12" s="5">
        <v>-2251888.34</v>
      </c>
      <c r="Y12" s="5">
        <v>-36766545.869999997</v>
      </c>
      <c r="Z12" s="5">
        <v>50863014.939999998</v>
      </c>
      <c r="AA12" s="5"/>
    </row>
    <row r="13" spans="2:27">
      <c r="B13" t="s">
        <v>10</v>
      </c>
      <c r="C13" s="5">
        <f>SUM(C4:C12)</f>
        <v>192967947784.23996</v>
      </c>
      <c r="D13" s="5">
        <f>SUM(D4:D12)</f>
        <v>15489411040.65</v>
      </c>
      <c r="E13" s="5">
        <f>SUM(E4:E12)</f>
        <v>60930855136.389999</v>
      </c>
      <c r="F13" s="5">
        <f>SUM(F4:F12)</f>
        <v>1065777881.4499999</v>
      </c>
      <c r="G13" s="5">
        <f t="shared" si="0"/>
        <v>76420266177.039993</v>
      </c>
      <c r="H13" s="2">
        <f t="shared" si="1"/>
        <v>5.0501773269723582</v>
      </c>
      <c r="I13" s="1">
        <f t="shared" si="2"/>
        <v>71.284625606567431</v>
      </c>
      <c r="J13" s="5">
        <f t="shared" si="3"/>
        <v>-373353993.08999908</v>
      </c>
      <c r="K13" s="5">
        <f t="shared" si="4"/>
        <v>-76793620170.12999</v>
      </c>
      <c r="L13" s="5">
        <f>SUM(L4:L12)</f>
        <v>1819114146.5200002</v>
      </c>
      <c r="M13" s="2">
        <f t="shared" si="5"/>
        <v>1.7068417145654025</v>
      </c>
      <c r="N13" s="5">
        <f t="shared" ref="N13:AA13" si="7">SUM(N4:N12)</f>
        <v>1088394269.6199999</v>
      </c>
      <c r="O13" s="5">
        <f t="shared" si="7"/>
        <v>259399158.25999999</v>
      </c>
      <c r="P13" s="5">
        <f t="shared" si="7"/>
        <v>21607594.59</v>
      </c>
      <c r="Q13" s="5">
        <f t="shared" si="7"/>
        <v>-6395930.8199999984</v>
      </c>
      <c r="R13" s="5">
        <f t="shared" si="7"/>
        <v>-629658.09</v>
      </c>
      <c r="S13" s="5">
        <f t="shared" si="7"/>
        <v>-850000</v>
      </c>
      <c r="T13" s="5">
        <f t="shared" si="7"/>
        <v>2163700874.4700003</v>
      </c>
      <c r="U13" s="5">
        <f t="shared" si="7"/>
        <v>-118488186.5</v>
      </c>
      <c r="V13" s="5">
        <f t="shared" si="7"/>
        <v>19180703.309999999</v>
      </c>
      <c r="W13" s="5">
        <f t="shared" si="7"/>
        <v>-276744206.19</v>
      </c>
      <c r="X13" s="5">
        <f t="shared" si="7"/>
        <v>-1093393308.3499999</v>
      </c>
      <c r="Y13" s="5">
        <f t="shared" si="7"/>
        <v>-7893001982.8500004</v>
      </c>
      <c r="Z13" s="5">
        <f t="shared" si="7"/>
        <v>2468827653.9000001</v>
      </c>
      <c r="AA13" s="5">
        <f t="shared" si="7"/>
        <v>110146997.59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1</v>
      </c>
      <c r="B3" t="s">
        <v>28</v>
      </c>
      <c r="C3" t="s">
        <v>29</v>
      </c>
      <c r="D3" t="s">
        <v>30</v>
      </c>
      <c r="E3" s="9" t="s">
        <v>31</v>
      </c>
      <c r="F3" s="9" t="s">
        <v>37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10</v>
      </c>
    </row>
    <row r="4" spans="1:12">
      <c r="A4">
        <v>2018</v>
      </c>
      <c r="B4" s="3">
        <v>72003747.5</v>
      </c>
      <c r="C4" s="3">
        <v>53238712.119999997</v>
      </c>
      <c r="D4" s="3">
        <v>7922947.3099999996</v>
      </c>
      <c r="E4" s="3">
        <v>997057414.72000003</v>
      </c>
      <c r="F4" s="2">
        <f>E4/L4</f>
        <v>0.84508152461411701</v>
      </c>
      <c r="G4" s="3">
        <v>8599080.6999999993</v>
      </c>
      <c r="H4" s="3">
        <v>16958119.629999999</v>
      </c>
      <c r="I4" s="3">
        <v>23682753.109999999</v>
      </c>
      <c r="J4" s="3">
        <v>321378.61</v>
      </c>
      <c r="K4" s="3">
        <v>51620.34</v>
      </c>
      <c r="L4" s="3">
        <f>B4+C4+D4+E4+G4+H4+I4+J4+K4</f>
        <v>1179835774.04</v>
      </c>
    </row>
    <row r="5" spans="1:12">
      <c r="A5">
        <f>A4-1</f>
        <v>2017</v>
      </c>
      <c r="B5" s="3">
        <v>56832958.149999999</v>
      </c>
      <c r="C5" s="3">
        <v>32394342.239999998</v>
      </c>
      <c r="D5" s="3">
        <v>11759343.59</v>
      </c>
      <c r="E5" s="3">
        <v>828560424.79999995</v>
      </c>
      <c r="F5" s="2">
        <f t="shared" ref="F5:F12" si="0">E5/L5</f>
        <v>0.84304721547189831</v>
      </c>
      <c r="G5" s="3">
        <v>6536592.2800000003</v>
      </c>
      <c r="H5" s="3">
        <v>41425942.5</v>
      </c>
      <c r="I5" s="3">
        <v>4867378.53</v>
      </c>
      <c r="J5" s="3">
        <v>410410.21</v>
      </c>
      <c r="K5" s="3">
        <v>28765.08</v>
      </c>
      <c r="L5" s="3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3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3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3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3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3">
        <f t="shared" si="1"/>
        <v>0</v>
      </c>
    </row>
    <row r="11" spans="1:12">
      <c r="A11">
        <f t="shared" si="2"/>
        <v>2011</v>
      </c>
      <c r="B11" s="3">
        <v>20223578.75</v>
      </c>
      <c r="C11" s="3">
        <v>4618360.62</v>
      </c>
      <c r="E11" s="3">
        <v>117955881.43000001</v>
      </c>
      <c r="F11" s="2">
        <f t="shared" si="0"/>
        <v>0.80817708901607332</v>
      </c>
      <c r="I11" s="3">
        <v>3155192.51</v>
      </c>
      <c r="L11" s="3">
        <f t="shared" si="1"/>
        <v>145953013.31</v>
      </c>
    </row>
    <row r="12" spans="1:12">
      <c r="A12">
        <f t="shared" si="2"/>
        <v>2010</v>
      </c>
      <c r="B12" s="3">
        <v>11516478.109999999</v>
      </c>
      <c r="E12" s="3">
        <v>58060945.969999999</v>
      </c>
      <c r="F12" s="2">
        <f t="shared" si="0"/>
        <v>0.83447967121119093</v>
      </c>
      <c r="L12" s="3">
        <f t="shared" si="1"/>
        <v>69577424.079999998</v>
      </c>
    </row>
    <row r="13" spans="1:12">
      <c r="F13" s="2"/>
      <c r="L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现金流净利润比</vt:lpstr>
      <vt:lpstr>roe</vt:lpstr>
      <vt:lpstr>应收账款周转率</vt:lpstr>
      <vt:lpstr>存货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2019-07-25T14:35:08Z</dcterms:modified>
</cp:coreProperties>
</file>