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5605" windowHeight="14775" activeTab="4"/>
  </bookViews>
  <sheets>
    <sheet name="Sheet1" sheetId="1" r:id="rId1"/>
    <sheet name="roe" sheetId="2" r:id="rId2"/>
    <sheet name="估值" sheetId="8" r:id="rId3"/>
    <sheet name="现金流净利润比" sheetId="4" r:id="rId4"/>
    <sheet name="应收账款周转率" sheetId="7" r:id="rId5"/>
    <sheet name="存货" sheetId="6" r:id="rId6"/>
    <sheet name="资产负债表" sheetId="9" r:id="rId7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9" l="1"/>
  <c r="D13" i="9"/>
  <c r="C13" i="9"/>
  <c r="B6" i="9"/>
  <c r="B7" i="9"/>
  <c r="B8" i="9"/>
  <c r="B9" i="9"/>
  <c r="B10" i="9"/>
  <c r="B11" i="9"/>
  <c r="B12" i="9"/>
  <c r="B5" i="9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L13" i="7"/>
  <c r="F13" i="7"/>
  <c r="M13" i="7"/>
  <c r="J13" i="7"/>
  <c r="D13" i="7"/>
  <c r="E13" i="7"/>
  <c r="G13" i="7"/>
  <c r="K13" i="7"/>
  <c r="C13" i="7"/>
  <c r="H13" i="7"/>
  <c r="I13" i="7"/>
  <c r="M12" i="7"/>
  <c r="J12" i="7"/>
  <c r="G12" i="7"/>
  <c r="K12" i="7"/>
  <c r="H12" i="7"/>
  <c r="I12" i="7"/>
  <c r="B5" i="7"/>
  <c r="B6" i="7"/>
  <c r="B7" i="7"/>
  <c r="B8" i="7"/>
  <c r="B9" i="7"/>
  <c r="B10" i="7"/>
  <c r="B11" i="7"/>
  <c r="B12" i="7"/>
  <c r="M11" i="7"/>
  <c r="J11" i="7"/>
  <c r="G11" i="7"/>
  <c r="K11" i="7"/>
  <c r="H11" i="7"/>
  <c r="I11" i="7"/>
  <c r="M10" i="7"/>
  <c r="J10" i="7"/>
  <c r="G10" i="7"/>
  <c r="K10" i="7"/>
  <c r="H10" i="7"/>
  <c r="I10" i="7"/>
  <c r="M9" i="7"/>
  <c r="J9" i="7"/>
  <c r="G9" i="7"/>
  <c r="K9" i="7"/>
  <c r="H9" i="7"/>
  <c r="I9" i="7"/>
  <c r="M8" i="7"/>
  <c r="J8" i="7"/>
  <c r="G8" i="7"/>
  <c r="K8" i="7"/>
  <c r="H8" i="7"/>
  <c r="I8" i="7"/>
  <c r="M7" i="7"/>
  <c r="J7" i="7"/>
  <c r="G7" i="7"/>
  <c r="K7" i="7"/>
  <c r="H7" i="7"/>
  <c r="I7" i="7"/>
  <c r="M6" i="7"/>
  <c r="J6" i="7"/>
  <c r="G6" i="7"/>
  <c r="K6" i="7"/>
  <c r="H6" i="7"/>
  <c r="I6" i="7"/>
  <c r="M5" i="7"/>
  <c r="J5" i="7"/>
  <c r="G5" i="7"/>
  <c r="K5" i="7"/>
  <c r="H5" i="7"/>
  <c r="I5" i="7"/>
  <c r="M4" i="7"/>
  <c r="J4" i="7"/>
  <c r="G4" i="7"/>
  <c r="K4" i="7"/>
  <c r="H4" i="7"/>
  <c r="I4" i="7"/>
  <c r="A9" i="8"/>
  <c r="B13" i="8"/>
  <c r="C13" i="8"/>
  <c r="D13" i="8"/>
  <c r="E13" i="8"/>
  <c r="F13" i="8"/>
  <c r="G13" i="8"/>
  <c r="G14" i="8"/>
  <c r="B14" i="8"/>
  <c r="C14" i="8"/>
  <c r="D14" i="8"/>
  <c r="E14" i="8"/>
  <c r="F14" i="8"/>
  <c r="H14" i="8"/>
  <c r="J14" i="8"/>
  <c r="L14" i="8"/>
  <c r="B6" i="8"/>
  <c r="B5" i="8"/>
  <c r="A5" i="2"/>
  <c r="A6" i="2"/>
  <c r="A7" i="2"/>
  <c r="A8" i="2"/>
  <c r="A9" i="2"/>
  <c r="A10" i="2"/>
  <c r="A11" i="2"/>
  <c r="A12" i="2"/>
  <c r="A13" i="2"/>
  <c r="M14" i="8"/>
  <c r="M15" i="8"/>
  <c r="M16" i="8"/>
  <c r="M17" i="8"/>
  <c r="M18" i="8"/>
  <c r="M19" i="8"/>
  <c r="M20" i="8"/>
  <c r="M21" i="8"/>
  <c r="H15" i="8"/>
  <c r="K4" i="8"/>
  <c r="J4" i="8"/>
  <c r="I4" i="8"/>
  <c r="H4" i="8"/>
  <c r="G4" i="8"/>
  <c r="F4" i="8"/>
  <c r="E4" i="8"/>
  <c r="D4" i="8"/>
  <c r="C4" i="8"/>
  <c r="J83" i="1"/>
  <c r="J84" i="1"/>
  <c r="J85" i="1"/>
  <c r="J86" i="1"/>
  <c r="J87" i="1"/>
  <c r="J88" i="1"/>
  <c r="J89" i="1"/>
  <c r="J90" i="1"/>
  <c r="J82" i="1"/>
  <c r="A83" i="1"/>
  <c r="A84" i="1"/>
  <c r="A85" i="1"/>
  <c r="A86" i="1"/>
  <c r="A87" i="1"/>
  <c r="A88" i="1"/>
  <c r="A89" i="1"/>
  <c r="A90" i="1"/>
  <c r="K5" i="4"/>
  <c r="K6" i="4"/>
  <c r="K7" i="4"/>
  <c r="K8" i="4"/>
  <c r="K9" i="4"/>
  <c r="K10" i="4"/>
  <c r="K11" i="4"/>
  <c r="K12" i="4"/>
  <c r="J13" i="4"/>
  <c r="D13" i="4"/>
  <c r="K13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V13" i="4"/>
  <c r="U13" i="4"/>
  <c r="T13" i="4"/>
  <c r="S13" i="4"/>
  <c r="R13" i="4"/>
  <c r="Q13" i="4"/>
  <c r="P13" i="4"/>
  <c r="O13" i="4"/>
  <c r="N13" i="4"/>
  <c r="L13" i="4"/>
  <c r="M13" i="4"/>
  <c r="H13" i="4"/>
  <c r="E13" i="4"/>
  <c r="I13" i="4"/>
  <c r="H5" i="4"/>
  <c r="H6" i="4"/>
  <c r="H7" i="4"/>
  <c r="H8" i="4"/>
  <c r="H9" i="4"/>
  <c r="H10" i="4"/>
  <c r="H11" i="4"/>
  <c r="H12" i="4"/>
  <c r="H4" i="4"/>
  <c r="I5" i="4"/>
  <c r="I6" i="4"/>
  <c r="I7" i="4"/>
  <c r="I8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I60" i="1"/>
  <c r="C60" i="1"/>
  <c r="L59" i="1"/>
  <c r="I59" i="1"/>
  <c r="C59" i="1"/>
  <c r="L58" i="1"/>
  <c r="I58" i="1"/>
  <c r="C58" i="1"/>
  <c r="L57" i="1"/>
  <c r="I57" i="1"/>
  <c r="C57" i="1"/>
  <c r="L56" i="1"/>
  <c r="I56" i="1"/>
  <c r="C56" i="1"/>
  <c r="L55" i="1"/>
  <c r="I55" i="1"/>
  <c r="C55" i="1"/>
  <c r="L54" i="1"/>
  <c r="I54" i="1"/>
  <c r="C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F19" i="1"/>
  <c r="I19" i="1"/>
  <c r="L19" i="1"/>
  <c r="N19" i="1"/>
  <c r="C19" i="1"/>
  <c r="I20" i="1"/>
  <c r="L20" i="1"/>
  <c r="N20" i="1"/>
  <c r="C20" i="1"/>
  <c r="I21" i="1"/>
  <c r="L21" i="1"/>
  <c r="N21" i="1"/>
  <c r="C21" i="1"/>
  <c r="I22" i="1"/>
  <c r="L22" i="1"/>
  <c r="N22" i="1"/>
  <c r="C22" i="1"/>
  <c r="I23" i="1"/>
  <c r="L23" i="1"/>
  <c r="N23" i="1"/>
  <c r="C23" i="1"/>
  <c r="I24" i="1"/>
  <c r="L24" i="1"/>
  <c r="N24" i="1"/>
  <c r="C24" i="1"/>
  <c r="I25" i="1"/>
  <c r="L25" i="1"/>
  <c r="N25" i="1"/>
  <c r="C25" i="1"/>
  <c r="I26" i="1"/>
  <c r="L26" i="1"/>
  <c r="N26" i="1"/>
  <c r="C26" i="1"/>
  <c r="I27" i="1"/>
  <c r="L27" i="1"/>
  <c r="N27" i="1"/>
  <c r="C27" i="1"/>
  <c r="I28" i="1"/>
  <c r="L28" i="1"/>
  <c r="N28" i="1"/>
  <c r="C28" i="1"/>
  <c r="N29" i="1"/>
  <c r="C29" i="1"/>
  <c r="F18" i="1"/>
  <c r="I18" i="1"/>
  <c r="L18" i="1"/>
  <c r="N18" i="1"/>
  <c r="C18" i="1"/>
  <c r="C50" i="1"/>
  <c r="C51" i="1"/>
  <c r="C36" i="1"/>
  <c r="C35" i="1"/>
  <c r="I4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sharedStrings.xml><?xml version="1.0" encoding="utf-8"?>
<sst xmlns="http://schemas.openxmlformats.org/spreadsheetml/2006/main" count="172" uniqueCount="135">
  <si>
    <t>年份</t>
    <phoneticPr fontId="1" type="noConversion"/>
  </si>
  <si>
    <t>货币资金</t>
    <phoneticPr fontId="1" type="noConversion"/>
  </si>
  <si>
    <t>应收票据</t>
    <phoneticPr fontId="1" type="noConversion"/>
  </si>
  <si>
    <t>应收账款</t>
    <phoneticPr fontId="1" type="noConversion"/>
  </si>
  <si>
    <t>预付款项</t>
    <phoneticPr fontId="1" type="noConversion"/>
  </si>
  <si>
    <t>其他应收款</t>
    <phoneticPr fontId="1" type="noConversion"/>
  </si>
  <si>
    <t>存货</t>
    <phoneticPr fontId="1" type="noConversion"/>
  </si>
  <si>
    <t>一年内到期的非流动资产</t>
    <phoneticPr fontId="1" type="noConversion"/>
  </si>
  <si>
    <t>其他流动资产</t>
    <phoneticPr fontId="1" type="noConversion"/>
  </si>
  <si>
    <t>流动资产合计</t>
    <phoneticPr fontId="1" type="noConversion"/>
  </si>
  <si>
    <t>年份</t>
    <phoneticPr fontId="1" type="noConversion"/>
  </si>
  <si>
    <t>非流动资产合计</t>
    <phoneticPr fontId="1" type="noConversion"/>
  </si>
  <si>
    <t>无形资产</t>
    <phoneticPr fontId="1" type="noConversion"/>
  </si>
  <si>
    <t>无形资产占比</t>
    <phoneticPr fontId="1" type="noConversion"/>
  </si>
  <si>
    <t>商誉</t>
    <phoneticPr fontId="1" type="noConversion"/>
  </si>
  <si>
    <t>商誉占比</t>
    <phoneticPr fontId="1" type="noConversion"/>
  </si>
  <si>
    <t>固定资产</t>
    <phoneticPr fontId="1" type="noConversion"/>
  </si>
  <si>
    <t>固定资产占比</t>
    <phoneticPr fontId="1" type="noConversion"/>
  </si>
  <si>
    <t>在建工程</t>
    <phoneticPr fontId="1" type="noConversion"/>
  </si>
  <si>
    <t>在建工程占比</t>
    <phoneticPr fontId="1" type="noConversion"/>
  </si>
  <si>
    <t>重要占比</t>
    <phoneticPr fontId="1" type="noConversion"/>
  </si>
  <si>
    <t>流动负债总计</t>
    <phoneticPr fontId="1" type="noConversion"/>
  </si>
  <si>
    <t>应付票据及应付账款</t>
    <phoneticPr fontId="1" type="noConversion"/>
  </si>
  <si>
    <t>应付占比</t>
    <phoneticPr fontId="1" type="noConversion"/>
  </si>
  <si>
    <t>应交税费</t>
    <phoneticPr fontId="1" type="noConversion"/>
  </si>
  <si>
    <t>应交税费占比</t>
    <phoneticPr fontId="1" type="noConversion"/>
  </si>
  <si>
    <t>预收款项</t>
    <phoneticPr fontId="1" type="noConversion"/>
  </si>
  <si>
    <t>预收占比</t>
    <phoneticPr fontId="1" type="noConversion"/>
  </si>
  <si>
    <t>短期借款</t>
    <phoneticPr fontId="1" type="noConversion"/>
  </si>
  <si>
    <t>短期借款占比</t>
    <phoneticPr fontId="1" type="noConversion"/>
  </si>
  <si>
    <t>非流动负债总计</t>
    <phoneticPr fontId="1" type="noConversion"/>
  </si>
  <si>
    <t>长期借款</t>
    <phoneticPr fontId="1" type="noConversion"/>
  </si>
  <si>
    <t>递延收益</t>
    <phoneticPr fontId="1" type="noConversion"/>
  </si>
  <si>
    <t>递延收益占比</t>
    <phoneticPr fontId="1" type="noConversion"/>
  </si>
  <si>
    <t>应付债券</t>
    <phoneticPr fontId="1" type="noConversion"/>
  </si>
  <si>
    <t>长期占比</t>
    <phoneticPr fontId="1" type="noConversion"/>
  </si>
  <si>
    <t>流动资产</t>
    <rPh sb="0" eb="1">
      <t>liu'dong</t>
    </rPh>
    <rPh sb="2" eb="3">
      <t>zi'chan</t>
    </rPh>
    <phoneticPr fontId="1" type="noConversion"/>
  </si>
  <si>
    <t>非流动资产占比</t>
    <rPh sb="0" eb="1">
      <t>fei</t>
    </rPh>
    <rPh sb="1" eb="2">
      <t>liu'dong</t>
    </rPh>
    <rPh sb="3" eb="4">
      <t>zi'chan</t>
    </rPh>
    <phoneticPr fontId="1" type="noConversion"/>
  </si>
  <si>
    <t>资产总计</t>
    <phoneticPr fontId="1" type="noConversion"/>
  </si>
  <si>
    <t>负债总计</t>
    <rPh sb="0" eb="1">
      <t>fu'zhai</t>
    </rPh>
    <rPh sb="2" eb="3">
      <t>zong'ji</t>
    </rPh>
    <phoneticPr fontId="1" type="noConversion"/>
  </si>
  <si>
    <t>所有者权益</t>
    <rPh sb="0" eb="1">
      <t>suo'you'zhe</t>
    </rPh>
    <rPh sb="3" eb="4">
      <t>quan'yi</t>
    </rPh>
    <phoneticPr fontId="1" type="noConversion"/>
  </si>
  <si>
    <t>流动资产占比</t>
    <rPh sb="0" eb="1">
      <t>liu'dong</t>
    </rPh>
    <rPh sb="2" eb="3">
      <t>zi'chan</t>
    </rPh>
    <phoneticPr fontId="1" type="noConversion"/>
  </si>
  <si>
    <t>非流动资产</t>
    <rPh sb="0" eb="1">
      <t>fei</t>
    </rPh>
    <rPh sb="1" eb="2">
      <t>liu'dong</t>
    </rPh>
    <rPh sb="3" eb="4">
      <t>zi'chan</t>
    </rPh>
    <phoneticPr fontId="1" type="noConversion"/>
  </si>
  <si>
    <t>流动负债</t>
    <rPh sb="0" eb="1">
      <t>liu'dong</t>
    </rPh>
    <rPh sb="2" eb="3">
      <t>fu'zhai</t>
    </rPh>
    <phoneticPr fontId="1" type="noConversion"/>
  </si>
  <si>
    <t>流动负债占比</t>
    <rPh sb="0" eb="1">
      <t>liu'dong</t>
    </rPh>
    <rPh sb="2" eb="3">
      <t>fu'zhai</t>
    </rPh>
    <rPh sb="4" eb="5">
      <t>zhan'bi</t>
    </rPh>
    <phoneticPr fontId="1" type="noConversion"/>
  </si>
  <si>
    <t>非流动负债</t>
    <rPh sb="0" eb="1">
      <t>fei'liu'dong</t>
    </rPh>
    <rPh sb="3" eb="4">
      <t>fu'zhai</t>
    </rPh>
    <phoneticPr fontId="1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</si>
  <si>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1" type="noConversion"/>
  </si>
  <si>
    <t>营业总收入</t>
    <rPh sb="0" eb="1">
      <t>ying'ye</t>
    </rPh>
    <rPh sb="2" eb="3">
      <t>zong'shou'ru</t>
    </rPh>
    <phoneticPr fontId="1" type="noConversion"/>
  </si>
  <si>
    <t>营业总成本</t>
    <rPh sb="0" eb="1">
      <t>ying'ye</t>
    </rPh>
    <rPh sb="2" eb="3">
      <t>zong</t>
    </rPh>
    <rPh sb="3" eb="4">
      <t>cheng'ben</t>
    </rPh>
    <phoneticPr fontId="1" type="noConversion"/>
  </si>
  <si>
    <t>营业利润</t>
    <rPh sb="0" eb="1">
      <t>ying'ye</t>
    </rPh>
    <rPh sb="2" eb="3">
      <t>li'run</t>
    </rPh>
    <phoneticPr fontId="1" type="noConversion"/>
  </si>
  <si>
    <t>利润总额</t>
    <rPh sb="0" eb="1">
      <t>li'run</t>
    </rPh>
    <rPh sb="2" eb="3">
      <t>zong'e</t>
    </rPh>
    <phoneticPr fontId="1" type="noConversion"/>
  </si>
  <si>
    <t>净利润</t>
    <rPh sb="0" eb="1">
      <t>jing'li'run</t>
    </rPh>
    <phoneticPr fontId="1" type="noConversion"/>
  </si>
  <si>
    <t>归属于母公司所有者的综合收益</t>
    <phoneticPr fontId="1" type="noConversion"/>
  </si>
  <si>
    <t>利润表</t>
    <rPh sb="0" eb="1">
      <t>li'run'biao</t>
    </rPh>
    <phoneticPr fontId="1" type="noConversion"/>
  </si>
  <si>
    <t>现金流</t>
    <rPh sb="0" eb="1">
      <t>xian'jin'liu</t>
    </rPh>
    <phoneticPr fontId="1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</si>
  <si>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1" type="noConversion"/>
  </si>
  <si>
    <t>经营性活动现金流支出</t>
    <rPh sb="8" eb="9">
      <t>zhi'chu</t>
    </rPh>
    <phoneticPr fontId="1" type="noConversion"/>
  </si>
  <si>
    <t>经营性净额</t>
    <rPh sb="0" eb="1">
      <t>jing'ying'xing</t>
    </rPh>
    <rPh sb="3" eb="4">
      <t>jin'ge</t>
    </rPh>
    <phoneticPr fontId="1" type="noConversion"/>
  </si>
  <si>
    <t>投资收入</t>
    <rPh sb="0" eb="1">
      <t>tou'zi</t>
    </rPh>
    <rPh sb="2" eb="3">
      <t>shou'r</t>
    </rPh>
    <phoneticPr fontId="1" type="noConversion"/>
  </si>
  <si>
    <t>投资支出</t>
    <rPh sb="0" eb="1">
      <t>tou'zi</t>
    </rPh>
    <rPh sb="2" eb="3">
      <t>zhi'chu</t>
    </rPh>
    <phoneticPr fontId="1" type="noConversion"/>
  </si>
  <si>
    <t>投资净额</t>
    <rPh sb="0" eb="1">
      <t>tou'zi</t>
    </rPh>
    <rPh sb="2" eb="3">
      <t>jing'e</t>
    </rPh>
    <phoneticPr fontId="1" type="noConversion"/>
  </si>
  <si>
    <t>活动收入</t>
    <rPh sb="0" eb="1">
      <t>huo'dong</t>
    </rPh>
    <rPh sb="2" eb="3">
      <t>shou'ru</t>
    </rPh>
    <phoneticPr fontId="1" type="noConversion"/>
  </si>
  <si>
    <t>活动支出</t>
    <rPh sb="0" eb="1">
      <t>huo'dong</t>
    </rPh>
    <rPh sb="2" eb="3">
      <t>zhi'chu</t>
    </rPh>
    <phoneticPr fontId="1" type="noConversion"/>
  </si>
  <si>
    <t>活动净值</t>
    <rPh sb="0" eb="1">
      <t>huo'dong</t>
    </rPh>
    <rPh sb="2" eb="3">
      <t>jing'zhi</t>
    </rPh>
    <phoneticPr fontId="1" type="noConversion"/>
  </si>
  <si>
    <t>毛利率</t>
    <rPh sb="0" eb="1">
      <t>mao'li'lv</t>
    </rPh>
    <phoneticPr fontId="1" type="noConversion"/>
  </si>
  <si>
    <t>差额</t>
    <rPh sb="0" eb="1">
      <t>cha'e</t>
    </rPh>
    <phoneticPr fontId="1" type="noConversion"/>
  </si>
  <si>
    <t>年份</t>
    <rPh sb="0" eb="1">
      <t>nian'f</t>
    </rPh>
    <phoneticPr fontId="1" type="noConversion"/>
  </si>
  <si>
    <t>自由现金流</t>
    <rPh sb="0" eb="1">
      <t>zi'you</t>
    </rPh>
    <rPh sb="2" eb="3">
      <t>xian'jin'liu</t>
    </rPh>
    <phoneticPr fontId="1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</si>
  <si>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1" type="noConversion"/>
  </si>
  <si>
    <t>环比增长</t>
    <rPh sb="0" eb="1">
      <t>huan'bi</t>
    </rPh>
    <rPh sb="2" eb="3">
      <t>zeng'zhang</t>
    </rPh>
    <phoneticPr fontId="1" type="noConversion"/>
  </si>
  <si>
    <t>无风险利率</t>
    <rPh sb="0" eb="1">
      <t>wu'feng'xian</t>
    </rPh>
    <rPh sb="3" eb="4">
      <t>li'lv</t>
    </rPh>
    <phoneticPr fontId="1" type="noConversion"/>
  </si>
  <si>
    <t>最后pe</t>
    <rPh sb="0" eb="1">
      <t>zui'hou</t>
    </rPh>
    <phoneticPr fontId="1" type="noConversion"/>
  </si>
  <si>
    <t>年华增长</t>
    <rPh sb="0" eb="1">
      <t>nian'hua</t>
    </rPh>
    <rPh sb="2" eb="3">
      <t>zeng'zhang</t>
    </rPh>
    <phoneticPr fontId="1" type="noConversion"/>
  </si>
  <si>
    <t>年份</t>
    <rPh sb="0" eb="1">
      <t>nian'fen</t>
    </rPh>
    <phoneticPr fontId="1" type="noConversion"/>
  </si>
  <si>
    <t>扣非净利润</t>
    <rPh sb="0" eb="1">
      <t>kou'fei</t>
    </rPh>
    <rPh sb="2" eb="3">
      <t>jing'li'run</t>
    </rPh>
    <phoneticPr fontId="1" type="noConversion"/>
  </si>
  <si>
    <t>经营活动净额</t>
    <rPh sb="0" eb="1">
      <t>jing'ying</t>
    </rPh>
    <rPh sb="2" eb="3">
      <t>huo'dong</t>
    </rPh>
    <rPh sb="4" eb="5">
      <t>jing'e</t>
    </rPh>
    <phoneticPr fontId="1" type="noConversion"/>
  </si>
  <si>
    <t>扣非占比</t>
    <rPh sb="0" eb="1">
      <t>kou'fei</t>
    </rPh>
    <rPh sb="2" eb="3">
      <t>zhan'bi</t>
    </rPh>
    <phoneticPr fontId="1" type="noConversion"/>
  </si>
  <si>
    <t>合计</t>
    <rPh sb="0" eb="1">
      <t>he'ji</t>
    </rPh>
    <phoneticPr fontId="1" type="noConversion"/>
  </si>
  <si>
    <t>现利比</t>
    <rPh sb="0" eb="1">
      <t>xian</t>
    </rPh>
    <rPh sb="1" eb="2">
      <t>li</t>
    </rPh>
    <rPh sb="2" eb="3">
      <t>bi</t>
    </rPh>
    <phoneticPr fontId="1" type="noConversion"/>
  </si>
  <si>
    <t>计算现金流</t>
    <rPh sb="0" eb="1">
      <t>ji'suan</t>
    </rPh>
    <rPh sb="2" eb="3">
      <t>xian'jin'liu</t>
    </rPh>
    <phoneticPr fontId="1" type="noConversion"/>
  </si>
  <si>
    <t>现金流差值</t>
    <rPh sb="0" eb="1">
      <t>xian'jin'liu</t>
    </rPh>
    <rPh sb="3" eb="4">
      <t>cha'zhi</t>
    </rPh>
    <phoneticPr fontId="1" type="noConversion"/>
  </si>
  <si>
    <t>资产减值</t>
    <rPh sb="0" eb="1">
      <t>zi'chan</t>
    </rPh>
    <rPh sb="2" eb="3">
      <t>jian'zhi</t>
    </rPh>
    <phoneticPr fontId="1" type="noConversion"/>
  </si>
  <si>
    <t>加</t>
    <rPh sb="0" eb="1">
      <t>jia</t>
    </rPh>
    <phoneticPr fontId="1" type="noConversion"/>
  </si>
  <si>
    <t>折旧</t>
    <rPh sb="0" eb="1">
      <t>zhe'jiu</t>
    </rPh>
    <phoneticPr fontId="1" type="noConversion"/>
  </si>
  <si>
    <t>无形资产摊销</t>
    <rPh sb="0" eb="1">
      <t>wu'xing</t>
    </rPh>
    <rPh sb="2" eb="3">
      <t>zi'chan</t>
    </rPh>
    <rPh sb="4" eb="5">
      <t>tan'xiao</t>
    </rPh>
    <phoneticPr fontId="1" type="noConversion"/>
  </si>
  <si>
    <t>存货</t>
    <rPh sb="0" eb="1">
      <t>cun'huo</t>
    </rPh>
    <phoneticPr fontId="1" type="noConversion"/>
  </si>
  <si>
    <t>股东净利润</t>
    <rPh sb="0" eb="1">
      <t>gu'dong</t>
    </rPh>
    <rPh sb="2" eb="3">
      <t>jing'li'run</t>
    </rPh>
    <phoneticPr fontId="1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</si>
  <si>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1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</si>
  <si>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1" type="noConversion"/>
  </si>
  <si>
    <t>财务费用</t>
    <rPh sb="0" eb="1">
      <t>cai'wu</t>
    </rPh>
    <rPh sb="2" eb="3">
      <t>fei'yong</t>
    </rPh>
    <phoneticPr fontId="1" type="noConversion"/>
  </si>
  <si>
    <t>投资损失</t>
    <rPh sb="0" eb="1">
      <t>tou'zi</t>
    </rPh>
    <rPh sb="2" eb="3">
      <t>sun'shi</t>
    </rPh>
    <phoneticPr fontId="1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</si>
  <si>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1" type="noConversion"/>
  </si>
  <si>
    <t>存货减少</t>
    <rPh sb="0" eb="1">
      <t>cun'huo</t>
    </rPh>
    <rPh sb="2" eb="3">
      <t>jian'shao</t>
    </rPh>
    <phoneticPr fontId="1" type="noConversion"/>
  </si>
  <si>
    <t>经营性应收减少</t>
    <rPh sb="0" eb="1">
      <t>jing'ying'xing</t>
    </rPh>
    <rPh sb="3" eb="4">
      <t>ying'shou</t>
    </rPh>
    <rPh sb="5" eb="6">
      <t>jian'shao</t>
    </rPh>
    <phoneticPr fontId="1" type="noConversion"/>
  </si>
  <si>
    <t>经营性应付增加</t>
    <rPh sb="0" eb="1">
      <t>jing'ying'xing</t>
    </rPh>
    <rPh sb="3" eb="4">
      <t>ying'fu</t>
    </rPh>
    <rPh sb="5" eb="6">
      <t>zeng'jia</t>
    </rPh>
    <phoneticPr fontId="1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</si>
  <si>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1" type="noConversion"/>
  </si>
  <si>
    <t>原材料</t>
    <rPh sb="0" eb="1">
      <t>yuan'cai'liao</t>
    </rPh>
    <phoneticPr fontId="1" type="noConversion"/>
  </si>
  <si>
    <t>在产品</t>
    <rPh sb="0" eb="1">
      <t>zai'chan'p</t>
    </rPh>
    <phoneticPr fontId="1" type="noConversion"/>
  </si>
  <si>
    <t>库存商品</t>
    <rPh sb="0" eb="1">
      <t>ku'cun</t>
    </rPh>
    <rPh sb="2" eb="3">
      <t>shang'p</t>
    </rPh>
    <phoneticPr fontId="1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</si>
  <si>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1" type="noConversion"/>
  </si>
  <si>
    <t>半成品</t>
    <rPh sb="0" eb="1">
      <t>ban'cheng'p</t>
    </rPh>
    <phoneticPr fontId="1" type="noConversion"/>
  </si>
  <si>
    <t>发出商品</t>
    <rPh sb="0" eb="1">
      <t>fa'chu</t>
    </rPh>
    <rPh sb="2" eb="3">
      <t>shang'p</t>
    </rPh>
    <phoneticPr fontId="1" type="noConversion"/>
  </si>
  <si>
    <t>运营成本</t>
    <rPh sb="0" eb="1">
      <t>yun'ying</t>
    </rPh>
    <rPh sb="2" eb="3">
      <t>cheng'ben</t>
    </rPh>
    <phoneticPr fontId="1" type="noConversion"/>
  </si>
  <si>
    <t>低值易耗品</t>
    <rPh sb="0" eb="1">
      <t>di'zhi</t>
    </rPh>
    <rPh sb="2" eb="3">
      <t>yi'hao'p</t>
    </rPh>
    <phoneticPr fontId="1" type="noConversion"/>
  </si>
  <si>
    <t>劳务成本</t>
    <rPh sb="0" eb="1">
      <t>lao'wu'cheng'ben</t>
    </rPh>
    <phoneticPr fontId="1" type="noConversion"/>
  </si>
  <si>
    <t>未结算资产占比</t>
    <rPh sb="0" eb="1">
      <t>wei'jie'suan</t>
    </rPh>
    <rPh sb="3" eb="4">
      <t>zi'chan</t>
    </rPh>
    <rPh sb="5" eb="6">
      <t>zhan'bi</t>
    </rPh>
    <phoneticPr fontId="1" type="noConversion"/>
  </si>
  <si>
    <t>现利比只有27%，占比太低，分析主要原因，近9年累积净利润9亿，但累积经营活动现金流净额只有2.43亿，差值6.57亿
近9年的差值主要为：资产减值1.45亿+折旧1.67亿+无形资产摊销+1.28亿+财务费用1.61亿+应付增加了10.08亿-应收增加了11.7亿-存货增加了10.59亿=6.2亿约等于6.57亿
可以看到，差值的主要原因是：
1. 应收增加了11.7亿，造成利润增加，但未收到钱，这是政府项目通病，应收慢
2. 存货增加了10.59亿，造成利润不变，但现金流支持增加
针对应收，重点关注应收款情况，应收后面再细看
针对存货，查看财报，对存货的解释为：本集团存货主要包括工程施工、已完工未结算项目、原材料、在产品、库存商品和低值易耗品等
查看右边的存货sheet表，可以发现大头为建造完工的合同资产，稳定占比83%左右
总结：当前财报暂时未看出大问题，典型的第三方外包项目型公司</t>
    <rPh sb="3" eb="4">
      <t>zhi'you</t>
    </rPh>
    <rPh sb="9" eb="10">
      <t>zhan'bi</t>
    </rPh>
    <rPh sb="11" eb="12">
      <t>tai'di</t>
    </rPh>
    <rPh sb="14" eb="15">
      <t>fen'xi</t>
    </rPh>
    <rPh sb="16" eb="17">
      <t>zhu'yao</t>
    </rPh>
    <rPh sb="18" eb="19">
      <t>yuan'y</t>
    </rPh>
    <rPh sb="21" eb="22">
      <t>jin</t>
    </rPh>
    <rPh sb="23" eb="24">
      <t>nian</t>
    </rPh>
    <rPh sb="24" eb="25">
      <t>lei'ji</t>
    </rPh>
    <rPh sb="26" eb="27">
      <t>jing'li'run</t>
    </rPh>
    <rPh sb="30" eb="31">
      <t>yi</t>
    </rPh>
    <rPh sb="32" eb="33">
      <t>dan</t>
    </rPh>
    <rPh sb="33" eb="34">
      <t>lei'ji</t>
    </rPh>
    <rPh sb="35" eb="36">
      <t>jing'ying</t>
    </rPh>
    <rPh sb="37" eb="38">
      <t>huo'dong</t>
    </rPh>
    <rPh sb="39" eb="40">
      <t>xian'jin'liu</t>
    </rPh>
    <rPh sb="42" eb="43">
      <t>jing'e</t>
    </rPh>
    <rPh sb="44" eb="45">
      <t>zhi'you</t>
    </rPh>
    <rPh sb="50" eb="51">
      <t>yi</t>
    </rPh>
    <rPh sb="52" eb="53">
      <t>cha'zhi</t>
    </rPh>
    <rPh sb="58" eb="59">
      <t>yi</t>
    </rPh>
    <rPh sb="245" eb="246">
      <t>zhen'dui</t>
    </rPh>
    <rPh sb="247" eb="248">
      <t>ying'shou</t>
    </rPh>
    <rPh sb="250" eb="251">
      <t>zhong'dian</t>
    </rPh>
    <rPh sb="252" eb="253">
      <t>guan'zhu</t>
    </rPh>
    <rPh sb="254" eb="255">
      <t>ying'shou</t>
    </rPh>
    <rPh sb="256" eb="257">
      <t>kuan</t>
    </rPh>
    <rPh sb="257" eb="258">
      <t>qing'kuang</t>
    </rPh>
    <rPh sb="260" eb="261">
      <t>ying'shou</t>
    </rPh>
    <rPh sb="262" eb="263">
      <t>hou'mian</t>
    </rPh>
    <rPh sb="264" eb="265">
      <t>zai</t>
    </rPh>
    <rPh sb="265" eb="266">
      <t>xi'kan</t>
    </rPh>
    <rPh sb="268" eb="269">
      <t>zhen'dui</t>
    </rPh>
    <rPh sb="270" eb="271">
      <t>cun'huo</t>
    </rPh>
    <rPh sb="273" eb="274">
      <t>cha'kan</t>
    </rPh>
    <rPh sb="275" eb="276">
      <t>cai'bao</t>
    </rPh>
    <rPh sb="278" eb="279">
      <t>dui</t>
    </rPh>
    <rPh sb="279" eb="280">
      <t>cun'huo</t>
    </rPh>
    <rPh sb="281" eb="282">
      <t>de</t>
    </rPh>
    <rPh sb="282" eb="283">
      <t>jie'shi</t>
    </rPh>
    <rPh sb="284" eb="285">
      <t>wei</t>
    </rPh>
    <rPh sb="329" eb="330">
      <t>cha'kan</t>
    </rPh>
    <rPh sb="331" eb="332">
      <t>you'bian</t>
    </rPh>
    <rPh sb="333" eb="334">
      <t>de</t>
    </rPh>
    <rPh sb="334" eb="335">
      <t>cun'huo</t>
    </rPh>
    <rPh sb="341" eb="342">
      <t>biao</t>
    </rPh>
    <rPh sb="343" eb="344">
      <t>ke'yi</t>
    </rPh>
    <rPh sb="345" eb="346">
      <t>fa'xian</t>
    </rPh>
    <rPh sb="347" eb="348">
      <t>da'tou</t>
    </rPh>
    <rPh sb="349" eb="350">
      <t>wei</t>
    </rPh>
    <rPh sb="350" eb="351">
      <t>jian'zao</t>
    </rPh>
    <rPh sb="352" eb="353">
      <t>wan'gong</t>
    </rPh>
    <rPh sb="354" eb="355">
      <t>de</t>
    </rPh>
    <rPh sb="355" eb="356">
      <t>he'tong</t>
    </rPh>
    <rPh sb="357" eb="358">
      <t>zi'chan</t>
    </rPh>
    <rPh sb="360" eb="361">
      <t>wen'ding</t>
    </rPh>
    <rPh sb="362" eb="363">
      <t>zhan'bi</t>
    </rPh>
    <rPh sb="367" eb="368">
      <t>zuo'you</t>
    </rPh>
    <rPh sb="371" eb="372">
      <t>zong'jie</t>
    </rPh>
    <rPh sb="374" eb="375">
      <t>dang'qian</t>
    </rPh>
    <rPh sb="376" eb="377">
      <t>cai'bao</t>
    </rPh>
    <rPh sb="378" eb="379">
      <t>zan'shi</t>
    </rPh>
    <rPh sb="380" eb="381">
      <t>wei</t>
    </rPh>
    <rPh sb="381" eb="382">
      <t>kan'chu</t>
    </rPh>
    <rPh sb="383" eb="384">
      <t>da'wen'ti</t>
    </rPh>
    <rPh sb="387" eb="388">
      <t>dian'xing</t>
    </rPh>
    <rPh sb="389" eb="390">
      <t>de</t>
    </rPh>
    <rPh sb="390" eb="391">
      <t>di'san'fang</t>
    </rPh>
    <rPh sb="393" eb="394">
      <t>wai'bao</t>
    </rPh>
    <rPh sb="395" eb="396">
      <t>xiang'mu'xing</t>
    </rPh>
    <rPh sb="398" eb="399">
      <t>gong'si</t>
    </rPh>
    <phoneticPr fontId="1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</si>
  <si>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1" type="noConversion"/>
  </si>
  <si>
    <t>资产利用率</t>
    <phoneticPr fontId="1" type="noConversion"/>
  </si>
  <si>
    <t>初始净利润</t>
    <rPh sb="0" eb="1">
      <t>chu'shi</t>
    </rPh>
    <rPh sb="2" eb="3">
      <t>jing'li'run</t>
    </rPh>
    <phoneticPr fontId="1" type="noConversion"/>
  </si>
  <si>
    <t>最终估值</t>
    <rPh sb="0" eb="1">
      <t>zui'zhong</t>
    </rPh>
    <rPh sb="2" eb="3">
      <t>gu'zhi</t>
    </rPh>
    <phoneticPr fontId="1" type="noConversion"/>
  </si>
  <si>
    <t>预估净利润</t>
    <rPh sb="0" eb="1">
      <t>yu'gu</t>
    </rPh>
    <rPh sb="2" eb="3">
      <t>jinl'gi'run</t>
    </rPh>
    <phoneticPr fontId="1" type="noConversion"/>
  </si>
  <si>
    <t>折现价值</t>
    <rPh sb="0" eb="1">
      <t>zhe'xian</t>
    </rPh>
    <rPh sb="2" eb="3">
      <t>jia'zhi</t>
    </rPh>
    <phoneticPr fontId="1" type="noConversion"/>
  </si>
  <si>
    <t>折扣估值</t>
    <rPh sb="0" eb="1">
      <t>zhe'kou</t>
    </rPh>
    <rPh sb="2" eb="3">
      <t>gu'zhi</t>
    </rPh>
    <phoneticPr fontId="1" type="noConversion"/>
  </si>
  <si>
    <t>接盘价格</t>
    <rPh sb="0" eb="1">
      <t>jie'pan</t>
    </rPh>
    <rPh sb="2" eb="3">
      <t>jia'ge</t>
    </rPh>
    <phoneticPr fontId="1" type="noConversion"/>
  </si>
  <si>
    <t>复合增长</t>
    <rPh sb="0" eb="1">
      <t>fu'he</t>
    </rPh>
    <rPh sb="2" eb="3">
      <t>zeng'zhang</t>
    </rPh>
    <phoneticPr fontId="1" type="noConversion"/>
  </si>
  <si>
    <t>近5年复合增长</t>
    <rPh sb="0" eb="1">
      <t>jin</t>
    </rPh>
    <rPh sb="2" eb="3">
      <t>nian</t>
    </rPh>
    <rPh sb="3" eb="4">
      <t>fu'he</t>
    </rPh>
    <rPh sb="5" eb="6">
      <t>zeng'zhang</t>
    </rPh>
    <phoneticPr fontId="1" type="noConversion"/>
  </si>
  <si>
    <t>现金流折扣</t>
    <rPh sb="0" eb="1">
      <t>xian'jin'liu</t>
    </rPh>
    <rPh sb="3" eb="4">
      <t>zhe'kou</t>
    </rPh>
    <phoneticPr fontId="1" type="noConversion"/>
  </si>
  <si>
    <t>总股本</t>
    <rPh sb="0" eb="1">
      <t>zong'gu'ben</t>
    </rPh>
    <phoneticPr fontId="1" type="noConversion"/>
  </si>
  <si>
    <t>目标价格</t>
    <rPh sb="0" eb="1">
      <t>mu'biao</t>
    </rPh>
    <rPh sb="2" eb="3">
      <t>jia'ge</t>
    </rPh>
    <phoneticPr fontId="1" type="noConversion"/>
  </si>
  <si>
    <t>成本</t>
    <rPh sb="0" eb="1">
      <t>cheng'ben</t>
    </rPh>
    <phoneticPr fontId="1" type="noConversion"/>
  </si>
  <si>
    <t>期望涨幅</t>
    <rPh sb="0" eb="1">
      <t>qi'wang</t>
    </rPh>
    <rPh sb="2" eb="3">
      <t>zhang'fu</t>
    </rPh>
    <phoneticPr fontId="1" type="noConversion"/>
  </si>
  <si>
    <t>销售额</t>
    <rPh sb="0" eb="1">
      <t>gu'dong</t>
    </rPh>
    <rPh sb="2" eb="3">
      <t>jing'li'run</t>
    </rPh>
    <phoneticPr fontId="1" type="noConversion"/>
  </si>
  <si>
    <t>应收票据</t>
    <rPh sb="0" eb="1">
      <t>kou'fei</t>
    </rPh>
    <rPh sb="2" eb="3">
      <t>jing'li'run</t>
    </rPh>
    <phoneticPr fontId="1" type="noConversion"/>
  </si>
  <si>
    <t>应收款帐</t>
    <phoneticPr fontId="1" type="noConversion"/>
  </si>
  <si>
    <t>其他应收款</t>
    <rPh sb="0" eb="1">
      <t>jing'li'run</t>
    </rPh>
    <phoneticPr fontId="1" type="noConversion"/>
  </si>
  <si>
    <t>应收款合计</t>
    <rPh sb="0" eb="1">
      <t>jing'ying</t>
    </rPh>
    <rPh sb="2" eb="3">
      <t>huo'dong</t>
    </rPh>
    <rPh sb="4" eb="5">
      <t>jing'e</t>
    </rPh>
    <phoneticPr fontId="1" type="noConversion"/>
  </si>
  <si>
    <t>应收账款周转率</t>
    <rPh sb="0" eb="1">
      <t>kou'fei</t>
    </rPh>
    <rPh sb="2" eb="3">
      <t>zhan'bi</t>
    </rPh>
    <phoneticPr fontId="1" type="noConversion"/>
  </si>
  <si>
    <t>应收账款周转天数</t>
    <rPh sb="0" eb="1">
      <t>xian</t>
    </rPh>
    <rPh sb="1" eb="2">
      <t>li</t>
    </rPh>
    <rPh sb="2" eb="3">
      <t>bi</t>
    </rPh>
    <phoneticPr fontId="1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</si>
  <si>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1" type="noConversion"/>
  </si>
  <si>
    <t>递延所得税负债增</t>
    <phoneticPr fontId="1" type="noConversion"/>
  </si>
  <si>
    <t>其他</t>
    <phoneticPr fontId="1" type="noConversion"/>
  </si>
  <si>
    <t>年份</t>
    <phoneticPr fontId="1" type="noConversion"/>
  </si>
  <si>
    <t>合计</t>
    <phoneticPr fontId="1" type="noConversion"/>
  </si>
  <si>
    <t>长期借款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</si>
</sst>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#,##0.00;[Red]#,##0.00"/>
    <numFmt numFmtId="178" formatCode="#,##0.00_ ;[Red]\-#,##0.00\ 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  <font>
      <sz val="11"/>
      <color theme="1"/>
      <name val="Times New Roman"/>
      <family val="1"/>
    </font>
    <font>
      <sz val="12"/>
      <color theme="1"/>
      <name val="TimesNewRomanPSMT"/>
      <family val="1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2" fillId="0" borderId="0" xfId="0" applyNumberFormat="1" applyFont="1"/>
    <xf numFmtId="178" fontId="0" fillId="0" borderId="0" xfId="0" applyNumberFormat="1"/>
    <xf numFmtId="0" fontId="3" fillId="0" borderId="0" xfId="0" applyFont="1"/>
    <xf numFmtId="178" fontId="0" fillId="0" borderId="0" xfId="0" applyNumberFormat="1" applyFont="1"/>
    <xf numFmtId="4" fontId="4" fillId="0" borderId="0" xfId="0" applyNumberFormat="1" applyFont="1"/>
    <xf numFmtId="4" fontId="5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3" fontId="0" fillId="0" borderId="0" xfId="0" applyNumberFormat="1"/>
    <xf numFmtId="4" fontId="6" fillId="0" borderId="0" xfId="0" applyNumberFormat="1" applyFont="1"/>
    <xf numFmtId="178" fontId="7" fillId="0" borderId="0" xfId="0" applyNumberFormat="1" applyFont="1"/>
    <xf numFmtId="4" fontId="8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应收账款周转率!$H$3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应收账款周转率!$B$4:$B$11</c:f>
              <c:numCache>
                <c:formatCode>General</c:formatCode>
                <c:ptCount val="8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</c:numCache>
            </c:numRef>
          </c:xVal>
          <c:yVal>
            <c:numRef>
              <c:f>应收账款周转率!$H$4:$H$11</c:f>
              <c:numCache>
                <c:formatCode>0.00%</c:formatCode>
                <c:ptCount val="8"/>
                <c:pt idx="0">
                  <c:v>2.3569679164884199</c:v>
                </c:pt>
                <c:pt idx="1">
                  <c:v>4.542238502235965</c:v>
                </c:pt>
                <c:pt idx="2">
                  <c:v>3.2180674147776229</c:v>
                </c:pt>
                <c:pt idx="3">
                  <c:v>2.2837678435850992</c:v>
                </c:pt>
                <c:pt idx="4">
                  <c:v>1.9104189591132099</c:v>
                </c:pt>
                <c:pt idx="5">
                  <c:v>0.96701805040379052</c:v>
                </c:pt>
                <c:pt idx="6">
                  <c:v>1.5703578136507408</c:v>
                </c:pt>
                <c:pt idx="7">
                  <c:v>2.2252399824388216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5-4804-8BC3-6F649E5E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99247"/>
        <c:axId val="778905903"/>
      </c:scatterChart>
      <c:valAx>
        <c:axId val="7788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905903"/>
        <c:crosses val="autoZero"/>
        <c:crossBetween val="midCat"/>
      </c:valAx>
      <c:valAx>
        <c:axId val="7789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8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应收账款周转率!$I$3</c:f>
              <c:strCache>
                <c:ptCount val="1"/>
                <c:pt idx="0">
                  <c:v>应收账款周转天数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应收账款周转率!$B$4:$B$11</c:f>
              <c:numCache>
                <c:formatCode>General</c:formatCode>
                <c:ptCount val="8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</c:numCache>
            </c:numRef>
          </c:xVal>
          <c:yVal>
            <c:numRef>
              <c:f>应收账款周转率!$I$4:$I$11</c:f>
              <c:numCache>
                <c:formatCode>#,##0.00_ </c:formatCode>
                <c:ptCount val="8"/>
                <c:pt idx="0">
                  <c:v>152.73860856636261</c:v>
                </c:pt>
                <c:pt idx="1">
                  <c:v>79.256076012474068</c:v>
                </c:pt>
                <c:pt idx="2">
                  <c:v>111.86838359782371</c:v>
                </c:pt>
                <c:pt idx="3">
                  <c:v>157.63423633939325</c:v>
                </c:pt>
                <c:pt idx="4">
                  <c:v>188.44034094338502</c:v>
                </c:pt>
                <c:pt idx="5">
                  <c:v>372.27846972419746</c:v>
                </c:pt>
                <c:pt idx="6">
                  <c:v>229.2471160843771</c:v>
                </c:pt>
                <c:pt idx="7">
                  <c:v>161.78030362614945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1-43AA-9086-2F82FCC7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59359"/>
        <c:axId val="775208783"/>
      </c:scatterChart>
      <c:valAx>
        <c:axId val="6608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208783"/>
        <c:crosses val="autoZero"/>
        <c:crossBetween val="midCat"/>
      </c:valAx>
      <c:valAx>
        <c:axId val="7752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8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15</xdr:row>
      <xdr:rowOff>71437</xdr:rowOff>
    </xdr:from>
    <xdr:to>
      <xdr:col>5</xdr:col>
      <xdr:colOff>485775</xdr:colOff>
      <xdr:row>30</xdr:row>
      <xdr:rowOff>100012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990600</xdr:colOff>
      <xdr:row>15</xdr:row>
      <xdr:rowOff>14287</xdr:rowOff>
    </xdr:from>
    <xdr:to>
      <xdr:col>11</xdr:col>
      <xdr:colOff>0</xdr:colOff>
      <xdr:row>30</xdr:row>
      <xdr:rowOff>42862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defaultColWidth="8.875" defaultRowHeight="14.25"/>
  <cols>
    <col min="2" max="2" width="20.375" customWidth="1"/>
    <col min="3" max="3" width="19.875" customWidth="1"/>
    <col min="4" max="5" width="17.375" customWidth="1"/>
    <col min="6" max="6" width="16.125" bestFit="1" customWidth="1"/>
    <col min="7" max="7" width="16.125" customWidth="1"/>
    <col min="8" max="8" width="16.125" bestFit="1" customWidth="1"/>
    <col min="9" max="9" width="14.625" bestFit="1" customWidth="1"/>
    <col min="10" max="10" width="14.625" customWidth="1"/>
    <col min="11" max="11" width="18.375" customWidth="1"/>
    <col min="12" max="12" width="22.125" customWidth="1"/>
    <col min="13" max="13" width="19.875" customWidth="1"/>
    <col min="14" max="14" width="17" customWidth="1"/>
    <col min="15" max="15" width="16.875" customWidth="1"/>
  </cols>
  <sheetData>
    <row r="3" spans="1:23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>
        <v>2016</v>
      </c>
    </row>
    <row r="17" spans="1:16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>
      <c r="C30" s="2"/>
    </row>
    <row r="31" spans="1:16">
      <c r="C31" s="2"/>
    </row>
    <row r="32" spans="1:16">
      <c r="C32" s="2"/>
    </row>
    <row r="33" spans="1:14">
      <c r="C33" s="2"/>
    </row>
    <row r="34" spans="1:14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>
      <c r="C47" s="2"/>
    </row>
    <row r="48" spans="1:14">
      <c r="C48" s="2"/>
    </row>
    <row r="49" spans="1:14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>
      <c r="C61" s="2">
        <f t="shared" si="8"/>
        <v>0</v>
      </c>
      <c r="F61" s="2"/>
      <c r="G61" s="2"/>
      <c r="N61" s="2"/>
    </row>
    <row r="65" spans="1:16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>
      <c r="C77" s="1">
        <f t="shared" si="14"/>
        <v>0</v>
      </c>
      <c r="F77" s="2"/>
      <c r="G77" s="2"/>
      <c r="M77" s="1"/>
      <c r="P77" s="2"/>
    </row>
    <row r="80" spans="1:16">
      <c r="A80" t="s">
        <v>53</v>
      </c>
    </row>
    <row r="81" spans="1:16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108</v>
      </c>
      <c r="K81" t="s">
        <v>52</v>
      </c>
    </row>
    <row r="82" spans="1:16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>
      <c r="F93" s="5"/>
      <c r="G93" s="1"/>
      <c r="I93" s="5"/>
      <c r="J93" s="5"/>
    </row>
    <row r="94" spans="1:16">
      <c r="I94" s="5"/>
      <c r="J94" s="5"/>
    </row>
    <row r="97" spans="1:13">
      <c r="A97" t="s">
        <v>54</v>
      </c>
    </row>
    <row r="98" spans="1:13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>
      <c r="F110" s="5"/>
      <c r="G110" s="5"/>
      <c r="I110" s="5"/>
      <c r="J110" s="5"/>
    </row>
    <row r="111" spans="1:13">
      <c r="I111" s="5"/>
      <c r="J11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A5" sqref="A5:A13"/>
    </sheetView>
  </sheetViews>
  <sheetFormatPr defaultColWidth="11" defaultRowHeight="14.25"/>
  <cols>
    <col min="3" max="3" width="18.875" customWidth="1"/>
  </cols>
  <sheetData>
    <row r="3" spans="1:14">
      <c r="A3" t="s">
        <v>66</v>
      </c>
      <c r="B3" t="s">
        <v>67</v>
      </c>
      <c r="C3" t="s">
        <v>68</v>
      </c>
    </row>
    <row r="4" spans="1:14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>
        <f>A4-1</f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>
        <f t="shared" ref="A6:A13" si="0">A5-1</f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>
        <f t="shared" si="0"/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>
        <f t="shared" si="0"/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>
        <f t="shared" si="0"/>
        <v>2013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A10">
        <f t="shared" si="0"/>
        <v>2012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A11">
        <f t="shared" si="0"/>
        <v>2011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A12">
        <f t="shared" si="0"/>
        <v>2010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>
        <f t="shared" si="0"/>
        <v>2009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workbookViewId="0">
      <selection activeCell="J21" sqref="J21"/>
    </sheetView>
  </sheetViews>
  <sheetFormatPr defaultColWidth="11" defaultRowHeight="14.25"/>
  <cols>
    <col min="1" max="1" width="17.625" customWidth="1"/>
    <col min="2" max="2" width="15.125" customWidth="1"/>
    <col min="3" max="3" width="14.5" customWidth="1"/>
    <col min="4" max="4" width="15.375" customWidth="1"/>
    <col min="5" max="5" width="14.5" customWidth="1"/>
    <col min="6" max="6" width="14.125" customWidth="1"/>
    <col min="7" max="7" width="17.625" customWidth="1"/>
    <col min="8" max="8" width="14.625" customWidth="1"/>
    <col min="9" max="9" width="13.875" customWidth="1"/>
    <col min="10" max="10" width="15.5" customWidth="1"/>
    <col min="11" max="11" width="13.5" customWidth="1"/>
    <col min="14" max="14" width="13.875" customWidth="1"/>
  </cols>
  <sheetData>
    <row r="2" spans="1:14" ht="20.25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4" ht="20.25">
      <c r="A3" s="10" t="s">
        <v>51</v>
      </c>
      <c r="B3" s="10"/>
      <c r="C3" s="9">
        <v>45143297.100000001</v>
      </c>
      <c r="D3" s="9">
        <v>47735376.670000002</v>
      </c>
      <c r="E3" s="9">
        <v>68000398.879999995</v>
      </c>
      <c r="F3" s="9">
        <v>28881580</v>
      </c>
      <c r="G3" s="9">
        <v>96069481.920000002</v>
      </c>
      <c r="H3" s="9">
        <v>120559675.81</v>
      </c>
      <c r="I3" s="9">
        <v>92753424.450000003</v>
      </c>
      <c r="J3" s="9">
        <v>138703129.69</v>
      </c>
      <c r="K3" s="9">
        <v>232366860.28</v>
      </c>
    </row>
    <row r="4" spans="1:14">
      <c r="A4" t="s">
        <v>69</v>
      </c>
      <c r="C4" s="2" t="e">
        <f>(C3-B3)/B3</f>
        <v>#DIV/0!</v>
      </c>
      <c r="D4" s="2">
        <f t="shared" ref="D4:K4" si="0">(D3-C3)/C3</f>
        <v>5.7418924547272383E-2</v>
      </c>
      <c r="E4" s="2">
        <f t="shared" si="0"/>
        <v>0.42452838175121899</v>
      </c>
      <c r="F4" s="2">
        <f t="shared" si="0"/>
        <v>-0.57527337374936294</v>
      </c>
      <c r="G4" s="2">
        <f t="shared" si="0"/>
        <v>2.3263236263390024</v>
      </c>
      <c r="H4" s="2">
        <f t="shared" si="0"/>
        <v>0.2549216816886109</v>
      </c>
      <c r="I4" s="2">
        <f t="shared" si="0"/>
        <v>-0.23064305020048476</v>
      </c>
      <c r="J4" s="2">
        <f t="shared" si="0"/>
        <v>0.49539632107890325</v>
      </c>
      <c r="K4" s="2">
        <f t="shared" si="0"/>
        <v>0.67528202715639818</v>
      </c>
    </row>
    <row r="5" spans="1:14">
      <c r="A5" t="s">
        <v>115</v>
      </c>
      <c r="B5" s="2">
        <f>(K3/C3)^(1/8)-1</f>
        <v>0.22729118337026111</v>
      </c>
    </row>
    <row r="6" spans="1:14">
      <c r="A6" t="s">
        <v>116</v>
      </c>
      <c r="B6" s="2">
        <f>(K3/G3)^(1/4)-1</f>
        <v>0.24708824414141128</v>
      </c>
    </row>
    <row r="8" spans="1:14">
      <c r="A8" s="17" t="s">
        <v>109</v>
      </c>
      <c r="B8" s="17" t="s">
        <v>70</v>
      </c>
      <c r="C8" s="17" t="s">
        <v>71</v>
      </c>
      <c r="D8" s="17" t="s">
        <v>72</v>
      </c>
      <c r="E8" s="17" t="s">
        <v>117</v>
      </c>
    </row>
    <row r="9" spans="1:14">
      <c r="A9" s="18">
        <f>K3*E9</f>
        <v>62739052.275600001</v>
      </c>
      <c r="B9" s="17">
        <v>0.05</v>
      </c>
      <c r="C9" s="17">
        <v>24</v>
      </c>
      <c r="D9" s="17">
        <v>0.2</v>
      </c>
      <c r="E9" s="17">
        <v>0.27</v>
      </c>
    </row>
    <row r="10" spans="1:14">
      <c r="A10" s="1"/>
    </row>
    <row r="11" spans="1:14">
      <c r="A11" s="17"/>
      <c r="B11" s="19"/>
      <c r="C11" s="19"/>
      <c r="D11" s="19"/>
      <c r="E11" s="19"/>
      <c r="F11" s="19"/>
      <c r="G11" s="17"/>
      <c r="H11" s="17"/>
    </row>
    <row r="12" spans="1:14">
      <c r="A12" s="17" t="s">
        <v>66</v>
      </c>
      <c r="B12" s="17">
        <v>2019</v>
      </c>
      <c r="C12" s="17">
        <v>2020</v>
      </c>
      <c r="D12" s="17">
        <v>2021</v>
      </c>
      <c r="E12" s="17">
        <v>2022</v>
      </c>
      <c r="F12" s="17">
        <v>2023</v>
      </c>
      <c r="G12" s="17" t="s">
        <v>114</v>
      </c>
      <c r="H12" s="17" t="s">
        <v>110</v>
      </c>
      <c r="I12" t="s">
        <v>118</v>
      </c>
      <c r="J12" s="17" t="s">
        <v>119</v>
      </c>
      <c r="K12" s="17" t="s">
        <v>120</v>
      </c>
      <c r="L12" s="17" t="s">
        <v>121</v>
      </c>
    </row>
    <row r="13" spans="1:14">
      <c r="A13" s="17" t="s">
        <v>111</v>
      </c>
      <c r="B13" s="20">
        <f>A9*(1+D9)</f>
        <v>75286862.730719998</v>
      </c>
      <c r="C13" s="20">
        <f>B13*(1+D9)</f>
        <v>90344235.276863992</v>
      </c>
      <c r="D13" s="20">
        <f>C13*(1+D9)</f>
        <v>108413082.33223678</v>
      </c>
      <c r="E13" s="20">
        <f>D13*(1+D9)</f>
        <v>130095698.79868414</v>
      </c>
      <c r="F13" s="20">
        <f>E13*(1+D9)</f>
        <v>156114838.55842096</v>
      </c>
      <c r="G13" s="20">
        <f>F13*C9</f>
        <v>3746756125.4021029</v>
      </c>
      <c r="H13" s="17"/>
      <c r="M13">
        <v>2018</v>
      </c>
      <c r="N13" s="9">
        <v>232366860.28</v>
      </c>
    </row>
    <row r="14" spans="1:14">
      <c r="A14" s="17" t="s">
        <v>112</v>
      </c>
      <c r="B14" s="18">
        <f>B13/(1+B9)</f>
        <v>71701774.029257134</v>
      </c>
      <c r="C14" s="18">
        <f>C13/(1+B9)^2</f>
        <v>81944884.604865298</v>
      </c>
      <c r="D14" s="18">
        <f>D13/(1+B9)^3</f>
        <v>93651296.691274613</v>
      </c>
      <c r="E14" s="18">
        <f>E13/(1+B9)^4</f>
        <v>107030053.36145671</v>
      </c>
      <c r="F14" s="18">
        <f>F13/(1+B9)^5</f>
        <v>122320060.98452193</v>
      </c>
      <c r="G14" s="18">
        <f>G13/(1+B9)^4</f>
        <v>3082465536.8099532</v>
      </c>
      <c r="H14" s="18">
        <f>SUM(B14:G14)</f>
        <v>3559113606.481329</v>
      </c>
      <c r="I14" s="21">
        <v>452284906</v>
      </c>
      <c r="J14">
        <f>H14/I14</f>
        <v>7.8691850187044023</v>
      </c>
      <c r="K14">
        <v>8.17</v>
      </c>
      <c r="L14" s="2">
        <f>J14/K14-1</f>
        <v>-3.6819459154907919E-2</v>
      </c>
      <c r="M14">
        <f>M13-1</f>
        <v>2017</v>
      </c>
      <c r="N14" s="9">
        <v>138703129.69</v>
      </c>
    </row>
    <row r="15" spans="1:14">
      <c r="A15" s="17"/>
      <c r="B15" s="18"/>
      <c r="C15" s="18"/>
      <c r="D15" s="18"/>
      <c r="E15" s="18"/>
      <c r="F15" s="18"/>
      <c r="G15" s="18" t="s">
        <v>113</v>
      </c>
      <c r="H15" s="18">
        <f>H14*E9</f>
        <v>960960673.74995887</v>
      </c>
      <c r="M15">
        <f t="shared" ref="M15:M21" si="1">M14-1</f>
        <v>2016</v>
      </c>
      <c r="N15" s="9">
        <v>92753424.450000003</v>
      </c>
    </row>
    <row r="16" spans="1:14">
      <c r="M16">
        <f t="shared" si="1"/>
        <v>2015</v>
      </c>
      <c r="N16" s="9">
        <v>120559675.81</v>
      </c>
    </row>
    <row r="17" spans="13:14">
      <c r="M17">
        <f t="shared" si="1"/>
        <v>2014</v>
      </c>
      <c r="N17" s="9">
        <v>96069481.920000002</v>
      </c>
    </row>
    <row r="18" spans="13:14">
      <c r="M18">
        <f t="shared" si="1"/>
        <v>2013</v>
      </c>
      <c r="N18" s="9">
        <v>28881580</v>
      </c>
    </row>
    <row r="19" spans="13:14">
      <c r="M19">
        <f t="shared" si="1"/>
        <v>2012</v>
      </c>
      <c r="N19" s="9">
        <v>68000398.879999995</v>
      </c>
    </row>
    <row r="20" spans="13:14">
      <c r="M20">
        <f t="shared" si="1"/>
        <v>2011</v>
      </c>
      <c r="N20" s="9">
        <v>47735376.670000002</v>
      </c>
    </row>
    <row r="21" spans="13:14">
      <c r="M21">
        <f t="shared" si="1"/>
        <v>2010</v>
      </c>
      <c r="N21" s="9">
        <v>45143297.100000001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workbookViewId="0">
      <selection activeCell="A4" sqref="A4:B12"/>
    </sheetView>
  </sheetViews>
  <sheetFormatPr defaultColWidth="11" defaultRowHeight="14.25"/>
  <cols>
    <col min="2" max="2" width="14" customWidth="1"/>
    <col min="3" max="4" width="13.625" bestFit="1" customWidth="1"/>
    <col min="5" max="5" width="13.375" customWidth="1"/>
    <col min="8" max="8" width="15.5" customWidth="1"/>
    <col min="9" max="9" width="16.125" customWidth="1"/>
    <col min="10" max="10" width="14.125" customWidth="1"/>
    <col min="11" max="11" width="16.625" customWidth="1"/>
    <col min="12" max="12" width="15" customWidth="1"/>
    <col min="13" max="13" width="14.5" customWidth="1"/>
    <col min="14" max="19" width="17.875" customWidth="1"/>
    <col min="20" max="20" width="15.625" customWidth="1"/>
    <col min="21" max="21" width="16.125" customWidth="1"/>
    <col min="22" max="24" width="15.125" bestFit="1" customWidth="1"/>
    <col min="25" max="25" width="13.625" bestFit="1" customWidth="1"/>
    <col min="26" max="26" width="14.625" customWidth="1"/>
    <col min="27" max="27" width="18.125" customWidth="1"/>
  </cols>
  <sheetData>
    <row r="2" spans="1:27">
      <c r="J2" t="s">
        <v>82</v>
      </c>
      <c r="L2" t="s">
        <v>82</v>
      </c>
      <c r="Y2" t="s">
        <v>82</v>
      </c>
      <c r="AA2" t="s">
        <v>82</v>
      </c>
    </row>
    <row r="3" spans="1:27">
      <c r="A3" t="s">
        <v>73</v>
      </c>
      <c r="B3" t="s">
        <v>86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107</v>
      </c>
      <c r="L3" t="s">
        <v>83</v>
      </c>
      <c r="M3" t="s">
        <v>84</v>
      </c>
      <c r="N3" t="s">
        <v>87</v>
      </c>
      <c r="O3" t="s">
        <v>88</v>
      </c>
      <c r="P3" t="s">
        <v>95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85</v>
      </c>
    </row>
    <row r="4" spans="1:27">
      <c r="A4">
        <v>2018</v>
      </c>
      <c r="B4" s="9">
        <v>232366860.28</v>
      </c>
      <c r="C4" s="9">
        <v>216834636.72999999</v>
      </c>
      <c r="D4" s="9">
        <v>247006342.69999999</v>
      </c>
      <c r="E4" s="9">
        <v>246095084.09999999</v>
      </c>
      <c r="F4" s="2">
        <f t="shared" ref="F4:F13" si="0">C4/D4</f>
        <v>0.87785048092208362</v>
      </c>
      <c r="G4" s="2">
        <f t="shared" ref="G4:G13" si="1">E4/D4</f>
        <v>0.99631078866218925</v>
      </c>
      <c r="H4" s="9">
        <f>D4+J4+L4+M4+N4+O4+Q4+R4+S4+T4+U4+V4+P4</f>
        <v>246095084.09999993</v>
      </c>
      <c r="I4" s="9">
        <f>H4-E4</f>
        <v>0</v>
      </c>
      <c r="J4" s="9">
        <v>61198503.189999998</v>
      </c>
      <c r="K4" s="2">
        <f>J4/D4</f>
        <v>0.24776085715470172</v>
      </c>
      <c r="L4" s="9">
        <v>67871562.459999993</v>
      </c>
      <c r="M4" s="9">
        <v>45241993.590000004</v>
      </c>
      <c r="N4" s="9">
        <v>514480.32</v>
      </c>
      <c r="O4" s="9">
        <v>160893.64000000001</v>
      </c>
      <c r="P4" s="9"/>
      <c r="Q4" s="9">
        <v>51728220.75</v>
      </c>
      <c r="R4" s="11">
        <v>-7435631.6900000004</v>
      </c>
      <c r="S4" s="11">
        <v>-9082167.9000000004</v>
      </c>
      <c r="T4" s="9">
        <v>-196821639.97999999</v>
      </c>
      <c r="U4" s="9">
        <v>-361900981.50999999</v>
      </c>
      <c r="V4" s="9">
        <v>347613508.52999997</v>
      </c>
      <c r="W4" s="9">
        <v>1179835774</v>
      </c>
      <c r="X4" s="9"/>
      <c r="Y4" s="9"/>
      <c r="Z4" s="9"/>
      <c r="AA4" s="9"/>
    </row>
    <row r="5" spans="1:27">
      <c r="A5">
        <f>A4-1</f>
        <v>2017</v>
      </c>
      <c r="B5" s="9">
        <v>138703129.69</v>
      </c>
      <c r="C5" s="9">
        <v>145936922.75</v>
      </c>
      <c r="D5" s="9">
        <v>144167550.41</v>
      </c>
      <c r="E5" s="9">
        <v>65219021.219999999</v>
      </c>
      <c r="F5" s="2">
        <f t="shared" si="0"/>
        <v>1.0122730277026144</v>
      </c>
      <c r="G5" s="2">
        <f t="shared" si="1"/>
        <v>0.45238350124228904</v>
      </c>
      <c r="H5" s="9">
        <f t="shared" ref="H5:H13" si="2">D5+J5+L5+M5+N5+O5+Q5+R5+S5+T5+U5+V5+P5</f>
        <v>65219021.219999939</v>
      </c>
      <c r="I5" s="9">
        <f t="shared" ref="I5:I13" si="3">H5-E5</f>
        <v>-5.9604644775390625E-8</v>
      </c>
      <c r="J5" s="9">
        <v>14427763.859999999</v>
      </c>
      <c r="K5" s="2">
        <f t="shared" ref="K5:K13" si="4">J5/D5</f>
        <v>0.10007636128219348</v>
      </c>
      <c r="L5" s="9">
        <v>43716461.159999996</v>
      </c>
      <c r="M5" s="9">
        <v>31171289.27</v>
      </c>
      <c r="N5" s="9">
        <v>62184.07</v>
      </c>
      <c r="O5" s="9">
        <v>43577.37</v>
      </c>
      <c r="P5" s="9"/>
      <c r="Q5" s="9">
        <v>52053269.520000003</v>
      </c>
      <c r="R5" s="9">
        <v>-1315394.68</v>
      </c>
      <c r="S5" s="9">
        <v>-5158371.92</v>
      </c>
      <c r="T5" s="9">
        <v>-253515522.31</v>
      </c>
      <c r="U5" s="9">
        <v>-249620565.97999999</v>
      </c>
      <c r="V5" s="9">
        <v>289186780.44999999</v>
      </c>
      <c r="W5" s="9">
        <v>982816157.38</v>
      </c>
      <c r="X5" s="9"/>
      <c r="Y5" s="9"/>
      <c r="Z5" s="9"/>
      <c r="AA5" s="9"/>
    </row>
    <row r="6" spans="1:27">
      <c r="A6">
        <f t="shared" ref="A6:A12" si="5">A5-1</f>
        <v>2016</v>
      </c>
      <c r="B6" s="9">
        <v>92753424.450000003</v>
      </c>
      <c r="C6" s="9">
        <v>88628567.230000004</v>
      </c>
      <c r="D6" s="9">
        <v>93983912.129999995</v>
      </c>
      <c r="E6" s="9">
        <v>31456959.93</v>
      </c>
      <c r="F6" s="2">
        <f t="shared" si="0"/>
        <v>0.94301849349926614</v>
      </c>
      <c r="G6" s="2">
        <f t="shared" si="1"/>
        <v>0.33470579397129424</v>
      </c>
      <c r="H6" s="9">
        <f t="shared" si="2"/>
        <v>31456959.929999992</v>
      </c>
      <c r="I6" s="9">
        <f t="shared" si="3"/>
        <v>0</v>
      </c>
      <c r="J6" s="9">
        <v>16351431.380000001</v>
      </c>
      <c r="K6" s="2">
        <f t="shared" si="4"/>
        <v>0.17398117411182509</v>
      </c>
      <c r="L6" s="9">
        <v>20413387.91</v>
      </c>
      <c r="M6" s="9">
        <v>22672439.510000002</v>
      </c>
      <c r="N6" s="9">
        <v>106050</v>
      </c>
      <c r="O6" s="9">
        <v>-149908.24</v>
      </c>
      <c r="P6" s="9"/>
      <c r="Q6" s="9">
        <v>37640655.329999998</v>
      </c>
      <c r="R6" s="9">
        <v>1304582.6200000001</v>
      </c>
      <c r="S6" s="9">
        <v>-1432197.04</v>
      </c>
      <c r="T6" s="9">
        <v>-140899465.72</v>
      </c>
      <c r="U6" s="9">
        <v>-40591044.350000001</v>
      </c>
      <c r="V6" s="9">
        <v>22057116.399999999</v>
      </c>
      <c r="W6" s="9">
        <v>676630580</v>
      </c>
      <c r="X6" s="9"/>
      <c r="Y6" s="9"/>
      <c r="Z6" s="9"/>
      <c r="AA6" s="9"/>
    </row>
    <row r="7" spans="1:27">
      <c r="A7">
        <f t="shared" si="5"/>
        <v>2015</v>
      </c>
      <c r="B7" s="9">
        <v>120559675.81</v>
      </c>
      <c r="C7" s="9">
        <v>115296313.16</v>
      </c>
      <c r="D7" s="9">
        <v>127098732.27</v>
      </c>
      <c r="E7" s="9">
        <v>51772954.280000001</v>
      </c>
      <c r="F7" s="2">
        <f t="shared" si="0"/>
        <v>0.90713975742159458</v>
      </c>
      <c r="G7" s="2">
        <f t="shared" si="1"/>
        <v>0.40734437987954925</v>
      </c>
      <c r="H7" s="9">
        <f t="shared" si="2"/>
        <v>51772954.280000031</v>
      </c>
      <c r="I7" s="9">
        <f t="shared" si="3"/>
        <v>0</v>
      </c>
      <c r="J7" s="9">
        <v>22624070.460000001</v>
      </c>
      <c r="K7" s="2">
        <f t="shared" si="4"/>
        <v>0.17800390339015301</v>
      </c>
      <c r="L7" s="9">
        <v>14067298.119999999</v>
      </c>
      <c r="M7" s="9">
        <v>12080485.189999999</v>
      </c>
      <c r="N7" s="9">
        <v>0</v>
      </c>
      <c r="O7" s="9">
        <v>63676.82</v>
      </c>
      <c r="P7" s="9"/>
      <c r="Q7" s="9">
        <v>14527485.619999999</v>
      </c>
      <c r="R7" s="9">
        <v>161208.74</v>
      </c>
      <c r="S7" s="9">
        <v>-3408857.45</v>
      </c>
      <c r="T7" s="9">
        <v>-153220203.00999999</v>
      </c>
      <c r="U7" s="9">
        <v>-112978613.56999999</v>
      </c>
      <c r="V7" s="9">
        <v>130757671.09</v>
      </c>
      <c r="W7" s="9">
        <v>489983888.39999998</v>
      </c>
      <c r="X7" s="9"/>
      <c r="Y7" s="9"/>
      <c r="Z7" s="9"/>
      <c r="AA7" s="9"/>
    </row>
    <row r="8" spans="1:27">
      <c r="A8">
        <f t="shared" si="5"/>
        <v>2014</v>
      </c>
      <c r="B8" s="9">
        <v>96069481.920000002</v>
      </c>
      <c r="C8" s="9">
        <v>95314944.459999993</v>
      </c>
      <c r="D8" s="9">
        <v>98733375.319999993</v>
      </c>
      <c r="E8" s="9">
        <v>40168678.530000001</v>
      </c>
      <c r="F8" s="2">
        <f t="shared" si="0"/>
        <v>0.96537714983488931</v>
      </c>
      <c r="G8" s="2">
        <f t="shared" si="1"/>
        <v>0.40683992013654174</v>
      </c>
      <c r="H8" s="9">
        <f t="shared" si="2"/>
        <v>40168678.530000001</v>
      </c>
      <c r="I8" s="9">
        <f t="shared" si="3"/>
        <v>0</v>
      </c>
      <c r="J8" s="9">
        <v>-4892554.13</v>
      </c>
      <c r="K8" s="2">
        <f t="shared" si="4"/>
        <v>-4.95531942885876E-2</v>
      </c>
      <c r="L8" s="9">
        <v>10672318.5</v>
      </c>
      <c r="M8" s="9">
        <v>7728084.0300000003</v>
      </c>
      <c r="N8" s="9"/>
      <c r="O8" s="9">
        <v>21025.040000000001</v>
      </c>
      <c r="P8" s="9">
        <v>22139.84</v>
      </c>
      <c r="Q8" s="9">
        <v>1520804.5</v>
      </c>
      <c r="R8" s="9">
        <v>593515.6</v>
      </c>
      <c r="S8" s="9">
        <v>48245.39</v>
      </c>
      <c r="T8" s="9">
        <v>-194381687.37</v>
      </c>
      <c r="U8" s="9">
        <v>-53696141.93</v>
      </c>
      <c r="V8" s="9">
        <v>173799553.74000001</v>
      </c>
      <c r="W8" s="9"/>
      <c r="X8" s="9"/>
      <c r="Y8" s="9"/>
      <c r="Z8" s="9"/>
      <c r="AA8" s="9"/>
    </row>
    <row r="9" spans="1:27" ht="15">
      <c r="A9">
        <f t="shared" si="5"/>
        <v>2013</v>
      </c>
      <c r="B9" s="9">
        <v>28881580</v>
      </c>
      <c r="C9" s="9">
        <v>20942216.949999999</v>
      </c>
      <c r="D9" s="12">
        <v>28483511.449999999</v>
      </c>
      <c r="E9" s="9">
        <v>-49418423.219999999</v>
      </c>
      <c r="F9" s="2">
        <f t="shared" si="0"/>
        <v>0.73523999970165199</v>
      </c>
      <c r="G9" s="2">
        <f t="shared" si="1"/>
        <v>-1.7349835292165146</v>
      </c>
      <c r="H9" s="9">
        <f t="shared" si="2"/>
        <v>-49418423.220000006</v>
      </c>
      <c r="I9" s="9">
        <f t="shared" si="3"/>
        <v>0</v>
      </c>
      <c r="J9" s="9">
        <v>16408333.619999999</v>
      </c>
      <c r="K9" s="2">
        <f t="shared" si="4"/>
        <v>0.57606428367524887</v>
      </c>
      <c r="L9" s="9">
        <v>4079640.86</v>
      </c>
      <c r="M9" s="9">
        <v>4293410.74</v>
      </c>
      <c r="N9" s="9"/>
      <c r="O9" s="9"/>
      <c r="P9" s="9"/>
      <c r="Q9" s="9">
        <v>-3851.07</v>
      </c>
      <c r="R9" s="9">
        <v>-7184243.8200000003</v>
      </c>
      <c r="S9" s="9">
        <v>-2425352.6</v>
      </c>
      <c r="T9" s="9">
        <v>17829235.370000001</v>
      </c>
      <c r="U9" s="9">
        <v>-53424002.280000001</v>
      </c>
      <c r="V9" s="9">
        <v>-57475105.490000002</v>
      </c>
      <c r="W9" s="9"/>
      <c r="X9" s="9"/>
      <c r="Y9" s="9"/>
      <c r="Z9" s="9"/>
      <c r="AA9" s="9"/>
    </row>
    <row r="10" spans="1:27">
      <c r="A10">
        <f t="shared" si="5"/>
        <v>2012</v>
      </c>
      <c r="B10" s="9">
        <v>68000398.879999995</v>
      </c>
      <c r="C10" s="9">
        <v>67245550.900000006</v>
      </c>
      <c r="D10" s="9">
        <v>68000398.879999995</v>
      </c>
      <c r="E10" s="9">
        <v>-89999481.459999993</v>
      </c>
      <c r="F10" s="2">
        <f t="shared" si="0"/>
        <v>0.98889935952681596</v>
      </c>
      <c r="G10" s="2">
        <f t="shared" si="1"/>
        <v>-1.3235140225989215</v>
      </c>
      <c r="H10" s="9">
        <f t="shared" si="2"/>
        <v>-89999481.460000008</v>
      </c>
      <c r="I10" s="9">
        <f t="shared" si="3"/>
        <v>0</v>
      </c>
      <c r="J10" s="9">
        <v>12101534.25</v>
      </c>
      <c r="K10" s="2">
        <f t="shared" si="4"/>
        <v>0.17796269506235579</v>
      </c>
      <c r="L10" s="9">
        <v>3100798.93</v>
      </c>
      <c r="M10" s="9">
        <v>2252255.81</v>
      </c>
      <c r="N10" s="9"/>
      <c r="O10" s="9"/>
      <c r="P10" s="9">
        <v>12441.4</v>
      </c>
      <c r="Q10" s="9">
        <v>590400</v>
      </c>
      <c r="R10" s="9">
        <v>425331.63</v>
      </c>
      <c r="S10" s="9">
        <v>-1990842.56</v>
      </c>
      <c r="T10" s="9">
        <v>-49011045.890000001</v>
      </c>
      <c r="U10" s="9">
        <v>-151569376.31</v>
      </c>
      <c r="V10" s="9">
        <v>26088622.399999999</v>
      </c>
      <c r="W10" s="9"/>
      <c r="X10" s="9"/>
      <c r="Y10" s="9"/>
      <c r="Z10" s="9"/>
      <c r="AA10" s="9"/>
    </row>
    <row r="11" spans="1:27" ht="15.75">
      <c r="A11">
        <f t="shared" si="5"/>
        <v>2011</v>
      </c>
      <c r="B11" s="9">
        <v>47735376.670000002</v>
      </c>
      <c r="C11" s="9">
        <v>45844510.909999996</v>
      </c>
      <c r="D11" s="9">
        <v>47735376.670000002</v>
      </c>
      <c r="E11" s="9">
        <v>-73304041.349999994</v>
      </c>
      <c r="F11" s="2">
        <f t="shared" si="0"/>
        <v>0.96038858616175227</v>
      </c>
      <c r="G11" s="2">
        <f t="shared" si="1"/>
        <v>-1.5356334539215859</v>
      </c>
      <c r="H11" s="9">
        <f t="shared" si="2"/>
        <v>-73304041.350000009</v>
      </c>
      <c r="I11" s="9">
        <f t="shared" si="3"/>
        <v>0</v>
      </c>
      <c r="J11" s="9">
        <v>6971997.3399999999</v>
      </c>
      <c r="K11" s="2">
        <f t="shared" si="4"/>
        <v>0.14605514455658739</v>
      </c>
      <c r="L11" s="9">
        <v>2366955.58</v>
      </c>
      <c r="M11" s="9">
        <v>1503927.17</v>
      </c>
      <c r="N11" s="9"/>
      <c r="O11" s="9"/>
      <c r="P11" s="9">
        <v>20348.97</v>
      </c>
      <c r="Q11" s="13">
        <v>1954697.19</v>
      </c>
      <c r="R11" s="9">
        <v>437285.98</v>
      </c>
      <c r="S11" s="9">
        <v>-1116451.77</v>
      </c>
      <c r="T11" s="9">
        <v>-40537846.159999996</v>
      </c>
      <c r="U11" s="9">
        <v>-108823169.17</v>
      </c>
      <c r="V11" s="9">
        <v>16182836.85</v>
      </c>
      <c r="W11" s="9"/>
      <c r="X11" s="9"/>
      <c r="Y11" s="9"/>
      <c r="Z11" s="9"/>
      <c r="AA11" s="9"/>
    </row>
    <row r="12" spans="1:27">
      <c r="A12">
        <f t="shared" si="5"/>
        <v>2010</v>
      </c>
      <c r="B12" s="9">
        <v>45143297.100000001</v>
      </c>
      <c r="C12" s="9">
        <v>44531588.109999999</v>
      </c>
      <c r="D12" s="9">
        <v>45143297.100000001</v>
      </c>
      <c r="E12" s="9">
        <v>21833713.07</v>
      </c>
      <c r="F12" s="2">
        <f t="shared" si="0"/>
        <v>0.98644961645922835</v>
      </c>
      <c r="G12" s="2">
        <f t="shared" si="1"/>
        <v>0.48365348728593416</v>
      </c>
      <c r="H12" s="9">
        <f t="shared" si="2"/>
        <v>21833713.070000008</v>
      </c>
      <c r="I12" s="9">
        <f t="shared" si="3"/>
        <v>0</v>
      </c>
      <c r="J12" s="9">
        <v>-239882.76</v>
      </c>
      <c r="K12" s="2">
        <f t="shared" si="4"/>
        <v>-5.3138068198390412E-3</v>
      </c>
      <c r="L12" s="9">
        <v>588286.17000000004</v>
      </c>
      <c r="M12" s="9">
        <v>1441783.74</v>
      </c>
      <c r="N12" s="9"/>
      <c r="O12" s="9"/>
      <c r="P12" s="9"/>
      <c r="Q12" s="9">
        <v>1514575.14</v>
      </c>
      <c r="R12" s="9">
        <v>141530.06</v>
      </c>
      <c r="S12" s="9">
        <v>-663945.21</v>
      </c>
      <c r="T12" s="9">
        <v>-48411827.390000001</v>
      </c>
      <c r="U12" s="9">
        <v>-37541607.380000003</v>
      </c>
      <c r="V12" s="9">
        <v>59861503.600000001</v>
      </c>
      <c r="W12" s="9"/>
      <c r="X12" s="9"/>
      <c r="Y12" s="9"/>
      <c r="Z12" s="9"/>
      <c r="AA12" s="9"/>
    </row>
    <row r="13" spans="1:27">
      <c r="A13" t="s">
        <v>77</v>
      </c>
      <c r="B13" s="9">
        <f>SUM(B4:B12)</f>
        <v>870213224.79999995</v>
      </c>
      <c r="C13" s="9">
        <f>SUM(C4:C12)</f>
        <v>840575251.20000005</v>
      </c>
      <c r="D13" s="9">
        <f>SUM(D4:D12)</f>
        <v>900352496.92999995</v>
      </c>
      <c r="E13" s="9">
        <f>SUM(E4:E12)</f>
        <v>243824465.09999993</v>
      </c>
      <c r="F13" s="2">
        <f t="shared" si="0"/>
        <v>0.93360684183825016</v>
      </c>
      <c r="G13" s="2">
        <f t="shared" si="1"/>
        <v>0.27081000600474442</v>
      </c>
      <c r="H13" s="9">
        <f t="shared" si="2"/>
        <v>243824465.10000011</v>
      </c>
      <c r="I13" s="9">
        <f t="shared" si="3"/>
        <v>0</v>
      </c>
      <c r="J13" s="9">
        <f t="shared" ref="J13:V13" si="6">SUM(J4:J12)</f>
        <v>144951197.21000001</v>
      </c>
      <c r="K13" s="2">
        <f t="shared" si="4"/>
        <v>0.16099383042114179</v>
      </c>
      <c r="L13" s="9">
        <f t="shared" si="6"/>
        <v>166876709.69</v>
      </c>
      <c r="M13" s="9">
        <f t="shared" si="6"/>
        <v>128385669.05</v>
      </c>
      <c r="N13" s="9">
        <f t="shared" si="6"/>
        <v>682714.39</v>
      </c>
      <c r="O13" s="9">
        <f t="shared" si="6"/>
        <v>139264.63000000003</v>
      </c>
      <c r="P13" s="9">
        <f t="shared" si="6"/>
        <v>54930.21</v>
      </c>
      <c r="Q13" s="9">
        <f t="shared" si="6"/>
        <v>161526256.98000002</v>
      </c>
      <c r="R13" s="9">
        <f t="shared" si="6"/>
        <v>-12871815.559999999</v>
      </c>
      <c r="S13" s="9">
        <f t="shared" si="6"/>
        <v>-25229941.059999999</v>
      </c>
      <c r="T13" s="9">
        <f t="shared" si="6"/>
        <v>-1058970002.4599999</v>
      </c>
      <c r="U13" s="9">
        <f t="shared" si="6"/>
        <v>-1170145502.4800003</v>
      </c>
      <c r="V13" s="9">
        <f t="shared" si="6"/>
        <v>1008072487.5700001</v>
      </c>
      <c r="W13" s="9"/>
      <c r="X13" s="9"/>
      <c r="Y13" s="9"/>
      <c r="Z13" s="9"/>
      <c r="AA13" s="9"/>
    </row>
    <row r="14" spans="1:27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7" ht="170.1" customHeight="1">
      <c r="A16" s="25" t="s">
        <v>106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>
      <c r="A18" s="14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</sheetData>
  <mergeCells count="1">
    <mergeCell ref="A16:N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3"/>
  <sheetViews>
    <sheetView tabSelected="1" workbookViewId="0">
      <selection activeCell="L20" sqref="L20"/>
    </sheetView>
  </sheetViews>
  <sheetFormatPr defaultColWidth="11" defaultRowHeight="14.25"/>
  <cols>
    <col min="3" max="3" width="15.25" customWidth="1"/>
    <col min="4" max="4" width="16.125" customWidth="1"/>
    <col min="5" max="5" width="17" customWidth="1"/>
    <col min="6" max="6" width="14" bestFit="1" customWidth="1"/>
    <col min="7" max="7" width="15" customWidth="1"/>
  </cols>
  <sheetData>
    <row r="3" spans="2:27">
      <c r="B3" t="s">
        <v>73</v>
      </c>
      <c r="C3" t="s">
        <v>122</v>
      </c>
      <c r="D3" t="s">
        <v>123</v>
      </c>
      <c r="E3" t="s">
        <v>124</v>
      </c>
      <c r="F3" t="s">
        <v>125</v>
      </c>
      <c r="G3" t="s">
        <v>126</v>
      </c>
      <c r="H3" t="s">
        <v>127</v>
      </c>
      <c r="I3" t="s">
        <v>128</v>
      </c>
      <c r="J3" t="s">
        <v>79</v>
      </c>
      <c r="K3" t="s">
        <v>80</v>
      </c>
      <c r="L3" t="s">
        <v>81</v>
      </c>
      <c r="M3" t="s">
        <v>107</v>
      </c>
      <c r="N3" t="s">
        <v>83</v>
      </c>
      <c r="O3" t="s">
        <v>84</v>
      </c>
      <c r="P3" t="s">
        <v>87</v>
      </c>
      <c r="Q3" t="s">
        <v>88</v>
      </c>
      <c r="R3" t="s">
        <v>95</v>
      </c>
      <c r="S3" t="s">
        <v>129</v>
      </c>
      <c r="T3" t="s">
        <v>89</v>
      </c>
      <c r="U3" t="s">
        <v>90</v>
      </c>
      <c r="V3" t="s">
        <v>130</v>
      </c>
      <c r="W3" t="s">
        <v>91</v>
      </c>
      <c r="X3" t="s">
        <v>92</v>
      </c>
      <c r="Y3" t="s">
        <v>93</v>
      </c>
      <c r="Z3" t="s">
        <v>94</v>
      </c>
      <c r="AA3" t="s">
        <v>131</v>
      </c>
    </row>
    <row r="4" spans="2:27">
      <c r="B4">
        <v>2018</v>
      </c>
      <c r="C4" s="24">
        <v>2064843723.9100001</v>
      </c>
      <c r="D4" s="24">
        <v>87977739.159999996</v>
      </c>
      <c r="E4" s="24">
        <v>1067203723.73</v>
      </c>
      <c r="F4" s="24">
        <v>109579422.43000001</v>
      </c>
      <c r="G4" s="9">
        <f>D4+E4</f>
        <v>1155181462.8900001</v>
      </c>
      <c r="H4" s="2">
        <f>C4/((G4+G5)/2)</f>
        <v>2.3569679164884199</v>
      </c>
      <c r="I4" s="1">
        <f>360/H4</f>
        <v>152.73860856636261</v>
      </c>
      <c r="J4" s="9">
        <f>F4+L4+N4+O4+P4+Q4+T4+U4+W4+X4+Y4+Z4+R4+S4+V4+AA4</f>
        <v>1136233797.1900001</v>
      </c>
      <c r="K4" s="9">
        <f>J4-G4</f>
        <v>-18947665.700000048</v>
      </c>
      <c r="L4" s="9">
        <v>1451738988.05</v>
      </c>
      <c r="M4" s="2">
        <f>L4/F4</f>
        <v>13.248281071908181</v>
      </c>
      <c r="N4" s="9">
        <v>230568528.09999999</v>
      </c>
      <c r="O4" s="9">
        <v>75728611.670000002</v>
      </c>
      <c r="P4" s="9">
        <v>9105604.8300000001</v>
      </c>
      <c r="Q4" s="9">
        <v>-11158802.279999999</v>
      </c>
      <c r="R4" s="9">
        <v>-629658.09</v>
      </c>
      <c r="S4" s="9"/>
      <c r="T4" s="9">
        <v>607803022.25999999</v>
      </c>
      <c r="U4" s="11">
        <v>-43194721.909999996</v>
      </c>
      <c r="V4" s="11">
        <v>15028120.73</v>
      </c>
      <c r="W4" s="11">
        <v>-221700582.75999999</v>
      </c>
      <c r="X4" s="9">
        <v>-495185127.86000001</v>
      </c>
      <c r="Y4" s="9">
        <v>-2304139391.8200002</v>
      </c>
      <c r="Z4" s="9">
        <v>1712689783.8399999</v>
      </c>
      <c r="AA4" s="9"/>
    </row>
    <row r="5" spans="2:27">
      <c r="B5">
        <f>B4-1</f>
        <v>2017</v>
      </c>
      <c r="C5" s="24">
        <v>1417765375.6099999</v>
      </c>
      <c r="D5" s="24">
        <v>48182316.329999998</v>
      </c>
      <c r="E5" s="24">
        <v>548754872.42999995</v>
      </c>
      <c r="F5" s="24">
        <v>74093785.310000002</v>
      </c>
      <c r="G5" s="9">
        <f t="shared" ref="G5:G13" si="0">D5+E5</f>
        <v>596937188.75999999</v>
      </c>
      <c r="H5" s="2">
        <f t="shared" ref="H5:H13" si="1">C5/((G5+G6)/2)</f>
        <v>4.542238502235965</v>
      </c>
      <c r="I5" s="1">
        <f t="shared" ref="I5:I13" si="2">360/H5</f>
        <v>79.256076012474068</v>
      </c>
      <c r="J5" s="9">
        <f t="shared" ref="J5:J13" si="3">F5+L5+N5+O5+P5+Q5+T5+U5+W5+X5+Y5+Z5+R5+S5+V5+AA5</f>
        <v>1260015827.8799999</v>
      </c>
      <c r="K5" s="9">
        <f t="shared" ref="K5:K13" si="4">J5-G5</f>
        <v>663078639.11999989</v>
      </c>
      <c r="L5" s="9">
        <v>29956438.440000001</v>
      </c>
      <c r="M5" s="2">
        <f t="shared" ref="M5:M13" si="5">L5/F5</f>
        <v>0.40430433287576895</v>
      </c>
      <c r="N5" s="9">
        <v>197938163.75</v>
      </c>
      <c r="O5" s="9">
        <v>59049996.5</v>
      </c>
      <c r="P5" s="9">
        <v>11177737.220000001</v>
      </c>
      <c r="Q5" s="9">
        <v>238205.34</v>
      </c>
      <c r="R5" s="9"/>
      <c r="S5" s="9">
        <v>-850000</v>
      </c>
      <c r="T5" s="9">
        <v>484728351.18000001</v>
      </c>
      <c r="U5" s="9">
        <v>-51846083.219999999</v>
      </c>
      <c r="V5" s="9">
        <v>4772174.0599999996</v>
      </c>
      <c r="W5" s="9">
        <v>-17777905.27</v>
      </c>
      <c r="X5" s="9">
        <v>8657711.1099999994</v>
      </c>
      <c r="Y5" s="9">
        <v>284052413.99000001</v>
      </c>
      <c r="Z5" s="9">
        <v>174990223.30000001</v>
      </c>
      <c r="AA5" s="9">
        <v>834616.17</v>
      </c>
    </row>
    <row r="6" spans="2:27">
      <c r="B6">
        <f>B5-1</f>
        <v>2016</v>
      </c>
      <c r="C6" s="23">
        <v>773474068.86000001</v>
      </c>
      <c r="D6" s="24">
        <v>21671257.780000001</v>
      </c>
      <c r="E6" s="24">
        <v>5650000</v>
      </c>
      <c r="F6" s="24">
        <v>95727161.140000001</v>
      </c>
      <c r="G6" s="9">
        <f t="shared" si="0"/>
        <v>27321257.780000001</v>
      </c>
      <c r="H6" s="2">
        <f t="shared" si="1"/>
        <v>3.2180674147776229</v>
      </c>
      <c r="I6" s="1">
        <f t="shared" si="2"/>
        <v>111.86838359782371</v>
      </c>
      <c r="J6" s="9">
        <f t="shared" si="3"/>
        <v>-1916899182.8099997</v>
      </c>
      <c r="K6" s="9">
        <f t="shared" si="4"/>
        <v>-1944220440.5899997</v>
      </c>
      <c r="L6" s="9">
        <v>164488091.91</v>
      </c>
      <c r="M6" s="2">
        <f t="shared" si="5"/>
        <v>1.7183011587425834</v>
      </c>
      <c r="N6" s="9">
        <v>181260911.65000001</v>
      </c>
      <c r="O6" s="9">
        <v>56205820.43</v>
      </c>
      <c r="P6" s="9">
        <v>646321.86</v>
      </c>
      <c r="Q6" s="9">
        <v>627516.66</v>
      </c>
      <c r="R6" s="9"/>
      <c r="S6" s="9"/>
      <c r="T6" s="9">
        <v>239765940.99000001</v>
      </c>
      <c r="U6" s="9">
        <v>-25282857.18</v>
      </c>
      <c r="V6" s="9">
        <v>-600825.84</v>
      </c>
      <c r="W6" s="9">
        <v>-13337307.199999999</v>
      </c>
      <c r="X6" s="9">
        <v>-148611570.27000001</v>
      </c>
      <c r="Y6" s="9">
        <v>-2550540994.3600001</v>
      </c>
      <c r="Z6" s="9">
        <v>53077878.520000003</v>
      </c>
      <c r="AA6" s="9">
        <v>29674728.879999999</v>
      </c>
    </row>
    <row r="7" spans="2:27">
      <c r="B7">
        <f t="shared" ref="B7:B11" si="6">B6-1</f>
        <v>2015</v>
      </c>
      <c r="C7" s="23">
        <v>960909015.83000004</v>
      </c>
      <c r="D7" s="24">
        <v>5650000</v>
      </c>
      <c r="E7" s="24">
        <v>447735930.20999998</v>
      </c>
      <c r="F7" s="24">
        <v>76135323.180000007</v>
      </c>
      <c r="G7" s="9">
        <f t="shared" si="0"/>
        <v>453385930.20999998</v>
      </c>
      <c r="H7" s="2">
        <f t="shared" si="1"/>
        <v>2.2837678435850992</v>
      </c>
      <c r="I7" s="1">
        <f t="shared" si="2"/>
        <v>157.63423633939325</v>
      </c>
      <c r="J7" s="9">
        <f t="shared" si="3"/>
        <v>-474868705.03000003</v>
      </c>
      <c r="K7" s="9">
        <f t="shared" si="4"/>
        <v>-928254635.24000001</v>
      </c>
      <c r="L7" s="9">
        <v>70043433.900000006</v>
      </c>
      <c r="M7" s="2">
        <f t="shared" si="5"/>
        <v>0.9199860324281085</v>
      </c>
      <c r="N7" s="9">
        <v>192350081.12</v>
      </c>
      <c r="O7" s="9">
        <v>36626572.689999998</v>
      </c>
      <c r="P7" s="9">
        <v>81615.12</v>
      </c>
      <c r="Q7" s="9">
        <v>98784.22</v>
      </c>
      <c r="R7" s="9"/>
      <c r="S7" s="9"/>
      <c r="T7" s="9">
        <v>328135912.69999999</v>
      </c>
      <c r="U7" s="9">
        <v>1835475.81</v>
      </c>
      <c r="V7" s="9"/>
      <c r="W7" s="9">
        <v>-6806677.5999999996</v>
      </c>
      <c r="X7" s="9">
        <v>-17185568.890000001</v>
      </c>
      <c r="Y7" s="9">
        <v>-1394007182.95</v>
      </c>
      <c r="Z7" s="9">
        <v>223569404.34999999</v>
      </c>
      <c r="AA7" s="9">
        <v>14254121.32</v>
      </c>
    </row>
    <row r="8" spans="2:27">
      <c r="B8">
        <f>B7-1</f>
        <v>2014</v>
      </c>
      <c r="C8" s="9">
        <v>650589189.09000003</v>
      </c>
      <c r="D8" s="9">
        <v>9400000</v>
      </c>
      <c r="E8" s="9">
        <v>378726063.69</v>
      </c>
      <c r="F8" s="9">
        <v>15880211.34</v>
      </c>
      <c r="G8" s="9">
        <f t="shared" si="0"/>
        <v>388126063.69</v>
      </c>
      <c r="H8" s="2">
        <f t="shared" si="1"/>
        <v>1.9104189591132099</v>
      </c>
      <c r="I8" s="1">
        <f t="shared" si="2"/>
        <v>188.44034094338502</v>
      </c>
      <c r="J8" s="9">
        <f t="shared" si="3"/>
        <v>-554650716.37000012</v>
      </c>
      <c r="K8" s="9">
        <f>J8-G8</f>
        <v>-942776780.06000018</v>
      </c>
      <c r="L8" s="9">
        <v>78913357.269999996</v>
      </c>
      <c r="M8" s="2">
        <f t="shared" si="5"/>
        <v>4.9692888577136527</v>
      </c>
      <c r="N8" s="9">
        <v>162964970.91999999</v>
      </c>
      <c r="O8" s="9">
        <v>11364414.529999999</v>
      </c>
      <c r="P8" s="9">
        <v>596315.56000000006</v>
      </c>
      <c r="Q8" s="9">
        <v>2699692.81</v>
      </c>
      <c r="R8" s="9"/>
      <c r="S8" s="9"/>
      <c r="T8" s="9">
        <v>261776452.09999999</v>
      </c>
      <c r="U8" s="9"/>
      <c r="V8" s="9"/>
      <c r="W8" s="9">
        <v>-10538299.060000001</v>
      </c>
      <c r="X8" s="9">
        <v>-34160295.140000001</v>
      </c>
      <c r="Y8" s="9">
        <v>-1116160298.97</v>
      </c>
      <c r="Z8" s="9">
        <v>53092587.509999998</v>
      </c>
      <c r="AA8" s="9">
        <v>18920174.760000002</v>
      </c>
    </row>
    <row r="9" spans="2:27">
      <c r="B9">
        <f t="shared" si="6"/>
        <v>2013</v>
      </c>
      <c r="C9" s="9">
        <v>278305369.32999998</v>
      </c>
      <c r="D9" s="9">
        <v>2227114.88</v>
      </c>
      <c r="E9" s="9">
        <v>290742647.01999998</v>
      </c>
      <c r="F9" s="7">
        <v>5459449.4000000004</v>
      </c>
      <c r="G9" s="9">
        <f t="shared" si="0"/>
        <v>292969761.89999998</v>
      </c>
      <c r="H9" s="2">
        <f t="shared" si="1"/>
        <v>0.96701805040379052</v>
      </c>
      <c r="I9" s="1">
        <f t="shared" si="2"/>
        <v>372.27846972419746</v>
      </c>
      <c r="J9" s="9">
        <f t="shared" si="3"/>
        <v>-428603715.73000002</v>
      </c>
      <c r="K9" s="9">
        <f t="shared" si="4"/>
        <v>-721573477.63</v>
      </c>
      <c r="L9" s="9">
        <v>8659917.5299999993</v>
      </c>
      <c r="M9" s="2">
        <f t="shared" si="5"/>
        <v>1.5862254406094503</v>
      </c>
      <c r="N9" s="9">
        <v>60768544.579999998</v>
      </c>
      <c r="O9" s="9">
        <v>7524731.7300000004</v>
      </c>
      <c r="P9" s="9"/>
      <c r="Q9" s="9">
        <v>33325.85</v>
      </c>
      <c r="R9" s="9"/>
      <c r="S9" s="9"/>
      <c r="T9" s="9">
        <v>143852727.03</v>
      </c>
      <c r="U9" s="9"/>
      <c r="V9" s="9"/>
      <c r="W9" s="9">
        <v>-3154045.81</v>
      </c>
      <c r="X9" s="9">
        <v>-206286137.05000001</v>
      </c>
      <c r="Y9" s="9">
        <v>-288663679.68000001</v>
      </c>
      <c r="Z9" s="9">
        <v>-186871463.80000001</v>
      </c>
      <c r="AA9" s="9">
        <v>30072914.489999998</v>
      </c>
    </row>
    <row r="10" spans="2:27">
      <c r="B10">
        <f>B9-1</f>
        <v>2012</v>
      </c>
      <c r="C10" s="9">
        <v>354518126.98000002</v>
      </c>
      <c r="D10" s="9">
        <v>100000</v>
      </c>
      <c r="E10" s="9">
        <v>282525221.49000001</v>
      </c>
      <c r="F10" s="9">
        <v>2395768.89</v>
      </c>
      <c r="G10" s="9">
        <f t="shared" si="0"/>
        <v>282625221.49000001</v>
      </c>
      <c r="H10" s="2">
        <f t="shared" si="1"/>
        <v>1.5703578136507408</v>
      </c>
      <c r="I10" s="1">
        <f t="shared" si="2"/>
        <v>229.2471160843771</v>
      </c>
      <c r="J10" s="9">
        <f t="shared" si="3"/>
        <v>-150329914.44999999</v>
      </c>
      <c r="K10" s="9">
        <f t="shared" si="4"/>
        <v>-432955135.94</v>
      </c>
      <c r="L10" s="9">
        <v>10385228.449999999</v>
      </c>
      <c r="M10" s="2">
        <f t="shared" si="5"/>
        <v>4.3348206470783577</v>
      </c>
      <c r="N10" s="9">
        <v>33542649.300000001</v>
      </c>
      <c r="O10" s="9">
        <v>6826474.54</v>
      </c>
      <c r="P10" s="9"/>
      <c r="Q10" s="9">
        <v>1065346.58</v>
      </c>
      <c r="R10" s="9"/>
      <c r="S10" s="9"/>
      <c r="T10" s="9">
        <v>58593037.789999999</v>
      </c>
      <c r="U10" s="9"/>
      <c r="V10" s="9">
        <v>-207800.46</v>
      </c>
      <c r="W10" s="9">
        <v>-1998538.88</v>
      </c>
      <c r="X10" s="9">
        <v>-95900005.650000006</v>
      </c>
      <c r="Y10" s="9">
        <v>-236359552.91</v>
      </c>
      <c r="Z10" s="9">
        <v>54937035.93</v>
      </c>
      <c r="AA10" s="9">
        <v>16390441.970000001</v>
      </c>
    </row>
    <row r="11" spans="2:27" ht="15.75">
      <c r="B11">
        <f t="shared" si="6"/>
        <v>2011</v>
      </c>
      <c r="C11" s="9">
        <v>263799046.13</v>
      </c>
      <c r="D11" s="9">
        <v>500000</v>
      </c>
      <c r="E11" s="9">
        <v>168387324.12</v>
      </c>
      <c r="F11" s="9">
        <v>7288648.5999999996</v>
      </c>
      <c r="G11" s="9">
        <f t="shared" si="0"/>
        <v>168887324.12</v>
      </c>
      <c r="H11" s="2">
        <f t="shared" si="1"/>
        <v>2.2252399824388216</v>
      </c>
      <c r="I11" s="1">
        <f t="shared" si="2"/>
        <v>161.78030362614945</v>
      </c>
      <c r="J11" s="9">
        <f t="shared" si="3"/>
        <v>37527446.98999998</v>
      </c>
      <c r="K11" s="9">
        <f t="shared" si="4"/>
        <v>-131359877.13000003</v>
      </c>
      <c r="L11" s="9">
        <v>4212918.57</v>
      </c>
      <c r="M11" s="2">
        <f t="shared" si="5"/>
        <v>0.57801093195794906</v>
      </c>
      <c r="N11" s="9">
        <v>15220897.67</v>
      </c>
      <c r="O11" s="9">
        <v>4153937.85</v>
      </c>
      <c r="P11" s="9"/>
      <c r="Q11" s="9"/>
      <c r="R11" s="9"/>
      <c r="S11" s="9"/>
      <c r="T11" s="22">
        <v>28069059.75</v>
      </c>
      <c r="U11" s="9"/>
      <c r="V11" s="9">
        <v>105433.97</v>
      </c>
      <c r="W11" s="9">
        <v>-1115462.19</v>
      </c>
      <c r="X11" s="9">
        <v>-102470426.26000001</v>
      </c>
      <c r="Y11" s="9">
        <v>-250416750.28</v>
      </c>
      <c r="Z11" s="9">
        <v>332479189.31</v>
      </c>
      <c r="AA11" s="9"/>
    </row>
    <row r="12" spans="2:27">
      <c r="B12">
        <f>B11-1</f>
        <v>2010</v>
      </c>
      <c r="C12" s="9">
        <v>209748467.41999999</v>
      </c>
      <c r="D12" s="9">
        <v>0</v>
      </c>
      <c r="E12" s="9">
        <v>68209841.319999993</v>
      </c>
      <c r="F12" s="9">
        <v>9783790.6500000004</v>
      </c>
      <c r="G12" s="9">
        <f t="shared" si="0"/>
        <v>68209841.319999993</v>
      </c>
      <c r="H12" s="2">
        <f t="shared" si="1"/>
        <v>0.11979281477763797</v>
      </c>
      <c r="I12" s="1">
        <f t="shared" si="2"/>
        <v>3005.1885888835641</v>
      </c>
      <c r="J12" s="9">
        <f t="shared" si="3"/>
        <v>48786848.730000004</v>
      </c>
      <c r="K12" s="9">
        <f t="shared" si="4"/>
        <v>-19422992.589999989</v>
      </c>
      <c r="L12" s="9">
        <v>715772.4</v>
      </c>
      <c r="M12" s="2">
        <f t="shared" si="5"/>
        <v>7.3159006115896402E-2</v>
      </c>
      <c r="N12" s="9">
        <v>13779522.529999999</v>
      </c>
      <c r="O12" s="9">
        <v>1918598.32</v>
      </c>
      <c r="P12" s="9"/>
      <c r="Q12" s="9"/>
      <c r="R12" s="9"/>
      <c r="S12" s="9"/>
      <c r="T12" s="9">
        <v>10976370.67</v>
      </c>
      <c r="U12" s="9"/>
      <c r="V12" s="9">
        <v>83600.850000000006</v>
      </c>
      <c r="W12" s="9">
        <v>-315387.42</v>
      </c>
      <c r="X12" s="9">
        <v>-2251888.34</v>
      </c>
      <c r="Y12" s="9">
        <v>-36766545.869999997</v>
      </c>
      <c r="Z12" s="9">
        <v>50863014.939999998</v>
      </c>
      <c r="AA12" s="9"/>
    </row>
    <row r="13" spans="2:27">
      <c r="B13" t="s">
        <v>77</v>
      </c>
      <c r="C13" s="9">
        <f>SUM(C4:C12)</f>
        <v>6973952383.1600008</v>
      </c>
      <c r="D13" s="9">
        <f>SUM(D4:D12)</f>
        <v>175708428.15000001</v>
      </c>
      <c r="E13" s="9">
        <f>SUM(E4:E12)</f>
        <v>3257935624.0099998</v>
      </c>
      <c r="F13" s="9">
        <f>SUM(F4:F12)</f>
        <v>396343560.93999994</v>
      </c>
      <c r="G13" s="9">
        <f t="shared" si="0"/>
        <v>3433644052.1599998</v>
      </c>
      <c r="H13" s="2">
        <f t="shared" si="1"/>
        <v>4.0621289086577868</v>
      </c>
      <c r="I13" s="1">
        <f t="shared" si="2"/>
        <v>88.623479976895069</v>
      </c>
      <c r="J13" s="9">
        <f t="shared" si="3"/>
        <v>-1042788313.5999998</v>
      </c>
      <c r="K13" s="9">
        <f t="shared" si="4"/>
        <v>-4476432365.7599993</v>
      </c>
      <c r="L13" s="9">
        <f>SUM(L4:L12)</f>
        <v>1819114146.5200002</v>
      </c>
      <c r="M13" s="2">
        <f t="shared" si="5"/>
        <v>4.589740633620095</v>
      </c>
      <c r="N13" s="9">
        <f t="shared" ref="N13:AA13" si="7">SUM(N4:N12)</f>
        <v>1088394269.6199999</v>
      </c>
      <c r="O13" s="9">
        <f t="shared" si="7"/>
        <v>259399158.25999999</v>
      </c>
      <c r="P13" s="9">
        <f t="shared" si="7"/>
        <v>21607594.59</v>
      </c>
      <c r="Q13" s="9">
        <f t="shared" si="7"/>
        <v>-6395930.8199999984</v>
      </c>
      <c r="R13" s="9">
        <f t="shared" si="7"/>
        <v>-629658.09</v>
      </c>
      <c r="S13" s="9">
        <f t="shared" si="7"/>
        <v>-850000</v>
      </c>
      <c r="T13" s="9">
        <f t="shared" si="7"/>
        <v>2163700874.4700003</v>
      </c>
      <c r="U13" s="9">
        <f t="shared" si="7"/>
        <v>-118488186.5</v>
      </c>
      <c r="V13" s="9">
        <f t="shared" si="7"/>
        <v>19180703.309999999</v>
      </c>
      <c r="W13" s="9">
        <f t="shared" si="7"/>
        <v>-276744206.19</v>
      </c>
      <c r="X13" s="9">
        <f t="shared" si="7"/>
        <v>-1093393308.3499999</v>
      </c>
      <c r="Y13" s="9">
        <f t="shared" si="7"/>
        <v>-7893001982.8500004</v>
      </c>
      <c r="Z13" s="9">
        <f t="shared" si="7"/>
        <v>2468827653.9000001</v>
      </c>
      <c r="AA13" s="9">
        <f t="shared" si="7"/>
        <v>110146997.59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A4" sqref="A4"/>
    </sheetView>
  </sheetViews>
  <sheetFormatPr defaultColWidth="11" defaultRowHeight="14.25"/>
  <cols>
    <col min="2" max="4" width="12.375" bestFit="1" customWidth="1"/>
    <col min="5" max="6" width="16.625" customWidth="1"/>
    <col min="7" max="7" width="11.375" bestFit="1" customWidth="1"/>
    <col min="8" max="9" width="12.375" bestFit="1" customWidth="1"/>
    <col min="12" max="12" width="15.125" customWidth="1"/>
  </cols>
  <sheetData>
    <row r="3" spans="1:12" ht="33.950000000000003" customHeight="1">
      <c r="A3" t="s">
        <v>66</v>
      </c>
      <c r="B3" t="s">
        <v>96</v>
      </c>
      <c r="C3" t="s">
        <v>97</v>
      </c>
      <c r="D3" t="s">
        <v>98</v>
      </c>
      <c r="E3" s="15" t="s">
        <v>99</v>
      </c>
      <c r="F3" s="15" t="s">
        <v>105</v>
      </c>
      <c r="G3" t="s">
        <v>100</v>
      </c>
      <c r="H3" t="s">
        <v>101</v>
      </c>
      <c r="I3" t="s">
        <v>102</v>
      </c>
      <c r="J3" t="s">
        <v>103</v>
      </c>
      <c r="K3" t="s">
        <v>104</v>
      </c>
      <c r="L3" t="s">
        <v>77</v>
      </c>
    </row>
    <row r="4" spans="1:1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>
      <c r="F13" s="2"/>
      <c r="L1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I12" sqref="I12"/>
    </sheetView>
  </sheetViews>
  <sheetFormatPr defaultRowHeight="14.25"/>
  <cols>
    <col min="3" max="3" width="15.75" customWidth="1"/>
    <col min="4" max="4" width="14.25" customWidth="1"/>
    <col min="5" max="5" width="16.5" customWidth="1"/>
  </cols>
  <sheetData>
    <row r="3" spans="2:5">
      <c r="B3" t="s">
        <v>132</v>
      </c>
      <c r="C3" t="s">
        <v>1</v>
      </c>
      <c r="D3" t="s">
        <v>28</v>
      </c>
      <c r="E3" t="s">
        <v>134</v>
      </c>
    </row>
    <row r="4" spans="2:5">
      <c r="B4">
        <v>2018</v>
      </c>
      <c r="C4" s="4">
        <v>1102666870.2</v>
      </c>
      <c r="D4" s="4">
        <v>533000000</v>
      </c>
      <c r="E4" s="4">
        <v>920007000</v>
      </c>
    </row>
    <row r="5" spans="2:5">
      <c r="B5">
        <f>B4-1</f>
        <v>2017</v>
      </c>
      <c r="C5" s="4">
        <v>1023554085.41</v>
      </c>
      <c r="D5" s="4">
        <v>277505750</v>
      </c>
      <c r="E5" s="4">
        <v>682755830</v>
      </c>
    </row>
    <row r="6" spans="2:5">
      <c r="B6">
        <f t="shared" ref="B6:B12" si="0">B5-1</f>
        <v>2016</v>
      </c>
      <c r="C6" s="4">
        <v>1476014097.6800001</v>
      </c>
      <c r="D6" s="4">
        <v>395000000</v>
      </c>
      <c r="E6" s="4">
        <v>275409960</v>
      </c>
    </row>
    <row r="7" spans="2:5">
      <c r="B7">
        <f t="shared" si="0"/>
        <v>2015</v>
      </c>
      <c r="C7" s="4">
        <v>354354230.24000001</v>
      </c>
      <c r="D7" s="4">
        <v>402000000</v>
      </c>
      <c r="E7" s="4">
        <v>130549000</v>
      </c>
    </row>
    <row r="8" spans="2:5">
      <c r="B8">
        <f t="shared" si="0"/>
        <v>2014</v>
      </c>
      <c r="C8" s="4">
        <v>223644964.65000001</v>
      </c>
      <c r="D8" s="4">
        <v>20000000</v>
      </c>
      <c r="E8" s="4">
        <v>3000000</v>
      </c>
    </row>
    <row r="9" spans="2:5">
      <c r="B9">
        <f t="shared" si="0"/>
        <v>2013</v>
      </c>
      <c r="C9" s="4">
        <v>212340768.36000001</v>
      </c>
      <c r="D9" s="4">
        <v>4823428.38</v>
      </c>
      <c r="E9" s="4">
        <v>8000000</v>
      </c>
    </row>
    <row r="10" spans="2:5">
      <c r="B10">
        <f t="shared" si="0"/>
        <v>2012</v>
      </c>
      <c r="C10" s="4">
        <v>477513764.62</v>
      </c>
    </row>
    <row r="11" spans="2:5">
      <c r="B11">
        <f t="shared" si="0"/>
        <v>2011</v>
      </c>
      <c r="C11" s="4">
        <v>648642535.57000005</v>
      </c>
      <c r="D11" s="4">
        <v>20000000</v>
      </c>
    </row>
    <row r="12" spans="2:5">
      <c r="B12">
        <f t="shared" si="0"/>
        <v>2010</v>
      </c>
      <c r="C12" s="4">
        <v>76114546.180000007</v>
      </c>
      <c r="D12" s="4">
        <v>50000000</v>
      </c>
    </row>
    <row r="13" spans="2:5">
      <c r="B13" t="s">
        <v>133</v>
      </c>
      <c r="C13" s="4">
        <f>SUM(C4:C12)</f>
        <v>5594845862.9099998</v>
      </c>
      <c r="D13" s="4">
        <f>SUM(D4:D12)</f>
        <v>1702329178.3800001</v>
      </c>
      <c r="E13" s="4">
        <f>SUM(E4:E12)</f>
        <v>2019721790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roe</vt:lpstr>
      <vt:lpstr>估值</vt:lpstr>
      <vt:lpstr>现金流净利润比</vt:lpstr>
      <vt:lpstr>应收账款周转率</vt:lpstr>
      <vt:lpstr>存货</vt:lpstr>
      <vt:lpstr>资产负债表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2019-07-26T14:25:47Z</dcterms:modified>
</cp:coreProperties>
</file>