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002661_克明面业/"/>
    </mc:Choice>
  </mc:AlternateContent>
  <bookViews>
    <workbookView xWindow="1280" yWindow="800" windowWidth="25600" windowHeight="14780" activeTab="2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" l="1"/>
  <c r="B13" i="3"/>
  <c r="B14" i="3"/>
  <c r="C13" i="3"/>
  <c r="C14" i="3"/>
  <c r="D13" i="3"/>
  <c r="D14" i="3"/>
  <c r="E13" i="3"/>
  <c r="E14" i="3"/>
  <c r="F13" i="3"/>
  <c r="F14" i="3"/>
  <c r="G13" i="3"/>
  <c r="G14" i="3"/>
  <c r="H14" i="3"/>
  <c r="J14" i="3"/>
  <c r="L14" i="3"/>
  <c r="B6" i="3"/>
  <c r="B5" i="3"/>
  <c r="U13" i="4"/>
  <c r="H5" i="4"/>
  <c r="H6" i="4"/>
  <c r="H7" i="4"/>
  <c r="H8" i="4"/>
  <c r="H9" i="4"/>
  <c r="H10" i="4"/>
  <c r="H11" i="4"/>
  <c r="H12" i="4"/>
  <c r="H13" i="4"/>
  <c r="S13" i="4"/>
  <c r="W13" i="4"/>
  <c r="D13" i="4"/>
  <c r="J13" i="4"/>
  <c r="L13" i="4"/>
  <c r="M13" i="4"/>
  <c r="N13" i="4"/>
  <c r="O13" i="4"/>
  <c r="P13" i="4"/>
  <c r="R13" i="4"/>
  <c r="T13" i="4"/>
  <c r="V13" i="4"/>
  <c r="X13" i="4"/>
  <c r="Q13" i="4"/>
  <c r="Y13" i="4"/>
  <c r="H4" i="4"/>
  <c r="I8" i="4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H15" i="3"/>
  <c r="K5" i="4"/>
  <c r="K6" i="4"/>
  <c r="K7" i="4"/>
  <c r="K8" i="4"/>
  <c r="K9" i="4"/>
  <c r="K10" i="4"/>
  <c r="K11" i="4"/>
  <c r="K13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E13" i="4"/>
  <c r="I13" i="4"/>
  <c r="I5" i="4"/>
  <c r="I6" i="4"/>
  <c r="I7" i="4"/>
  <c r="I9" i="4"/>
  <c r="I10" i="4"/>
  <c r="I11" i="4"/>
  <c r="B13" i="4"/>
  <c r="C13" i="4"/>
  <c r="F13" i="4"/>
  <c r="G5" i="4"/>
  <c r="G6" i="4"/>
  <c r="G7" i="4"/>
  <c r="G8" i="4"/>
  <c r="G9" i="4"/>
  <c r="G10" i="4"/>
  <c r="G11" i="4"/>
  <c r="G13" i="4"/>
  <c r="G4" i="4"/>
  <c r="F5" i="4"/>
  <c r="F6" i="4"/>
  <c r="F7" i="4"/>
  <c r="F8" i="4"/>
  <c r="F9" i="4"/>
  <c r="F10" i="4"/>
  <c r="F11" i="4"/>
  <c r="F4" i="4"/>
  <c r="A5" i="4"/>
  <c r="A6" i="4"/>
  <c r="A7" i="4"/>
  <c r="A8" i="4"/>
  <c r="A9" i="4"/>
  <c r="A10" i="4"/>
  <c r="A11" i="4"/>
  <c r="A12" i="4"/>
  <c r="D4" i="3"/>
  <c r="E4" i="3"/>
  <c r="F4" i="3"/>
  <c r="G4" i="3"/>
  <c r="H4" i="3"/>
  <c r="I4" i="3"/>
  <c r="J4" i="3"/>
  <c r="K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P68" i="1"/>
  <c r="C68" i="1"/>
  <c r="N68" i="1"/>
  <c r="P69" i="1"/>
  <c r="C69" i="1"/>
  <c r="N69" i="1"/>
  <c r="P70" i="1"/>
  <c r="C70" i="1"/>
  <c r="N70" i="1"/>
  <c r="P71" i="1"/>
  <c r="C71" i="1"/>
  <c r="N71" i="1"/>
  <c r="P72" i="1"/>
  <c r="C72" i="1"/>
  <c r="N72" i="1"/>
  <c r="P73" i="1"/>
  <c r="C73" i="1"/>
  <c r="N73" i="1"/>
  <c r="P74" i="1"/>
  <c r="C74" i="1"/>
  <c r="N74" i="1"/>
  <c r="P75" i="1"/>
  <c r="C75" i="1"/>
  <c r="N75" i="1"/>
  <c r="P76" i="1"/>
  <c r="C76" i="1"/>
  <c r="N76" i="1"/>
</calcChain>
</file>

<file path=xl/sharedStrings.xml><?xml version="1.0" encoding="utf-8"?>
<sst xmlns="http://schemas.openxmlformats.org/spreadsheetml/2006/main" count="142" uniqueCount="124">
  <si>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</si>
  <si>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</si>
  <si>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</si>
  <si>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</si>
  <si>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</si>
  <si>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</si>
  <si>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</si>
  <si>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</si>
  <si>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</si>
  <si>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</si>
  <si>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</si>
  <si>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</si>
  <si>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</si>
  <si>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</si>
  <si>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</si>
  <si>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</si>
  <si>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</si>
  <si>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</si>
  <si>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</si>
  <si>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</si>
  <si>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</si>
  <si>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</si>
  <si>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</si>
  <si>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</si>
  <si>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</si>
  <si>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</si>
  <si>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</si>
  <si>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</si>
  <si>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</si>
  <si>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</si>
  <si>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</si>
  <si>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</si>
  <si>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</si>
  <si>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</si>
  <si>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</si>
  <si>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</si>
  <si>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</si>
  <si>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</si>
  <si>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</si>
  <si>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</si>
  <si>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</si>
  <si>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</si>
  <si>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</si>
  <si>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</si>
  <si>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</si>
  <si>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</si>
  <si>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</si>
  <si>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</si>
  <si>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</si>
  <si>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</si>
  <si>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</si>
  <si>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</si>
  <si>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</si>
  <si>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</si>
  <si>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</si>
  <si>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</si>
  <si>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</si>
  <si>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</si>
  <si>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</si>
  <si>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</si>
  <si>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</si>
  <si>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</si>
  <si>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</si>
  <si>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</si>
  <si>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</si>
  <si>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</si>
  <si>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</si>
  <si>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</si>
  <si>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</si>
  <si>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</si>
  <si>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</si>
  <si>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</si>
  <si>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</si>
  <si>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</si>
  <si>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</si>
  <si>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</si>
  <si>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</si>
  <si>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</si>
  <si>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</si>
  <si>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</si>
  <si>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</si>
  <si>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</si>
  <si>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</si>
  <si>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</si>
  <si>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</si>
  <si>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</si>
  <si>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</si>
  <si>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</si>
  <si>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</si>
  <si>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</si>
  <si>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</si>
  <si>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</si>
  <si>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</si>
  <si>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</si>
  <si>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</si>
  <si>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</si>
  <si>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</si>
  <si>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</si>
  <si>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</si>
  <si>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</si>
  <si>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</si>
  <si>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</si>
  <si>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</si>
  <si>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</si>
  <si>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</si>
  <si>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</si>
  <si>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</si>
  <si>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</si>
  <si>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</si>
  <si>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</si>
  <si>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</si>
  <si>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</si>
  <si>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</si>
  <si>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</si>
  <si>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</si>
  <si>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</si>
  <si>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现利比为80%，占比健康，现金流比净利润大，分析主要原因，近8年累积净利润8.3亿，累积经营活动现金流净额只有6.7亿，差值1.6亿
近9年的差值主要为：资产减值0.6亿+折旧3.2亿+无形资产摊销+0.2亿+财务费用1.1亿+应付增加了1.8亿+其他0.3亿-投资损失0.9亿-存货增加3.7亿-应收增加4.3=1.7亿约等于1.6亿
可以看到，差值的主要原因是：
1. 存货增加3.7亿
2. 应付-应收增加2.5亿
3. 折旧3.2亿
4. 财务费用1.1亿
总结：当前财报暂时未看出大问题，典型的第三方外包项目型公司</t>
    <rPh sb="3" eb="4">
      <t>wei</t>
    </rPh>
    <rPh sb="8" eb="9">
      <t>zhan'bi</t>
    </rPh>
    <rPh sb="10" eb="11">
      <t>jian'kang</t>
    </rPh>
    <rPh sb="13" eb="14">
      <t>xian'jin'liu</t>
    </rPh>
    <rPh sb="16" eb="17">
      <t>bi</t>
    </rPh>
    <rPh sb="17" eb="18">
      <t>jing'li'run</t>
    </rPh>
    <rPh sb="20" eb="21">
      <t>da</t>
    </rPh>
    <rPh sb="22" eb="23">
      <t>fen'xi</t>
    </rPh>
    <rPh sb="24" eb="25">
      <t>zhu'yao</t>
    </rPh>
    <rPh sb="26" eb="27">
      <t>yuan'y</t>
    </rPh>
    <rPh sb="29" eb="30">
      <t>jin</t>
    </rPh>
    <rPh sb="31" eb="32">
      <t>nian</t>
    </rPh>
    <rPh sb="32" eb="33">
      <t>lei'ji</t>
    </rPh>
    <rPh sb="34" eb="35">
      <t>jing'li'run</t>
    </rPh>
    <rPh sb="40" eb="41">
      <t>yi</t>
    </rPh>
    <rPh sb="42" eb="43">
      <t>lei'ji</t>
    </rPh>
    <rPh sb="44" eb="45">
      <t>jing'ying</t>
    </rPh>
    <rPh sb="46" eb="47">
      <t>huo'dong</t>
    </rPh>
    <rPh sb="48" eb="49">
      <t>xian'jin'liu</t>
    </rPh>
    <rPh sb="51" eb="52">
      <t>jing'e</t>
    </rPh>
    <rPh sb="53" eb="54">
      <t>zhi'you</t>
    </rPh>
    <rPh sb="58" eb="59">
      <t>yi</t>
    </rPh>
    <rPh sb="60" eb="61">
      <t>cha'zhi</t>
    </rPh>
    <rPh sb="65" eb="66">
      <t>yi</t>
    </rPh>
    <rPh sb="84" eb="85">
      <t>yi</t>
    </rPh>
    <rPh sb="124" eb="125">
      <t>qi'ta</t>
    </rPh>
    <rPh sb="129" eb="130">
      <t>yi</t>
    </rPh>
    <rPh sb="131" eb="132">
      <t>tou'zi</t>
    </rPh>
    <rPh sb="133" eb="134">
      <t>sun'shi</t>
    </rPh>
    <rPh sb="138" eb="139">
      <t>yi</t>
    </rPh>
    <rPh sb="140" eb="141">
      <t>cun'huo</t>
    </rPh>
    <rPh sb="142" eb="143">
      <t>zeng'jia</t>
    </rPh>
    <rPh sb="147" eb="148">
      <t>yi</t>
    </rPh>
    <rPh sb="149" eb="150">
      <t>ying'shou</t>
    </rPh>
    <rPh sb="151" eb="152">
      <t>zeng'jia</t>
    </rPh>
    <rPh sb="187" eb="188">
      <t>cun'huo</t>
    </rPh>
    <rPh sb="189" eb="190">
      <t>zeng'jia</t>
    </rPh>
    <rPh sb="194" eb="195">
      <t>yi</t>
    </rPh>
    <rPh sb="199" eb="200">
      <t>ying'fu</t>
    </rPh>
    <rPh sb="202" eb="203">
      <t>ying'shou</t>
    </rPh>
    <rPh sb="204" eb="205">
      <t>zeng'jia</t>
    </rPh>
    <rPh sb="209" eb="210">
      <t>yi</t>
    </rPh>
    <rPh sb="214" eb="215">
      <t>zhe'jiu</t>
    </rPh>
    <rPh sb="219" eb="220">
      <t>yi</t>
    </rPh>
    <rPh sb="224" eb="225">
      <t>cai'wu</t>
    </rPh>
    <rPh sb="226" eb="227">
      <t>fei'yong</t>
    </rPh>
    <rPh sb="231" eb="232">
      <t>yi</t>
    </rPh>
    <rPh sb="235" eb="236">
      <t>zong'jie</t>
    </rPh>
    <rPh sb="238" eb="239">
      <t>dang'qian</t>
    </rPh>
    <rPh sb="240" eb="241">
      <t>cai'bao</t>
    </rPh>
    <rPh sb="242" eb="243">
      <t>zan'shi</t>
    </rPh>
    <rPh sb="244" eb="245">
      <t>wei</t>
    </rPh>
    <rPh sb="245" eb="246">
      <t>kan'chu</t>
    </rPh>
    <rPh sb="247" eb="248">
      <t>da'wen'ti</t>
    </rPh>
    <rPh sb="251" eb="252">
      <t>dian'xing</t>
    </rPh>
    <rPh sb="253" eb="254">
      <t>de</t>
    </rPh>
    <rPh sb="254" eb="255">
      <t>di'san'fang</t>
    </rPh>
    <rPh sb="257" eb="258">
      <t>wai'bao</t>
    </rPh>
    <rPh sb="259" eb="260">
      <t>xiang'mu'xing</t>
    </rPh>
    <rPh sb="262" eb="263">
      <t>gong'si</t>
    </rPh>
    <phoneticPr fontId="2" type="noConversion"/>
  </si>
  <si>
    <t>近5年符合增长</t>
    <rPh sb="0" eb="1">
      <t>jin</t>
    </rPh>
    <rPh sb="2" eb="3">
      <t>nian</t>
    </rPh>
    <rPh sb="3" eb="4">
      <t>fu'he</t>
    </rPh>
    <rPh sb="5" eb="6">
      <t>zeng'zhang</t>
    </rPh>
    <phoneticPr fontId="2" type="noConversion"/>
  </si>
  <si>
    <t>符合增长率</t>
    <rPh sb="0" eb="1">
      <t>fu'he</t>
    </rPh>
    <rPh sb="2" eb="3">
      <t>zeng'zhang'l</t>
    </rPh>
    <phoneticPr fontId="2" type="noConversion"/>
  </si>
  <si>
    <t>股本</t>
    <rPh sb="0" eb="1">
      <t>gu'ben</t>
    </rPh>
    <phoneticPr fontId="2" type="noConversion"/>
  </si>
  <si>
    <t>目标价格</t>
    <rPh sb="0" eb="1">
      <t>mu'biao</t>
    </rPh>
    <rPh sb="2" eb="3">
      <t>jia'ge</t>
    </rPh>
    <phoneticPr fontId="2" type="noConversion"/>
  </si>
  <si>
    <t>预期涨幅</t>
    <rPh sb="0" eb="1">
      <t>yu'qi</t>
    </rPh>
    <rPh sb="2" eb="3">
      <t>zhang'fu</t>
    </rPh>
    <phoneticPr fontId="2" type="noConversion"/>
  </si>
  <si>
    <t>现金流折扣</t>
    <rPh sb="0" eb="1">
      <t>xian'jin'liu</t>
    </rPh>
    <rPh sb="3" eb="4">
      <t>zhe'kou</t>
    </rPh>
    <phoneticPr fontId="2" type="noConversion"/>
  </si>
  <si>
    <t>成本</t>
    <rPh sb="0" eb="1">
      <t>cheng'ben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</si>
</sst>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D10" sqref="D10"/>
    </sheetView>
  </sheetViews>
  <sheetFormatPr baseColWidth="10" defaultRowHeight="15" x14ac:dyDescent="0.2"/>
  <cols>
    <col min="1" max="1" width="17.83203125" customWidth="1"/>
    <col min="2" max="2" width="15.1640625" bestFit="1" customWidth="1"/>
    <col min="3" max="4" width="14.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3.33203125" customWidth="1"/>
    <col min="10" max="10" width="16.83203125" customWidth="1"/>
    <col min="11" max="11" width="16.33203125" customWidth="1"/>
  </cols>
  <sheetData>
    <row r="1" spans="1:12" ht="15" customHeight="1" x14ac:dyDescent="0.2"/>
    <row r="2" spans="1:12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2" ht="21" x14ac:dyDescent="0.3">
      <c r="A3" s="10" t="s">
        <v>51</v>
      </c>
      <c r="B3" s="10"/>
      <c r="C3" s="9"/>
      <c r="D3" s="9">
        <v>65720196.159999996</v>
      </c>
      <c r="E3" s="9">
        <v>80408998.359999999</v>
      </c>
      <c r="F3" s="9">
        <v>87132277.099999994</v>
      </c>
      <c r="G3" s="9">
        <v>65799710.090000004</v>
      </c>
      <c r="H3" s="9">
        <v>106024557.31</v>
      </c>
      <c r="I3" s="9">
        <v>137062829.18000001</v>
      </c>
      <c r="J3" s="9">
        <v>112675192.73999999</v>
      </c>
      <c r="K3" s="9">
        <v>185909492.16</v>
      </c>
    </row>
    <row r="4" spans="1:12" x14ac:dyDescent="0.2">
      <c r="A4" t="s">
        <v>69</v>
      </c>
      <c r="C4" s="2"/>
      <c r="D4" s="2" t="e">
        <f t="shared" ref="D4:K4" si="0">(D3-C3)/C3</f>
        <v>#DIV/0!</v>
      </c>
      <c r="E4" s="2">
        <f t="shared" si="0"/>
        <v>0.22350514846667804</v>
      </c>
      <c r="F4" s="2">
        <f t="shared" si="0"/>
        <v>8.3613511884567074E-2</v>
      </c>
      <c r="G4" s="2">
        <f t="shared" si="0"/>
        <v>-0.24482967414609197</v>
      </c>
      <c r="H4" s="2">
        <f t="shared" si="0"/>
        <v>0.61132256000795393</v>
      </c>
      <c r="I4" s="2">
        <f t="shared" si="0"/>
        <v>0.29274606428441596</v>
      </c>
      <c r="J4" s="2">
        <f t="shared" si="0"/>
        <v>-0.1779303446886577</v>
      </c>
      <c r="K4" s="2">
        <f t="shared" si="0"/>
        <v>0.64995938892236416</v>
      </c>
    </row>
    <row r="5" spans="1:12" x14ac:dyDescent="0.2">
      <c r="A5" t="s">
        <v>118</v>
      </c>
      <c r="B5" s="2">
        <f>(K3/D3)^(1/7)-1</f>
        <v>0.16015141311706582</v>
      </c>
    </row>
    <row r="6" spans="1:12" x14ac:dyDescent="0.2">
      <c r="A6" t="s">
        <v>117</v>
      </c>
      <c r="B6" s="2">
        <f>(K3/G3)^(1/4)-1</f>
        <v>0.29649067094244552</v>
      </c>
    </row>
    <row r="8" spans="1:12" x14ac:dyDescent="0.2">
      <c r="A8" s="16" t="s">
        <v>109</v>
      </c>
      <c r="B8" s="16" t="s">
        <v>70</v>
      </c>
      <c r="C8" s="16" t="s">
        <v>71</v>
      </c>
      <c r="D8" s="16" t="s">
        <v>72</v>
      </c>
      <c r="E8" s="16" t="s">
        <v>106</v>
      </c>
      <c r="F8" s="16" t="s">
        <v>122</v>
      </c>
    </row>
    <row r="9" spans="1:12" x14ac:dyDescent="0.2">
      <c r="A9" s="17">
        <f>K3*F9</f>
        <v>148727593.72800002</v>
      </c>
      <c r="B9" s="16">
        <v>0.05</v>
      </c>
      <c r="C9" s="16">
        <v>20</v>
      </c>
      <c r="D9" s="16">
        <v>0.15</v>
      </c>
      <c r="E9" s="16">
        <v>0.7</v>
      </c>
      <c r="F9" s="16">
        <v>0.8</v>
      </c>
    </row>
    <row r="10" spans="1:12" x14ac:dyDescent="0.2">
      <c r="A10" s="1"/>
    </row>
    <row r="11" spans="1:12" x14ac:dyDescent="0.2">
      <c r="A11" s="16"/>
      <c r="B11" s="18"/>
      <c r="C11" s="18"/>
      <c r="D11" s="18"/>
      <c r="E11" s="18"/>
      <c r="F11" s="18"/>
      <c r="G11" s="16"/>
      <c r="H11" s="16"/>
    </row>
    <row r="12" spans="1:12" x14ac:dyDescent="0.2">
      <c r="A12" s="16" t="s">
        <v>66</v>
      </c>
      <c r="B12" s="16">
        <v>2019</v>
      </c>
      <c r="C12" s="16">
        <v>2020</v>
      </c>
      <c r="D12" s="16">
        <v>2021</v>
      </c>
      <c r="E12" s="16">
        <v>2022</v>
      </c>
      <c r="F12" s="16">
        <v>2023</v>
      </c>
      <c r="G12" s="16"/>
      <c r="H12" s="16" t="s">
        <v>112</v>
      </c>
      <c r="I12" t="s">
        <v>119</v>
      </c>
      <c r="J12" t="s">
        <v>120</v>
      </c>
      <c r="K12" s="16" t="s">
        <v>123</v>
      </c>
      <c r="L12" s="16" t="s">
        <v>121</v>
      </c>
    </row>
    <row r="13" spans="1:12" x14ac:dyDescent="0.2">
      <c r="A13" s="16" t="s">
        <v>110</v>
      </c>
      <c r="B13" s="19">
        <f>A9*(1+D9)</f>
        <v>171036732.7872</v>
      </c>
      <c r="C13" s="19">
        <f>B13*(1+D9)</f>
        <v>196692242.70527998</v>
      </c>
      <c r="D13" s="19">
        <f>C13*(1+D9)</f>
        <v>226196079.11107194</v>
      </c>
      <c r="E13" s="19">
        <f>D13*(1+D9)</f>
        <v>260125490.97773272</v>
      </c>
      <c r="F13" s="19">
        <f>E13*(1+D9)</f>
        <v>299144314.62439263</v>
      </c>
      <c r="G13" s="19">
        <f>F13*C9</f>
        <v>5982886292.4878521</v>
      </c>
      <c r="H13" s="16"/>
    </row>
    <row r="14" spans="1:12" x14ac:dyDescent="0.2">
      <c r="A14" s="16" t="s">
        <v>111</v>
      </c>
      <c r="B14" s="17">
        <f>B13/(1+B9)</f>
        <v>162892126.46399999</v>
      </c>
      <c r="C14" s="17">
        <f>C13/(1+B9)^2</f>
        <v>178405662.31771424</v>
      </c>
      <c r="D14" s="17">
        <f>D13/(1+B9)^3</f>
        <v>195396677.77654415</v>
      </c>
      <c r="E14" s="17">
        <f>E13/(1+B9)^4</f>
        <v>214005885.18383408</v>
      </c>
      <c r="F14" s="17">
        <f>F13/(1+B9)^5</f>
        <v>234387398.05848491</v>
      </c>
      <c r="G14" s="17">
        <f>G13/(1+B9)^4</f>
        <v>4922135359.2281837</v>
      </c>
      <c r="H14" s="17">
        <f>SUM(B14:G14)</f>
        <v>5907223109.0287609</v>
      </c>
      <c r="I14" s="20">
        <v>331930298</v>
      </c>
      <c r="J14">
        <f>H14/I14</f>
        <v>17.796577006142297</v>
      </c>
      <c r="K14">
        <v>13.47</v>
      </c>
      <c r="L14" s="2">
        <f>J14/K14</f>
        <v>1.3212009655636447</v>
      </c>
    </row>
    <row r="15" spans="1:12" x14ac:dyDescent="0.2">
      <c r="A15" s="16"/>
      <c r="B15" s="17"/>
      <c r="C15" s="17"/>
      <c r="D15" s="17"/>
      <c r="E15" s="17"/>
      <c r="F15" s="17"/>
      <c r="G15" s="17" t="s">
        <v>113</v>
      </c>
      <c r="H15" s="17">
        <f>H14*E9</f>
        <v>4135056176.3201323</v>
      </c>
    </row>
    <row r="17" spans="11:11" x14ac:dyDescent="0.2">
      <c r="K17" s="9"/>
    </row>
    <row r="18" spans="11:11" x14ac:dyDescent="0.2">
      <c r="K18" s="9"/>
    </row>
    <row r="19" spans="11:11" x14ac:dyDescent="0.2">
      <c r="K19" s="9"/>
    </row>
    <row r="20" spans="11:11" x14ac:dyDescent="0.2">
      <c r="K20" s="9"/>
    </row>
    <row r="21" spans="11:11" x14ac:dyDescent="0.2">
      <c r="K21" s="9"/>
    </row>
    <row r="22" spans="11:11" x14ac:dyDescent="0.2">
      <c r="K22" s="9"/>
    </row>
    <row r="23" spans="11:11" x14ac:dyDescent="0.2">
      <c r="K23" s="9"/>
    </row>
    <row r="24" spans="11:11" x14ac:dyDescent="0.2">
      <c r="K24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topLeftCell="A2" workbookViewId="0">
      <selection activeCell="A4" sqref="A4:B11"/>
    </sheetView>
  </sheetViews>
  <sheetFormatPr baseColWidth="10" defaultRowHeight="15" x14ac:dyDescent="0.2"/>
  <cols>
    <col min="2" max="2" width="14" customWidth="1"/>
    <col min="3" max="3" width="13.6640625" bestFit="1" customWidth="1"/>
    <col min="4" max="4" width="15.1640625" bestFit="1" customWidth="1"/>
    <col min="5" max="5" width="14.83203125" customWidth="1"/>
    <col min="8" max="8" width="15.5" customWidth="1"/>
    <col min="9" max="9" width="16.1640625" customWidth="1"/>
    <col min="10" max="10" width="14.1640625" customWidth="1"/>
    <col min="11" max="11" width="16.6640625" customWidth="1"/>
    <col min="12" max="12" width="15" customWidth="1"/>
    <col min="13" max="13" width="14.5" customWidth="1"/>
    <col min="14" max="21" width="17.83203125" customWidth="1"/>
    <col min="22" max="22" width="15.6640625" customWidth="1"/>
    <col min="23" max="23" width="16.1640625" customWidth="1"/>
    <col min="24" max="26" width="15.1640625" bestFit="1" customWidth="1"/>
    <col min="27" max="27" width="13.6640625" bestFit="1" customWidth="1"/>
    <col min="28" max="28" width="14.6640625" customWidth="1"/>
    <col min="29" max="29" width="18.1640625" customWidth="1"/>
  </cols>
  <sheetData>
    <row r="2" spans="1:29" x14ac:dyDescent="0.2">
      <c r="J2" t="s">
        <v>82</v>
      </c>
      <c r="L2" t="s">
        <v>82</v>
      </c>
      <c r="AA2" t="s">
        <v>82</v>
      </c>
      <c r="AC2" t="s">
        <v>82</v>
      </c>
    </row>
    <row r="3" spans="1:29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90</v>
      </c>
      <c r="U3" t="s">
        <v>114</v>
      </c>
      <c r="V3" t="s">
        <v>91</v>
      </c>
      <c r="W3" t="s">
        <v>92</v>
      </c>
      <c r="X3" t="s">
        <v>93</v>
      </c>
      <c r="Y3" t="s">
        <v>115</v>
      </c>
    </row>
    <row r="4" spans="1:29" x14ac:dyDescent="0.2">
      <c r="A4">
        <v>2018</v>
      </c>
      <c r="B4" s="9">
        <v>185909492.16</v>
      </c>
      <c r="C4" s="9">
        <v>134086235.09</v>
      </c>
      <c r="D4" s="9">
        <v>184962246.08000001</v>
      </c>
      <c r="E4" s="9">
        <v>223198666.34999999</v>
      </c>
      <c r="F4" s="2">
        <f t="shared" ref="F4:F13" si="0">C4/D4</f>
        <v>0.72493840192665548</v>
      </c>
      <c r="G4" s="2">
        <f t="shared" ref="G4:G13" si="1">E4/D4</f>
        <v>1.2067255403757475</v>
      </c>
      <c r="H4" s="9">
        <f>D4+J4+L4+M4+N4+O4+R4+S4+T4+V4+W4+X4+P4+Q4+U4+Y4</f>
        <v>223198666.35000008</v>
      </c>
      <c r="I4" s="9">
        <f>H4-E4</f>
        <v>0</v>
      </c>
      <c r="J4" s="9">
        <v>7920827.5700000003</v>
      </c>
      <c r="K4" s="2">
        <f>J4/D4</f>
        <v>4.2824023485171551E-2</v>
      </c>
      <c r="L4" s="9">
        <v>80234987.400000006</v>
      </c>
      <c r="M4" s="9">
        <v>4746389.88</v>
      </c>
      <c r="N4" s="9">
        <v>1796686.87</v>
      </c>
      <c r="O4" s="9">
        <v>-3112.32</v>
      </c>
      <c r="P4" s="9">
        <v>1172128.96</v>
      </c>
      <c r="Q4" s="9"/>
      <c r="R4" s="9">
        <v>43787340.039999999</v>
      </c>
      <c r="S4" s="11">
        <v>-27315964.379999999</v>
      </c>
      <c r="T4" s="11">
        <v>688323.81</v>
      </c>
      <c r="U4" s="11">
        <v>-1905077.66</v>
      </c>
      <c r="V4" s="9">
        <v>-156015831.34999999</v>
      </c>
      <c r="W4" s="9">
        <v>18059496.16</v>
      </c>
      <c r="X4" s="9">
        <v>56376717.670000002</v>
      </c>
      <c r="Y4" s="9">
        <v>8693507.6199999992</v>
      </c>
      <c r="Z4" s="9"/>
      <c r="AA4" s="9"/>
      <c r="AB4" s="9"/>
      <c r="AC4" s="9"/>
    </row>
    <row r="5" spans="1:29" x14ac:dyDescent="0.2">
      <c r="A5">
        <f>A4-1</f>
        <v>2017</v>
      </c>
      <c r="B5" s="9">
        <v>112675192.73999999</v>
      </c>
      <c r="C5" s="9">
        <v>76779530.319999993</v>
      </c>
      <c r="D5" s="9">
        <v>112235359.65000001</v>
      </c>
      <c r="E5" s="9">
        <v>-21943972.870000001</v>
      </c>
      <c r="F5" s="2">
        <f t="shared" si="0"/>
        <v>0.68409394828361458</v>
      </c>
      <c r="G5" s="2">
        <f t="shared" si="1"/>
        <v>-0.1955174638227303</v>
      </c>
      <c r="H5" s="9">
        <f t="shared" ref="H5:H13" si="2">D5+J5+L5+M5+N5+O5+R5+S5+T5+V5+W5+X5+P5+Q5+U5+Y5</f>
        <v>-21943972.870000005</v>
      </c>
      <c r="I5" s="9">
        <f t="shared" ref="I5:I13" si="3">H5-E5</f>
        <v>0</v>
      </c>
      <c r="J5" s="9">
        <v>28509119.100000001</v>
      </c>
      <c r="K5" s="2">
        <f t="shared" ref="K5:K13" si="4">J5/D5</f>
        <v>0.25401191913942428</v>
      </c>
      <c r="L5" s="9">
        <v>72340263.090000004</v>
      </c>
      <c r="M5" s="9">
        <v>3795765.79</v>
      </c>
      <c r="N5" s="9">
        <v>1809195.34</v>
      </c>
      <c r="O5" s="9">
        <v>-138697.71</v>
      </c>
      <c r="P5" s="9">
        <v>1784952.14</v>
      </c>
      <c r="Q5" s="9"/>
      <c r="R5" s="9">
        <v>16905618.68</v>
      </c>
      <c r="S5" s="9">
        <v>-21821766.399999999</v>
      </c>
      <c r="T5" s="9">
        <v>-585552.47</v>
      </c>
      <c r="U5" s="9">
        <v>-495064.06</v>
      </c>
      <c r="V5" s="9">
        <v>-93751333.840000004</v>
      </c>
      <c r="W5" s="9">
        <v>-71714825.849999994</v>
      </c>
      <c r="X5" s="9">
        <v>-70890900.450000003</v>
      </c>
      <c r="Y5" s="9">
        <v>73894.12</v>
      </c>
      <c r="Z5" s="9"/>
      <c r="AA5" s="9"/>
      <c r="AB5" s="9"/>
      <c r="AC5" s="9"/>
    </row>
    <row r="6" spans="1:29" x14ac:dyDescent="0.2">
      <c r="A6">
        <f>A5-1</f>
        <v>2016</v>
      </c>
      <c r="B6" s="9">
        <v>137062829.18000001</v>
      </c>
      <c r="C6" s="9">
        <v>113605347.55</v>
      </c>
      <c r="D6" s="9">
        <v>136991699</v>
      </c>
      <c r="E6" s="9">
        <v>27168564.59</v>
      </c>
      <c r="F6" s="2">
        <f t="shared" si="0"/>
        <v>0.82928636099330366</v>
      </c>
      <c r="G6" s="2">
        <f t="shared" si="1"/>
        <v>0.19832270705687066</v>
      </c>
      <c r="H6" s="9">
        <f t="shared" si="2"/>
        <v>27168564.590000015</v>
      </c>
      <c r="I6" s="9">
        <f t="shared" si="3"/>
        <v>0</v>
      </c>
      <c r="J6" s="9">
        <v>8542589.5700000003</v>
      </c>
      <c r="K6" s="2">
        <f t="shared" si="4"/>
        <v>6.2358446769829462E-2</v>
      </c>
      <c r="L6" s="9">
        <v>51277461.670000002</v>
      </c>
      <c r="M6" s="9">
        <v>3433312.32</v>
      </c>
      <c r="N6" s="9">
        <v>1496254.17</v>
      </c>
      <c r="O6" s="9">
        <v>2215117.12</v>
      </c>
      <c r="P6" s="9"/>
      <c r="Q6" s="9"/>
      <c r="R6" s="9">
        <v>3445973.66</v>
      </c>
      <c r="S6" s="9">
        <v>-19714587.199999999</v>
      </c>
      <c r="T6" s="9">
        <v>500682.36</v>
      </c>
      <c r="U6" s="9">
        <v>142285.06</v>
      </c>
      <c r="V6" s="9">
        <v>-116544791.58</v>
      </c>
      <c r="W6" s="9">
        <v>-42953223.390000001</v>
      </c>
      <c r="X6" s="9">
        <v>-3333287.67</v>
      </c>
      <c r="Y6" s="9">
        <v>1669079.5</v>
      </c>
      <c r="Z6" s="9"/>
      <c r="AA6" s="9"/>
      <c r="AB6" s="9"/>
      <c r="AC6" s="9"/>
    </row>
    <row r="7" spans="1:29" x14ac:dyDescent="0.2">
      <c r="A7">
        <f t="shared" ref="A7:A12" si="5">A6-1</f>
        <v>2015</v>
      </c>
      <c r="B7" s="9">
        <v>106024557.31</v>
      </c>
      <c r="C7" s="9">
        <v>93969173.829999998</v>
      </c>
      <c r="D7" s="9">
        <v>105875400.89</v>
      </c>
      <c r="E7" s="9">
        <v>142106431.84999999</v>
      </c>
      <c r="F7" s="2">
        <f t="shared" si="0"/>
        <v>0.88754491638364552</v>
      </c>
      <c r="G7" s="2">
        <f t="shared" si="1"/>
        <v>1.3422044276143283</v>
      </c>
      <c r="H7" s="9">
        <f t="shared" si="2"/>
        <v>142106431.85000002</v>
      </c>
      <c r="I7" s="9">
        <f t="shared" si="3"/>
        <v>0</v>
      </c>
      <c r="J7" s="9">
        <v>5166253.8</v>
      </c>
      <c r="K7" s="2">
        <f t="shared" si="4"/>
        <v>4.8795600834300651E-2</v>
      </c>
      <c r="L7" s="9">
        <v>37563860.890000001</v>
      </c>
      <c r="M7" s="9">
        <v>2655311.38</v>
      </c>
      <c r="N7" s="9">
        <v>1062689.58</v>
      </c>
      <c r="O7" s="9">
        <v>511668.69</v>
      </c>
      <c r="P7" s="9"/>
      <c r="Q7" s="9"/>
      <c r="R7" s="9">
        <v>7152188.4100000001</v>
      </c>
      <c r="S7" s="9">
        <v>-3700845.23</v>
      </c>
      <c r="T7" s="9">
        <v>-2521301.39</v>
      </c>
      <c r="U7" s="9">
        <v>1418630.47</v>
      </c>
      <c r="V7" s="9">
        <v>1699729.27</v>
      </c>
      <c r="W7" s="9">
        <v>-138506880.84</v>
      </c>
      <c r="X7" s="9">
        <v>107509463.01000001</v>
      </c>
      <c r="Y7" s="9">
        <v>16220262.92</v>
      </c>
      <c r="Z7" s="9"/>
      <c r="AA7" s="9"/>
      <c r="AB7" s="9"/>
      <c r="AC7" s="9"/>
    </row>
    <row r="8" spans="1:29" x14ac:dyDescent="0.2">
      <c r="A8">
        <f>A7-1</f>
        <v>2014</v>
      </c>
      <c r="B8" s="9">
        <v>65799710.090000004</v>
      </c>
      <c r="C8" s="9">
        <v>46177827.479999997</v>
      </c>
      <c r="D8" s="9">
        <v>65664226.079999998</v>
      </c>
      <c r="E8" s="9">
        <v>61327374.520000003</v>
      </c>
      <c r="F8" s="2">
        <f t="shared" si="0"/>
        <v>0.70324178379473556</v>
      </c>
      <c r="G8" s="2">
        <f t="shared" si="1"/>
        <v>0.93395412054782578</v>
      </c>
      <c r="H8" s="9">
        <f t="shared" si="2"/>
        <v>61327374.520000011</v>
      </c>
      <c r="I8" s="9">
        <f>H8-E8</f>
        <v>0</v>
      </c>
      <c r="J8" s="9">
        <v>1999957.62</v>
      </c>
      <c r="K8" s="2">
        <f t="shared" si="4"/>
        <v>3.0457339397610701E-2</v>
      </c>
      <c r="L8" s="9">
        <v>32409390.280000001</v>
      </c>
      <c r="M8" s="9">
        <v>2041642.6</v>
      </c>
      <c r="N8" s="9">
        <v>418141.81</v>
      </c>
      <c r="O8" s="9">
        <v>69322.98</v>
      </c>
      <c r="P8" s="9"/>
      <c r="Q8" s="9"/>
      <c r="R8" s="9">
        <v>7712061.0899999999</v>
      </c>
      <c r="S8" s="9">
        <v>-15091776.609999999</v>
      </c>
      <c r="T8" s="9">
        <v>-2440948.5699999998</v>
      </c>
      <c r="U8" s="9">
        <v>430916.45</v>
      </c>
      <c r="V8" s="9">
        <v>-538248.9</v>
      </c>
      <c r="W8" s="9">
        <v>-70409147.609999999</v>
      </c>
      <c r="X8" s="9">
        <v>33908356.979999997</v>
      </c>
      <c r="Y8" s="9">
        <v>5153480.32</v>
      </c>
      <c r="Z8" s="9"/>
      <c r="AA8" s="9"/>
      <c r="AB8" s="9"/>
      <c r="AC8" s="9"/>
    </row>
    <row r="9" spans="1:29" x14ac:dyDescent="0.2">
      <c r="A9">
        <f t="shared" si="5"/>
        <v>2013</v>
      </c>
      <c r="B9" s="9">
        <v>87132277.099999994</v>
      </c>
      <c r="C9" s="9">
        <v>78230400.459999993</v>
      </c>
      <c r="D9" s="7">
        <v>87064847.150000006</v>
      </c>
      <c r="E9" s="9">
        <v>57994293.539999999</v>
      </c>
      <c r="F9" s="2">
        <f t="shared" si="0"/>
        <v>0.89853026819446946</v>
      </c>
      <c r="G9" s="2">
        <f t="shared" si="1"/>
        <v>0.66610458110704895</v>
      </c>
      <c r="H9" s="9">
        <f t="shared" si="2"/>
        <v>57994293.540000021</v>
      </c>
      <c r="I9" s="9">
        <f t="shared" si="3"/>
        <v>0</v>
      </c>
      <c r="J9" s="9">
        <v>7730727.8200000003</v>
      </c>
      <c r="K9" s="2">
        <f t="shared" si="4"/>
        <v>8.8792757043277021E-2</v>
      </c>
      <c r="L9" s="9">
        <v>19479387.98</v>
      </c>
      <c r="M9" s="9">
        <v>1310284.27</v>
      </c>
      <c r="N9" s="9">
        <v>409159.79</v>
      </c>
      <c r="O9" s="9">
        <v>293285.78000000003</v>
      </c>
      <c r="P9" s="9"/>
      <c r="Q9" s="9"/>
      <c r="R9" s="9">
        <v>8535557.1500000004</v>
      </c>
      <c r="S9" s="9">
        <v>-3455359.38</v>
      </c>
      <c r="T9" s="9">
        <v>-4508541</v>
      </c>
      <c r="U9" s="9"/>
      <c r="V9" s="9">
        <v>-26612358.850000001</v>
      </c>
      <c r="W9" s="9">
        <v>-89426460.569999993</v>
      </c>
      <c r="X9" s="9">
        <v>57261805.060000002</v>
      </c>
      <c r="Y9" s="9">
        <v>-88041.66</v>
      </c>
      <c r="Z9" s="9"/>
      <c r="AA9" s="9"/>
      <c r="AB9" s="9"/>
      <c r="AC9" s="9"/>
    </row>
    <row r="10" spans="1:29" x14ac:dyDescent="0.2">
      <c r="A10">
        <f>A9-1</f>
        <v>2012</v>
      </c>
      <c r="B10" s="9">
        <v>80408998.359999999</v>
      </c>
      <c r="C10" s="9">
        <v>73596634.219999999</v>
      </c>
      <c r="D10" s="9">
        <v>80170942.430000007</v>
      </c>
      <c r="E10" s="9">
        <v>108910890.29000001</v>
      </c>
      <c r="F10" s="2">
        <f t="shared" si="0"/>
        <v>0.91799637111986976</v>
      </c>
      <c r="G10" s="2">
        <f t="shared" si="1"/>
        <v>1.3584833480670859</v>
      </c>
      <c r="H10" s="9">
        <f t="shared" si="2"/>
        <v>108910890.28999999</v>
      </c>
      <c r="I10" s="9">
        <f t="shared" si="3"/>
        <v>0</v>
      </c>
      <c r="J10" s="9">
        <v>408810.86</v>
      </c>
      <c r="K10" s="2">
        <f t="shared" si="4"/>
        <v>5.0992397944797357E-3</v>
      </c>
      <c r="L10" s="9">
        <v>14147549.640000001</v>
      </c>
      <c r="M10" s="9">
        <v>1369953.08</v>
      </c>
      <c r="N10" s="9">
        <v>289888.2</v>
      </c>
      <c r="O10" s="9">
        <v>40813.99</v>
      </c>
      <c r="P10" s="9">
        <v>844822.41</v>
      </c>
      <c r="Q10" s="9"/>
      <c r="R10" s="9">
        <v>12486083.02</v>
      </c>
      <c r="S10" s="9">
        <v>-55273.22</v>
      </c>
      <c r="T10" s="9">
        <v>-268762.86</v>
      </c>
      <c r="U10" s="9"/>
      <c r="V10" s="9">
        <v>24398897.780000001</v>
      </c>
      <c r="W10" s="9">
        <v>-25253143.640000001</v>
      </c>
      <c r="X10" s="9">
        <v>330308.59999999998</v>
      </c>
      <c r="Y10" s="9"/>
      <c r="Z10" s="9"/>
      <c r="AA10" s="9"/>
      <c r="AB10" s="9"/>
      <c r="AC10" s="9"/>
    </row>
    <row r="11" spans="1:29" ht="16" x14ac:dyDescent="0.2">
      <c r="A11">
        <f t="shared" si="5"/>
        <v>2011</v>
      </c>
      <c r="B11" s="9">
        <v>65720196.159999996</v>
      </c>
      <c r="C11" s="9">
        <v>60825555.299999997</v>
      </c>
      <c r="D11" s="9">
        <v>65720196.159999996</v>
      </c>
      <c r="E11" s="9">
        <v>76415806.239999995</v>
      </c>
      <c r="F11" s="2">
        <f t="shared" si="0"/>
        <v>0.92552303331408681</v>
      </c>
      <c r="G11" s="2">
        <f t="shared" si="1"/>
        <v>1.1627446463178663</v>
      </c>
      <c r="H11" s="9">
        <f t="shared" si="2"/>
        <v>76415806.239999995</v>
      </c>
      <c r="I11" s="9">
        <f t="shared" si="3"/>
        <v>0</v>
      </c>
      <c r="J11" s="9">
        <v>62565.41</v>
      </c>
      <c r="K11" s="2">
        <f t="shared" si="4"/>
        <v>9.5199670201349571E-4</v>
      </c>
      <c r="L11" s="9">
        <v>12588675.59</v>
      </c>
      <c r="M11" s="9">
        <v>1239935.3</v>
      </c>
      <c r="N11" s="9">
        <v>21391.05</v>
      </c>
      <c r="O11" s="9">
        <v>22272.61</v>
      </c>
      <c r="P11" s="9"/>
      <c r="Q11" s="9"/>
      <c r="R11" s="15">
        <v>12002247.09</v>
      </c>
      <c r="S11" s="9">
        <v>123072.68</v>
      </c>
      <c r="T11" s="9">
        <v>-106052.48</v>
      </c>
      <c r="U11" s="9"/>
      <c r="V11" s="9">
        <v>-6117808.5</v>
      </c>
      <c r="W11" s="9">
        <v>-10010654.48</v>
      </c>
      <c r="X11" s="9">
        <v>869965.81</v>
      </c>
      <c r="Y11" s="9"/>
      <c r="Z11" s="9"/>
      <c r="AA11" s="9"/>
      <c r="AB11" s="9"/>
      <c r="AC11" s="9"/>
    </row>
    <row r="12" spans="1:29" x14ac:dyDescent="0.2">
      <c r="A12">
        <f t="shared" si="5"/>
        <v>2010</v>
      </c>
      <c r="B12" s="9"/>
      <c r="C12" s="9"/>
      <c r="D12" s="9"/>
      <c r="E12" s="9"/>
      <c r="F12" s="2"/>
      <c r="G12" s="2"/>
      <c r="H12" s="9">
        <f t="shared" si="2"/>
        <v>0</v>
      </c>
      <c r="I12" s="9"/>
      <c r="J12" s="9"/>
      <c r="K12" s="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x14ac:dyDescent="0.2">
      <c r="A13" t="s">
        <v>77</v>
      </c>
      <c r="B13" s="9">
        <f>SUM(B4:B12)</f>
        <v>840733253.10000002</v>
      </c>
      <c r="C13" s="9">
        <f>SUM(C4:C12)</f>
        <v>677270704.25</v>
      </c>
      <c r="D13" s="9">
        <f>SUM(D4:D12)</f>
        <v>838684917.43999994</v>
      </c>
      <c r="E13" s="9">
        <f>SUM(E4:E12)</f>
        <v>675178054.50999999</v>
      </c>
      <c r="F13" s="2">
        <f t="shared" si="0"/>
        <v>0.80753891022304258</v>
      </c>
      <c r="G13" s="2">
        <f t="shared" si="1"/>
        <v>0.80504375417995122</v>
      </c>
      <c r="H13" s="9">
        <f t="shared" si="2"/>
        <v>675178054.51000011</v>
      </c>
      <c r="I13" s="9">
        <f t="shared" si="3"/>
        <v>0</v>
      </c>
      <c r="J13" s="9">
        <f t="shared" ref="J13:X13" si="6">SUM(J4:J12)</f>
        <v>60340851.749999993</v>
      </c>
      <c r="K13" s="2">
        <f t="shared" si="4"/>
        <v>7.1946985685857182E-2</v>
      </c>
      <c r="L13" s="9">
        <f t="shared" si="6"/>
        <v>320041576.54000002</v>
      </c>
      <c r="M13" s="9">
        <f t="shared" si="6"/>
        <v>20592594.620000001</v>
      </c>
      <c r="N13" s="9">
        <f t="shared" si="6"/>
        <v>7303406.8099999996</v>
      </c>
      <c r="O13" s="9">
        <f t="shared" si="6"/>
        <v>3010671.14</v>
      </c>
      <c r="P13" s="9">
        <f t="shared" si="6"/>
        <v>3801903.51</v>
      </c>
      <c r="Q13" s="9">
        <f>SUM(Q4:Q12)</f>
        <v>0</v>
      </c>
      <c r="R13" s="9">
        <f t="shared" si="6"/>
        <v>112027069.14</v>
      </c>
      <c r="S13" s="9">
        <f t="shared" si="6"/>
        <v>-91032499.739999995</v>
      </c>
      <c r="T13" s="9">
        <f t="shared" si="6"/>
        <v>-9242152.5999999996</v>
      </c>
      <c r="U13" s="9">
        <f>SUM(U4:U12)</f>
        <v>-408309.7399999997</v>
      </c>
      <c r="V13" s="9">
        <f t="shared" si="6"/>
        <v>-373481745.97000003</v>
      </c>
      <c r="W13" s="9">
        <f t="shared" si="6"/>
        <v>-430214840.22000003</v>
      </c>
      <c r="X13" s="9">
        <f t="shared" si="6"/>
        <v>182032429.00999999</v>
      </c>
      <c r="Y13" s="9">
        <f>SUM(Y4:Y12)</f>
        <v>31722182.819999997</v>
      </c>
      <c r="Z13" s="9"/>
      <c r="AA13" s="9"/>
      <c r="AB13" s="9"/>
      <c r="AC13" s="9"/>
    </row>
    <row r="14" spans="1:29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9" ht="170" customHeight="1" x14ac:dyDescent="0.2">
      <c r="A16" s="21" t="s">
        <v>116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</sheetData>
  <mergeCells count="1">
    <mergeCell ref="A16:N1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2019-07-24T03:15:54Z</dcterms:modified>
</cp:coreProperties>
</file>