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300144_宋城演艺/"/>
    </mc:Choice>
  </mc:AlternateContent>
  <bookViews>
    <workbookView xWindow="0" yWindow="460" windowWidth="25600" windowHeight="14780" activeTab="2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5" i="3"/>
  <c r="G13" i="3"/>
  <c r="G14" i="3"/>
  <c r="H14" i="3"/>
  <c r="L14" i="3"/>
  <c r="K14" i="3"/>
  <c r="B13" i="3"/>
  <c r="Q13" i="4"/>
  <c r="H8" i="4"/>
  <c r="I8" i="4"/>
  <c r="H5" i="4"/>
  <c r="H6" i="4"/>
  <c r="H7" i="4"/>
  <c r="H9" i="4"/>
  <c r="H10" i="4"/>
  <c r="H11" i="4"/>
  <c r="H12" i="4"/>
  <c r="D13" i="4"/>
  <c r="J13" i="4"/>
  <c r="L13" i="4"/>
  <c r="M13" i="4"/>
  <c r="N13" i="4"/>
  <c r="O13" i="4"/>
  <c r="R13" i="4"/>
  <c r="S13" i="4"/>
  <c r="T13" i="4"/>
  <c r="U13" i="4"/>
  <c r="V13" i="4"/>
  <c r="W13" i="4"/>
  <c r="P13" i="4"/>
  <c r="H13" i="4"/>
  <c r="H4" i="4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C13" i="3"/>
  <c r="C14" i="3"/>
  <c r="D13" i="3"/>
  <c r="D14" i="3"/>
  <c r="E13" i="3"/>
  <c r="E14" i="3"/>
  <c r="F13" i="3"/>
  <c r="F14" i="3"/>
  <c r="B14" i="3"/>
  <c r="H15" i="3"/>
  <c r="K5" i="4"/>
  <c r="K6" i="4"/>
  <c r="K7" i="4"/>
  <c r="K8" i="4"/>
  <c r="K9" i="4"/>
  <c r="K10" i="4"/>
  <c r="K11" i="4"/>
  <c r="K12" i="4"/>
  <c r="K13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<sst xmlns="http://schemas.openxmlformats.org/spreadsheetml/2006/main" count="139" uniqueCount="122">
  <si>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</si>
  <si>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</si>
  <si>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</si>
  <si>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</si>
  <si>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</si>
  <si>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</si>
  <si>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</si>
  <si>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</si>
  <si>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</si>
  <si>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</si>
  <si>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</si>
  <si>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</si>
  <si>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</si>
  <si>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</si>
  <si>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</si>
  <si>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</si>
  <si>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</si>
  <si>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</si>
  <si>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</si>
  <si>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</si>
  <si>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</si>
  <si>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</si>
  <si>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</si>
  <si>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</si>
  <si>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</si>
  <si>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</si>
  <si>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</si>
  <si>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</si>
  <si>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</si>
  <si>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</si>
  <si>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</si>
  <si>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</si>
  <si>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</si>
  <si>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</si>
  <si>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</si>
  <si>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</si>
  <si>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</si>
  <si>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</si>
  <si>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</si>
  <si>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</si>
  <si>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</si>
  <si>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</si>
  <si>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</si>
  <si>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</si>
  <si>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</si>
  <si>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</si>
  <si>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</si>
  <si>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</si>
  <si>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</si>
  <si>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</si>
  <si>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</si>
  <si>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</si>
  <si>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</si>
  <si>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</si>
  <si>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</si>
  <si>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</si>
  <si>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</si>
  <si>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</si>
  <si>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</si>
  <si>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</si>
  <si>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</si>
  <si>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</si>
  <si>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</si>
  <si>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</si>
  <si>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</si>
  <si>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</si>
  <si>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</si>
  <si>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</si>
  <si>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</si>
  <si>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</si>
  <si>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</si>
  <si>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</si>
  <si>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</si>
  <si>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</si>
  <si>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</si>
  <si>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</si>
  <si>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</si>
  <si>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</si>
  <si>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</si>
  <si>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</si>
  <si>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</si>
  <si>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</si>
  <si>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</si>
  <si>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</si>
  <si>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</si>
  <si>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</si>
  <si>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</si>
  <si>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</si>
  <si>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</si>
  <si>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</si>
  <si>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</si>
  <si>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</si>
  <si>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</si>
  <si>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</si>
  <si>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</si>
  <si>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</si>
  <si>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</si>
  <si>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</si>
  <si>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</si>
  <si>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</si>
  <si>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</si>
  <si>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</si>
  <si>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</si>
  <si>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</si>
  <si>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</si>
  <si>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</si>
  <si>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</si>
  <si>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</si>
  <si>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</si>
  <si>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  <rPh sb="3" eb="4">
      <t>wei</t>
    </rPh>
    <rPh sb="12" eb="13">
      <t>zhan'bi</t>
    </rPh>
    <rPh sb="14" eb="15">
      <t>jian'kang</t>
    </rPh>
    <rPh sb="17" eb="18">
      <t>xian'jin'liu</t>
    </rPh>
    <rPh sb="20" eb="21">
      <t>bi</t>
    </rPh>
    <rPh sb="21" eb="22">
      <t>jing'li'run</t>
    </rPh>
    <rPh sb="24" eb="25">
      <t>da</t>
    </rPh>
    <rPh sb="26" eb="27">
      <t>fen'xi</t>
    </rPh>
    <rPh sb="28" eb="29">
      <t>zhu'yao</t>
    </rPh>
    <rPh sb="30" eb="31">
      <t>yuan'y</t>
    </rPh>
    <rPh sb="33" eb="34">
      <t>jin</t>
    </rPh>
    <rPh sb="35" eb="36">
      <t>nian</t>
    </rPh>
    <rPh sb="36" eb="37">
      <t>lei'ji</t>
    </rPh>
    <rPh sb="38" eb="39">
      <t>jing'li'run</t>
    </rPh>
    <rPh sb="43" eb="44">
      <t>yi</t>
    </rPh>
    <rPh sb="45" eb="46">
      <t>lei'ji</t>
    </rPh>
    <rPh sb="47" eb="48">
      <t>jing'ying</t>
    </rPh>
    <rPh sb="49" eb="50">
      <t>huo'dong</t>
    </rPh>
    <rPh sb="51" eb="52">
      <t>xian'jin'liu</t>
    </rPh>
    <rPh sb="54" eb="55">
      <t>jing'e</t>
    </rPh>
    <rPh sb="56" eb="57">
      <t>zhi'you</t>
    </rPh>
    <rPh sb="60" eb="61">
      <t>yi</t>
    </rPh>
    <rPh sb="62" eb="63">
      <t>cha'zhi</t>
    </rPh>
    <rPh sb="66" eb="67">
      <t>yi</t>
    </rPh>
    <rPh sb="96" eb="97">
      <t>chang'qi</t>
    </rPh>
    <rPh sb="98" eb="99">
      <t>dai</t>
    </rPh>
    <rPh sb="99" eb="100">
      <t>tan'xiao</t>
    </rPh>
    <rPh sb="105" eb="106">
      <t>yi</t>
    </rPh>
    <rPh sb="107" eb="108">
      <t>gu'ding</t>
    </rPh>
    <rPh sb="109" eb="110">
      <t>zi'chan</t>
    </rPh>
    <rPh sb="111" eb="112">
      <t>bao'fei</t>
    </rPh>
    <rPh sb="113" eb="114">
      <t>sun'shi</t>
    </rPh>
    <rPh sb="120" eb="121">
      <t>zi'chan</t>
    </rPh>
    <rPh sb="122" eb="123">
      <t>jian'zhi</t>
    </rPh>
    <rPh sb="160" eb="161">
      <t>tou'zi</t>
    </rPh>
    <rPh sb="162" eb="163">
      <t>sun'shi</t>
    </rPh>
    <rPh sb="167" eb="168">
      <t>yi</t>
    </rPh>
    <rPh sb="200" eb="201">
      <t>zhe'jiu</t>
    </rPh>
    <rPh sb="203" eb="204">
      <t>yi</t>
    </rPh>
    <rPh sb="205" eb="206">
      <t>li'run</t>
    </rPh>
    <rPh sb="207" eb="208">
      <t>jian'shao</t>
    </rPh>
    <rPh sb="210" eb="211">
      <t>dan</t>
    </rPh>
    <rPh sb="211" eb="212">
      <t>xian'jin'liu</t>
    </rPh>
    <rPh sb="214" eb="215">
      <t>wei</t>
    </rPh>
    <rPh sb="215" eb="216">
      <t>liu'chu</t>
    </rPh>
    <rPh sb="218" eb="219">
      <t>zhong'zi'chan</t>
    </rPh>
    <rPh sb="221" eb="222">
      <t>gong'si</t>
    </rPh>
    <rPh sb="224" eb="225">
      <t>fu'he</t>
    </rPh>
    <rPh sb="226" eb="227">
      <t>song'cheng</t>
    </rPh>
    <rPh sb="228" eb="229">
      <t>te'dian</t>
    </rPh>
    <rPh sb="235" eb="236">
      <t>wu'xing</t>
    </rPh>
    <rPh sb="237" eb="238">
      <t>zi'chan</t>
    </rPh>
    <rPh sb="239" eb="240">
      <t>tan'xiao</t>
    </rPh>
    <rPh sb="242" eb="243">
      <t>chang'qi</t>
    </rPh>
    <rPh sb="244" eb="245">
      <t>tan'xiao</t>
    </rPh>
    <rPh sb="250" eb="251">
      <t>yi</t>
    </rPh>
    <rPh sb="255" eb="256">
      <t>ying'fu</t>
    </rPh>
    <rPh sb="258" eb="259">
      <t>ying'shou</t>
    </rPh>
    <rPh sb="260" eb="261">
      <t>zeng'jia</t>
    </rPh>
    <rPh sb="266" eb="267">
      <t>yi</t>
    </rPh>
    <rPh sb="271" eb="272">
      <t>tou'zi</t>
    </rPh>
    <rPh sb="273" eb="274">
      <t>sun'shi</t>
    </rPh>
    <rPh sb="275" eb="276">
      <t>l</t>
    </rPh>
    <rPh sb="279" eb="280">
      <t>yi</t>
    </rPh>
    <rPh sb="283" eb="284">
      <t>zong'jie</t>
    </rPh>
    <rPh sb="286" eb="287">
      <t>dang'qian</t>
    </rPh>
    <rPh sb="288" eb="289">
      <t>cai'bao</t>
    </rPh>
    <rPh sb="290" eb="291">
      <t>zan'shi</t>
    </rPh>
    <rPh sb="292" eb="293">
      <t>wei</t>
    </rPh>
    <rPh sb="293" eb="294">
      <t>kan'chu</t>
    </rPh>
    <rPh sb="295" eb="296">
      <t>da'wen'ti</t>
    </rPh>
    <rPh sb="299" eb="300">
      <t>dian'xing</t>
    </rPh>
    <rPh sb="301" eb="302">
      <t>de</t>
    </rPh>
    <rPh sb="302" eb="303">
      <t>di'san'fang</t>
    </rPh>
    <rPh sb="305" eb="306">
      <t>wai'bao</t>
    </rPh>
    <rPh sb="307" eb="308">
      <t>xiang'mu'xing</t>
    </rPh>
    <rPh sb="310" eb="311">
      <t>gong'si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</si>
  <si>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</si>
  <si>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</si>
  <si>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</si>
  <si>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</si>
  <si>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</si>
  <si>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</si>
  <si>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当前市值</t>
    <rPh sb="0" eb="1">
      <t>dang'qian</t>
    </rPh>
    <rPh sb="2" eb="3">
      <t>shi'zhi</t>
    </rPh>
    <phoneticPr fontId="2" type="noConversion"/>
  </si>
  <si>
    <t>总股数</t>
    <rPh sb="0" eb="1">
      <t>zong'gu'shu</t>
    </rPh>
    <phoneticPr fontId="2" type="noConversion"/>
  </si>
  <si>
    <t>目标股价</t>
    <rPh sb="0" eb="1">
      <t>mu'biao</t>
    </rPh>
    <rPh sb="2" eb="3">
      <t>gu'jia</t>
    </rPh>
    <phoneticPr fontId="2" type="noConversion"/>
  </si>
  <si>
    <t>目标涨幅</t>
    <rPh sb="0" eb="1">
      <t>mu'biao</t>
    </rPh>
    <rPh sb="2" eb="3">
      <t>zhang'fu</t>
    </rPh>
    <phoneticPr fontId="2" type="noConversion"/>
  </si>
  <si>
    <t>平均增长</t>
    <rPh sb="0" eb="1">
      <t>ping'jun</t>
    </rPh>
    <rPh sb="2" eb="3">
      <t>zeng'zhang</t>
    </rPh>
    <phoneticPr fontId="2" type="noConversion"/>
  </si>
  <si>
    <t>近5年平均增长</t>
    <rPh sb="0" eb="1">
      <t>jin</t>
    </rPh>
    <rPh sb="2" eb="3">
      <t>nian</t>
    </rPh>
    <rPh sb="3" eb="4">
      <t>ping'jun</t>
    </rPh>
    <rPh sb="5" eb="6">
      <t>zeng'zhang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</si>
</sst>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3" fontId="0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F27" sqref="F27"/>
    </sheetView>
  </sheetViews>
  <sheetFormatPr baseColWidth="10" defaultRowHeight="15" x14ac:dyDescent="0.2"/>
  <cols>
    <col min="1" max="1" width="17.83203125" customWidth="1"/>
    <col min="2" max="2" width="15.1640625" bestFit="1" customWidth="1"/>
    <col min="3" max="4" width="14.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6.1640625" customWidth="1"/>
    <col min="10" max="10" width="16.83203125" customWidth="1"/>
    <col min="11" max="11" width="16.33203125" customWidth="1"/>
  </cols>
  <sheetData>
    <row r="1" spans="1:12" ht="15" customHeight="1" x14ac:dyDescent="0.2"/>
    <row r="2" spans="1:12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2" ht="21" x14ac:dyDescent="0.3">
      <c r="A3" s="10" t="s">
        <v>110</v>
      </c>
      <c r="B3" s="10">
        <v>17</v>
      </c>
      <c r="C3" s="9">
        <v>115049206.02</v>
      </c>
      <c r="D3" s="9">
        <v>183918298.69999999</v>
      </c>
      <c r="E3" s="9">
        <v>248553190.58000001</v>
      </c>
      <c r="F3" s="7">
        <v>308762015.88</v>
      </c>
      <c r="G3" s="9">
        <v>364722774.31999999</v>
      </c>
      <c r="H3" s="9">
        <v>645445084.58000004</v>
      </c>
      <c r="I3" s="9">
        <v>916466911.99000001</v>
      </c>
      <c r="J3" s="9">
        <v>1069274181.14</v>
      </c>
      <c r="K3" s="9">
        <v>1277557771.6300001</v>
      </c>
    </row>
    <row r="4" spans="1:12" x14ac:dyDescent="0.2">
      <c r="A4" t="s">
        <v>69</v>
      </c>
      <c r="C4" s="2">
        <f>(C3-B3)/B3</f>
        <v>6767599.3541176468</v>
      </c>
      <c r="D4" s="2">
        <f t="shared" ref="D4:K4" si="0">(D3-C3)/C3</f>
        <v>0.59860554507458208</v>
      </c>
      <c r="E4" s="2">
        <f t="shared" si="0"/>
        <v>0.35143263251597284</v>
      </c>
      <c r="F4" s="2">
        <f t="shared" si="0"/>
        <v>0.24223718536665095</v>
      </c>
      <c r="G4" s="2">
        <f t="shared" si="0"/>
        <v>0.18124236648898251</v>
      </c>
      <c r="H4" s="2">
        <f t="shared" si="0"/>
        <v>0.76968681427527275</v>
      </c>
      <c r="I4" s="2">
        <f t="shared" si="0"/>
        <v>0.41989912679613567</v>
      </c>
      <c r="J4" s="2">
        <f t="shared" si="0"/>
        <v>0.16673517303335805</v>
      </c>
      <c r="K4" s="2">
        <f t="shared" si="0"/>
        <v>0.19478969394729037</v>
      </c>
    </row>
    <row r="5" spans="1:12" x14ac:dyDescent="0.2">
      <c r="A5" t="s">
        <v>120</v>
      </c>
      <c r="B5" s="2">
        <f>AVERAGE(D4:K4)</f>
        <v>0.36557856718728066</v>
      </c>
    </row>
    <row r="6" spans="1:12" x14ac:dyDescent="0.2">
      <c r="A6" t="s">
        <v>121</v>
      </c>
      <c r="B6" s="2">
        <f>AVERAGE(G4:K4)</f>
        <v>0.34647063490820784</v>
      </c>
    </row>
    <row r="8" spans="1:12" x14ac:dyDescent="0.2">
      <c r="A8" s="16" t="s">
        <v>111</v>
      </c>
      <c r="B8" s="16" t="s">
        <v>70</v>
      </c>
      <c r="C8" s="16" t="s">
        <v>71</v>
      </c>
      <c r="D8" s="16" t="s">
        <v>72</v>
      </c>
      <c r="E8" s="16" t="s">
        <v>106</v>
      </c>
    </row>
    <row r="9" spans="1:12" x14ac:dyDescent="0.2">
      <c r="A9" s="17">
        <v>1277557771.6300001</v>
      </c>
      <c r="B9" s="16">
        <v>0.05</v>
      </c>
      <c r="C9" s="16">
        <v>21</v>
      </c>
      <c r="D9" s="16">
        <v>0.18</v>
      </c>
      <c r="E9" s="16">
        <v>0.7</v>
      </c>
    </row>
    <row r="10" spans="1:12" x14ac:dyDescent="0.2">
      <c r="A10" s="1"/>
    </row>
    <row r="11" spans="1:12" x14ac:dyDescent="0.2">
      <c r="A11" s="16"/>
      <c r="B11" s="18">
        <v>0.18</v>
      </c>
      <c r="C11" s="18">
        <v>0.18</v>
      </c>
      <c r="D11" s="18">
        <v>0.18</v>
      </c>
      <c r="E11" s="18">
        <v>0.18</v>
      </c>
      <c r="F11" s="18">
        <v>0.18</v>
      </c>
      <c r="G11" s="16"/>
      <c r="H11" s="16"/>
    </row>
    <row r="12" spans="1:12" x14ac:dyDescent="0.2">
      <c r="A12" s="16" t="s">
        <v>66</v>
      </c>
      <c r="B12" s="16">
        <v>2019</v>
      </c>
      <c r="C12" s="16">
        <v>2020</v>
      </c>
      <c r="D12" s="16">
        <v>2021</v>
      </c>
      <c r="E12" s="16">
        <v>2022</v>
      </c>
      <c r="F12" s="16">
        <v>2023</v>
      </c>
      <c r="G12" s="16"/>
      <c r="H12" s="16" t="s">
        <v>114</v>
      </c>
      <c r="I12" t="s">
        <v>116</v>
      </c>
      <c r="J12" s="16" t="s">
        <v>117</v>
      </c>
      <c r="K12" s="16" t="s">
        <v>118</v>
      </c>
      <c r="L12" s="16" t="s">
        <v>119</v>
      </c>
    </row>
    <row r="13" spans="1:12" x14ac:dyDescent="0.2">
      <c r="A13" s="16" t="s">
        <v>112</v>
      </c>
      <c r="B13" s="19">
        <f>A9*(1+D9)</f>
        <v>1507518170.5234001</v>
      </c>
      <c r="C13" s="19">
        <f>B13*(1+D9)</f>
        <v>1778871441.217612</v>
      </c>
      <c r="D13" s="19">
        <f>C13*(1+D9)</f>
        <v>2099068300.6367822</v>
      </c>
      <c r="E13" s="19">
        <f>D13*(1+D9)</f>
        <v>2476900594.7514029</v>
      </c>
      <c r="F13" s="19">
        <f>E13*(1+D9)</f>
        <v>2922742701.8066554</v>
      </c>
      <c r="G13" s="19">
        <f>F13*C9</f>
        <v>61377596737.939766</v>
      </c>
      <c r="H13" s="16"/>
    </row>
    <row r="14" spans="1:12" x14ac:dyDescent="0.2">
      <c r="A14" s="16" t="s">
        <v>113</v>
      </c>
      <c r="B14" s="17">
        <f>B13/(1+B9)</f>
        <v>1435731590.9746666</v>
      </c>
      <c r="C14" s="17">
        <f>C13/(1+B9)^2</f>
        <v>1613488835.5715301</v>
      </c>
      <c r="D14" s="17">
        <f>D13/(1+B9)^3</f>
        <v>1813254119.9756241</v>
      </c>
      <c r="E14" s="17">
        <f>E13/(1+B9)^4</f>
        <v>2037752249.1154635</v>
      </c>
      <c r="F14" s="17">
        <f>F13/(1+B9)^5</f>
        <v>2290045384.7202349</v>
      </c>
      <c r="G14" s="17">
        <f>G13/(1+B9)^4</f>
        <v>50495500733.081184</v>
      </c>
      <c r="H14" s="17">
        <f>SUM(B14:G14)</f>
        <v>59685772913.438705</v>
      </c>
      <c r="I14" s="1">
        <v>35800000000</v>
      </c>
      <c r="J14" s="20">
        <v>1452607800</v>
      </c>
      <c r="K14">
        <f>H14/J14</f>
        <v>41.088704682322856</v>
      </c>
      <c r="L14" s="2">
        <f>H14/I14</f>
        <v>1.6672003607105783</v>
      </c>
    </row>
    <row r="15" spans="1:12" x14ac:dyDescent="0.2">
      <c r="A15" s="16"/>
      <c r="B15" s="17"/>
      <c r="C15" s="17"/>
      <c r="D15" s="17"/>
      <c r="E15" s="17"/>
      <c r="F15" s="17"/>
      <c r="G15" s="17" t="s">
        <v>115</v>
      </c>
      <c r="H15" s="17">
        <f>H14*E9</f>
        <v>41780041039.407089</v>
      </c>
      <c r="I1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"/>
  <sheetViews>
    <sheetView workbookViewId="0">
      <selection activeCell="D12" sqref="D12"/>
    </sheetView>
  </sheetViews>
  <sheetFormatPr baseColWidth="10" defaultRowHeight="15" x14ac:dyDescent="0.2"/>
  <cols>
    <col min="2" max="2" width="14" customWidth="1"/>
    <col min="3" max="3" width="13.6640625" bestFit="1" customWidth="1"/>
    <col min="4" max="4" width="15.1640625" bestFit="1" customWidth="1"/>
    <col min="5" max="5" width="14.83203125" customWidth="1"/>
    <col min="8" max="8" width="15.5" customWidth="1"/>
    <col min="9" max="9" width="16.1640625" customWidth="1"/>
    <col min="10" max="10" width="14.1640625" customWidth="1"/>
    <col min="11" max="11" width="16.6640625" customWidth="1"/>
    <col min="12" max="12" width="15" customWidth="1"/>
    <col min="13" max="13" width="14.5" customWidth="1"/>
    <col min="14" max="20" width="17.83203125" customWidth="1"/>
    <col min="21" max="21" width="15.6640625" customWidth="1"/>
    <col min="22" max="22" width="16.1640625" customWidth="1"/>
    <col min="23" max="25" width="15.1640625" bestFit="1" customWidth="1"/>
    <col min="26" max="26" width="13.6640625" bestFit="1" customWidth="1"/>
    <col min="27" max="27" width="14.6640625" customWidth="1"/>
    <col min="28" max="28" width="18.1640625" customWidth="1"/>
  </cols>
  <sheetData>
    <row r="2" spans="1:28" x14ac:dyDescent="0.2">
      <c r="J2" t="s">
        <v>82</v>
      </c>
      <c r="L2" t="s">
        <v>82</v>
      </c>
      <c r="Z2" t="s">
        <v>82</v>
      </c>
      <c r="AB2" t="s">
        <v>82</v>
      </c>
    </row>
    <row r="3" spans="1:28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90</v>
      </c>
      <c r="U3" t="s">
        <v>91</v>
      </c>
      <c r="V3" t="s">
        <v>92</v>
      </c>
      <c r="W3" t="s">
        <v>93</v>
      </c>
    </row>
    <row r="4" spans="1:28" x14ac:dyDescent="0.2">
      <c r="A4">
        <v>2018</v>
      </c>
      <c r="B4" s="9">
        <v>232366860.28</v>
      </c>
      <c r="C4" s="9">
        <v>216834636.72999999</v>
      </c>
      <c r="D4" s="9">
        <v>1277557771.6300001</v>
      </c>
      <c r="E4" s="9">
        <v>1647243748.01</v>
      </c>
      <c r="F4" s="2">
        <f t="shared" ref="F4:F13" si="0">C4/D4</f>
        <v>0.16972589541163902</v>
      </c>
      <c r="G4" s="2">
        <f t="shared" ref="G4:G13" si="1">E4/D4</f>
        <v>1.2893692830096661</v>
      </c>
      <c r="H4" s="9">
        <f>D4+J4+L4+M4+N4+O4+R4+S4+T4+U4+V4+W4+P4+Q4</f>
        <v>1647243748.0100002</v>
      </c>
      <c r="I4" s="9">
        <f>H4-E4</f>
        <v>0</v>
      </c>
      <c r="J4" s="9">
        <v>31899429.829999998</v>
      </c>
      <c r="K4" s="2">
        <f>J4/D4</f>
        <v>2.4969070313979155E-2</v>
      </c>
      <c r="L4" s="9">
        <v>171784373.06</v>
      </c>
      <c r="M4" s="9">
        <v>42672958.899999999</v>
      </c>
      <c r="N4" s="9">
        <v>41836675.880000003</v>
      </c>
      <c r="O4" s="9">
        <v>-19135248.57</v>
      </c>
      <c r="P4" s="9">
        <v>49567561.090000004</v>
      </c>
      <c r="Q4" s="9">
        <v>-9660319.4000000004</v>
      </c>
      <c r="R4" s="9">
        <v>2303517.56</v>
      </c>
      <c r="S4" s="11">
        <v>-63280814.82</v>
      </c>
      <c r="T4" s="11">
        <v>-6016880.2000000002</v>
      </c>
      <c r="U4" s="9">
        <v>901140.65</v>
      </c>
      <c r="V4" s="9">
        <v>-175371877.58000001</v>
      </c>
      <c r="W4" s="9">
        <v>302185459.98000002</v>
      </c>
      <c r="X4" s="9"/>
      <c r="Y4" s="9"/>
      <c r="Z4" s="9"/>
      <c r="AA4" s="9"/>
      <c r="AB4" s="9"/>
    </row>
    <row r="5" spans="1:28" x14ac:dyDescent="0.2">
      <c r="A5">
        <f>A4-1</f>
        <v>2017</v>
      </c>
      <c r="B5" s="9">
        <v>138703129.69</v>
      </c>
      <c r="C5" s="9">
        <v>145936922.75</v>
      </c>
      <c r="D5" s="9">
        <v>1069274181.14</v>
      </c>
      <c r="E5" s="9">
        <v>1764016869.3800001</v>
      </c>
      <c r="F5" s="2">
        <f t="shared" si="0"/>
        <v>0.13648222815443861</v>
      </c>
      <c r="G5" s="2">
        <f t="shared" si="1"/>
        <v>1.6497329688623965</v>
      </c>
      <c r="H5" s="9">
        <f t="shared" ref="H5:H13" si="2">D5+J5+L5+M5+N5+O5+R5+S5+T5+U5+V5+W5+P5+Q5</f>
        <v>1764016869.3800001</v>
      </c>
      <c r="I5" s="9">
        <f t="shared" ref="I5:I13" si="3">H5-E5</f>
        <v>0</v>
      </c>
      <c r="J5" s="9">
        <v>8958754.7699999996</v>
      </c>
      <c r="K5" s="2">
        <f t="shared" ref="K5:K13" si="4">J5/D5</f>
        <v>8.3783513415134365E-3</v>
      </c>
      <c r="L5" s="9">
        <v>159756982.52000001</v>
      </c>
      <c r="M5" s="9">
        <v>34207691.100000001</v>
      </c>
      <c r="N5" s="9">
        <v>27397333.73</v>
      </c>
      <c r="O5" s="9">
        <v>-54373.41</v>
      </c>
      <c r="P5" s="9">
        <v>37008189.719999999</v>
      </c>
      <c r="Q5" s="9">
        <v>-1110054.4099999999</v>
      </c>
      <c r="R5" s="9">
        <v>16605129.130000001</v>
      </c>
      <c r="S5" s="9">
        <v>-17702729.920000002</v>
      </c>
      <c r="T5" s="9">
        <v>-1416356.61</v>
      </c>
      <c r="U5" s="9">
        <v>169043.79</v>
      </c>
      <c r="V5" s="9">
        <v>-42541297.299999997</v>
      </c>
      <c r="W5" s="9">
        <v>473464375.13</v>
      </c>
      <c r="X5" s="9"/>
      <c r="Y5" s="9"/>
      <c r="Z5" s="9"/>
      <c r="AA5" s="9"/>
      <c r="AB5" s="9"/>
    </row>
    <row r="6" spans="1:28" x14ac:dyDescent="0.2">
      <c r="A6">
        <f t="shared" ref="A6:A12" si="5">A5-1</f>
        <v>2016</v>
      </c>
      <c r="B6" s="9">
        <v>92753424.450000003</v>
      </c>
      <c r="C6" s="9">
        <v>88628567.230000004</v>
      </c>
      <c r="D6" s="9">
        <v>916466911.99000001</v>
      </c>
      <c r="E6" s="9">
        <v>1030251692.17</v>
      </c>
      <c r="F6" s="2">
        <f t="shared" si="0"/>
        <v>9.6706783486109171E-2</v>
      </c>
      <c r="G6" s="2">
        <f t="shared" si="1"/>
        <v>1.1241559064395785</v>
      </c>
      <c r="H6" s="9">
        <f t="shared" si="2"/>
        <v>1030251692.1700002</v>
      </c>
      <c r="I6" s="9">
        <f t="shared" si="3"/>
        <v>0</v>
      </c>
      <c r="J6" s="9">
        <v>3011927.49</v>
      </c>
      <c r="K6" s="2">
        <f t="shared" si="4"/>
        <v>3.2864552452417013E-3</v>
      </c>
      <c r="L6" s="9">
        <v>152916611.09999999</v>
      </c>
      <c r="M6" s="9">
        <v>27503713.09</v>
      </c>
      <c r="N6" s="9">
        <v>22930199.760000002</v>
      </c>
      <c r="O6" s="9">
        <v>2121727.0699999998</v>
      </c>
      <c r="P6" s="9"/>
      <c r="Q6" s="9">
        <v>-113847.21</v>
      </c>
      <c r="R6" s="9">
        <v>23423247.09</v>
      </c>
      <c r="S6" s="9">
        <v>-14451892.1</v>
      </c>
      <c r="T6" s="9">
        <v>72707.149999999994</v>
      </c>
      <c r="U6" s="9">
        <v>-1695298.59</v>
      </c>
      <c r="V6" s="9">
        <v>103397076.67</v>
      </c>
      <c r="W6" s="9">
        <v>-205331391.34</v>
      </c>
      <c r="X6" s="9"/>
      <c r="Y6" s="9"/>
      <c r="Z6" s="9"/>
      <c r="AA6" s="9"/>
      <c r="AB6" s="9"/>
    </row>
    <row r="7" spans="1:28" x14ac:dyDescent="0.2">
      <c r="A7">
        <f t="shared" si="5"/>
        <v>2015</v>
      </c>
      <c r="B7" s="9">
        <v>120559675.81</v>
      </c>
      <c r="C7" s="9">
        <v>115296313.16</v>
      </c>
      <c r="D7" s="9">
        <v>645445084.58000004</v>
      </c>
      <c r="E7" s="9">
        <v>915321127.36000001</v>
      </c>
      <c r="F7" s="2">
        <f t="shared" si="0"/>
        <v>0.17863070912535478</v>
      </c>
      <c r="G7" s="2">
        <f t="shared" si="1"/>
        <v>1.418123941490099</v>
      </c>
      <c r="H7" s="9">
        <f t="shared" si="2"/>
        <v>915321127.3599999</v>
      </c>
      <c r="I7" s="9">
        <f t="shared" si="3"/>
        <v>0</v>
      </c>
      <c r="J7" s="9">
        <v>1004375.81</v>
      </c>
      <c r="K7" s="2">
        <f t="shared" si="4"/>
        <v>1.556098007398354E-3</v>
      </c>
      <c r="L7" s="9">
        <v>139861807.47</v>
      </c>
      <c r="M7" s="9">
        <v>22840053.5</v>
      </c>
      <c r="N7" s="9">
        <v>17563170.670000002</v>
      </c>
      <c r="O7" s="9">
        <v>37619700.159999996</v>
      </c>
      <c r="P7" s="9"/>
      <c r="Q7" s="9"/>
      <c r="R7" s="9">
        <v>10867500</v>
      </c>
      <c r="S7" s="9">
        <v>-4880868.04</v>
      </c>
      <c r="T7" s="9">
        <v>1585.71</v>
      </c>
      <c r="U7" s="9">
        <v>-866769.23</v>
      </c>
      <c r="V7" s="9">
        <v>-76480851.560000002</v>
      </c>
      <c r="W7" s="9">
        <v>122346338.29000001</v>
      </c>
      <c r="X7" s="9"/>
      <c r="Y7" s="9"/>
      <c r="Z7" s="9"/>
      <c r="AA7" s="9"/>
      <c r="AB7" s="9"/>
    </row>
    <row r="8" spans="1:28" x14ac:dyDescent="0.2">
      <c r="A8">
        <f>A7-1</f>
        <v>2014</v>
      </c>
      <c r="B8" s="9">
        <v>96069481.920000002</v>
      </c>
      <c r="C8" s="9">
        <v>95314944.459999993</v>
      </c>
      <c r="D8" s="9">
        <v>364722774.31999999</v>
      </c>
      <c r="E8" s="9">
        <v>528002593.37</v>
      </c>
      <c r="F8" s="2">
        <f t="shared" si="0"/>
        <v>0.26133532417247052</v>
      </c>
      <c r="G8" s="2">
        <f t="shared" si="1"/>
        <v>1.4476819945078114</v>
      </c>
      <c r="H8" s="9">
        <f t="shared" si="2"/>
        <v>528002593.37000006</v>
      </c>
      <c r="I8" s="9">
        <f>H8-E8</f>
        <v>0</v>
      </c>
      <c r="J8" s="9">
        <v>1323887.6599999999</v>
      </c>
      <c r="K8" s="2">
        <f t="shared" si="4"/>
        <v>3.6298464291633433E-3</v>
      </c>
      <c r="L8" s="9">
        <v>128281530.09999999</v>
      </c>
      <c r="M8" s="9">
        <v>20165943.030000001</v>
      </c>
      <c r="N8" s="9">
        <v>12557288.060000001</v>
      </c>
      <c r="O8" s="9">
        <v>1208206.93</v>
      </c>
      <c r="P8" s="9"/>
      <c r="Q8" s="9"/>
      <c r="R8" s="9">
        <v>1036444.05</v>
      </c>
      <c r="S8" s="9">
        <v>-6516609.4299999997</v>
      </c>
      <c r="T8" s="9">
        <v>1323027.2</v>
      </c>
      <c r="U8" s="9">
        <v>-615231.53</v>
      </c>
      <c r="V8" s="9">
        <v>-1268124.45</v>
      </c>
      <c r="W8" s="9">
        <v>5783457.4299999997</v>
      </c>
      <c r="X8" s="9"/>
      <c r="Y8" s="9"/>
      <c r="Z8" s="9"/>
      <c r="AA8" s="9"/>
      <c r="AB8" s="9"/>
    </row>
    <row r="9" spans="1:28" x14ac:dyDescent="0.2">
      <c r="A9">
        <f t="shared" si="5"/>
        <v>2013</v>
      </c>
      <c r="B9" s="9">
        <v>28881580</v>
      </c>
      <c r="C9" s="9">
        <v>20942216.949999999</v>
      </c>
      <c r="D9" s="7">
        <v>308762015.88</v>
      </c>
      <c r="E9" s="9">
        <v>429346660.82999998</v>
      </c>
      <c r="F9" s="2">
        <f t="shared" si="0"/>
        <v>6.782640309661396E-2</v>
      </c>
      <c r="G9" s="2">
        <f t="shared" si="1"/>
        <v>1.3905423554329464</v>
      </c>
      <c r="H9" s="9">
        <f t="shared" si="2"/>
        <v>429346660.83000004</v>
      </c>
      <c r="I9" s="9">
        <f t="shared" si="3"/>
        <v>0</v>
      </c>
      <c r="J9" s="9">
        <v>784425.94</v>
      </c>
      <c r="K9" s="2">
        <f t="shared" si="4"/>
        <v>2.5405519450451644E-3</v>
      </c>
      <c r="L9" s="9">
        <v>93858363.379999995</v>
      </c>
      <c r="M9" s="9">
        <v>17922457.559999999</v>
      </c>
      <c r="N9" s="9">
        <v>1794911.72</v>
      </c>
      <c r="O9" s="9">
        <v>234623.61</v>
      </c>
      <c r="P9" s="9"/>
      <c r="Q9" s="9"/>
      <c r="R9" s="9">
        <v>3895466.69</v>
      </c>
      <c r="S9" s="9">
        <v>-10656664.34</v>
      </c>
      <c r="T9" s="9">
        <v>-2410429.96</v>
      </c>
      <c r="U9" s="9">
        <v>61041.08</v>
      </c>
      <c r="V9" s="9">
        <v>-193656153.44</v>
      </c>
      <c r="W9" s="9">
        <v>208756602.71000001</v>
      </c>
      <c r="X9" s="9"/>
      <c r="Y9" s="9"/>
      <c r="Z9" s="9"/>
      <c r="AA9" s="9"/>
      <c r="AB9" s="9"/>
    </row>
    <row r="10" spans="1:28" x14ac:dyDescent="0.2">
      <c r="A10">
        <f>A9-1</f>
        <v>2012</v>
      </c>
      <c r="B10" s="9">
        <v>68000398.879999995</v>
      </c>
      <c r="C10" s="9">
        <v>67245550.900000006</v>
      </c>
      <c r="D10" s="9">
        <v>248553190.58000001</v>
      </c>
      <c r="E10" s="9">
        <v>216412383.83000001</v>
      </c>
      <c r="F10" s="2">
        <f t="shared" si="0"/>
        <v>0.27054792876760986</v>
      </c>
      <c r="G10" s="2">
        <f t="shared" si="1"/>
        <v>0.87068841612936343</v>
      </c>
      <c r="H10" s="9">
        <f t="shared" si="2"/>
        <v>216412383.82999998</v>
      </c>
      <c r="I10" s="9">
        <f t="shared" si="3"/>
        <v>0</v>
      </c>
      <c r="J10" s="9">
        <v>-215819.68</v>
      </c>
      <c r="K10" s="2">
        <f t="shared" si="4"/>
        <v>-8.6830380047177736E-4</v>
      </c>
      <c r="L10" s="9">
        <v>42148598.609999999</v>
      </c>
      <c r="M10" s="9">
        <v>4711951.43</v>
      </c>
      <c r="N10" s="9">
        <v>293333.34000000003</v>
      </c>
      <c r="O10" s="9">
        <v>8938171.3699999992</v>
      </c>
      <c r="P10" s="9"/>
      <c r="Q10" s="9"/>
      <c r="R10" s="9">
        <v>10730819.359999999</v>
      </c>
      <c r="S10" s="9">
        <v>-141100350.93000001</v>
      </c>
      <c r="T10" s="9">
        <v>53954.92</v>
      </c>
      <c r="U10" s="9">
        <v>-866599.42</v>
      </c>
      <c r="V10" s="9">
        <v>11147925.32</v>
      </c>
      <c r="W10" s="9">
        <v>32017208.93</v>
      </c>
      <c r="X10" s="9"/>
      <c r="Y10" s="9"/>
      <c r="Z10" s="9"/>
      <c r="AA10" s="9"/>
      <c r="AB10" s="9"/>
    </row>
    <row r="11" spans="1:28" ht="16" x14ac:dyDescent="0.2">
      <c r="A11">
        <f t="shared" si="5"/>
        <v>2011</v>
      </c>
      <c r="B11" s="9">
        <v>47735376.670000002</v>
      </c>
      <c r="C11" s="9">
        <v>45844510.909999996</v>
      </c>
      <c r="D11" s="9">
        <v>183918298.69999999</v>
      </c>
      <c r="E11" s="9">
        <v>81969268.069999993</v>
      </c>
      <c r="F11" s="2">
        <f t="shared" si="0"/>
        <v>0.24926563171824295</v>
      </c>
      <c r="G11" s="2">
        <f t="shared" si="1"/>
        <v>0.44568304866556491</v>
      </c>
      <c r="H11" s="9">
        <f t="shared" si="2"/>
        <v>81969268.069999993</v>
      </c>
      <c r="I11" s="9">
        <f t="shared" si="3"/>
        <v>0</v>
      </c>
      <c r="J11" s="9">
        <v>644099.18000000005</v>
      </c>
      <c r="K11" s="2">
        <f t="shared" si="4"/>
        <v>3.5020940523739202E-3</v>
      </c>
      <c r="L11" s="9">
        <v>29621373.190000001</v>
      </c>
      <c r="M11" s="9">
        <v>4604058.12</v>
      </c>
      <c r="N11" s="9"/>
      <c r="O11" s="9">
        <v>3333621.69</v>
      </c>
      <c r="P11" s="9"/>
      <c r="Q11" s="9"/>
      <c r="R11" s="15">
        <v>15668597.439999999</v>
      </c>
      <c r="S11" s="9">
        <v>-106500000</v>
      </c>
      <c r="T11" s="9">
        <v>-161024.79</v>
      </c>
      <c r="U11" s="9">
        <v>134332.23000000001</v>
      </c>
      <c r="V11" s="9">
        <v>-58823066.57</v>
      </c>
      <c r="W11" s="9">
        <v>9528978.8800000008</v>
      </c>
      <c r="X11" s="9"/>
      <c r="Y11" s="9"/>
      <c r="Z11" s="9"/>
      <c r="AA11" s="9"/>
      <c r="AB11" s="9"/>
    </row>
    <row r="12" spans="1:28" x14ac:dyDescent="0.2">
      <c r="A12">
        <f t="shared" si="5"/>
        <v>2010</v>
      </c>
      <c r="B12" s="9">
        <v>45143297.100000001</v>
      </c>
      <c r="C12" s="9">
        <v>44531588.109999999</v>
      </c>
      <c r="D12" s="9">
        <v>115049206.02</v>
      </c>
      <c r="E12" s="9">
        <v>104004060.42</v>
      </c>
      <c r="F12" s="2">
        <f t="shared" si="0"/>
        <v>0.38706558394030716</v>
      </c>
      <c r="G12" s="2">
        <f t="shared" si="1"/>
        <v>0.90399633355070763</v>
      </c>
      <c r="H12" s="9">
        <f t="shared" si="2"/>
        <v>104004060.42</v>
      </c>
      <c r="I12" s="9">
        <f t="shared" si="3"/>
        <v>0</v>
      </c>
      <c r="J12" s="9">
        <v>44515.96</v>
      </c>
      <c r="K12" s="2">
        <f t="shared" si="4"/>
        <v>3.8692974545397041E-4</v>
      </c>
      <c r="L12" s="9">
        <v>27139538.039999999</v>
      </c>
      <c r="M12" s="9">
        <v>4606462.08</v>
      </c>
      <c r="N12" s="9"/>
      <c r="O12" s="9">
        <v>27486.34</v>
      </c>
      <c r="P12" s="9"/>
      <c r="Q12" s="9"/>
      <c r="R12" s="9">
        <v>20077758</v>
      </c>
      <c r="S12" s="9">
        <v>-62000000</v>
      </c>
      <c r="T12" s="9">
        <v>-11128.99</v>
      </c>
      <c r="U12" s="9">
        <v>-210289.28</v>
      </c>
      <c r="V12" s="9">
        <v>-217323.55</v>
      </c>
      <c r="W12" s="9">
        <v>-502164.2</v>
      </c>
      <c r="X12" s="9"/>
      <c r="Y12" s="9"/>
      <c r="Z12" s="9"/>
      <c r="AA12" s="9"/>
      <c r="AB12" s="9"/>
    </row>
    <row r="13" spans="1:28" x14ac:dyDescent="0.2">
      <c r="A13" t="s">
        <v>77</v>
      </c>
      <c r="B13" s="9">
        <f>SUM(B4:B12)</f>
        <v>870213224.79999995</v>
      </c>
      <c r="C13" s="9">
        <f>SUM(C4:C12)</f>
        <v>840575251.20000005</v>
      </c>
      <c r="D13" s="9">
        <f>SUM(D4:D12)</f>
        <v>5129749434.8400002</v>
      </c>
      <c r="E13" s="9">
        <f>SUM(E4:E12)</f>
        <v>6716568403.4399996</v>
      </c>
      <c r="F13" s="2">
        <f t="shared" si="0"/>
        <v>0.16386282836565449</v>
      </c>
      <c r="G13" s="2">
        <f t="shared" si="1"/>
        <v>1.3093365453335233</v>
      </c>
      <c r="H13" s="9">
        <f t="shared" si="2"/>
        <v>6716568403.4399996</v>
      </c>
      <c r="I13" s="9">
        <f t="shared" si="3"/>
        <v>0</v>
      </c>
      <c r="J13" s="9">
        <f t="shared" ref="J13:W13" si="6">SUM(J4:J12)</f>
        <v>47455596.959999993</v>
      </c>
      <c r="K13" s="2">
        <f t="shared" si="4"/>
        <v>9.2510555462403717E-3</v>
      </c>
      <c r="L13" s="9">
        <f t="shared" si="6"/>
        <v>945369177.47000015</v>
      </c>
      <c r="M13" s="9">
        <f t="shared" si="6"/>
        <v>179235288.81000003</v>
      </c>
      <c r="N13" s="9">
        <f t="shared" si="6"/>
        <v>124372913.16000001</v>
      </c>
      <c r="O13" s="9">
        <f t="shared" si="6"/>
        <v>34293915.189999998</v>
      </c>
      <c r="P13" s="9">
        <f t="shared" si="6"/>
        <v>86575750.810000002</v>
      </c>
      <c r="Q13" s="9">
        <f>SUM(Q4:Q12)</f>
        <v>-10884221.020000001</v>
      </c>
      <c r="R13" s="9">
        <f t="shared" si="6"/>
        <v>104608479.31999999</v>
      </c>
      <c r="S13" s="9">
        <f t="shared" si="6"/>
        <v>-427089929.58000004</v>
      </c>
      <c r="T13" s="9">
        <f t="shared" si="6"/>
        <v>-8564545.5700000003</v>
      </c>
      <c r="U13" s="9">
        <f t="shared" si="6"/>
        <v>-2988630.3</v>
      </c>
      <c r="V13" s="9">
        <f t="shared" si="6"/>
        <v>-433813692.45999998</v>
      </c>
      <c r="W13" s="9">
        <f t="shared" si="6"/>
        <v>948248865.80999982</v>
      </c>
      <c r="X13" s="9"/>
      <c r="Y13" s="9"/>
      <c r="Z13" s="9"/>
      <c r="AA13" s="9"/>
      <c r="AB13" s="9"/>
    </row>
    <row r="14" spans="1:28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8" ht="170" customHeight="1" x14ac:dyDescent="0.2">
      <c r="A16" s="21" t="s">
        <v>109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</sheetData>
  <mergeCells count="1">
    <mergeCell ref="A16:N1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2019-07-23T02:25:01Z</dcterms:modified>
</cp:coreProperties>
</file>