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git\stock_learn\600519_贵州茅台\"/>
    </mc:Choice>
  </mc:AlternateContent>
  <bookViews>
    <workbookView xWindow="0" yWindow="0" windowWidth="28800" windowHeight="12240" activeTab="1"/>
  </bookViews>
  <sheets>
    <sheet name="DCF速算" sheetId="1" r:id="rId1"/>
    <sheet name="Sheet1" sheetId="2" r:id="rId2"/>
  </sheets>
  <calcPr calcId="162913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 s="1"/>
  <c r="E14" i="2" s="1"/>
  <c r="F14" i="2" s="1"/>
  <c r="G14" i="2" s="1"/>
  <c r="G17" i="2" s="1"/>
  <c r="G15" i="2" l="1"/>
  <c r="G16" i="2" s="1"/>
  <c r="F15" i="2"/>
  <c r="F16" i="2" s="1"/>
  <c r="E17" i="2"/>
  <c r="E15" i="2"/>
  <c r="E16" i="2" s="1"/>
  <c r="C15" i="2"/>
  <c r="C16" i="2" s="1"/>
  <c r="D15" i="2"/>
  <c r="D16" i="2" s="1"/>
  <c r="R17" i="1"/>
  <c r="R16" i="1"/>
  <c r="U14" i="1"/>
  <c r="R14" i="1"/>
  <c r="R15" i="1" s="1"/>
  <c r="U5" i="1"/>
  <c r="U7" i="1" s="1"/>
  <c r="U9" i="1" s="1"/>
  <c r="U12" i="1" s="1"/>
  <c r="U15" i="1" s="1"/>
  <c r="T2" i="1"/>
  <c r="P2" i="1"/>
  <c r="H16" i="2" l="1"/>
  <c r="G18" i="2" s="1"/>
  <c r="L23" i="2" s="1"/>
  <c r="E18" i="2"/>
  <c r="L6" i="2" s="1"/>
  <c r="C8" i="1"/>
  <c r="D8" i="1" s="1"/>
  <c r="K4" i="1"/>
  <c r="I4" i="1"/>
  <c r="E8" i="1" l="1"/>
  <c r="D9" i="1"/>
  <c r="F8" i="1" l="1"/>
  <c r="F9" i="1" s="1"/>
  <c r="E9" i="1"/>
  <c r="G8" i="1" l="1"/>
  <c r="G9" i="1" l="1"/>
  <c r="H8" i="1"/>
  <c r="H9" i="1" l="1"/>
  <c r="I8" i="1"/>
  <c r="I9" i="1" l="1"/>
  <c r="J8" i="1"/>
  <c r="J9" i="1" l="1"/>
  <c r="K8" i="1"/>
  <c r="K9" i="1" l="1"/>
  <c r="L8" i="1"/>
  <c r="L9" i="1" l="1"/>
  <c r="M8" i="1"/>
  <c r="N8" i="1" l="1"/>
  <c r="N9" i="1" s="1"/>
  <c r="M9" i="1"/>
  <c r="C10" i="1" l="1"/>
  <c r="C13" i="1" s="1"/>
  <c r="D15" i="1" s="1"/>
</calcChain>
</file>

<file path=xl/sharedStrings.xml><?xml version="1.0" encoding="utf-8"?>
<sst xmlns="http://schemas.openxmlformats.org/spreadsheetml/2006/main" count="65" uniqueCount="61">
  <si>
    <t>Apple Inc.</t>
    <phoneticPr fontId="0" type="noConversion"/>
  </si>
  <si>
    <t>Assumptions</t>
    <phoneticPr fontId="2" type="noConversion"/>
  </si>
  <si>
    <t>第一阶段</t>
    <phoneticPr fontId="2" type="noConversion"/>
  </si>
  <si>
    <t>第二阶段</t>
    <phoneticPr fontId="2" type="noConversion"/>
  </si>
  <si>
    <t>经营现金流过去三年CAGR</t>
    <phoneticPr fontId="2" type="noConversion"/>
  </si>
  <si>
    <t>营收过去三年CAGR</t>
    <phoneticPr fontId="2" type="noConversion"/>
  </si>
  <si>
    <t xml:space="preserve">    增速</t>
    <phoneticPr fontId="2" type="noConversion"/>
  </si>
  <si>
    <t xml:space="preserve">    折现率</t>
    <phoneticPr fontId="2" type="noConversion"/>
  </si>
  <si>
    <t>year count</t>
    <phoneticPr fontId="2" type="noConversion"/>
  </si>
  <si>
    <t>永续价值=最后一年自由现金流*(1+二阶段增速)/(折现率-二阶段增速)</t>
    <phoneticPr fontId="0" type="noConversion"/>
  </si>
  <si>
    <t>永续价值</t>
    <phoneticPr fontId="2" type="noConversion"/>
  </si>
  <si>
    <t>自由现金流</t>
    <phoneticPr fontId="2" type="noConversion"/>
  </si>
  <si>
    <t>折现</t>
    <phoneticPr fontId="2" type="noConversion"/>
  </si>
  <si>
    <t>EV</t>
    <phoneticPr fontId="2" type="noConversion"/>
  </si>
  <si>
    <t>Net debt</t>
    <phoneticPr fontId="2" type="noConversion"/>
  </si>
  <si>
    <t>Minority Interest</t>
    <phoneticPr fontId="2" type="noConversion"/>
  </si>
  <si>
    <t>Market Cap</t>
    <phoneticPr fontId="2" type="noConversion"/>
  </si>
  <si>
    <t>Shares outstanding</t>
    <phoneticPr fontId="2" type="noConversion"/>
  </si>
  <si>
    <t>增速</t>
    <phoneticPr fontId="2" type="noConversion"/>
  </si>
  <si>
    <t>Price per share</t>
    <phoneticPr fontId="2" type="noConversion"/>
  </si>
  <si>
    <t>折现率</t>
    <phoneticPr fontId="2" type="noConversion"/>
  </si>
  <si>
    <t>forward PE</t>
  </si>
  <si>
    <t>Revenue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</si>
  <si>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10</t>
    </r>
    <r>
      <rPr>
        <sz val="12"/>
        <color theme="1"/>
        <rFont val="宋体"/>
        <family val="3"/>
        <charset val="134"/>
      </rPr>
      <t>年</t>
    </r>
  </si>
  <si>
    <t>Growth</t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</si>
  <si>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5</t>
    </r>
    <r>
      <rPr>
        <sz val="12"/>
        <color theme="1"/>
        <rFont val="宋体"/>
        <family val="3"/>
        <charset val="134"/>
      </rPr>
      <t>年</t>
    </r>
  </si>
  <si>
    <t>2016-2018</t>
    <phoneticPr fontId="2" type="noConversion"/>
  </si>
  <si>
    <r>
      <t xml:space="preserve">     </t>
    </r>
    <r>
      <rPr>
        <sz val="12"/>
        <color theme="1"/>
        <rFont val="宋体"/>
        <family val="3"/>
        <charset val="134"/>
      </rPr>
      <t>净利润率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</si>
  <si>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3</t>
    </r>
    <r>
      <rPr>
        <sz val="12"/>
        <color theme="1"/>
        <rFont val="宋体"/>
        <family val="3"/>
        <charset val="134"/>
      </rPr>
      <t>年</t>
    </r>
  </si>
  <si>
    <r>
      <t xml:space="preserve">     </t>
    </r>
    <r>
      <rPr>
        <sz val="12"/>
        <color theme="1"/>
        <rFont val="宋体"/>
        <family val="3"/>
        <charset val="134"/>
      </rPr>
      <t>净利润</t>
    </r>
    <phoneticPr fontId="2" type="noConversion"/>
  </si>
  <si>
    <r>
      <rPr>
        <sz val="12"/>
        <color theme="1"/>
        <rFont val="宋体"/>
        <family val="3"/>
        <charset val="134"/>
      </rPr>
      <t>过去</t>
    </r>
    <r>
      <rPr>
        <sz val="12"/>
        <color theme="1"/>
        <rFont val="Helvetica"/>
        <family val="2"/>
      </rPr>
      <t>1</t>
    </r>
    <r>
      <rPr>
        <sz val="12"/>
        <color theme="1"/>
        <rFont val="宋体"/>
        <family val="3"/>
        <charset val="134"/>
      </rPr>
      <t>年</t>
    </r>
  </si>
  <si>
    <t>PE</t>
    <phoneticPr fontId="2" type="noConversion"/>
  </si>
  <si>
    <t>EPS Normalized</t>
  </si>
  <si>
    <r>
      <t xml:space="preserve">     </t>
    </r>
    <r>
      <rPr>
        <sz val="12"/>
        <color theme="1"/>
        <rFont val="Helvetica"/>
        <family val="3"/>
      </rPr>
      <t>届时市值(亿)</t>
    </r>
    <phoneticPr fontId="2" type="noConversion"/>
  </si>
  <si>
    <r>
      <rPr>
        <sz val="12"/>
        <color theme="1"/>
        <rFont val="宋体"/>
        <family val="3"/>
        <charset val="134"/>
      </rPr>
      <t>年收益率要求</t>
    </r>
    <phoneticPr fontId="2" type="noConversion"/>
  </si>
  <si>
    <r>
      <rPr>
        <sz val="12"/>
        <color theme="1"/>
        <rFont val="宋体"/>
        <family val="3"/>
        <charset val="134"/>
      </rPr>
      <t>当前合理市值</t>
    </r>
    <phoneticPr fontId="2" type="noConversion"/>
  </si>
  <si>
    <r>
      <t>21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</si>
  <si>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相当于</t>
    </r>
    <r>
      <rPr>
        <sz val="12"/>
        <color theme="1"/>
        <rFont val="Helvetica"/>
        <family val="2"/>
      </rPr>
      <t>22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</si>
  <si>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当前合理股价</t>
    </r>
    <phoneticPr fontId="2" type="noConversion"/>
  </si>
  <si>
    <r>
      <rPr>
        <sz val="12"/>
        <color theme="1"/>
        <rFont val="宋体"/>
        <family val="3"/>
        <charset val="134"/>
      </rPr>
      <t>备注：有回购</t>
    </r>
    <phoneticPr fontId="2" type="noConversion"/>
  </si>
  <si>
    <t>增速</t>
    <phoneticPr fontId="2" type="noConversion"/>
  </si>
  <si>
    <t>年份</t>
    <phoneticPr fontId="2" type="noConversion"/>
  </si>
  <si>
    <t>第一年</t>
    <phoneticPr fontId="2" type="noConversion"/>
  </si>
  <si>
    <t>第二年</t>
    <phoneticPr fontId="2" type="noConversion"/>
  </si>
  <si>
    <t>第三年</t>
    <phoneticPr fontId="2" type="noConversion"/>
  </si>
  <si>
    <t>第四年</t>
    <phoneticPr fontId="2" type="noConversion"/>
  </si>
  <si>
    <t>第五年</t>
    <phoneticPr fontId="2" type="noConversion"/>
  </si>
  <si>
    <t>分红率</t>
    <phoneticPr fontId="2" type="noConversion"/>
  </si>
  <si>
    <t>净利润</t>
    <phoneticPr fontId="2" type="noConversion"/>
  </si>
  <si>
    <t>预估净利润</t>
    <phoneticPr fontId="2" type="noConversion"/>
  </si>
  <si>
    <t>合理pe</t>
    <phoneticPr fontId="2" type="noConversion"/>
  </si>
  <si>
    <t>折现率</t>
    <phoneticPr fontId="2" type="noConversion"/>
  </si>
  <si>
    <t>分红折现率</t>
    <phoneticPr fontId="2" type="noConversion"/>
  </si>
  <si>
    <t>当期分红</t>
    <phoneticPr fontId="2" type="noConversion"/>
  </si>
  <si>
    <t>分红折现</t>
    <phoneticPr fontId="2" type="noConversion"/>
  </si>
  <si>
    <t>卖出价值</t>
    <phoneticPr fontId="2" type="noConversion"/>
  </si>
  <si>
    <t>总价值</t>
    <phoneticPr fontId="2" type="noConversion"/>
  </si>
  <si>
    <t>合计</t>
    <phoneticPr fontId="2" type="noConversion"/>
  </si>
  <si>
    <t>合理PE</t>
    <phoneticPr fontId="2" type="noConversion"/>
  </si>
  <si>
    <t>5年预估</t>
    <phoneticPr fontId="2" type="noConversion"/>
  </si>
  <si>
    <t>3年预估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</si>
</sst>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(* #,##0.00_);_(* \(#,##0.00\);_(* &quot;-&quot;??_);_(@_)"/>
    <numFmt numFmtId="177" formatCode="0.0%"/>
    <numFmt numFmtId="178" formatCode="_(* #,##0.0_);_(* \(#,##0.0\);_(* &quot;-&quot;?_);_(@_)"/>
    <numFmt numFmtId="179" formatCode="0.00_);[Red]\(0.00\)"/>
    <numFmt numFmtId="180" formatCode="0&quot;年后Revenue&quot;"/>
    <numFmt numFmtId="181" formatCode="0&quot;倍PE&quot;"/>
    <numFmt numFmtId="182" formatCode="0.00&quot;倍PE&quot;"/>
    <numFmt numFmtId="183" formatCode="_(* #,##0.00_);_(* \(#,##0.00\);_(* &quot;-&quot;?_);_(@_)"/>
  </numFmts>
  <fonts count="1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i/>
      <sz val="12"/>
      <color indexed="8"/>
      <name val="Arial"/>
      <family val="2"/>
    </font>
    <font>
      <i/>
      <sz val="12"/>
      <color theme="1"/>
      <name val="宋体"/>
      <family val="3"/>
      <charset val="134"/>
    </font>
    <font>
      <b/>
      <sz val="12"/>
      <name val="Arial"/>
      <family val="2"/>
    </font>
    <font>
      <sz val="12"/>
      <color theme="1"/>
      <name val="Helvetica"/>
      <family val="2"/>
    </font>
    <font>
      <i/>
      <sz val="12"/>
      <color indexed="8"/>
      <name val="Helvetica"/>
      <family val="2"/>
    </font>
    <font>
      <sz val="12"/>
      <color theme="1"/>
      <name val="Helvetica"/>
      <family val="3"/>
    </font>
    <font>
      <b/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177" fontId="3" fillId="2" borderId="0" xfId="1" applyNumberFormat="1" applyFont="1" applyFill="1" applyBorder="1">
      <alignment vertical="center"/>
    </xf>
    <xf numFmtId="177" fontId="5" fillId="0" borderId="0" xfId="1" applyNumberFormat="1" applyFont="1" applyBorder="1" applyAlignment="1">
      <alignment horizontal="left" vertical="top" wrapText="1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right"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178" fontId="3" fillId="0" borderId="0" xfId="0" applyNumberFormat="1" applyFont="1">
      <alignment vertical="center"/>
    </xf>
    <xf numFmtId="178" fontId="3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179" fontId="7" fillId="0" borderId="0" xfId="0" applyNumberFormat="1" applyFont="1">
      <alignment vertical="center"/>
    </xf>
    <xf numFmtId="9" fontId="3" fillId="4" borderId="0" xfId="1" applyFont="1" applyFill="1" applyBorder="1">
      <alignment vertical="center"/>
    </xf>
    <xf numFmtId="179" fontId="3" fillId="0" borderId="0" xfId="0" applyNumberFormat="1" applyFont="1">
      <alignment vertical="center"/>
    </xf>
    <xf numFmtId="179" fontId="3" fillId="5" borderId="0" xfId="0" applyNumberFormat="1" applyFont="1" applyFill="1">
      <alignment vertical="center"/>
    </xf>
    <xf numFmtId="9" fontId="3" fillId="0" borderId="0" xfId="1" applyFont="1" applyBorder="1">
      <alignment vertical="center"/>
    </xf>
    <xf numFmtId="9" fontId="3" fillId="0" borderId="5" xfId="1" applyFont="1" applyBorder="1">
      <alignment vertical="center"/>
    </xf>
    <xf numFmtId="0" fontId="0" fillId="0" borderId="6" xfId="0" applyBorder="1">
      <alignment vertical="center"/>
    </xf>
    <xf numFmtId="0" fontId="3" fillId="4" borderId="7" xfId="0" applyFont="1" applyFill="1" applyBorder="1">
      <alignment vertical="center"/>
    </xf>
    <xf numFmtId="179" fontId="3" fillId="0" borderId="7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178" fontId="8" fillId="0" borderId="3" xfId="0" applyNumberFormat="1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right" vertical="center"/>
    </xf>
    <xf numFmtId="176" fontId="8" fillId="0" borderId="5" xfId="0" applyNumberFormat="1" applyFont="1" applyBorder="1">
      <alignment vertical="center"/>
    </xf>
    <xf numFmtId="177" fontId="9" fillId="2" borderId="5" xfId="1" applyNumberFormat="1" applyFont="1" applyFill="1" applyBorder="1" applyAlignment="1">
      <alignment horizontal="right" vertical="top" wrapText="1"/>
    </xf>
    <xf numFmtId="180" fontId="8" fillId="0" borderId="4" xfId="0" applyNumberFormat="1" applyFont="1" applyBorder="1" applyAlignment="1">
      <alignment horizontal="left" vertical="center"/>
    </xf>
    <xf numFmtId="178" fontId="8" fillId="0" borderId="5" xfId="0" applyNumberFormat="1" applyFont="1" applyBorder="1">
      <alignment vertical="center"/>
    </xf>
    <xf numFmtId="181" fontId="8" fillId="2" borderId="5" xfId="0" applyNumberFormat="1" applyFont="1" applyFill="1" applyBorder="1">
      <alignment vertical="center"/>
    </xf>
    <xf numFmtId="0" fontId="8" fillId="0" borderId="5" xfId="0" applyFont="1" applyBorder="1">
      <alignment vertical="center"/>
    </xf>
    <xf numFmtId="181" fontId="8" fillId="2" borderId="0" xfId="0" applyNumberFormat="1" applyFont="1" applyFill="1">
      <alignment vertical="center"/>
    </xf>
    <xf numFmtId="176" fontId="11" fillId="0" borderId="5" xfId="0" applyNumberFormat="1" applyFont="1" applyBorder="1">
      <alignment vertical="center"/>
    </xf>
    <xf numFmtId="182" fontId="8" fillId="0" borderId="5" xfId="0" applyNumberFormat="1" applyFont="1" applyBorder="1">
      <alignment vertical="center"/>
    </xf>
    <xf numFmtId="0" fontId="8" fillId="0" borderId="6" xfId="0" applyFont="1" applyBorder="1">
      <alignment vertical="center"/>
    </xf>
    <xf numFmtId="183" fontId="11" fillId="0" borderId="8" xfId="0" applyNumberFormat="1" applyFont="1" applyBorder="1">
      <alignment vertical="center"/>
    </xf>
    <xf numFmtId="181" fontId="8" fillId="2" borderId="7" xfId="0" applyNumberFormat="1" applyFont="1" applyFill="1" applyBorder="1">
      <alignment vertical="center"/>
    </xf>
    <xf numFmtId="176" fontId="8" fillId="0" borderId="8" xfId="0" applyNumberFormat="1" applyFont="1" applyBorder="1">
      <alignment vertical="center"/>
    </xf>
    <xf numFmtId="9" fontId="8" fillId="4" borderId="0" xfId="1" applyFont="1" applyFill="1" applyBorder="1">
      <alignment vertical="center"/>
    </xf>
    <xf numFmtId="9" fontId="8" fillId="4" borderId="7" xfId="1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"/>
  <sheetViews>
    <sheetView zoomScale="120" zoomScaleNormal="120" workbookViewId="0">
      <selection activeCell="E16" sqref="E16"/>
    </sheetView>
  </sheetViews>
  <sheetFormatPr defaultColWidth="11" defaultRowHeight="15.75" x14ac:dyDescent="0.25"/>
  <cols>
    <col min="2" max="2" width="20.5" bestFit="1" customWidth="1"/>
    <col min="3" max="3" width="14.375" bestFit="1" customWidth="1"/>
    <col min="4" max="9" width="11.375" bestFit="1" customWidth="1"/>
    <col min="10" max="12" width="12.5" bestFit="1" customWidth="1"/>
    <col min="13" max="13" width="12.5" customWidth="1"/>
    <col min="14" max="14" width="13" customWidth="1"/>
    <col min="18" max="18" width="11.625" bestFit="1" customWidth="1"/>
    <col min="20" max="20" width="20.5" bestFit="1" customWidth="1"/>
    <col min="21" max="21" width="12.5" bestFit="1" customWidth="1"/>
  </cols>
  <sheetData>
    <row r="2" spans="2:21" x14ac:dyDescent="0.25">
      <c r="B2" s="1"/>
      <c r="C2" s="2"/>
      <c r="D2" s="2"/>
      <c r="E2" s="2"/>
      <c r="F2" s="2"/>
      <c r="G2" s="3" t="s">
        <v>0</v>
      </c>
      <c r="H2" s="2"/>
      <c r="I2" s="2"/>
      <c r="J2" s="2"/>
      <c r="K2" s="2"/>
      <c r="L2" s="2"/>
      <c r="M2" s="2"/>
      <c r="N2" s="4"/>
      <c r="P2" s="58" t="str">
        <f>G2</f>
        <v>Apple Inc.</v>
      </c>
      <c r="Q2" s="59"/>
      <c r="R2" s="60"/>
      <c r="S2" s="35"/>
      <c r="T2" s="58" t="str">
        <f>G2</f>
        <v>Apple Inc.</v>
      </c>
      <c r="U2" s="60"/>
    </row>
    <row r="3" spans="2:21" x14ac:dyDescent="0.25">
      <c r="B3" s="5"/>
      <c r="C3" s="6" t="s">
        <v>1</v>
      </c>
      <c r="D3" s="7" t="s">
        <v>2</v>
      </c>
      <c r="E3" s="7" t="s">
        <v>3</v>
      </c>
      <c r="F3" s="8"/>
      <c r="H3" s="8"/>
      <c r="I3" s="9" t="s">
        <v>4</v>
      </c>
      <c r="J3" s="9"/>
      <c r="K3" s="9" t="s">
        <v>5</v>
      </c>
      <c r="M3" s="9"/>
      <c r="N3" s="10"/>
      <c r="P3" s="36" t="s">
        <v>21</v>
      </c>
      <c r="Q3" s="37"/>
      <c r="R3" s="38"/>
      <c r="S3" s="35"/>
      <c r="T3" s="36" t="s">
        <v>22</v>
      </c>
      <c r="U3" s="39">
        <v>274515</v>
      </c>
    </row>
    <row r="4" spans="2:21" x14ac:dyDescent="0.25">
      <c r="B4" s="5"/>
      <c r="C4" s="7" t="s">
        <v>6</v>
      </c>
      <c r="D4" s="11">
        <v>0.06</v>
      </c>
      <c r="E4" s="11">
        <v>0.03</v>
      </c>
      <c r="F4" s="8"/>
      <c r="G4" s="8"/>
      <c r="H4" s="8"/>
      <c r="I4" s="12">
        <f>POWER(80674/64225,1/3)-1</f>
        <v>7.8971133763741541E-2</v>
      </c>
      <c r="K4" s="12">
        <f>POWER(274515/229234,1/3)-1</f>
        <v>6.1929492587994961E-2</v>
      </c>
      <c r="N4" s="10"/>
      <c r="P4" s="40"/>
      <c r="Q4" s="41" t="s">
        <v>23</v>
      </c>
      <c r="R4" s="42">
        <v>14.71</v>
      </c>
      <c r="S4" s="35"/>
      <c r="T4" s="40" t="s">
        <v>24</v>
      </c>
      <c r="U4" s="43">
        <v>0.09</v>
      </c>
    </row>
    <row r="5" spans="2:21" x14ac:dyDescent="0.25">
      <c r="B5" s="5"/>
      <c r="C5" s="7" t="s">
        <v>7</v>
      </c>
      <c r="D5" s="11">
        <v>0.12</v>
      </c>
      <c r="E5" s="11"/>
      <c r="F5" s="8"/>
      <c r="G5" s="8"/>
      <c r="H5" s="8"/>
      <c r="I5" s="8"/>
      <c r="J5" s="8"/>
      <c r="K5" s="8"/>
      <c r="L5" s="8"/>
      <c r="M5" s="8"/>
      <c r="N5" s="10"/>
      <c r="P5" s="40"/>
      <c r="Q5" s="41" t="s">
        <v>25</v>
      </c>
      <c r="R5" s="42">
        <v>16.670000000000002</v>
      </c>
      <c r="S5" s="35"/>
      <c r="T5" s="44">
        <v>5</v>
      </c>
      <c r="U5" s="45">
        <f>U3*POWER(1+U4,T5)</f>
        <v>422375.35497937363</v>
      </c>
    </row>
    <row r="6" spans="2:21" x14ac:dyDescent="0.25">
      <c r="B6" s="5"/>
      <c r="C6" s="13" t="s">
        <v>8</v>
      </c>
      <c r="E6" s="8"/>
      <c r="F6" s="8"/>
      <c r="G6" s="8"/>
      <c r="H6" s="8"/>
      <c r="I6" s="8"/>
      <c r="K6" s="14"/>
      <c r="L6" s="14"/>
      <c r="M6" s="14"/>
      <c r="N6" s="15" t="s">
        <v>9</v>
      </c>
      <c r="P6" s="40"/>
      <c r="Q6" s="41" t="s">
        <v>26</v>
      </c>
      <c r="R6" s="42">
        <v>13.91</v>
      </c>
      <c r="S6" s="35"/>
      <c r="T6" s="40" t="s">
        <v>27</v>
      </c>
      <c r="U6" s="43">
        <v>0.25</v>
      </c>
    </row>
    <row r="7" spans="2:21" x14ac:dyDescent="0.25">
      <c r="B7" s="5"/>
      <c r="C7" s="13">
        <v>0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13">
        <v>9</v>
      </c>
      <c r="M7" s="13">
        <v>10</v>
      </c>
      <c r="N7" s="16" t="s">
        <v>10</v>
      </c>
      <c r="P7" s="40"/>
      <c r="Q7" s="41" t="s">
        <v>28</v>
      </c>
      <c r="R7" s="42">
        <v>18.93</v>
      </c>
      <c r="S7" s="35"/>
      <c r="T7" s="40" t="s">
        <v>29</v>
      </c>
      <c r="U7" s="45">
        <f>U5*U6</f>
        <v>105593.83874484341</v>
      </c>
    </row>
    <row r="8" spans="2:21" x14ac:dyDescent="0.25">
      <c r="B8" s="17" t="s">
        <v>11</v>
      </c>
      <c r="C8" s="18">
        <f>80674-7309</f>
        <v>73365</v>
      </c>
      <c r="D8" s="18">
        <f>C8*(1+D4)</f>
        <v>77766.900000000009</v>
      </c>
      <c r="E8" s="18">
        <f>D8*(1+D4)</f>
        <v>82432.914000000019</v>
      </c>
      <c r="F8" s="18">
        <f>E8*(1+D4)</f>
        <v>87378.888840000029</v>
      </c>
      <c r="G8" s="18">
        <f>F8*(1+D4)</f>
        <v>92621.622170400035</v>
      </c>
      <c r="H8" s="18">
        <f>G8*(1+D4)</f>
        <v>98178.919500624048</v>
      </c>
      <c r="I8" s="18">
        <f>H8*(1+D4)</f>
        <v>104069.65467066149</v>
      </c>
      <c r="J8" s="18">
        <f>I8*(1+D4)</f>
        <v>110313.83395090119</v>
      </c>
      <c r="K8" s="18">
        <f>J8*(1+D4)</f>
        <v>116932.66398795527</v>
      </c>
      <c r="L8" s="18">
        <f>K8*(1+D4)</f>
        <v>123948.62382723259</v>
      </c>
      <c r="M8" s="18">
        <f>L8*(1+D4)</f>
        <v>131385.54125686653</v>
      </c>
      <c r="N8" s="19">
        <f>M8*(1+E4)/(D5-E4)</f>
        <v>1503634.5277174725</v>
      </c>
      <c r="P8" s="40"/>
      <c r="Q8" s="41" t="s">
        <v>30</v>
      </c>
      <c r="R8" s="42">
        <v>25.63</v>
      </c>
      <c r="S8" s="35"/>
      <c r="T8" s="40" t="s">
        <v>31</v>
      </c>
      <c r="U8" s="46">
        <v>15</v>
      </c>
    </row>
    <row r="9" spans="2:21" x14ac:dyDescent="0.25">
      <c r="B9" s="17" t="s">
        <v>12</v>
      </c>
      <c r="D9" s="18">
        <f>D8/(1+D5)^(D7)</f>
        <v>69434.732142857145</v>
      </c>
      <c r="E9" s="18">
        <f>E8/(1+D5)^(E7)</f>
        <v>65715.014349489808</v>
      </c>
      <c r="F9" s="18">
        <f>F8/(1+D5)^(F7)</f>
        <v>62194.567152195705</v>
      </c>
      <c r="G9" s="18">
        <f>G8/(1+D5)^(G7)</f>
        <v>58862.715340470939</v>
      </c>
      <c r="H9" s="18">
        <f>H8/(1+D5)^(H7)</f>
        <v>55709.355590088569</v>
      </c>
      <c r="I9" s="18">
        <f>I8/(1+D5)^(I7)</f>
        <v>52724.92582633382</v>
      </c>
      <c r="J9" s="18">
        <f>J8/(1+D5)^(J7)</f>
        <v>49900.376228494504</v>
      </c>
      <c r="K9" s="18">
        <f>K8/(1+D5)^(K7)</f>
        <v>47227.141787682303</v>
      </c>
      <c r="L9" s="18">
        <f>L8/(1+D5)^(L7)</f>
        <v>44697.116334770748</v>
      </c>
      <c r="M9" s="18">
        <f>M8/(1+D5)^(M7)</f>
        <v>42302.627959693738</v>
      </c>
      <c r="N9" s="19">
        <f>N8/(1+D5)^(M7)</f>
        <v>484130.07553871721</v>
      </c>
      <c r="P9" s="40" t="s">
        <v>32</v>
      </c>
      <c r="Q9" s="35"/>
      <c r="R9" s="42"/>
      <c r="S9" s="35"/>
      <c r="T9" s="40" t="s">
        <v>33</v>
      </c>
      <c r="U9" s="45">
        <f>U7*U8/100</f>
        <v>15839.075811726512</v>
      </c>
    </row>
    <row r="10" spans="2:21" x14ac:dyDescent="0.25">
      <c r="B10" s="20" t="s">
        <v>13</v>
      </c>
      <c r="C10" s="18">
        <f>SUM(D9:N9)</f>
        <v>1032898.6482507945</v>
      </c>
      <c r="E10" s="8"/>
      <c r="F10" s="8"/>
      <c r="G10" s="8"/>
      <c r="H10" s="8"/>
      <c r="I10" s="8"/>
      <c r="J10" s="8"/>
      <c r="K10" s="8"/>
      <c r="L10" s="8"/>
      <c r="M10" s="8"/>
      <c r="N10" s="10"/>
      <c r="P10" s="40"/>
      <c r="Q10" s="35">
        <v>2021</v>
      </c>
      <c r="R10" s="42">
        <v>3.95</v>
      </c>
      <c r="S10" s="35"/>
      <c r="T10" s="40"/>
      <c r="U10" s="47"/>
    </row>
    <row r="11" spans="2:21" x14ac:dyDescent="0.25">
      <c r="B11" s="20" t="s">
        <v>14</v>
      </c>
      <c r="C11" s="18">
        <v>-69552</v>
      </c>
      <c r="E11" s="8"/>
      <c r="F11" s="8"/>
      <c r="G11" s="8"/>
      <c r="H11" s="8"/>
      <c r="I11" s="8"/>
      <c r="J11" s="8"/>
      <c r="K11" s="8"/>
      <c r="L11" s="8"/>
      <c r="M11" s="8"/>
      <c r="N11" s="21"/>
      <c r="P11" s="40"/>
      <c r="Q11" s="35">
        <v>2022</v>
      </c>
      <c r="R11" s="42">
        <v>4.3099999999999996</v>
      </c>
      <c r="S11" s="35"/>
      <c r="T11" s="40" t="s">
        <v>34</v>
      </c>
      <c r="U11" s="43">
        <v>0.12</v>
      </c>
    </row>
    <row r="12" spans="2:21" x14ac:dyDescent="0.25">
      <c r="B12" s="20" t="s">
        <v>15</v>
      </c>
      <c r="C12" s="18">
        <v>0</v>
      </c>
      <c r="E12" s="8"/>
      <c r="F12" s="8"/>
      <c r="G12" s="8"/>
      <c r="H12" s="8"/>
      <c r="I12" s="8"/>
      <c r="J12" s="8"/>
      <c r="K12" s="8"/>
      <c r="L12" s="8"/>
      <c r="M12" s="8"/>
      <c r="N12" s="21"/>
      <c r="P12" s="40"/>
      <c r="Q12" s="35">
        <v>2023</v>
      </c>
      <c r="R12" s="42">
        <v>4.71</v>
      </c>
      <c r="S12" s="35"/>
      <c r="T12" s="40" t="s">
        <v>35</v>
      </c>
      <c r="U12" s="45">
        <f>U9/POWER(1+U11,T5)</f>
        <v>8987.5169853364951</v>
      </c>
    </row>
    <row r="13" spans="2:21" x14ac:dyDescent="0.25">
      <c r="B13" s="20" t="s">
        <v>16</v>
      </c>
      <c r="C13" s="18">
        <f>C10-C11-C12</f>
        <v>1102450.6482507945</v>
      </c>
      <c r="E13" s="8"/>
      <c r="F13" s="8"/>
      <c r="G13" s="8"/>
      <c r="H13" s="8"/>
      <c r="I13" s="8"/>
      <c r="J13" s="8"/>
      <c r="K13" s="8"/>
      <c r="L13" s="8"/>
      <c r="M13" s="8"/>
      <c r="N13" s="21"/>
      <c r="P13" s="40"/>
      <c r="Q13" s="35"/>
      <c r="R13" s="42"/>
      <c r="S13" s="35"/>
      <c r="T13" s="40"/>
      <c r="U13" s="47"/>
    </row>
    <row r="14" spans="2:21" x14ac:dyDescent="0.25">
      <c r="B14" s="20" t="s">
        <v>17</v>
      </c>
      <c r="C14" s="18">
        <v>17001.8</v>
      </c>
      <c r="E14" s="22" t="s">
        <v>18</v>
      </c>
      <c r="F14" s="23"/>
      <c r="G14" s="23"/>
      <c r="H14" s="23"/>
      <c r="I14" s="23"/>
      <c r="J14" s="8"/>
      <c r="K14" s="8"/>
      <c r="L14" s="8"/>
      <c r="M14" s="8"/>
      <c r="N14" s="21"/>
      <c r="P14" s="40" t="s">
        <v>36</v>
      </c>
      <c r="Q14" s="48">
        <v>15</v>
      </c>
      <c r="R14" s="49">
        <f>Q14*R10</f>
        <v>59.25</v>
      </c>
      <c r="S14" s="35"/>
      <c r="T14" s="40" t="s">
        <v>17</v>
      </c>
      <c r="U14" s="42">
        <f>C14</f>
        <v>17001.8</v>
      </c>
    </row>
    <row r="15" spans="2:21" x14ac:dyDescent="0.25">
      <c r="B15" s="20" t="s">
        <v>19</v>
      </c>
      <c r="D15" s="24">
        <f>C13/C14</f>
        <v>64.843172384735411</v>
      </c>
      <c r="E15" s="25">
        <v>0.04</v>
      </c>
      <c r="F15" s="25">
        <v>0.05</v>
      </c>
      <c r="G15" s="25">
        <v>0.06</v>
      </c>
      <c r="H15" s="25">
        <v>7.0000000000000007E-2</v>
      </c>
      <c r="I15" s="25">
        <v>0.08</v>
      </c>
      <c r="J15" s="8"/>
      <c r="K15" s="8"/>
      <c r="L15" s="8"/>
      <c r="M15" s="8"/>
      <c r="N15" s="10"/>
      <c r="P15" s="40" t="s">
        <v>37</v>
      </c>
      <c r="Q15" s="35"/>
      <c r="R15" s="50">
        <f>R14/R11</f>
        <v>13.747099767981441</v>
      </c>
      <c r="S15" s="35"/>
      <c r="T15" s="51" t="s">
        <v>38</v>
      </c>
      <c r="U15" s="52">
        <f>U12/U14*100</f>
        <v>52.862149803764865</v>
      </c>
    </row>
    <row r="16" spans="2:21" x14ac:dyDescent="0.25">
      <c r="B16" s="5"/>
      <c r="C16" s="22" t="s">
        <v>20</v>
      </c>
      <c r="D16" s="55">
        <v>0.18</v>
      </c>
      <c r="E16" s="26">
        <f t="dataTable" ref="E16:I20" dt2D="1" dtr="1" r1="D4" r2="D5"/>
        <v>35.460365656207586</v>
      </c>
      <c r="F16" s="26">
        <v>37.31850446885641</v>
      </c>
      <c r="G16" s="26">
        <v>39.304076831818769</v>
      </c>
      <c r="H16" s="26">
        <v>41.425835334166429</v>
      </c>
      <c r="I16" s="26">
        <v>43.693083151704478</v>
      </c>
      <c r="J16" s="8"/>
      <c r="K16" s="8"/>
      <c r="L16" s="8"/>
      <c r="M16" s="8"/>
      <c r="N16" s="10"/>
      <c r="P16" s="40"/>
      <c r="Q16" s="48">
        <v>12</v>
      </c>
      <c r="R16" s="42">
        <f>Q16*R10</f>
        <v>47.400000000000006</v>
      </c>
      <c r="S16" s="35"/>
      <c r="T16" s="40" t="s">
        <v>39</v>
      </c>
      <c r="U16" s="35"/>
    </row>
    <row r="17" spans="2:21" x14ac:dyDescent="0.25">
      <c r="B17" s="5"/>
      <c r="C17" s="23"/>
      <c r="D17" s="55">
        <v>0.15</v>
      </c>
      <c r="E17" s="26">
        <v>43.512927325865981</v>
      </c>
      <c r="F17" s="27">
        <v>46.069655970782328</v>
      </c>
      <c r="G17" s="27">
        <v>48.811555432549525</v>
      </c>
      <c r="H17" s="27">
        <v>51.751716933347822</v>
      </c>
      <c r="I17" s="26">
        <v>54.904069495926677</v>
      </c>
      <c r="J17" s="8"/>
      <c r="K17" s="8"/>
      <c r="L17" s="8"/>
      <c r="M17" s="8"/>
      <c r="N17" s="10"/>
      <c r="P17" s="51"/>
      <c r="Q17" s="53">
        <v>10</v>
      </c>
      <c r="R17" s="54">
        <f>Q17*R10</f>
        <v>39.5</v>
      </c>
      <c r="S17" s="35"/>
      <c r="T17" s="35"/>
      <c r="U17" s="35"/>
    </row>
    <row r="18" spans="2:21" x14ac:dyDescent="0.25">
      <c r="B18" s="5"/>
      <c r="C18" s="23"/>
      <c r="D18" s="55">
        <v>0.12</v>
      </c>
      <c r="E18" s="26">
        <v>56.988432313535881</v>
      </c>
      <c r="F18" s="27">
        <v>60.771196983963819</v>
      </c>
      <c r="G18" s="27">
        <v>64.843172384735411</v>
      </c>
      <c r="H18" s="27">
        <v>69.225390409930199</v>
      </c>
      <c r="I18" s="26">
        <v>73.94025171471192</v>
      </c>
      <c r="J18" s="28"/>
      <c r="K18" s="28"/>
      <c r="L18" s="28"/>
      <c r="M18" s="28"/>
      <c r="N18" s="29"/>
    </row>
    <row r="19" spans="2:21" x14ac:dyDescent="0.25">
      <c r="B19" s="5"/>
      <c r="C19" s="23"/>
      <c r="D19" s="55">
        <v>0.1</v>
      </c>
      <c r="E19" s="26">
        <v>72.436704897317924</v>
      </c>
      <c r="F19" s="27">
        <v>77.674691589893072</v>
      </c>
      <c r="G19" s="27">
        <v>83.327726348544019</v>
      </c>
      <c r="H19" s="27">
        <v>89.426552657237721</v>
      </c>
      <c r="I19" s="26">
        <v>96.003936817321872</v>
      </c>
      <c r="J19" s="8"/>
      <c r="K19" s="8"/>
      <c r="L19" s="8"/>
      <c r="M19" s="8"/>
      <c r="N19" s="10"/>
    </row>
    <row r="20" spans="2:21" x14ac:dyDescent="0.25">
      <c r="B20" s="30"/>
      <c r="C20" s="31"/>
      <c r="D20" s="56">
        <v>0.08</v>
      </c>
      <c r="E20" s="32">
        <v>100.30770320071281</v>
      </c>
      <c r="F20" s="32">
        <v>108.23782997206941</v>
      </c>
      <c r="G20" s="32">
        <v>116.81895803428726</v>
      </c>
      <c r="H20" s="32">
        <v>126.10018649810127</v>
      </c>
      <c r="I20" s="32">
        <v>136.1338799421238</v>
      </c>
      <c r="J20" s="33"/>
      <c r="K20" s="33"/>
      <c r="L20" s="33"/>
      <c r="M20" s="33"/>
      <c r="N20" s="34"/>
    </row>
  </sheetData>
  <mergeCells count="2">
    <mergeCell ref="P2:R2"/>
    <mergeCell ref="T2:U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32"/>
  <sheetViews>
    <sheetView tabSelected="1" topLeftCell="A4" workbookViewId="0">
      <selection activeCell="I35" sqref="I35"/>
    </sheetView>
  </sheetViews>
  <sheetFormatPr defaultRowHeight="15.75" x14ac:dyDescent="0.25"/>
  <cols>
    <col min="2" max="2" width="13.25" customWidth="1"/>
  </cols>
  <sheetData>
    <row r="5" spans="2:24" x14ac:dyDescent="0.25">
      <c r="B5" t="s">
        <v>50</v>
      </c>
      <c r="C5">
        <v>25</v>
      </c>
      <c r="K5" t="s">
        <v>60</v>
      </c>
      <c r="M5" t="s">
        <v>58</v>
      </c>
    </row>
    <row r="6" spans="2:24" x14ac:dyDescent="0.25">
      <c r="B6" t="s">
        <v>48</v>
      </c>
      <c r="C6">
        <v>467</v>
      </c>
      <c r="L6">
        <f>E18</f>
        <v>14706.206448792211</v>
      </c>
      <c r="M6">
        <v>10</v>
      </c>
      <c r="N6">
        <v>12</v>
      </c>
      <c r="O6">
        <v>15</v>
      </c>
      <c r="P6">
        <v>18</v>
      </c>
      <c r="Q6">
        <v>20</v>
      </c>
      <c r="R6">
        <v>22</v>
      </c>
      <c r="S6">
        <v>25</v>
      </c>
      <c r="T6">
        <v>30</v>
      </c>
      <c r="U6">
        <v>35</v>
      </c>
      <c r="V6">
        <v>40</v>
      </c>
      <c r="W6">
        <v>45</v>
      </c>
      <c r="X6">
        <v>50</v>
      </c>
    </row>
    <row r="7" spans="2:24" x14ac:dyDescent="0.25">
      <c r="B7" t="s">
        <v>51</v>
      </c>
      <c r="C7" s="57">
        <v>0.08</v>
      </c>
      <c r="K7" t="s">
        <v>51</v>
      </c>
      <c r="L7" s="57">
        <v>0.05</v>
      </c>
      <c r="M7">
        <f t="dataTable" ref="M7:X15" dt2D="1" dtr="1" r1="C5" r2="C7"/>
        <v>6761.1920487216476</v>
      </c>
      <c r="N7">
        <v>7985.9513619707568</v>
      </c>
      <c r="O7">
        <v>9823.0903318444216</v>
      </c>
      <c r="P7">
        <v>11660.229301718084</v>
      </c>
      <c r="Q7">
        <v>12884.988614967193</v>
      </c>
      <c r="R7">
        <v>14109.747928216302</v>
      </c>
      <c r="S7">
        <v>15946.886898089964</v>
      </c>
      <c r="T7">
        <v>19008.785181212737</v>
      </c>
      <c r="U7">
        <v>22070.683464335511</v>
      </c>
      <c r="V7">
        <v>25132.58174745828</v>
      </c>
      <c r="W7">
        <v>28194.480030581053</v>
      </c>
      <c r="X7">
        <v>31256.378313703823</v>
      </c>
    </row>
    <row r="8" spans="2:24" x14ac:dyDescent="0.25">
      <c r="B8" t="s">
        <v>52</v>
      </c>
      <c r="C8" s="57">
        <v>0.04</v>
      </c>
      <c r="L8" s="57">
        <v>0.06</v>
      </c>
      <c r="M8">
        <v>6589.5069570490705</v>
      </c>
      <c r="N8">
        <v>7779.9292519636647</v>
      </c>
      <c r="O8">
        <v>9565.5626943355564</v>
      </c>
      <c r="P8">
        <v>11351.196136707445</v>
      </c>
      <c r="Q8">
        <v>12541.618431622039</v>
      </c>
      <c r="R8">
        <v>13732.040726536634</v>
      </c>
      <c r="S8">
        <v>15517.674168908523</v>
      </c>
      <c r="T8">
        <v>18493.729906195007</v>
      </c>
      <c r="U8">
        <v>21469.785643481489</v>
      </c>
      <c r="V8">
        <v>24445.841380767972</v>
      </c>
      <c r="W8">
        <v>27421.897118054458</v>
      </c>
      <c r="X8">
        <v>30397.95285534094</v>
      </c>
    </row>
    <row r="9" spans="2:24" x14ac:dyDescent="0.25">
      <c r="C9" s="57"/>
      <c r="L9" s="57">
        <v>7.0000000000000007E-2</v>
      </c>
      <c r="M9">
        <v>6424.1801096279651</v>
      </c>
      <c r="N9">
        <v>7581.537035058338</v>
      </c>
      <c r="O9">
        <v>9317.5724232038974</v>
      </c>
      <c r="P9">
        <v>11053.607811349457</v>
      </c>
      <c r="Q9">
        <v>12210.964736779828</v>
      </c>
      <c r="R9">
        <v>13368.321662210201</v>
      </c>
      <c r="S9">
        <v>15104.357050355758</v>
      </c>
      <c r="T9">
        <v>17997.749363931689</v>
      </c>
      <c r="U9">
        <v>20891.141677507621</v>
      </c>
      <c r="V9">
        <v>23784.53399108355</v>
      </c>
      <c r="W9">
        <v>26677.926304659482</v>
      </c>
      <c r="X9">
        <v>29571.318618235411</v>
      </c>
    </row>
    <row r="10" spans="2:24" x14ac:dyDescent="0.25"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L10" s="57">
        <v>0.08</v>
      </c>
      <c r="M10">
        <v>6264.919869002546</v>
      </c>
      <c r="N10">
        <v>7390.4247463078345</v>
      </c>
      <c r="O10">
        <v>9078.6820622657688</v>
      </c>
      <c r="P10">
        <v>10766.939378223702</v>
      </c>
      <c r="Q10">
        <v>11892.44425552899</v>
      </c>
      <c r="R10">
        <v>13017.949132834279</v>
      </c>
      <c r="S10">
        <v>14706.206448792211</v>
      </c>
      <c r="T10">
        <v>17519.968642055432</v>
      </c>
      <c r="U10">
        <v>20333.730835318653</v>
      </c>
      <c r="V10">
        <v>23147.493028581874</v>
      </c>
      <c r="W10">
        <v>25961.255221845095</v>
      </c>
      <c r="X10">
        <v>28775.017415108316</v>
      </c>
    </row>
    <row r="11" spans="2:24" x14ac:dyDescent="0.25">
      <c r="B11" t="s">
        <v>41</v>
      </c>
      <c r="C11">
        <v>1</v>
      </c>
      <c r="D11">
        <v>2</v>
      </c>
      <c r="E11">
        <v>3</v>
      </c>
      <c r="F11">
        <v>4</v>
      </c>
      <c r="G11">
        <v>5</v>
      </c>
      <c r="L11" s="57">
        <v>0.09</v>
      </c>
      <c r="M11">
        <v>6111.4505036377905</v>
      </c>
      <c r="N11">
        <v>7206.2615078701274</v>
      </c>
      <c r="O11">
        <v>8848.4780142186355</v>
      </c>
      <c r="P11">
        <v>10490.69452056714</v>
      </c>
      <c r="Q11">
        <v>11585.505524799479</v>
      </c>
      <c r="R11">
        <v>12680.316529031816</v>
      </c>
      <c r="S11">
        <v>14322.53303538032</v>
      </c>
      <c r="T11">
        <v>17059.560545961165</v>
      </c>
      <c r="U11">
        <v>19796.588056542008</v>
      </c>
      <c r="V11">
        <v>22533.615567122852</v>
      </c>
      <c r="W11">
        <v>25270.643077703691</v>
      </c>
      <c r="X11">
        <v>28007.670588284534</v>
      </c>
    </row>
    <row r="12" spans="2:24" x14ac:dyDescent="0.25">
      <c r="B12" t="s">
        <v>40</v>
      </c>
      <c r="C12" s="57">
        <v>0.15</v>
      </c>
      <c r="D12" s="57">
        <v>0.2</v>
      </c>
      <c r="E12" s="57">
        <v>0.1</v>
      </c>
      <c r="F12" s="57">
        <v>0.15</v>
      </c>
      <c r="G12" s="57">
        <v>0.2</v>
      </c>
      <c r="L12" s="57">
        <v>0.1</v>
      </c>
      <c r="M12">
        <v>5963.5111849554396</v>
      </c>
      <c r="N12">
        <v>7028.7343254513071</v>
      </c>
      <c r="O12">
        <v>8626.569036195111</v>
      </c>
      <c r="P12">
        <v>10224.40374693891</v>
      </c>
      <c r="Q12">
        <v>11289.626887434777</v>
      </c>
      <c r="R12">
        <v>12354.850027930645</v>
      </c>
      <c r="S12">
        <v>13952.684738674445</v>
      </c>
      <c r="T12">
        <v>16615.742589914116</v>
      </c>
      <c r="U12">
        <v>19278.80044115378</v>
      </c>
      <c r="V12">
        <v>21941.858292393448</v>
      </c>
      <c r="W12">
        <v>24604.916143633116</v>
      </c>
      <c r="X12">
        <v>27267.973994872784</v>
      </c>
    </row>
    <row r="13" spans="2:24" x14ac:dyDescent="0.25">
      <c r="B13" t="s">
        <v>47</v>
      </c>
      <c r="C13" s="57">
        <v>0.4</v>
      </c>
      <c r="D13" s="57">
        <v>0.3</v>
      </c>
      <c r="E13" s="57">
        <v>0.4</v>
      </c>
      <c r="F13" s="57">
        <v>0.3</v>
      </c>
      <c r="G13" s="57">
        <v>0.3</v>
      </c>
      <c r="L13" s="57">
        <v>0.12</v>
      </c>
      <c r="M13">
        <v>5683.2483660402413</v>
      </c>
      <c r="N13">
        <v>6692.4189427530691</v>
      </c>
      <c r="O13">
        <v>8206.1748078223118</v>
      </c>
      <c r="P13">
        <v>9719.9306728915526</v>
      </c>
      <c r="Q13">
        <v>10729.10124960438</v>
      </c>
      <c r="R13">
        <v>11738.271826317208</v>
      </c>
      <c r="S13">
        <v>13252.027691386449</v>
      </c>
      <c r="T13">
        <v>15774.95413316852</v>
      </c>
      <c r="U13">
        <v>18297.880574950585</v>
      </c>
      <c r="V13">
        <v>20820.807016732655</v>
      </c>
      <c r="W13">
        <v>23343.733458514722</v>
      </c>
      <c r="X13">
        <v>25866.659900296792</v>
      </c>
    </row>
    <row r="14" spans="2:24" x14ac:dyDescent="0.25">
      <c r="B14" t="s">
        <v>49</v>
      </c>
      <c r="C14">
        <f>C6*(1+C12)</f>
        <v>537.04999999999995</v>
      </c>
      <c r="D14">
        <f>C14*(1+D12)</f>
        <v>644.45999999999992</v>
      </c>
      <c r="E14">
        <f t="shared" ref="E14:G14" si="0">D14*(1+E12)</f>
        <v>708.90599999999995</v>
      </c>
      <c r="F14">
        <f t="shared" si="0"/>
        <v>815.24189999999987</v>
      </c>
      <c r="G14">
        <f t="shared" si="0"/>
        <v>978.29027999999983</v>
      </c>
      <c r="L14" s="57">
        <v>0.15</v>
      </c>
      <c r="M14">
        <v>5298.5675051604139</v>
      </c>
      <c r="N14">
        <v>6230.8019096972766</v>
      </c>
      <c r="O14">
        <v>7629.1535165025707</v>
      </c>
      <c r="P14">
        <v>9027.5051233078648</v>
      </c>
      <c r="Q14">
        <v>9959.7395278447257</v>
      </c>
      <c r="R14">
        <v>10891.973932381588</v>
      </c>
      <c r="S14">
        <v>12290.325539186881</v>
      </c>
      <c r="T14">
        <v>14620.911550529039</v>
      </c>
      <c r="U14">
        <v>16951.497561871194</v>
      </c>
      <c r="V14">
        <v>19282.083573213346</v>
      </c>
      <c r="W14">
        <v>21612.6695845555</v>
      </c>
      <c r="X14">
        <v>23943.255595897655</v>
      </c>
    </row>
    <row r="15" spans="2:24" x14ac:dyDescent="0.25">
      <c r="B15" t="s">
        <v>53</v>
      </c>
      <c r="C15">
        <f>C14*C13</f>
        <v>214.82</v>
      </c>
      <c r="D15">
        <f t="shared" ref="D15:G15" si="1">D14*D13</f>
        <v>193.33799999999997</v>
      </c>
      <c r="E15">
        <f t="shared" si="1"/>
        <v>283.56239999999997</v>
      </c>
      <c r="F15">
        <f t="shared" si="1"/>
        <v>244.57256999999996</v>
      </c>
      <c r="G15">
        <f t="shared" si="1"/>
        <v>293.48708399999992</v>
      </c>
      <c r="L15" s="57">
        <v>0.2</v>
      </c>
      <c r="M15">
        <v>4739.8607602538805</v>
      </c>
      <c r="N15">
        <v>5560.3538158094361</v>
      </c>
      <c r="O15">
        <v>6791.0933991427701</v>
      </c>
      <c r="P15">
        <v>8021.8329824761031</v>
      </c>
      <c r="Q15">
        <v>8842.3260380316588</v>
      </c>
      <c r="R15">
        <v>9662.8190935872153</v>
      </c>
      <c r="S15">
        <v>10893.558676920547</v>
      </c>
      <c r="T15">
        <v>12944.791315809438</v>
      </c>
      <c r="U15">
        <v>14996.023954698327</v>
      </c>
      <c r="V15">
        <v>17047.256593587212</v>
      </c>
      <c r="W15">
        <v>19098.489232476102</v>
      </c>
      <c r="X15">
        <v>21149.721871364989</v>
      </c>
    </row>
    <row r="16" spans="2:24" x14ac:dyDescent="0.25">
      <c r="B16" t="s">
        <v>54</v>
      </c>
      <c r="C16">
        <f>C15/(1+C8)</f>
        <v>206.55769230769229</v>
      </c>
      <c r="D16">
        <f>D15/(1+C8)^(D11)</f>
        <v>178.75184911242599</v>
      </c>
      <c r="E16">
        <f>E15/(1+C8)^(E11)</f>
        <v>252.08594105598539</v>
      </c>
      <c r="F16">
        <f>F15/(1+C8)^(F11)</f>
        <v>209.06165784691092</v>
      </c>
      <c r="G16">
        <f>G15/(1+C8)^(G11)</f>
        <v>241.22498982335873</v>
      </c>
      <c r="H16">
        <f>SUM(C16:G16)</f>
        <v>1087.6821301463733</v>
      </c>
    </row>
    <row r="17" spans="2:24" x14ac:dyDescent="0.25">
      <c r="B17" t="s">
        <v>55</v>
      </c>
      <c r="E17">
        <f>E14*C5/(1+C7)^E11</f>
        <v>14068.810966316107</v>
      </c>
      <c r="G17">
        <f>G14*C5/(1+C7)^G11</f>
        <v>16645.19815973613</v>
      </c>
    </row>
    <row r="18" spans="2:24" x14ac:dyDescent="0.25">
      <c r="B18" t="s">
        <v>56</v>
      </c>
      <c r="E18">
        <f>E17+C16+D16+E16</f>
        <v>14706.206448792211</v>
      </c>
      <c r="G18">
        <f>G17+H16</f>
        <v>17732.880289882502</v>
      </c>
    </row>
    <row r="21" spans="2:24" x14ac:dyDescent="0.25">
      <c r="K21" t="s">
        <v>59</v>
      </c>
    </row>
    <row r="22" spans="2:24" x14ac:dyDescent="0.25">
      <c r="M22" t="s">
        <v>58</v>
      </c>
    </row>
    <row r="23" spans="2:24" x14ac:dyDescent="0.25">
      <c r="L23">
        <f>G18</f>
        <v>17732.880289882502</v>
      </c>
      <c r="M23">
        <v>10</v>
      </c>
      <c r="N23">
        <v>12</v>
      </c>
      <c r="O23">
        <v>15</v>
      </c>
      <c r="P23">
        <v>18</v>
      </c>
      <c r="Q23">
        <v>20</v>
      </c>
      <c r="R23">
        <v>22</v>
      </c>
      <c r="S23">
        <v>25</v>
      </c>
      <c r="T23">
        <v>30</v>
      </c>
      <c r="U23">
        <v>35</v>
      </c>
      <c r="V23">
        <v>40</v>
      </c>
      <c r="W23">
        <v>45</v>
      </c>
      <c r="X23">
        <v>50</v>
      </c>
    </row>
    <row r="24" spans="2:24" x14ac:dyDescent="0.25">
      <c r="K24" t="s">
        <v>51</v>
      </c>
      <c r="L24" s="57">
        <v>0.05</v>
      </c>
      <c r="M24">
        <f t="dataTable" ref="M24:X32" dt2D="1" dtr="1" r1="C5" r2="C7" ca="1"/>
        <v>8752.842457963925</v>
      </c>
      <c r="N24">
        <v>10285.874523527436</v>
      </c>
      <c r="O24">
        <v>12585.422621872702</v>
      </c>
      <c r="P24">
        <v>14884.970720217967</v>
      </c>
      <c r="Q24">
        <v>16418.002785781478</v>
      </c>
      <c r="R24">
        <v>17951.034851344986</v>
      </c>
      <c r="S24">
        <v>20250.582949690252</v>
      </c>
      <c r="T24">
        <v>24083.163113599032</v>
      </c>
      <c r="U24">
        <v>27915.743277507805</v>
      </c>
      <c r="V24">
        <v>31748.323441416578</v>
      </c>
      <c r="W24">
        <v>35580.903605325351</v>
      </c>
      <c r="X24">
        <v>39413.483769234132</v>
      </c>
    </row>
    <row r="25" spans="2:24" x14ac:dyDescent="0.25">
      <c r="L25" s="57">
        <v>0.06</v>
      </c>
      <c r="M25">
        <v>8398.0362018006035</v>
      </c>
      <c r="N25">
        <v>9860.107016131451</v>
      </c>
      <c r="O25">
        <v>12053.21323762772</v>
      </c>
      <c r="P25">
        <v>14246.31945912399</v>
      </c>
      <c r="Q25">
        <v>15708.390273454834</v>
      </c>
      <c r="R25">
        <v>17170.461087785679</v>
      </c>
      <c r="S25">
        <v>19363.567309281949</v>
      </c>
      <c r="T25">
        <v>23018.744345109066</v>
      </c>
      <c r="U25">
        <v>26673.921380936183</v>
      </c>
      <c r="V25">
        <v>30329.098416763292</v>
      </c>
      <c r="W25">
        <v>33984.275452590409</v>
      </c>
      <c r="X25">
        <v>37639.452488417526</v>
      </c>
    </row>
    <row r="26" spans="2:24" x14ac:dyDescent="0.25">
      <c r="L26" s="57">
        <v>7.0000000000000007E-2</v>
      </c>
      <c r="M26">
        <v>8062.7566217784533</v>
      </c>
      <c r="N26">
        <v>9457.7715201048704</v>
      </c>
      <c r="O26">
        <v>11550.293867594495</v>
      </c>
      <c r="P26">
        <v>13642.816215084118</v>
      </c>
      <c r="Q26">
        <v>15037.831113410533</v>
      </c>
      <c r="R26">
        <v>16432.846011736947</v>
      </c>
      <c r="S26">
        <v>18525.368359226573</v>
      </c>
      <c r="T26">
        <v>22012.905605042615</v>
      </c>
      <c r="U26">
        <v>25500.442850858657</v>
      </c>
      <c r="V26">
        <v>28987.980096674692</v>
      </c>
      <c r="W26">
        <v>32475.517342490733</v>
      </c>
      <c r="X26">
        <v>35963.054588306768</v>
      </c>
    </row>
    <row r="27" spans="2:24" x14ac:dyDescent="0.25">
      <c r="L27" s="57">
        <v>0.08</v>
      </c>
      <c r="M27">
        <v>7745.7613940408264</v>
      </c>
      <c r="N27">
        <v>9077.3772468197167</v>
      </c>
      <c r="O27">
        <v>11074.801025988052</v>
      </c>
      <c r="P27">
        <v>13072.224805156389</v>
      </c>
      <c r="Q27">
        <v>14403.84065793528</v>
      </c>
      <c r="R27">
        <v>15735.456510714168</v>
      </c>
      <c r="S27">
        <v>17732.880289882502</v>
      </c>
      <c r="T27">
        <v>21061.919921829729</v>
      </c>
      <c r="U27">
        <v>24390.959553776956</v>
      </c>
      <c r="V27">
        <v>27719.999185724184</v>
      </c>
      <c r="W27">
        <v>31049.038817671411</v>
      </c>
      <c r="X27">
        <v>34378.078449618632</v>
      </c>
    </row>
    <row r="28" spans="2:24" x14ac:dyDescent="0.25">
      <c r="L28" s="57">
        <v>0.09</v>
      </c>
      <c r="M28">
        <v>7445.8977089723357</v>
      </c>
      <c r="N28">
        <v>8717.540824737529</v>
      </c>
      <c r="O28">
        <v>10625.005498385317</v>
      </c>
      <c r="P28">
        <v>12532.470172033107</v>
      </c>
      <c r="Q28">
        <v>13804.113287798298</v>
      </c>
      <c r="R28">
        <v>15075.75640356349</v>
      </c>
      <c r="S28">
        <v>16983.221077211281</v>
      </c>
      <c r="T28">
        <v>20162.328866624259</v>
      </c>
      <c r="U28">
        <v>23341.436656037244</v>
      </c>
      <c r="V28">
        <v>26520.544445450221</v>
      </c>
      <c r="W28">
        <v>29699.652234863206</v>
      </c>
      <c r="X28">
        <v>32878.760024276184</v>
      </c>
    </row>
    <row r="29" spans="2:24" x14ac:dyDescent="0.25">
      <c r="L29" s="57">
        <v>0.1</v>
      </c>
      <c r="M29">
        <v>7162.0950800814835</v>
      </c>
      <c r="N29">
        <v>8376.977670068507</v>
      </c>
      <c r="O29">
        <v>10199.30155504904</v>
      </c>
      <c r="P29">
        <v>12021.625440029573</v>
      </c>
      <c r="Q29">
        <v>13236.508030016594</v>
      </c>
      <c r="R29">
        <v>14451.390620003616</v>
      </c>
      <c r="S29">
        <v>16273.714504984149</v>
      </c>
      <c r="T29">
        <v>19310.920979951705</v>
      </c>
      <c r="U29">
        <v>22348.12745491926</v>
      </c>
      <c r="V29">
        <v>25385.333929886816</v>
      </c>
      <c r="W29">
        <v>28422.540404854371</v>
      </c>
      <c r="X29">
        <v>31459.746879821927</v>
      </c>
    </row>
    <row r="30" spans="2:24" x14ac:dyDescent="0.25">
      <c r="L30" s="57">
        <v>0.12</v>
      </c>
      <c r="M30">
        <v>6638.7639057510523</v>
      </c>
      <c r="N30">
        <v>7748.9802608719892</v>
      </c>
      <c r="O30">
        <v>9414.3047935533923</v>
      </c>
      <c r="P30">
        <v>11079.629326234797</v>
      </c>
      <c r="Q30">
        <v>12189.845681355731</v>
      </c>
      <c r="R30">
        <v>13300.062036476667</v>
      </c>
      <c r="S30">
        <v>14965.38656915807</v>
      </c>
      <c r="T30">
        <v>17740.927456960409</v>
      </c>
      <c r="U30">
        <v>20516.468344762754</v>
      </c>
      <c r="V30">
        <v>23292.009232565091</v>
      </c>
      <c r="W30">
        <v>26067.550120367428</v>
      </c>
      <c r="X30">
        <v>28843.091008169766</v>
      </c>
    </row>
    <row r="31" spans="2:24" x14ac:dyDescent="0.25">
      <c r="L31" s="57">
        <v>0.15</v>
      </c>
      <c r="M31">
        <v>5951.5138059908713</v>
      </c>
      <c r="N31">
        <v>6924.2801411597711</v>
      </c>
      <c r="O31">
        <v>8383.4296439131213</v>
      </c>
      <c r="P31">
        <v>9842.5791466664705</v>
      </c>
      <c r="Q31">
        <v>10815.345481835369</v>
      </c>
      <c r="R31">
        <v>11788.111817004268</v>
      </c>
      <c r="S31">
        <v>13247.261319757617</v>
      </c>
      <c r="T31">
        <v>15679.177157679867</v>
      </c>
      <c r="U31">
        <v>18111.092995602114</v>
      </c>
      <c r="V31">
        <v>20543.008833524364</v>
      </c>
      <c r="W31">
        <v>22974.924671446614</v>
      </c>
      <c r="X31">
        <v>25406.840509368863</v>
      </c>
    </row>
    <row r="32" spans="2:24" x14ac:dyDescent="0.25">
      <c r="L32" s="57">
        <v>0.2</v>
      </c>
      <c r="M32">
        <v>5019.2113546834098</v>
      </c>
      <c r="N32">
        <v>5805.5171995908177</v>
      </c>
      <c r="O32">
        <v>6984.9759669519281</v>
      </c>
      <c r="P32">
        <v>8164.4347343130394</v>
      </c>
      <c r="Q32">
        <v>8950.7405792204463</v>
      </c>
      <c r="R32">
        <v>9737.0464241278532</v>
      </c>
      <c r="S32">
        <v>10916.505191488965</v>
      </c>
      <c r="T32">
        <v>12882.269803757483</v>
      </c>
      <c r="U32">
        <v>14848.034416026001</v>
      </c>
      <c r="V32">
        <v>16813.799028294517</v>
      </c>
      <c r="W32">
        <v>18779.563640563036</v>
      </c>
      <c r="X32">
        <v>20745.328252831554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DCF速算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刘成岗Leo</dc:creator>
  <cp:lastModifiedBy>Administrator</cp:lastModifiedBy>
  <dcterms:created xsi:type="dcterms:W3CDTF">2020-11-02T06:31:47Z</dcterms:created>
  <dcterms:modified xsi:type="dcterms:W3CDTF">2021-05-29T23:47:34Z</dcterms:modified>
</cp:coreProperties>
</file>