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002236_大华股份/"/>
    </mc:Choice>
  </mc:AlternateContent>
  <bookViews>
    <workbookView xWindow="980" yWindow="880" windowWidth="25600" windowHeight="14780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B5" i="3"/>
  <c r="J15" i="3"/>
  <c r="J16" i="3"/>
  <c r="J17" i="3"/>
  <c r="J18" i="3"/>
  <c r="J19" i="3"/>
  <c r="J20" i="3"/>
  <c r="J21" i="3"/>
  <c r="J22" i="3"/>
  <c r="D13" i="4"/>
  <c r="H5" i="4"/>
  <c r="H6" i="4"/>
  <c r="H7" i="4"/>
  <c r="H8" i="4"/>
  <c r="H9" i="4"/>
  <c r="H10" i="4"/>
  <c r="H11" i="4"/>
  <c r="H12" i="4"/>
  <c r="J13" i="4"/>
  <c r="L13" i="4"/>
  <c r="M13" i="4"/>
  <c r="N13" i="4"/>
  <c r="O13" i="4"/>
  <c r="Q13" i="4"/>
  <c r="R13" i="4"/>
  <c r="S13" i="4"/>
  <c r="T13" i="4"/>
  <c r="U13" i="4"/>
  <c r="V13" i="4"/>
  <c r="W13" i="4"/>
  <c r="X13" i="4"/>
  <c r="Y13" i="4"/>
  <c r="P13" i="4"/>
  <c r="H13" i="4"/>
  <c r="H4" i="4"/>
  <c r="B12" i="3"/>
  <c r="I8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2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<sst xmlns="http://schemas.openxmlformats.org/spreadsheetml/2006/main" count="136" uniqueCount="118">
  <si>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</si>
  <si>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</si>
  <si>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</si>
  <si>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</si>
  <si>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</si>
  <si>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</si>
  <si>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</si>
  <si>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</si>
  <si>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</si>
  <si>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</si>
  <si>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</si>
  <si>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</si>
  <si>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</si>
  <si>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</si>
  <si>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</si>
  <si>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</si>
  <si>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</si>
  <si>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</si>
  <si>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</si>
  <si>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</si>
  <si>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</si>
  <si>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</si>
  <si>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</si>
  <si>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</si>
  <si>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</si>
  <si>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</si>
  <si>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</si>
  <si>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</si>
  <si>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</si>
  <si>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</si>
  <si>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</si>
  <si>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</si>
  <si>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</si>
  <si>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</si>
  <si>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</si>
  <si>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</si>
  <si>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</si>
  <si>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</si>
  <si>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</si>
  <si>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</si>
  <si>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</si>
  <si>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</si>
  <si>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</si>
  <si>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</si>
  <si>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</si>
  <si>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</si>
  <si>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</si>
  <si>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</si>
  <si>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</si>
  <si>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</si>
  <si>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</si>
  <si>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</si>
  <si>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</si>
  <si>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</si>
  <si>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</si>
  <si>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</si>
  <si>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</si>
  <si>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</si>
  <si>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</si>
  <si>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</si>
  <si>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</si>
  <si>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</si>
  <si>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</si>
  <si>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</si>
  <si>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</si>
  <si>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</si>
  <si>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</si>
  <si>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</si>
  <si>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</si>
  <si>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</si>
  <si>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</si>
  <si>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</si>
  <si>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</si>
  <si>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</si>
  <si>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</si>
  <si>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</si>
  <si>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</si>
  <si>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</si>
  <si>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</si>
  <si>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</si>
  <si>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</si>
  <si>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</si>
  <si>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</si>
  <si>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</si>
  <si>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</si>
  <si>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</si>
  <si>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</si>
  <si>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</si>
  <si>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</si>
  <si>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</si>
  <si>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</si>
  <si>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</si>
  <si>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</si>
  <si>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</si>
  <si>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</si>
  <si>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</si>
  <si>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</si>
  <si>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</si>
  <si>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</si>
  <si>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</si>
  <si>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</si>
  <si>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</si>
  <si>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</si>
  <si>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</si>
  <si>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</si>
  <si>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</si>
  <si>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</si>
  <si>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</si>
  <si>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</si>
  <si>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</si>
  <si>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</si>
  <si>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</si>
  <si>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</si>
  <si>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</si>
  <si>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</si>
  <si>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</si>
  <si>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</si>
  <si>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现利比为30%，现金流占比太低，分析主要原因，近9年累积净利润117亿，累积经营活动现金流净额只有35亿，差值82亿
近9年的差值主要为：资产减值11亿+折旧7亿+无形资产摊销+1亿+财务费用1亿+应付增加了91亿-递延所得税增加3.8亿-应收增加了165亿-投资损失27亿=84.8亿约等于82亿
可以看到，差值的主要原因是：
1. 应收165亿，应付91亿，应收-应付 74亿
2. 投资损失27亿
3. 资产减值+折旧18亿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</t>
    </rPh>
    <rPh sb="245" eb="246">
      <t>gong'si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</si>
</sst>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19" sqref="H19"/>
    </sheetView>
  </sheetViews>
  <sheetFormatPr baseColWidth="10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6.33203125" customWidth="1"/>
    <col min="10" max="10" width="16.83203125" customWidth="1"/>
    <col min="11" max="11" width="16.33203125" customWidth="1"/>
  </cols>
  <sheetData>
    <row r="1" spans="1:11" ht="15" customHeight="1" x14ac:dyDescent="0.2"/>
    <row r="2" spans="1:11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1" x14ac:dyDescent="0.3">
      <c r="A3" s="10" t="s">
        <v>109</v>
      </c>
      <c r="B3" s="10"/>
      <c r="C3" s="9">
        <v>260294585.96000001</v>
      </c>
      <c r="D3" s="9">
        <v>377983123.51999998</v>
      </c>
      <c r="E3" s="9">
        <v>700155145.04999995</v>
      </c>
      <c r="F3" s="9">
        <v>1130921915.51</v>
      </c>
      <c r="G3" s="9">
        <v>1142678484.6099999</v>
      </c>
      <c r="H3" s="9">
        <v>1372301211.8699999</v>
      </c>
      <c r="I3" s="9">
        <v>1825199447.95</v>
      </c>
      <c r="J3" s="9">
        <v>2378726820.2199998</v>
      </c>
      <c r="K3" s="9">
        <v>2529426468.6100001</v>
      </c>
    </row>
    <row r="4" spans="1:11" x14ac:dyDescent="0.2">
      <c r="A4" t="s">
        <v>69</v>
      </c>
      <c r="C4" s="2" t="e">
        <f>(C3-B3)/B3</f>
        <v>#DIV/0!</v>
      </c>
      <c r="D4" s="2">
        <f t="shared" ref="D4:K4" si="0">(D3-C3)/C3</f>
        <v>0.4521359409991163</v>
      </c>
      <c r="E4" s="2">
        <f t="shared" si="0"/>
        <v>0.85234498971738637</v>
      </c>
      <c r="F4" s="2">
        <f t="shared" si="0"/>
        <v>0.61524474040569654</v>
      </c>
      <c r="G4" s="2">
        <f t="shared" si="0"/>
        <v>1.0395562185827982E-2</v>
      </c>
      <c r="H4" s="2">
        <f t="shared" si="0"/>
        <v>0.20095130025868213</v>
      </c>
      <c r="I4" s="2">
        <f t="shared" si="0"/>
        <v>0.33002830002813105</v>
      </c>
      <c r="J4" s="2">
        <f t="shared" si="0"/>
        <v>0.30326952645734268</v>
      </c>
      <c r="K4" s="2">
        <f t="shared" si="0"/>
        <v>6.3353070688488167E-2</v>
      </c>
    </row>
    <row r="5" spans="1:11" x14ac:dyDescent="0.2">
      <c r="A5" t="s">
        <v>72</v>
      </c>
      <c r="B5" s="2">
        <f>SUM(D4:K4)/8</f>
        <v>0.35346542884258397</v>
      </c>
    </row>
    <row r="7" spans="1:11" x14ac:dyDescent="0.2">
      <c r="A7" s="16" t="s">
        <v>110</v>
      </c>
      <c r="B7" s="16" t="s">
        <v>70</v>
      </c>
      <c r="C7" s="16" t="s">
        <v>71</v>
      </c>
      <c r="D7" s="16" t="s">
        <v>72</v>
      </c>
      <c r="E7" s="16" t="s">
        <v>106</v>
      </c>
    </row>
    <row r="8" spans="1:11" x14ac:dyDescent="0.2">
      <c r="A8" s="17">
        <f>K3*0.3</f>
        <v>758827940.58300006</v>
      </c>
      <c r="B8" s="16">
        <v>0.05</v>
      </c>
      <c r="C8" s="16">
        <v>15</v>
      </c>
      <c r="D8" s="16">
        <v>0.15</v>
      </c>
      <c r="E8" s="16">
        <v>0.7</v>
      </c>
    </row>
    <row r="9" spans="1:11" x14ac:dyDescent="0.2">
      <c r="A9" s="1"/>
    </row>
    <row r="10" spans="1:11" x14ac:dyDescent="0.2">
      <c r="A10" s="16"/>
      <c r="B10" s="18">
        <v>0.18</v>
      </c>
      <c r="C10" s="18">
        <v>0.18</v>
      </c>
      <c r="D10" s="18">
        <v>0.18</v>
      </c>
      <c r="E10" s="18">
        <v>0.18</v>
      </c>
      <c r="F10" s="18">
        <v>0.18</v>
      </c>
      <c r="G10" s="16"/>
      <c r="H10" s="16"/>
    </row>
    <row r="11" spans="1:11" x14ac:dyDescent="0.2">
      <c r="A11" s="16" t="s">
        <v>66</v>
      </c>
      <c r="B11" s="16">
        <v>2019</v>
      </c>
      <c r="C11" s="16">
        <v>2020</v>
      </c>
      <c r="D11" s="16">
        <v>2021</v>
      </c>
      <c r="E11" s="16">
        <v>2022</v>
      </c>
      <c r="F11" s="16">
        <v>2023</v>
      </c>
      <c r="G11" s="16"/>
      <c r="H11" s="16" t="s">
        <v>113</v>
      </c>
    </row>
    <row r="12" spans="1:11" x14ac:dyDescent="0.2">
      <c r="A12" s="16" t="s">
        <v>111</v>
      </c>
      <c r="B12" s="19">
        <f>A8*(1+D8)</f>
        <v>872652131.67044997</v>
      </c>
      <c r="C12" s="19">
        <f>B12*(1+D8)</f>
        <v>1003549951.4210174</v>
      </c>
      <c r="D12" s="19">
        <f>C12*(1+D8)</f>
        <v>1154082444.1341698</v>
      </c>
      <c r="E12" s="19">
        <f>D12*(1+D8)</f>
        <v>1327194810.7542951</v>
      </c>
      <c r="F12" s="19">
        <f>E12*(1+D8)</f>
        <v>1526274032.3674393</v>
      </c>
      <c r="G12" s="19">
        <f>F12*C8</f>
        <v>22894110485.511589</v>
      </c>
      <c r="H12" s="16"/>
    </row>
    <row r="13" spans="1:11" x14ac:dyDescent="0.2">
      <c r="A13" s="16" t="s">
        <v>112</v>
      </c>
      <c r="B13" s="17">
        <f>B12/(1+B8)</f>
        <v>831097268.25757134</v>
      </c>
      <c r="C13" s="17">
        <f>C12/(1+B8)^2</f>
        <v>910249389.04400671</v>
      </c>
      <c r="D13" s="17">
        <f>D12/(1+B8)^3</f>
        <v>996939807.04819751</v>
      </c>
      <c r="E13" s="17">
        <f>E12/(1+B8)^4</f>
        <v>1091886455.3385019</v>
      </c>
      <c r="F13" s="17">
        <f>F12/(1+B8)^5</f>
        <v>1195875641.5612164</v>
      </c>
      <c r="G13" s="17">
        <f>G12/(1+B8)^4</f>
        <v>18835041354.589157</v>
      </c>
      <c r="H13" s="17">
        <f>SUM(B13:G13)</f>
        <v>23861089915.83865</v>
      </c>
    </row>
    <row r="14" spans="1:11" x14ac:dyDescent="0.2">
      <c r="A14" s="16"/>
      <c r="B14" s="17"/>
      <c r="C14" s="17"/>
      <c r="D14" s="17"/>
      <c r="E14" s="17"/>
      <c r="F14" s="17"/>
      <c r="G14" s="17" t="s">
        <v>114</v>
      </c>
      <c r="H14" s="17">
        <f>H13*E8</f>
        <v>16702762941.087053</v>
      </c>
      <c r="J14">
        <v>2018</v>
      </c>
      <c r="K14" s="9">
        <v>2529426468.6100001</v>
      </c>
    </row>
    <row r="15" spans="1:11" x14ac:dyDescent="0.2">
      <c r="J15">
        <f>J14-1</f>
        <v>2017</v>
      </c>
      <c r="K15" s="9">
        <v>2378726820.2199998</v>
      </c>
    </row>
    <row r="16" spans="1:11" x14ac:dyDescent="0.2">
      <c r="J16">
        <f>J15-1</f>
        <v>2016</v>
      </c>
      <c r="K16" s="9">
        <v>1825199447.95</v>
      </c>
    </row>
    <row r="17" spans="10:11" x14ac:dyDescent="0.2">
      <c r="J17">
        <f t="shared" ref="J17:J22" si="1">J16-1</f>
        <v>2015</v>
      </c>
      <c r="K17" s="9">
        <v>1372301211.8699999</v>
      </c>
    </row>
    <row r="18" spans="10:11" x14ac:dyDescent="0.2">
      <c r="J18">
        <f>J17-1</f>
        <v>2014</v>
      </c>
      <c r="K18" s="9">
        <v>1142678484.6099999</v>
      </c>
    </row>
    <row r="19" spans="10:11" x14ac:dyDescent="0.2">
      <c r="J19">
        <f t="shared" si="1"/>
        <v>2013</v>
      </c>
      <c r="K19" s="9">
        <v>1130921915.51</v>
      </c>
    </row>
    <row r="20" spans="10:11" x14ac:dyDescent="0.2">
      <c r="J20">
        <f>J19-1</f>
        <v>2012</v>
      </c>
      <c r="K20" s="9">
        <v>700155145.04999995</v>
      </c>
    </row>
    <row r="21" spans="10:11" x14ac:dyDescent="0.2">
      <c r="J21">
        <f t="shared" si="1"/>
        <v>2011</v>
      </c>
      <c r="K21" s="9">
        <v>377983123.51999998</v>
      </c>
    </row>
    <row r="22" spans="10:11" x14ac:dyDescent="0.2">
      <c r="J22">
        <f t="shared" si="1"/>
        <v>2010</v>
      </c>
      <c r="K22" s="9">
        <v>260294585.96000001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workbookViewId="0">
      <selection activeCell="A4" sqref="A4:B12"/>
    </sheetView>
  </sheetViews>
  <sheetFormatPr baseColWidth="10" defaultRowHeight="15" x14ac:dyDescent="0.2"/>
  <cols>
    <col min="2" max="2" width="15.5" customWidth="1"/>
    <col min="3" max="3" width="16.33203125" customWidth="1"/>
    <col min="4" max="4" width="16.1640625" bestFit="1" customWidth="1"/>
    <col min="5" max="5" width="14.83203125" customWidth="1"/>
    <col min="8" max="8" width="15.5" customWidth="1"/>
    <col min="9" max="9" width="16.1640625" customWidth="1"/>
    <col min="10" max="10" width="17.33203125" customWidth="1"/>
    <col min="11" max="11" width="16.6640625" customWidth="1"/>
    <col min="12" max="12" width="15" customWidth="1"/>
    <col min="13" max="13" width="14.5" customWidth="1"/>
    <col min="14" max="21" width="17.83203125" customWidth="1"/>
    <col min="22" max="22" width="15.6640625" customWidth="1"/>
    <col min="23" max="23" width="17.83203125" customWidth="1"/>
    <col min="24" max="26" width="15.1640625" bestFit="1" customWidth="1"/>
    <col min="27" max="27" width="13.6640625" bestFit="1" customWidth="1"/>
    <col min="28" max="28" width="14.6640625" customWidth="1"/>
    <col min="29" max="29" width="18.1640625" customWidth="1"/>
  </cols>
  <sheetData>
    <row r="2" spans="1:29" x14ac:dyDescent="0.2">
      <c r="J2" t="s">
        <v>82</v>
      </c>
      <c r="L2" t="s">
        <v>82</v>
      </c>
      <c r="AA2" t="s">
        <v>82</v>
      </c>
      <c r="AC2" t="s">
        <v>82</v>
      </c>
    </row>
    <row r="3" spans="1:29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115</v>
      </c>
      <c r="V3" t="s">
        <v>91</v>
      </c>
      <c r="W3" t="s">
        <v>92</v>
      </c>
      <c r="X3" t="s">
        <v>93</v>
      </c>
      <c r="Y3" t="s">
        <v>116</v>
      </c>
    </row>
    <row r="4" spans="1:29" x14ac:dyDescent="0.2">
      <c r="A4">
        <v>2018</v>
      </c>
      <c r="B4" s="9">
        <v>2529426468.6100001</v>
      </c>
      <c r="C4" s="9">
        <v>2495121029.7600002</v>
      </c>
      <c r="D4" s="9">
        <v>2594592680.3400002</v>
      </c>
      <c r="E4" s="9">
        <v>955315978.16999996</v>
      </c>
      <c r="F4" s="2">
        <f t="shared" ref="F4:F13" si="0">C4/D4</f>
        <v>0.9616619397203553</v>
      </c>
      <c r="G4" s="2">
        <f t="shared" ref="G4:G13" si="1">E4/D4</f>
        <v>0.36819497156864467</v>
      </c>
      <c r="H4" s="9">
        <f>D4+J4+L4+M4+N4+O4+R4+S4+T4+V4+W4+X4+P4+Q4+U4+Y4</f>
        <v>955315978.16999972</v>
      </c>
      <c r="I4" s="9">
        <f>H4-E4</f>
        <v>0</v>
      </c>
      <c r="J4" s="9">
        <v>358998190.95999998</v>
      </c>
      <c r="K4" s="2">
        <f>J4/D4</f>
        <v>0.13836398818212814</v>
      </c>
      <c r="L4" s="9">
        <v>197491957.49000001</v>
      </c>
      <c r="M4" s="9">
        <v>32347000.120000001</v>
      </c>
      <c r="N4" s="9">
        <v>8865941.1500000004</v>
      </c>
      <c r="O4" s="9">
        <v>-17535.97</v>
      </c>
      <c r="P4" s="9">
        <v>981291.46</v>
      </c>
      <c r="Q4" s="9">
        <v>38602602.299999997</v>
      </c>
      <c r="R4" s="9">
        <v>-38062730.299999997</v>
      </c>
      <c r="S4" s="11">
        <v>79293077.010000005</v>
      </c>
      <c r="T4" s="11">
        <v>-171253943.30000001</v>
      </c>
      <c r="U4" s="11">
        <v>4669022.99</v>
      </c>
      <c r="V4" s="9">
        <v>-29181801.030000001</v>
      </c>
      <c r="W4" s="9">
        <v>-3523904205.02</v>
      </c>
      <c r="X4" s="9">
        <v>1436072079.5699999</v>
      </c>
      <c r="Y4" s="9">
        <v>-34177649.600000001</v>
      </c>
      <c r="Z4" s="9"/>
      <c r="AA4" s="9"/>
      <c r="AB4" s="9"/>
      <c r="AC4" s="9"/>
    </row>
    <row r="5" spans="1:29" x14ac:dyDescent="0.2">
      <c r="A5">
        <f>A4-1</f>
        <v>2017</v>
      </c>
      <c r="B5" s="9">
        <v>2378726820.2199998</v>
      </c>
      <c r="C5" s="9">
        <v>2340407357.4400001</v>
      </c>
      <c r="D5" s="9">
        <v>2376786346.0999999</v>
      </c>
      <c r="E5" s="9">
        <v>914231360.00999999</v>
      </c>
      <c r="F5" s="2">
        <f t="shared" si="0"/>
        <v>0.98469404340036992</v>
      </c>
      <c r="G5" s="2">
        <f t="shared" si="1"/>
        <v>0.38465020699489283</v>
      </c>
      <c r="H5" s="9">
        <f t="shared" ref="H5:H13" si="2">D5+J5+L5+M5+N5+O5+R5+S5+T5+V5+W5+X5+P5+Q5+U5+Y5</f>
        <v>914231360.01000047</v>
      </c>
      <c r="I5" s="9">
        <f t="shared" ref="I5:I13" si="3">H5-E5</f>
        <v>0</v>
      </c>
      <c r="J5" s="9">
        <v>245506915.74000001</v>
      </c>
      <c r="K5" s="2">
        <f t="shared" ref="K5:K13" si="4">J5/D5</f>
        <v>0.10329364107246965</v>
      </c>
      <c r="L5" s="9">
        <v>134488131.80000001</v>
      </c>
      <c r="M5" s="9">
        <v>27767397.350000001</v>
      </c>
      <c r="N5" s="9"/>
      <c r="O5" s="9">
        <v>-774332.5</v>
      </c>
      <c r="P5" s="9">
        <v>9227666.0600000005</v>
      </c>
      <c r="Q5" s="9"/>
      <c r="R5" s="9">
        <v>213871791.30000001</v>
      </c>
      <c r="S5" s="9">
        <v>29510653.149999999</v>
      </c>
      <c r="T5" s="9">
        <v>-60088749.829999998</v>
      </c>
      <c r="U5" s="9">
        <v>21763500.719999999</v>
      </c>
      <c r="V5" s="9">
        <v>-640320122.77999997</v>
      </c>
      <c r="W5" s="9">
        <v>-4110273418.5500002</v>
      </c>
      <c r="X5" s="9">
        <v>2668345576.9699998</v>
      </c>
      <c r="Y5" s="9">
        <v>-1579995.52</v>
      </c>
      <c r="Z5" s="9"/>
      <c r="AA5" s="9"/>
      <c r="AB5" s="9"/>
      <c r="AC5" s="9"/>
    </row>
    <row r="6" spans="1:29" x14ac:dyDescent="0.2">
      <c r="A6">
        <f>A5-1</f>
        <v>2016</v>
      </c>
      <c r="B6" s="9">
        <v>1825199447.95</v>
      </c>
      <c r="C6" s="9">
        <v>1719172124.0799999</v>
      </c>
      <c r="D6" s="9">
        <v>1810152288.3099999</v>
      </c>
      <c r="E6" s="9">
        <v>470737105.33999997</v>
      </c>
      <c r="F6" s="2">
        <f t="shared" si="0"/>
        <v>0.9497389447188771</v>
      </c>
      <c r="G6" s="2">
        <f t="shared" si="1"/>
        <v>0.26005386860543706</v>
      </c>
      <c r="H6" s="9">
        <f t="shared" si="2"/>
        <v>470737105.33999968</v>
      </c>
      <c r="I6" s="9">
        <f t="shared" si="3"/>
        <v>0</v>
      </c>
      <c r="J6" s="9">
        <v>129145009.23999999</v>
      </c>
      <c r="K6" s="2">
        <f t="shared" si="4"/>
        <v>7.1344831080799712E-2</v>
      </c>
      <c r="L6" s="9">
        <v>103583804.51000001</v>
      </c>
      <c r="M6" s="9">
        <v>14591618.01</v>
      </c>
      <c r="N6" s="9">
        <v>647458.78</v>
      </c>
      <c r="O6" s="9">
        <v>346741.78</v>
      </c>
      <c r="P6" s="9"/>
      <c r="Q6" s="9">
        <v>-2851456</v>
      </c>
      <c r="R6" s="9">
        <v>-38305746.509999998</v>
      </c>
      <c r="S6" s="9">
        <v>-6642772.4900000002</v>
      </c>
      <c r="T6" s="9">
        <v>-22743032.210000001</v>
      </c>
      <c r="U6" s="9">
        <v>8344998</v>
      </c>
      <c r="V6" s="9">
        <v>-704562266.90999997</v>
      </c>
      <c r="W6" s="9">
        <v>-2127794090.74</v>
      </c>
      <c r="X6" s="9">
        <v>1304156224.3199999</v>
      </c>
      <c r="Y6" s="9">
        <v>2668327.25</v>
      </c>
      <c r="Z6" s="9"/>
      <c r="AA6" s="9"/>
      <c r="AB6" s="9"/>
      <c r="AC6" s="9"/>
    </row>
    <row r="7" spans="1:29" x14ac:dyDescent="0.2">
      <c r="A7">
        <f t="shared" ref="A7:A12" si="5">A6-1</f>
        <v>2015</v>
      </c>
      <c r="B7" s="9">
        <v>1372301211.8699999</v>
      </c>
      <c r="C7" s="9">
        <v>1350391817.72</v>
      </c>
      <c r="D7" s="9">
        <v>1381123509.9000001</v>
      </c>
      <c r="E7" s="9">
        <v>200763824.86000001</v>
      </c>
      <c r="F7" s="2">
        <f t="shared" si="0"/>
        <v>0.97774877340099353</v>
      </c>
      <c r="G7" s="2">
        <f t="shared" si="1"/>
        <v>0.1453626872766334</v>
      </c>
      <c r="H7" s="9">
        <f t="shared" si="2"/>
        <v>200763824.86000031</v>
      </c>
      <c r="I7" s="9">
        <f t="shared" si="3"/>
        <v>2.9802322387695312E-7</v>
      </c>
      <c r="J7" s="9">
        <v>192281999.66999999</v>
      </c>
      <c r="K7" s="2">
        <f t="shared" si="4"/>
        <v>0.13922143696179795</v>
      </c>
      <c r="L7" s="9">
        <v>84781587.469999999</v>
      </c>
      <c r="M7" s="9">
        <v>6315165.0099999998</v>
      </c>
      <c r="N7" s="9">
        <v>743779.8</v>
      </c>
      <c r="O7" s="9">
        <v>-174927.99</v>
      </c>
      <c r="P7" s="9"/>
      <c r="Q7" s="9">
        <v>5228415.6500000004</v>
      </c>
      <c r="R7" s="9">
        <v>-61512310.289999999</v>
      </c>
      <c r="S7" s="9">
        <v>-14013463.970000001</v>
      </c>
      <c r="T7" s="9">
        <v>-54248640.740000002</v>
      </c>
      <c r="U7" s="9">
        <v>-9073852.6199999992</v>
      </c>
      <c r="V7" s="9">
        <v>-256116142.56999999</v>
      </c>
      <c r="W7" s="9">
        <v>-2942876320.5</v>
      </c>
      <c r="X7" s="9">
        <v>1862052036.3800001</v>
      </c>
      <c r="Y7" s="9">
        <v>6252989.6600000001</v>
      </c>
      <c r="Z7" s="9"/>
      <c r="AA7" s="9"/>
      <c r="AB7" s="9"/>
      <c r="AC7" s="9"/>
    </row>
    <row r="8" spans="1:29" x14ac:dyDescent="0.2">
      <c r="A8">
        <f>A7-1</f>
        <v>2014</v>
      </c>
      <c r="B8" s="9">
        <v>1142678484.6099999</v>
      </c>
      <c r="C8" s="9">
        <v>95314944.459999993</v>
      </c>
      <c r="D8" s="9">
        <v>1144264528.4000001</v>
      </c>
      <c r="E8" s="9">
        <v>-17080921.460000001</v>
      </c>
      <c r="F8" s="2">
        <f t="shared" si="0"/>
        <v>8.3297998054066028E-2</v>
      </c>
      <c r="G8" s="2">
        <f t="shared" si="1"/>
        <v>-1.4927423717209759E-2</v>
      </c>
      <c r="H8" s="9">
        <f t="shared" si="2"/>
        <v>-17080921.460000355</v>
      </c>
      <c r="I8" s="9">
        <f>H8-E8</f>
        <v>-3.5390257835388184E-7</v>
      </c>
      <c r="J8" s="9">
        <v>79357586.120000005</v>
      </c>
      <c r="K8" s="2">
        <f t="shared" si="4"/>
        <v>6.9352482883450015E-2</v>
      </c>
      <c r="L8" s="9">
        <v>73180404.730000004</v>
      </c>
      <c r="M8" s="9">
        <v>5835105.4800000004</v>
      </c>
      <c r="N8" s="9">
        <v>743779.79</v>
      </c>
      <c r="O8" s="9">
        <v>77974.710000000006</v>
      </c>
      <c r="P8" s="9">
        <v>1961.16</v>
      </c>
      <c r="Q8" s="9">
        <v>-894483.21</v>
      </c>
      <c r="R8" s="9">
        <v>9800256.6099999994</v>
      </c>
      <c r="S8" s="9">
        <v>-7557419.6399999997</v>
      </c>
      <c r="T8" s="9">
        <v>14550062.539999999</v>
      </c>
      <c r="U8" s="9">
        <v>19253342.859999999</v>
      </c>
      <c r="V8" s="9">
        <v>-341408227.17000002</v>
      </c>
      <c r="W8" s="9">
        <v>-1394725650.4400001</v>
      </c>
      <c r="X8" s="9">
        <v>379706154.11000001</v>
      </c>
      <c r="Y8" s="9">
        <v>733702.49</v>
      </c>
      <c r="Z8" s="9"/>
      <c r="AA8" s="9"/>
      <c r="AB8" s="9"/>
      <c r="AC8" s="9"/>
    </row>
    <row r="9" spans="1:29" x14ac:dyDescent="0.2">
      <c r="A9">
        <f t="shared" si="5"/>
        <v>2013</v>
      </c>
      <c r="B9" s="9">
        <v>1130921915.51</v>
      </c>
      <c r="C9" s="9">
        <v>1114568260.74</v>
      </c>
      <c r="D9" s="7">
        <v>1130138728.3299999</v>
      </c>
      <c r="E9" s="9">
        <v>356475220.70999998</v>
      </c>
      <c r="F9" s="2">
        <f t="shared" si="0"/>
        <v>0.98622251658165161</v>
      </c>
      <c r="G9" s="2">
        <f t="shared" si="1"/>
        <v>0.31542607272362178</v>
      </c>
      <c r="H9" s="9">
        <f t="shared" si="2"/>
        <v>356475220.70999986</v>
      </c>
      <c r="I9" s="9">
        <f t="shared" si="3"/>
        <v>0</v>
      </c>
      <c r="J9" s="9">
        <v>98559602.459999993</v>
      </c>
      <c r="K9" s="2">
        <f t="shared" si="4"/>
        <v>8.7210180475489937E-2</v>
      </c>
      <c r="L9" s="9">
        <v>40771661.840000004</v>
      </c>
      <c r="M9" s="9">
        <v>5652308.1600000001</v>
      </c>
      <c r="N9" s="9"/>
      <c r="O9" s="9">
        <v>-94715.38</v>
      </c>
      <c r="P9" s="9">
        <v>7068.71</v>
      </c>
      <c r="Q9" s="9">
        <v>-3973172.57</v>
      </c>
      <c r="R9" s="9">
        <v>13140484.83</v>
      </c>
      <c r="S9" s="9">
        <v>-7753381.1100000003</v>
      </c>
      <c r="T9" s="9">
        <v>-73653563.709999993</v>
      </c>
      <c r="U9" s="9">
        <v>-1889610.16</v>
      </c>
      <c r="V9" s="9">
        <v>-279232980.05000001</v>
      </c>
      <c r="W9" s="9">
        <v>-1347014151.79</v>
      </c>
      <c r="X9" s="9">
        <v>780768382.42999995</v>
      </c>
      <c r="Y9" s="9">
        <v>1048558.72</v>
      </c>
      <c r="Z9" s="9"/>
      <c r="AA9" s="9"/>
      <c r="AB9" s="9"/>
      <c r="AC9" s="9"/>
    </row>
    <row r="10" spans="1:29" x14ac:dyDescent="0.2">
      <c r="A10">
        <f>A9-1</f>
        <v>2012</v>
      </c>
      <c r="B10" s="9">
        <v>700155145.04999995</v>
      </c>
      <c r="C10" s="9">
        <v>685819391.22000003</v>
      </c>
      <c r="D10" s="9">
        <v>696651234.15999997</v>
      </c>
      <c r="E10" s="9">
        <v>481913096.22000003</v>
      </c>
      <c r="F10" s="2">
        <f t="shared" si="0"/>
        <v>0.98445155565817577</v>
      </c>
      <c r="G10" s="2">
        <f t="shared" si="1"/>
        <v>0.69175661017966272</v>
      </c>
      <c r="H10" s="9">
        <f t="shared" si="2"/>
        <v>481913096.22000003</v>
      </c>
      <c r="I10" s="9">
        <f t="shared" si="3"/>
        <v>0</v>
      </c>
      <c r="J10" s="9">
        <v>37947498.520000003</v>
      </c>
      <c r="K10" s="2">
        <f t="shared" si="4"/>
        <v>5.4471300213450272E-2</v>
      </c>
      <c r="L10" s="9">
        <v>30712112.989999998</v>
      </c>
      <c r="M10" s="9">
        <v>5594314.6500000004</v>
      </c>
      <c r="N10" s="9"/>
      <c r="O10" s="9">
        <v>161660.29</v>
      </c>
      <c r="P10" s="9">
        <v>10554.48</v>
      </c>
      <c r="Q10" s="9">
        <v>1835136.12</v>
      </c>
      <c r="R10" s="9">
        <v>2345972.77</v>
      </c>
      <c r="S10" s="9">
        <v>1027741.59</v>
      </c>
      <c r="T10" s="9">
        <v>-7885473.6699999999</v>
      </c>
      <c r="U10" s="9">
        <v>3226722.55</v>
      </c>
      <c r="V10" s="9">
        <v>-122459236.76000001</v>
      </c>
      <c r="W10" s="9">
        <v>-473740078.20999998</v>
      </c>
      <c r="X10" s="9">
        <v>300440204.31</v>
      </c>
      <c r="Y10" s="9">
        <v>6044732.4299999997</v>
      </c>
      <c r="Z10" s="9"/>
      <c r="AA10" s="9"/>
      <c r="AB10" s="9"/>
      <c r="AC10" s="9"/>
    </row>
    <row r="11" spans="1:29" ht="16" x14ac:dyDescent="0.2">
      <c r="A11">
        <f t="shared" si="5"/>
        <v>2011</v>
      </c>
      <c r="B11" s="9">
        <v>377983123.51999998</v>
      </c>
      <c r="C11" s="9">
        <v>366704384.82999998</v>
      </c>
      <c r="D11" s="9">
        <v>375560849.13</v>
      </c>
      <c r="E11" s="9">
        <v>74219234.049999997</v>
      </c>
      <c r="F11" s="2">
        <f t="shared" si="0"/>
        <v>0.97641803100478575</v>
      </c>
      <c r="G11" s="2">
        <f t="shared" si="1"/>
        <v>0.19762239387287434</v>
      </c>
      <c r="H11" s="9">
        <f t="shared" si="2"/>
        <v>74219234.049999982</v>
      </c>
      <c r="I11" s="9">
        <f t="shared" si="3"/>
        <v>0</v>
      </c>
      <c r="J11" s="9">
        <v>26723209</v>
      </c>
      <c r="K11" s="2">
        <f t="shared" si="4"/>
        <v>7.1155470709753851E-2</v>
      </c>
      <c r="L11" s="9">
        <v>21124733.309999999</v>
      </c>
      <c r="M11" s="9">
        <v>4946596.43</v>
      </c>
      <c r="N11" s="9"/>
      <c r="O11" s="9">
        <v>258214.11</v>
      </c>
      <c r="P11" s="9">
        <v>1484.38</v>
      </c>
      <c r="Q11" s="9">
        <v>927288.22</v>
      </c>
      <c r="R11" s="15">
        <v>964759.15</v>
      </c>
      <c r="S11" s="9">
        <v>4041974.58</v>
      </c>
      <c r="T11" s="9">
        <v>-3862567.15</v>
      </c>
      <c r="U11" s="9">
        <v>534147.91</v>
      </c>
      <c r="V11" s="9">
        <v>-246069295.34999999</v>
      </c>
      <c r="W11" s="9">
        <v>-350625396.79000002</v>
      </c>
      <c r="X11" s="9">
        <v>215155549.16</v>
      </c>
      <c r="Y11" s="9">
        <v>24537687.960000001</v>
      </c>
      <c r="Z11" s="9"/>
      <c r="AA11" s="9"/>
      <c r="AB11" s="9"/>
      <c r="AC11" s="9"/>
    </row>
    <row r="12" spans="1:29" x14ac:dyDescent="0.2">
      <c r="A12">
        <f t="shared" si="5"/>
        <v>2010</v>
      </c>
      <c r="B12" s="9">
        <v>260294585.96000001</v>
      </c>
      <c r="C12" s="9">
        <v>253337502.41</v>
      </c>
      <c r="D12" s="9">
        <v>259631611.78999999</v>
      </c>
      <c r="E12" s="9">
        <v>123564361.27</v>
      </c>
      <c r="F12" s="2">
        <f t="shared" si="0"/>
        <v>0.97575753839601431</v>
      </c>
      <c r="G12" s="2">
        <f t="shared" si="1"/>
        <v>0.47592186644029921</v>
      </c>
      <c r="H12" s="9">
        <f t="shared" si="2"/>
        <v>123564361.26999997</v>
      </c>
      <c r="I12" s="9">
        <f t="shared" si="3"/>
        <v>0</v>
      </c>
      <c r="J12" s="9">
        <v>11339203.859999999</v>
      </c>
      <c r="K12" s="2">
        <f t="shared" si="4"/>
        <v>4.367420354487335E-2</v>
      </c>
      <c r="L12" s="9">
        <v>14528799.33</v>
      </c>
      <c r="M12" s="9">
        <v>4372512.25</v>
      </c>
      <c r="N12" s="9"/>
      <c r="O12" s="9">
        <v>172138.23</v>
      </c>
      <c r="P12" s="9"/>
      <c r="Q12" s="9">
        <v>-271728.21000000002</v>
      </c>
      <c r="R12" s="9">
        <v>234046.07999999999</v>
      </c>
      <c r="S12" s="9">
        <v>3317.31</v>
      </c>
      <c r="T12" s="9">
        <v>-2501141.31</v>
      </c>
      <c r="U12" s="9">
        <v>3309697.51</v>
      </c>
      <c r="V12" s="9">
        <v>-140493478.87</v>
      </c>
      <c r="W12" s="9">
        <v>-257639402.69999999</v>
      </c>
      <c r="X12" s="9">
        <v>205580163.41999999</v>
      </c>
      <c r="Y12" s="9">
        <v>25298622.579999998</v>
      </c>
      <c r="Z12" s="9"/>
      <c r="AA12" s="9"/>
      <c r="AB12" s="9"/>
      <c r="AC12" s="9"/>
    </row>
    <row r="13" spans="1:29" x14ac:dyDescent="0.2">
      <c r="A13" t="s">
        <v>77</v>
      </c>
      <c r="B13" s="9">
        <f>SUM(B4:B12)</f>
        <v>11717687203.299999</v>
      </c>
      <c r="C13" s="9">
        <f>SUM(C4:C12)</f>
        <v>10420836812.66</v>
      </c>
      <c r="D13" s="9">
        <f>SUM(D4:D12)</f>
        <v>11768901776.459999</v>
      </c>
      <c r="E13" s="9">
        <f>SUM(E4:E12)</f>
        <v>3560139259.1700006</v>
      </c>
      <c r="F13" s="2">
        <f t="shared" si="0"/>
        <v>0.88545533054780179</v>
      </c>
      <c r="G13" s="2">
        <f t="shared" si="1"/>
        <v>0.30250394869391667</v>
      </c>
      <c r="H13" s="9">
        <f t="shared" si="2"/>
        <v>3560139259.1699977</v>
      </c>
      <c r="I13" s="9">
        <f t="shared" si="3"/>
        <v>0</v>
      </c>
      <c r="J13" s="9">
        <f t="shared" ref="J13:X13" si="6">SUM(J4:J12)</f>
        <v>1179859215.5699999</v>
      </c>
      <c r="K13" s="2">
        <f t="shared" si="4"/>
        <v>0.10025227824825071</v>
      </c>
      <c r="L13" s="9">
        <f t="shared" si="6"/>
        <v>700663193.47000003</v>
      </c>
      <c r="M13" s="9">
        <f t="shared" si="6"/>
        <v>107422017.46000001</v>
      </c>
      <c r="N13" s="9">
        <f t="shared" si="6"/>
        <v>11000959.52</v>
      </c>
      <c r="O13" s="9">
        <f t="shared" si="6"/>
        <v>-44782.719999999943</v>
      </c>
      <c r="P13" s="9">
        <f t="shared" si="6"/>
        <v>10230026.250000002</v>
      </c>
      <c r="Q13" s="9">
        <f>SUM(Q4:Q12)</f>
        <v>38602602.29999999</v>
      </c>
      <c r="R13" s="9">
        <f t="shared" si="6"/>
        <v>102476523.64000002</v>
      </c>
      <c r="S13" s="9">
        <f t="shared" si="6"/>
        <v>77909726.430000007</v>
      </c>
      <c r="T13" s="9">
        <f t="shared" si="6"/>
        <v>-381687049.37999994</v>
      </c>
      <c r="U13" s="9">
        <f>SUM(U4:U12)</f>
        <v>50137969.759999998</v>
      </c>
      <c r="V13" s="9">
        <f t="shared" si="6"/>
        <v>-2759843551.4899998</v>
      </c>
      <c r="W13" s="9">
        <f t="shared" si="6"/>
        <v>-16528592714.740002</v>
      </c>
      <c r="X13" s="9">
        <f t="shared" si="6"/>
        <v>9152276370.6700001</v>
      </c>
      <c r="Y13" s="9">
        <f>SUM(Y4:Y12)</f>
        <v>30826975.969999991</v>
      </c>
      <c r="Z13" s="9"/>
      <c r="AA13" s="9"/>
      <c r="AB13" s="9"/>
      <c r="AC13" s="9"/>
    </row>
    <row r="14" spans="1:29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9" ht="170" customHeight="1" x14ac:dyDescent="0.2">
      <c r="A16" s="20" t="s">
        <v>117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</sheetData>
  <mergeCells count="1">
    <mergeCell ref="A16:N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2019-07-18T07:16:28Z</dcterms:modified>
</cp:coreProperties>
</file>