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300190_维尔利/"/>
    </mc:Choice>
  </mc:AlternateContent>
  <bookViews>
    <workbookView xWindow="0" yWindow="460" windowWidth="25600" windowHeight="14780" activeTab="3"/>
  </bookViews>
  <sheets>
    <sheet name="Sheet1" sheetId="1" r:id="rId1"/>
    <sheet name="自由现金流" sheetId="2" r:id="rId2"/>
    <sheet name="工作表2" sheetId="3" r:id="rId3"/>
    <sheet name="估值" sheetId="8" r:id="rId4"/>
    <sheet name="现金流净利润比" sheetId="4" r:id="rId5"/>
    <sheet name="应收" sheetId="7" r:id="rId6"/>
    <sheet name="存货" sheetId="6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8" l="1"/>
  <c r="B5" i="8"/>
  <c r="M13" i="8"/>
  <c r="M14" i="8"/>
  <c r="M15" i="8"/>
  <c r="M16" i="8"/>
  <c r="M17" i="8"/>
  <c r="M18" i="8"/>
  <c r="M19" i="8"/>
  <c r="M20" i="8"/>
  <c r="B12" i="8"/>
  <c r="B13" i="8"/>
  <c r="C12" i="8"/>
  <c r="C13" i="8"/>
  <c r="D12" i="8"/>
  <c r="D13" i="8"/>
  <c r="E12" i="8"/>
  <c r="E13" i="8"/>
  <c r="F12" i="8"/>
  <c r="F13" i="8"/>
  <c r="G12" i="8"/>
  <c r="G13" i="8"/>
  <c r="H13" i="8"/>
  <c r="H14" i="8"/>
  <c r="K4" i="8"/>
  <c r="J4" i="8"/>
  <c r="I4" i="8"/>
  <c r="H4" i="8"/>
  <c r="G4" i="8"/>
  <c r="F4" i="8"/>
  <c r="E4" i="8"/>
  <c r="D4" i="8"/>
  <c r="C4" i="8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H11" i="3"/>
  <c r="K5" i="4"/>
  <c r="K6" i="4"/>
  <c r="K7" i="4"/>
  <c r="K8" i="4"/>
  <c r="K9" i="4"/>
  <c r="K10" i="4"/>
  <c r="K11" i="4"/>
  <c r="K12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V13" i="4"/>
  <c r="U13" i="4"/>
  <c r="T13" i="4"/>
  <c r="S13" i="4"/>
  <c r="R13" i="4"/>
  <c r="Q13" i="4"/>
  <c r="P13" i="4"/>
  <c r="O13" i="4"/>
  <c r="N13" i="4"/>
  <c r="J13" i="4"/>
  <c r="L13" i="4"/>
  <c r="M13" i="4"/>
  <c r="H13" i="4"/>
  <c r="I13" i="4"/>
  <c r="H5" i="4"/>
  <c r="H6" i="4"/>
  <c r="H7" i="4"/>
  <c r="H8" i="4"/>
  <c r="H9" i="4"/>
  <c r="H10" i="4"/>
  <c r="H11" i="4"/>
  <c r="H12" i="4"/>
  <c r="D13" i="4"/>
  <c r="H4" i="4"/>
  <c r="I5" i="4"/>
  <c r="I6" i="4"/>
  <c r="I7" i="4"/>
  <c r="I8" i="4"/>
  <c r="I9" i="4"/>
  <c r="I10" i="4"/>
  <c r="I11" i="4"/>
  <c r="I12" i="4"/>
  <c r="E13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C9" i="3"/>
  <c r="D9" i="3"/>
  <c r="E9" i="3"/>
  <c r="F9" i="3"/>
  <c r="G9" i="3"/>
  <c r="G10" i="3"/>
  <c r="F10" i="3"/>
  <c r="E10" i="3"/>
  <c r="D10" i="3"/>
  <c r="C10" i="3"/>
  <c r="H10" i="3"/>
  <c r="B10" i="3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P68" i="1"/>
  <c r="C68" i="1"/>
  <c r="N68" i="1"/>
  <c r="P69" i="1"/>
  <c r="C69" i="1"/>
  <c r="N69" i="1"/>
  <c r="P70" i="1"/>
  <c r="C70" i="1"/>
  <c r="N70" i="1"/>
  <c r="P71" i="1"/>
  <c r="C71" i="1"/>
  <c r="N71" i="1"/>
  <c r="P72" i="1"/>
  <c r="C72" i="1"/>
  <c r="N72" i="1"/>
  <c r="P73" i="1"/>
  <c r="C73" i="1"/>
  <c r="N73" i="1"/>
  <c r="P74" i="1"/>
  <c r="C74" i="1"/>
  <c r="N74" i="1"/>
  <c r="P75" i="1"/>
  <c r="C75" i="1"/>
  <c r="N75" i="1"/>
  <c r="P76" i="1"/>
  <c r="C76" i="1"/>
  <c r="N76" i="1"/>
</calcChain>
</file>

<file path=xl/sharedStrings.xml><?xml version="1.0" encoding="utf-8"?>
<sst xmlns="http://schemas.openxmlformats.org/spreadsheetml/2006/main" count="142" uniqueCount="119">
  <si>
    <t>年份</t>
    <phoneticPr fontId="1" type="noConversion"/>
  </si>
  <si>
    <t>货币资金</t>
    <phoneticPr fontId="1" type="noConversion"/>
  </si>
  <si>
    <t>应收票据</t>
    <phoneticPr fontId="1" type="noConversion"/>
  </si>
  <si>
    <t>应收账款</t>
    <phoneticPr fontId="1" type="noConversion"/>
  </si>
  <si>
    <t>预付款项</t>
    <phoneticPr fontId="1" type="noConversion"/>
  </si>
  <si>
    <t>其他应收款</t>
    <phoneticPr fontId="1" type="noConversion"/>
  </si>
  <si>
    <t>存货</t>
    <phoneticPr fontId="1" type="noConversion"/>
  </si>
  <si>
    <t>一年内到期的非流动资产</t>
    <phoneticPr fontId="1" type="noConversion"/>
  </si>
  <si>
    <t>其他流动资产</t>
    <phoneticPr fontId="1" type="noConversion"/>
  </si>
  <si>
    <t>流动资产合计</t>
    <phoneticPr fontId="1" type="noConversion"/>
  </si>
  <si>
    <t>年份</t>
    <phoneticPr fontId="1" type="noConversion"/>
  </si>
  <si>
    <t>非流动资产合计</t>
    <phoneticPr fontId="1" type="noConversion"/>
  </si>
  <si>
    <t>无形资产</t>
    <phoneticPr fontId="1" type="noConversion"/>
  </si>
  <si>
    <t>无形资产占比</t>
    <phoneticPr fontId="1" type="noConversion"/>
  </si>
  <si>
    <t>商誉</t>
    <phoneticPr fontId="1" type="noConversion"/>
  </si>
  <si>
    <t>商誉占比</t>
    <phoneticPr fontId="1" type="noConversion"/>
  </si>
  <si>
    <t>固定资产</t>
    <phoneticPr fontId="1" type="noConversion"/>
  </si>
  <si>
    <t>固定资产占比</t>
    <phoneticPr fontId="1" type="noConversion"/>
  </si>
  <si>
    <t>在建工程</t>
    <phoneticPr fontId="1" type="noConversion"/>
  </si>
  <si>
    <t>在建工程占比</t>
    <phoneticPr fontId="1" type="noConversion"/>
  </si>
  <si>
    <t>重要占比</t>
    <phoneticPr fontId="1" type="noConversion"/>
  </si>
  <si>
    <t>流动负债总计</t>
    <phoneticPr fontId="1" type="noConversion"/>
  </si>
  <si>
    <t>应付票据及应付账款</t>
    <phoneticPr fontId="1" type="noConversion"/>
  </si>
  <si>
    <t>应付占比</t>
    <phoneticPr fontId="1" type="noConversion"/>
  </si>
  <si>
    <t>应交税费</t>
    <phoneticPr fontId="1" type="noConversion"/>
  </si>
  <si>
    <t>应交税费占比</t>
    <phoneticPr fontId="1" type="noConversion"/>
  </si>
  <si>
    <t>预收款项</t>
    <phoneticPr fontId="1" type="noConversion"/>
  </si>
  <si>
    <t>预收占比</t>
    <phoneticPr fontId="1" type="noConversion"/>
  </si>
  <si>
    <t>短期借款</t>
    <phoneticPr fontId="1" type="noConversion"/>
  </si>
  <si>
    <t>短期借款占比</t>
    <phoneticPr fontId="1" type="noConversion"/>
  </si>
  <si>
    <t>非流动负债总计</t>
    <phoneticPr fontId="1" type="noConversion"/>
  </si>
  <si>
    <t>长期借款</t>
    <phoneticPr fontId="1" type="noConversion"/>
  </si>
  <si>
    <t>递延收益</t>
    <phoneticPr fontId="1" type="noConversion"/>
  </si>
  <si>
    <t>递延收益占比</t>
    <phoneticPr fontId="1" type="noConversion"/>
  </si>
  <si>
    <t>应付债券</t>
    <phoneticPr fontId="1" type="noConversion"/>
  </si>
  <si>
    <t>长期占比</t>
    <phoneticPr fontId="1" type="noConversion"/>
  </si>
  <si>
    <t>流动资产</t>
    <rPh sb="0" eb="1">
      <t>liu'dong</t>
    </rPh>
    <rPh sb="2" eb="3">
      <t>zi'chan</t>
    </rPh>
    <phoneticPr fontId="1" type="noConversion"/>
  </si>
  <si>
    <t>非流动资产占比</t>
    <rPh sb="0" eb="1">
      <t>fei</t>
    </rPh>
    <rPh sb="1" eb="2">
      <t>liu'dong</t>
    </rPh>
    <rPh sb="3" eb="4">
      <t>zi'chan</t>
    </rPh>
    <phoneticPr fontId="1" type="noConversion"/>
  </si>
  <si>
    <t>资产总计</t>
    <phoneticPr fontId="1" type="noConversion"/>
  </si>
  <si>
    <t>负债总计</t>
    <rPh sb="0" eb="1">
      <t>fu'zhai</t>
    </rPh>
    <rPh sb="2" eb="3">
      <t>zong'ji</t>
    </rPh>
    <phoneticPr fontId="1" type="noConversion"/>
  </si>
  <si>
    <t>所有者权益</t>
    <rPh sb="0" eb="1">
      <t>suo'you'zhe</t>
    </rPh>
    <rPh sb="3" eb="4">
      <t>quan'yi</t>
    </rPh>
    <phoneticPr fontId="1" type="noConversion"/>
  </si>
  <si>
    <t>流动资产占比</t>
    <rPh sb="0" eb="1">
      <t>liu'dong</t>
    </rPh>
    <rPh sb="2" eb="3">
      <t>zi'chan</t>
    </rPh>
    <phoneticPr fontId="1" type="noConversion"/>
  </si>
  <si>
    <t>非流动资产</t>
    <rPh sb="0" eb="1">
      <t>fei</t>
    </rPh>
    <rPh sb="1" eb="2">
      <t>liu'dong</t>
    </rPh>
    <rPh sb="3" eb="4">
      <t>zi'chan</t>
    </rPh>
    <phoneticPr fontId="1" type="noConversion"/>
  </si>
  <si>
    <t>流动负债</t>
    <rPh sb="0" eb="1">
      <t>liu'dong</t>
    </rPh>
    <rPh sb="2" eb="3">
      <t>fu'zhai</t>
    </rPh>
    <phoneticPr fontId="1" type="noConversion"/>
  </si>
  <si>
    <t>流动负债占比</t>
    <rPh sb="0" eb="1">
      <t>liu'dong</t>
    </rPh>
    <rPh sb="2" eb="3">
      <t>fu'zhai</t>
    </rPh>
    <rPh sb="4" eb="5">
      <t>zhan'bi</t>
    </rPh>
    <phoneticPr fontId="1" type="noConversion"/>
  </si>
  <si>
    <t>非流动负债</t>
    <rPh sb="0" eb="1">
      <t>fei'liu'dong</t>
    </rPh>
    <rPh sb="3" eb="4">
      <t>fu'zhai</t>
    </rPh>
    <phoneticPr fontId="1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</si>
  <si>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1" type="noConversion"/>
  </si>
  <si>
    <t>营业总收入</t>
    <rPh sb="0" eb="1">
      <t>ying'ye</t>
    </rPh>
    <rPh sb="2" eb="3">
      <t>zong'shou'ru</t>
    </rPh>
    <phoneticPr fontId="1" type="noConversion"/>
  </si>
  <si>
    <t>营业总成本</t>
    <rPh sb="0" eb="1">
      <t>ying'ye</t>
    </rPh>
    <rPh sb="2" eb="3">
      <t>zong</t>
    </rPh>
    <rPh sb="3" eb="4">
      <t>cheng'ben</t>
    </rPh>
    <phoneticPr fontId="1" type="noConversion"/>
  </si>
  <si>
    <t>营业利润</t>
    <rPh sb="0" eb="1">
      <t>ying'ye</t>
    </rPh>
    <rPh sb="2" eb="3">
      <t>li'run</t>
    </rPh>
    <phoneticPr fontId="1" type="noConversion"/>
  </si>
  <si>
    <t>利润总额</t>
    <rPh sb="0" eb="1">
      <t>li'run</t>
    </rPh>
    <rPh sb="2" eb="3">
      <t>zong'e</t>
    </rPh>
    <phoneticPr fontId="1" type="noConversion"/>
  </si>
  <si>
    <t>净利润</t>
    <rPh sb="0" eb="1">
      <t>jing'li'run</t>
    </rPh>
    <phoneticPr fontId="1" type="noConversion"/>
  </si>
  <si>
    <t>归属于母公司所有者的综合收益</t>
    <phoneticPr fontId="1" type="noConversion"/>
  </si>
  <si>
    <t>利润表</t>
    <rPh sb="0" eb="1">
      <t>li'run'biao</t>
    </rPh>
    <phoneticPr fontId="1" type="noConversion"/>
  </si>
  <si>
    <t>现金流</t>
    <rPh sb="0" eb="1">
      <t>xian'jin'liu</t>
    </rPh>
    <phoneticPr fontId="1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</si>
  <si>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1" type="noConversion"/>
  </si>
  <si>
    <t>经营性活动现金流支出</t>
    <rPh sb="8" eb="9">
      <t>zhi'chu</t>
    </rPh>
    <phoneticPr fontId="1" type="noConversion"/>
  </si>
  <si>
    <t>经营性净额</t>
    <rPh sb="0" eb="1">
      <t>jing'ying'xing</t>
    </rPh>
    <rPh sb="3" eb="4">
      <t>jin'ge</t>
    </rPh>
    <phoneticPr fontId="1" type="noConversion"/>
  </si>
  <si>
    <t>投资收入</t>
    <rPh sb="0" eb="1">
      <t>tou'zi</t>
    </rPh>
    <rPh sb="2" eb="3">
      <t>shou'r</t>
    </rPh>
    <phoneticPr fontId="1" type="noConversion"/>
  </si>
  <si>
    <t>投资支出</t>
    <rPh sb="0" eb="1">
      <t>tou'zi</t>
    </rPh>
    <rPh sb="2" eb="3">
      <t>zhi'chu</t>
    </rPh>
    <phoneticPr fontId="1" type="noConversion"/>
  </si>
  <si>
    <t>投资净额</t>
    <rPh sb="0" eb="1">
      <t>tou'zi</t>
    </rPh>
    <rPh sb="2" eb="3">
      <t>jing'e</t>
    </rPh>
    <phoneticPr fontId="1" type="noConversion"/>
  </si>
  <si>
    <t>活动收入</t>
    <rPh sb="0" eb="1">
      <t>huo'dong</t>
    </rPh>
    <rPh sb="2" eb="3">
      <t>shou'ru</t>
    </rPh>
    <phoneticPr fontId="1" type="noConversion"/>
  </si>
  <si>
    <t>活动支出</t>
    <rPh sb="0" eb="1">
      <t>huo'dong</t>
    </rPh>
    <rPh sb="2" eb="3">
      <t>zhi'chu</t>
    </rPh>
    <phoneticPr fontId="1" type="noConversion"/>
  </si>
  <si>
    <t>活动净值</t>
    <rPh sb="0" eb="1">
      <t>huo'dong</t>
    </rPh>
    <rPh sb="2" eb="3">
      <t>jing'zhi</t>
    </rPh>
    <phoneticPr fontId="1" type="noConversion"/>
  </si>
  <si>
    <t>毛利率</t>
    <rPh sb="0" eb="1">
      <t>mao'li'lv</t>
    </rPh>
    <phoneticPr fontId="1" type="noConversion"/>
  </si>
  <si>
    <t>差额</t>
    <rPh sb="0" eb="1">
      <t>cha'e</t>
    </rPh>
    <phoneticPr fontId="1" type="noConversion"/>
  </si>
  <si>
    <t>年份</t>
    <rPh sb="0" eb="1">
      <t>nian'f</t>
    </rPh>
    <phoneticPr fontId="1" type="noConversion"/>
  </si>
  <si>
    <t>自由现金流</t>
    <rPh sb="0" eb="1">
      <t>zi'you</t>
    </rPh>
    <rPh sb="2" eb="3">
      <t>xian'jin'liu</t>
    </rPh>
    <phoneticPr fontId="1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</si>
  <si>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1" type="noConversion"/>
  </si>
  <si>
    <t>经营活动产生的现金流量净额</t>
  </si>
  <si>
    <t>环比增长</t>
    <rPh sb="0" eb="1">
      <t>huan'bi</t>
    </rPh>
    <rPh sb="2" eb="3">
      <t>zeng'zhang</t>
    </rPh>
    <phoneticPr fontId="1" type="noConversion"/>
  </si>
  <si>
    <t>无风险利率</t>
    <rPh sb="0" eb="1">
      <t>wu'feng'xian</t>
    </rPh>
    <rPh sb="3" eb="4">
      <t>li'lv</t>
    </rPh>
    <phoneticPr fontId="1" type="noConversion"/>
  </si>
  <si>
    <t>最后pe</t>
    <rPh sb="0" eb="1">
      <t>zui'hou</t>
    </rPh>
    <phoneticPr fontId="1" type="noConversion"/>
  </si>
  <si>
    <t>年华增长</t>
    <rPh sb="0" eb="1">
      <t>nian'hua</t>
    </rPh>
    <rPh sb="2" eb="3">
      <t>zeng'zhang</t>
    </rPh>
    <phoneticPr fontId="1" type="noConversion"/>
  </si>
  <si>
    <t>年份</t>
    <rPh sb="0" eb="1">
      <t>nian'fen</t>
    </rPh>
    <phoneticPr fontId="1" type="noConversion"/>
  </si>
  <si>
    <t>扣非净利润</t>
    <rPh sb="0" eb="1">
      <t>kou'fei</t>
    </rPh>
    <rPh sb="2" eb="3">
      <t>jing'li'run</t>
    </rPh>
    <phoneticPr fontId="1" type="noConversion"/>
  </si>
  <si>
    <t>经营活动净额</t>
    <rPh sb="0" eb="1">
      <t>jing'ying</t>
    </rPh>
    <rPh sb="2" eb="3">
      <t>huo'dong</t>
    </rPh>
    <rPh sb="4" eb="5">
      <t>jing'e</t>
    </rPh>
    <phoneticPr fontId="1" type="noConversion"/>
  </si>
  <si>
    <t>扣非占比</t>
    <rPh sb="0" eb="1">
      <t>kou'fei</t>
    </rPh>
    <rPh sb="2" eb="3">
      <t>zhan'bi</t>
    </rPh>
    <phoneticPr fontId="1" type="noConversion"/>
  </si>
  <si>
    <t>合计</t>
    <rPh sb="0" eb="1">
      <t>he'ji</t>
    </rPh>
    <phoneticPr fontId="1" type="noConversion"/>
  </si>
  <si>
    <t>现利比</t>
    <rPh sb="0" eb="1">
      <t>xian</t>
    </rPh>
    <rPh sb="1" eb="2">
      <t>li</t>
    </rPh>
    <rPh sb="2" eb="3">
      <t>bi</t>
    </rPh>
    <phoneticPr fontId="1" type="noConversion"/>
  </si>
  <si>
    <t>计算现金流</t>
    <rPh sb="0" eb="1">
      <t>ji'suan</t>
    </rPh>
    <rPh sb="2" eb="3">
      <t>xian'jin'liu</t>
    </rPh>
    <phoneticPr fontId="1" type="noConversion"/>
  </si>
  <si>
    <t>现金流差值</t>
    <rPh sb="0" eb="1">
      <t>xian'jin'liu</t>
    </rPh>
    <rPh sb="3" eb="4">
      <t>cha'zhi</t>
    </rPh>
    <phoneticPr fontId="1" type="noConversion"/>
  </si>
  <si>
    <t>资产减值</t>
    <rPh sb="0" eb="1">
      <t>zi'chan</t>
    </rPh>
    <rPh sb="2" eb="3">
      <t>jian'zhi</t>
    </rPh>
    <phoneticPr fontId="1" type="noConversion"/>
  </si>
  <si>
    <t>加</t>
    <rPh sb="0" eb="1">
      <t>jia</t>
    </rPh>
    <phoneticPr fontId="1" type="noConversion"/>
  </si>
  <si>
    <t>折旧</t>
    <rPh sb="0" eb="1">
      <t>zhe'jiu</t>
    </rPh>
    <phoneticPr fontId="1" type="noConversion"/>
  </si>
  <si>
    <t>无形资产摊销</t>
    <rPh sb="0" eb="1">
      <t>wu'xing</t>
    </rPh>
    <rPh sb="2" eb="3">
      <t>zi'chan</t>
    </rPh>
    <rPh sb="4" eb="5">
      <t>tan'xiao</t>
    </rPh>
    <phoneticPr fontId="1" type="noConversion"/>
  </si>
  <si>
    <t>存货</t>
    <rPh sb="0" eb="1">
      <t>cun'huo</t>
    </rPh>
    <phoneticPr fontId="1" type="noConversion"/>
  </si>
  <si>
    <t>股东净利润</t>
    <rPh sb="0" eb="1">
      <t>gu'dong</t>
    </rPh>
    <rPh sb="2" eb="3">
      <t>jing'li'run</t>
    </rPh>
    <phoneticPr fontId="1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</si>
  <si>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1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</si>
  <si>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1" type="noConversion"/>
  </si>
  <si>
    <t>财务费用</t>
    <rPh sb="0" eb="1">
      <t>cai'wu</t>
    </rPh>
    <rPh sb="2" eb="3">
      <t>fei'yong</t>
    </rPh>
    <phoneticPr fontId="1" type="noConversion"/>
  </si>
  <si>
    <t>投资损失</t>
    <rPh sb="0" eb="1">
      <t>tou'zi</t>
    </rPh>
    <rPh sb="2" eb="3">
      <t>sun'shi</t>
    </rPh>
    <phoneticPr fontId="1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</si>
  <si>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1" type="noConversion"/>
  </si>
  <si>
    <t>存货减少</t>
    <rPh sb="0" eb="1">
      <t>cun'huo</t>
    </rPh>
    <rPh sb="2" eb="3">
      <t>jian'shao</t>
    </rPh>
    <phoneticPr fontId="1" type="noConversion"/>
  </si>
  <si>
    <t>经营性应收减少</t>
    <rPh sb="0" eb="1">
      <t>jing'ying'xing</t>
    </rPh>
    <rPh sb="3" eb="4">
      <t>ying'shou</t>
    </rPh>
    <rPh sb="5" eb="6">
      <t>jian'shao</t>
    </rPh>
    <phoneticPr fontId="1" type="noConversion"/>
  </si>
  <si>
    <t>经营性应付增加</t>
    <rPh sb="0" eb="1">
      <t>jing'ying'xing</t>
    </rPh>
    <rPh sb="3" eb="4">
      <t>ying'fu</t>
    </rPh>
    <rPh sb="5" eb="6">
      <t>zeng'jia</t>
    </rPh>
    <phoneticPr fontId="1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</si>
  <si>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1" type="noConversion"/>
  </si>
  <si>
    <t>原材料</t>
    <rPh sb="0" eb="1">
      <t>yuan'cai'liao</t>
    </rPh>
    <phoneticPr fontId="1" type="noConversion"/>
  </si>
  <si>
    <t>在产品</t>
    <rPh sb="0" eb="1">
      <t>zai'chan'p</t>
    </rPh>
    <phoneticPr fontId="1" type="noConversion"/>
  </si>
  <si>
    <t>库存商品</t>
    <rPh sb="0" eb="1">
      <t>ku'cun</t>
    </rPh>
    <rPh sb="2" eb="3">
      <t>shang'p</t>
    </rPh>
    <phoneticPr fontId="1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</si>
  <si>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1" type="noConversion"/>
  </si>
  <si>
    <t>半成品</t>
    <rPh sb="0" eb="1">
      <t>ban'cheng'p</t>
    </rPh>
    <phoneticPr fontId="1" type="noConversion"/>
  </si>
  <si>
    <t>发出商品</t>
    <rPh sb="0" eb="1">
      <t>fa'chu</t>
    </rPh>
    <rPh sb="2" eb="3">
      <t>shang'p</t>
    </rPh>
    <phoneticPr fontId="1" type="noConversion"/>
  </si>
  <si>
    <t>运营成本</t>
    <rPh sb="0" eb="1">
      <t>yun'ying</t>
    </rPh>
    <rPh sb="2" eb="3">
      <t>cheng'ben</t>
    </rPh>
    <phoneticPr fontId="1" type="noConversion"/>
  </si>
  <si>
    <t>低值易耗品</t>
    <rPh sb="0" eb="1">
      <t>di'zhi</t>
    </rPh>
    <rPh sb="2" eb="3">
      <t>yi'hao'p</t>
    </rPh>
    <phoneticPr fontId="1" type="noConversion"/>
  </si>
  <si>
    <t>劳务成本</t>
    <rPh sb="0" eb="1">
      <t>lao'wu'cheng'ben</t>
    </rPh>
    <phoneticPr fontId="1" type="noConversion"/>
  </si>
  <si>
    <t>未结算资产占比</t>
    <rPh sb="0" eb="1">
      <t>wei'jie'suan</t>
    </rPh>
    <rPh sb="3" eb="4">
      <t>zi'chan</t>
    </rPh>
    <rPh sb="5" eb="6">
      <t>zhan'bi</t>
    </rPh>
    <phoneticPr fontId="1" type="noConversion"/>
  </si>
  <si>
    <t>现利比只有27%，占比太低，分析主要原因，近9年累积净利润9亿，但累积经营活动现金流净额只有2.43亿，差值6.57亿
近9年的差值主要为：资产减值1.45亿+折旧1.67亿+无形资产摊销+1.28亿+财务费用1.61亿+应付增加了10.08亿-应收增加了11.7亿-存货增加了10.59亿=6.2亿约等于6.57亿
可以看到，差值的主要原因是：
1. 应收增加了11.7亿，造成利润增加，但未收到钱，这是政府项目通病，应收慢
2. 存货增加了10.59亿，造成利润不变，但现金流支持增加
针对应收，重点关注应收款情况，应收后面再细看
针对存货，查看财报，对存货的解释为：本集团存货主要包括工程施工、已完工未结算项目、原材料、在产品、库存商品和低值易耗品等
查看右边的存货sheet表，可以发现大头为建造完工的合同资产，稳定占比83%左右
总结：当前财报暂时未看出大问题，典型的第三方外包项目型公司</t>
    <rPh sb="3" eb="4">
      <t>zhi'you</t>
    </rPh>
    <rPh sb="9" eb="10">
      <t>zhan'bi</t>
    </rPh>
    <rPh sb="11" eb="12">
      <t>tai'di</t>
    </rPh>
    <rPh sb="14" eb="15">
      <t>fen'xi</t>
    </rPh>
    <rPh sb="16" eb="17">
      <t>zhu'yao</t>
    </rPh>
    <rPh sb="18" eb="19">
      <t>yuan'y</t>
    </rPh>
    <rPh sb="21" eb="22">
      <t>jin</t>
    </rPh>
    <rPh sb="23" eb="24">
      <t>nian</t>
    </rPh>
    <rPh sb="24" eb="25">
      <t>lei'ji</t>
    </rPh>
    <rPh sb="26" eb="27">
      <t>jing'li'run</t>
    </rPh>
    <rPh sb="30" eb="31">
      <t>yi</t>
    </rPh>
    <rPh sb="32" eb="33">
      <t>dan</t>
    </rPh>
    <rPh sb="33" eb="34">
      <t>lei'ji</t>
    </rPh>
    <rPh sb="35" eb="36">
      <t>jing'ying</t>
    </rPh>
    <rPh sb="37" eb="38">
      <t>huo'dong</t>
    </rPh>
    <rPh sb="39" eb="40">
      <t>xian'jin'liu</t>
    </rPh>
    <rPh sb="42" eb="43">
      <t>jing'e</t>
    </rPh>
    <rPh sb="44" eb="45">
      <t>zhi'you</t>
    </rPh>
    <rPh sb="50" eb="51">
      <t>yi</t>
    </rPh>
    <rPh sb="52" eb="53">
      <t>cha'zhi</t>
    </rPh>
    <rPh sb="58" eb="59">
      <t>yi</t>
    </rPh>
    <rPh sb="245" eb="246">
      <t>zhen'dui</t>
    </rPh>
    <rPh sb="247" eb="248">
      <t>ying'shou</t>
    </rPh>
    <rPh sb="250" eb="251">
      <t>zhong'dian</t>
    </rPh>
    <rPh sb="252" eb="253">
      <t>guan'zhu</t>
    </rPh>
    <rPh sb="254" eb="255">
      <t>ying'shou</t>
    </rPh>
    <rPh sb="256" eb="257">
      <t>kuan</t>
    </rPh>
    <rPh sb="257" eb="258">
      <t>qing'kuang</t>
    </rPh>
    <rPh sb="260" eb="261">
      <t>ying'shou</t>
    </rPh>
    <rPh sb="262" eb="263">
      <t>hou'mian</t>
    </rPh>
    <rPh sb="264" eb="265">
      <t>zai</t>
    </rPh>
    <rPh sb="265" eb="266">
      <t>xi'kan</t>
    </rPh>
    <rPh sb="268" eb="269">
      <t>zhen'dui</t>
    </rPh>
    <rPh sb="270" eb="271">
      <t>cun'huo</t>
    </rPh>
    <rPh sb="273" eb="274">
      <t>cha'kan</t>
    </rPh>
    <rPh sb="275" eb="276">
      <t>cai'bao</t>
    </rPh>
    <rPh sb="278" eb="279">
      <t>dui</t>
    </rPh>
    <rPh sb="279" eb="280">
      <t>cun'huo</t>
    </rPh>
    <rPh sb="281" eb="282">
      <t>de</t>
    </rPh>
    <rPh sb="282" eb="283">
      <t>jie'shi</t>
    </rPh>
    <rPh sb="284" eb="285">
      <t>wei</t>
    </rPh>
    <rPh sb="329" eb="330">
      <t>cha'kan</t>
    </rPh>
    <rPh sb="331" eb="332">
      <t>you'bian</t>
    </rPh>
    <rPh sb="333" eb="334">
      <t>de</t>
    </rPh>
    <rPh sb="334" eb="335">
      <t>cun'huo</t>
    </rPh>
    <rPh sb="341" eb="342">
      <t>biao</t>
    </rPh>
    <rPh sb="343" eb="344">
      <t>ke'yi</t>
    </rPh>
    <rPh sb="345" eb="346">
      <t>fa'xian</t>
    </rPh>
    <rPh sb="347" eb="348">
      <t>da'tou</t>
    </rPh>
    <rPh sb="349" eb="350">
      <t>wei</t>
    </rPh>
    <rPh sb="350" eb="351">
      <t>jian'zao</t>
    </rPh>
    <rPh sb="352" eb="353">
      <t>wan'gong</t>
    </rPh>
    <rPh sb="354" eb="355">
      <t>de</t>
    </rPh>
    <rPh sb="355" eb="356">
      <t>he'tong</t>
    </rPh>
    <rPh sb="357" eb="358">
      <t>zi'chan</t>
    </rPh>
    <rPh sb="360" eb="361">
      <t>wen'ding</t>
    </rPh>
    <rPh sb="362" eb="363">
      <t>zhan'bi</t>
    </rPh>
    <rPh sb="367" eb="368">
      <t>zuo'you</t>
    </rPh>
    <rPh sb="371" eb="372">
      <t>zong'jie</t>
    </rPh>
    <rPh sb="374" eb="375">
      <t>dang'qian</t>
    </rPh>
    <rPh sb="376" eb="377">
      <t>cai'bao</t>
    </rPh>
    <rPh sb="378" eb="379">
      <t>zan'shi</t>
    </rPh>
    <rPh sb="380" eb="381">
      <t>wei</t>
    </rPh>
    <rPh sb="381" eb="382">
      <t>kan'chu</t>
    </rPh>
    <rPh sb="383" eb="384">
      <t>da'wen'ti</t>
    </rPh>
    <rPh sb="387" eb="388">
      <t>dian'xing</t>
    </rPh>
    <rPh sb="389" eb="390">
      <t>de</t>
    </rPh>
    <rPh sb="390" eb="391">
      <t>di'san'fang</t>
    </rPh>
    <rPh sb="393" eb="394">
      <t>wai'bao</t>
    </rPh>
    <rPh sb="395" eb="396">
      <t>xiang'mu'xing</t>
    </rPh>
    <rPh sb="398" eb="399">
      <t>gong'si</t>
    </rPh>
    <phoneticPr fontId="1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</si>
  <si>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1" type="noConversion"/>
  </si>
  <si>
    <t>折扣</t>
    <rPh sb="0" eb="1">
      <t>zhe'kou</t>
    </rPh>
    <phoneticPr fontId="1" type="noConversion"/>
  </si>
  <si>
    <t>资产利用率</t>
    <phoneticPr fontId="1" type="noConversion"/>
  </si>
  <si>
    <t>经营活动产生的现金流量净额</t>
    <phoneticPr fontId="1" type="noConversion"/>
  </si>
  <si>
    <t>初始净利润</t>
    <rPh sb="0" eb="1">
      <t>chu'shi</t>
    </rPh>
    <rPh sb="2" eb="3">
      <t>jing'li'run</t>
    </rPh>
    <phoneticPr fontId="1" type="noConversion"/>
  </si>
  <si>
    <t>最终估值</t>
    <rPh sb="0" eb="1">
      <t>zui'zhong</t>
    </rPh>
    <rPh sb="2" eb="3">
      <t>gu'zhi</t>
    </rPh>
    <phoneticPr fontId="1" type="noConversion"/>
  </si>
  <si>
    <t>预估净利润</t>
    <rPh sb="0" eb="1">
      <t>yu'gu</t>
    </rPh>
    <rPh sb="2" eb="3">
      <t>jinl'gi'run</t>
    </rPh>
    <phoneticPr fontId="1" type="noConversion"/>
  </si>
  <si>
    <t>折现价值</t>
    <rPh sb="0" eb="1">
      <t>zhe'xian</t>
    </rPh>
    <rPh sb="2" eb="3">
      <t>jia'zhi</t>
    </rPh>
    <phoneticPr fontId="1" type="noConversion"/>
  </si>
  <si>
    <t>折扣估值</t>
    <rPh sb="0" eb="1">
      <t>zhe'kou</t>
    </rPh>
    <rPh sb="2" eb="3">
      <t>gu'zhi</t>
    </rPh>
    <phoneticPr fontId="1" type="noConversion"/>
  </si>
  <si>
    <t>符合增长</t>
    <rPh sb="0" eb="1">
      <t>fu'he</t>
    </rPh>
    <rPh sb="2" eb="3">
      <t>zeng'zhang</t>
    </rPh>
    <phoneticPr fontId="1" type="noConversion"/>
  </si>
  <si>
    <t>接盘价格</t>
    <rPh sb="0" eb="1">
      <t>jie'pan</t>
    </rPh>
    <rPh sb="2" eb="3">
      <t>jia'ge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</si>
</sst>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  <font>
      <sz val="11"/>
      <color theme="1"/>
      <name val="Times New Roman"/>
    </font>
    <font>
      <sz val="12"/>
      <color theme="1"/>
      <name val="TimesNewRomanPSM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2" fillId="0" borderId="0" xfId="0" applyNumberFormat="1" applyFont="1"/>
    <xf numFmtId="178" fontId="0" fillId="0" borderId="0" xfId="0" applyNumberFormat="1"/>
    <xf numFmtId="0" fontId="3" fillId="0" borderId="0" xfId="0" applyFont="1"/>
    <xf numFmtId="17" fontId="0" fillId="0" borderId="0" xfId="0" applyNumberFormat="1"/>
    <xf numFmtId="9" fontId="0" fillId="0" borderId="0" xfId="0" applyNumberFormat="1"/>
    <xf numFmtId="178" fontId="0" fillId="0" borderId="0" xfId="0" applyNumberFormat="1" applyFont="1"/>
    <xf numFmtId="4" fontId="4" fillId="0" borderId="0" xfId="0" applyNumberFormat="1" applyFont="1"/>
    <xf numFmtId="4" fontId="5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110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24" sqref="D24"/>
    </sheetView>
  </sheetViews>
  <sheetFormatPr baseColWidth="10" defaultRowHeight="15" x14ac:dyDescent="0.2"/>
  <cols>
    <col min="1" max="1" width="11.1640625" customWidth="1"/>
  </cols>
  <sheetData>
    <row r="1" spans="1:11" ht="15" customHeight="1" x14ac:dyDescent="0.2"/>
    <row r="2" spans="1:11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1" x14ac:dyDescent="0.3">
      <c r="A3" s="10" t="s">
        <v>69</v>
      </c>
      <c r="B3" s="10">
        <v>17</v>
      </c>
      <c r="C3" s="10">
        <v>22</v>
      </c>
      <c r="D3" s="10">
        <v>-73</v>
      </c>
      <c r="E3" s="10">
        <v>-90</v>
      </c>
      <c r="F3" s="10">
        <v>-49</v>
      </c>
      <c r="G3" s="10">
        <v>40</v>
      </c>
      <c r="H3" s="10">
        <v>52</v>
      </c>
      <c r="I3" s="10">
        <v>31</v>
      </c>
      <c r="J3" s="10">
        <v>65</v>
      </c>
      <c r="K3" s="10">
        <v>246</v>
      </c>
    </row>
    <row r="4" spans="1:11" x14ac:dyDescent="0.2">
      <c r="A4" t="s">
        <v>70</v>
      </c>
      <c r="C4" s="2">
        <f>(C3-B3)/B3</f>
        <v>0.29411764705882354</v>
      </c>
      <c r="D4" s="2">
        <f t="shared" ref="D4:K4" si="0">(D3-C3)/C3</f>
        <v>-4.3181818181818183</v>
      </c>
      <c r="E4" s="2">
        <f t="shared" si="0"/>
        <v>0.23287671232876711</v>
      </c>
      <c r="F4" s="2">
        <f t="shared" si="0"/>
        <v>-0.45555555555555555</v>
      </c>
      <c r="G4" s="2">
        <f t="shared" si="0"/>
        <v>-1.8163265306122449</v>
      </c>
      <c r="H4" s="2">
        <f t="shared" si="0"/>
        <v>0.3</v>
      </c>
      <c r="I4" s="2">
        <f t="shared" si="0"/>
        <v>-0.40384615384615385</v>
      </c>
      <c r="J4" s="2">
        <f t="shared" si="0"/>
        <v>1.096774193548387</v>
      </c>
      <c r="K4" s="2">
        <f t="shared" si="0"/>
        <v>2.7846153846153845</v>
      </c>
    </row>
    <row r="6" spans="1:11" x14ac:dyDescent="0.2">
      <c r="D6" s="11"/>
    </row>
    <row r="7" spans="1:11" x14ac:dyDescent="0.2">
      <c r="B7" s="12">
        <v>0.5</v>
      </c>
      <c r="C7" s="12">
        <v>0.5</v>
      </c>
      <c r="D7" s="12">
        <v>0.1</v>
      </c>
      <c r="E7" s="12">
        <v>0.1</v>
      </c>
      <c r="F7" s="12">
        <v>0.1</v>
      </c>
    </row>
    <row r="8" spans="1:11" x14ac:dyDescent="0.2">
      <c r="A8" t="s">
        <v>71</v>
      </c>
      <c r="B8">
        <v>2019</v>
      </c>
      <c r="C8">
        <v>2020</v>
      </c>
      <c r="D8">
        <v>2021</v>
      </c>
      <c r="E8">
        <v>2022</v>
      </c>
      <c r="F8">
        <v>2023</v>
      </c>
    </row>
    <row r="9" spans="1:11" x14ac:dyDescent="0.2">
      <c r="A9">
        <v>0.05</v>
      </c>
      <c r="B9">
        <v>3.75</v>
      </c>
      <c r="C9">
        <f>B9*(1+A13)</f>
        <v>4.5</v>
      </c>
      <c r="D9">
        <f>C9*(1+A13)</f>
        <v>5.3999999999999995</v>
      </c>
      <c r="E9">
        <f>D9*(1+A13)</f>
        <v>6.4799999999999995</v>
      </c>
      <c r="F9">
        <f>E9*(1+A13)</f>
        <v>7.7759999999999989</v>
      </c>
      <c r="G9">
        <f>F9*A11</f>
        <v>116.63999999999999</v>
      </c>
    </row>
    <row r="10" spans="1:11" x14ac:dyDescent="0.2">
      <c r="A10" t="s">
        <v>72</v>
      </c>
      <c r="B10">
        <f>B9/(1+A9)</f>
        <v>3.5714285714285712</v>
      </c>
      <c r="C10">
        <f>C9/(1+A9)^2</f>
        <v>4.0816326530612246</v>
      </c>
      <c r="D10">
        <f>D9/(1+A9)^3</f>
        <v>4.6647230320699702</v>
      </c>
      <c r="E10">
        <f>E9/(1+A9)^4</f>
        <v>5.3311120366513949</v>
      </c>
      <c r="F10">
        <f>F9/(1+A9)^5</f>
        <v>6.0926994704587356</v>
      </c>
      <c r="G10">
        <f>G9/(1+A9)^4</f>
        <v>95.960016659725099</v>
      </c>
      <c r="H10">
        <f>SUM(B10:G10)</f>
        <v>119.70161242339499</v>
      </c>
    </row>
    <row r="11" spans="1:11" x14ac:dyDescent="0.2">
      <c r="A11">
        <v>15</v>
      </c>
      <c r="H11">
        <f>H10*A15</f>
        <v>83.791128696376489</v>
      </c>
    </row>
    <row r="12" spans="1:11" x14ac:dyDescent="0.2">
      <c r="A12" t="s">
        <v>73</v>
      </c>
    </row>
    <row r="13" spans="1:11" x14ac:dyDescent="0.2">
      <c r="A13">
        <v>0.2</v>
      </c>
    </row>
    <row r="14" spans="1:11" x14ac:dyDescent="0.2">
      <c r="A14" t="s">
        <v>109</v>
      </c>
    </row>
    <row r="15" spans="1:11" x14ac:dyDescent="0.2">
      <c r="A15"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tabSelected="1" workbookViewId="0">
      <selection activeCell="G25" sqref="G25"/>
    </sheetView>
  </sheetViews>
  <sheetFormatPr baseColWidth="10" defaultRowHeight="15" x14ac:dyDescent="0.2"/>
  <cols>
    <col min="1" max="1" width="17.6640625" customWidth="1"/>
    <col min="2" max="2" width="12.1640625" customWidth="1"/>
    <col min="3" max="3" width="14.5" customWidth="1"/>
    <col min="4" max="4" width="15.33203125" customWidth="1"/>
    <col min="5" max="5" width="14.5" customWidth="1"/>
    <col min="6" max="6" width="14.1640625" customWidth="1"/>
    <col min="7" max="7" width="17.6640625" customWidth="1"/>
    <col min="8" max="8" width="14.6640625" customWidth="1"/>
    <col min="9" max="9" width="13.83203125" customWidth="1"/>
    <col min="10" max="10" width="15.5" customWidth="1"/>
    <col min="11" max="11" width="13.5" customWidth="1"/>
    <col min="14" max="14" width="13.83203125" customWidth="1"/>
  </cols>
  <sheetData>
    <row r="2" spans="1:14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4" ht="21" x14ac:dyDescent="0.3">
      <c r="A3" s="10" t="s">
        <v>111</v>
      </c>
      <c r="B3" s="10"/>
      <c r="C3" s="9">
        <v>45143297.100000001</v>
      </c>
      <c r="D3" s="9">
        <v>47735376.670000002</v>
      </c>
      <c r="E3" s="9">
        <v>68000398.879999995</v>
      </c>
      <c r="F3" s="9">
        <v>28881580</v>
      </c>
      <c r="G3" s="9">
        <v>96069481.920000002</v>
      </c>
      <c r="H3" s="9">
        <v>120559675.81</v>
      </c>
      <c r="I3" s="9">
        <v>92753424.450000003</v>
      </c>
      <c r="J3" s="9">
        <v>138703129.69</v>
      </c>
      <c r="K3" s="9">
        <v>232366860.28</v>
      </c>
    </row>
    <row r="4" spans="1:14" x14ac:dyDescent="0.2">
      <c r="A4" t="s">
        <v>70</v>
      </c>
      <c r="C4" s="2" t="e">
        <f>(C3-B3)/B3</f>
        <v>#DIV/0!</v>
      </c>
      <c r="D4" s="2">
        <f t="shared" ref="D4:K4" si="0">(D3-C3)/C3</f>
        <v>5.7418924547272383E-2</v>
      </c>
      <c r="E4" s="2">
        <f t="shared" si="0"/>
        <v>0.42452838175121899</v>
      </c>
      <c r="F4" s="2">
        <f t="shared" si="0"/>
        <v>-0.57527337374936294</v>
      </c>
      <c r="G4" s="2">
        <f t="shared" si="0"/>
        <v>2.3263236263390024</v>
      </c>
      <c r="H4" s="2">
        <f t="shared" si="0"/>
        <v>0.2549216816886109</v>
      </c>
      <c r="I4" s="2">
        <f t="shared" si="0"/>
        <v>-0.23064305020048476</v>
      </c>
      <c r="J4" s="2">
        <f t="shared" si="0"/>
        <v>0.49539632107890325</v>
      </c>
      <c r="K4" s="2">
        <f t="shared" si="0"/>
        <v>0.67528202715639818</v>
      </c>
    </row>
    <row r="5" spans="1:14" x14ac:dyDescent="0.2">
      <c r="A5" t="s">
        <v>117</v>
      </c>
      <c r="B5">
        <f>(K3-C3)/C3/9</f>
        <v>0.46081299921513952</v>
      </c>
    </row>
    <row r="7" spans="1:14" x14ac:dyDescent="0.2">
      <c r="A7" s="19" t="s">
        <v>112</v>
      </c>
      <c r="B7" s="19" t="s">
        <v>71</v>
      </c>
      <c r="C7" s="19" t="s">
        <v>72</v>
      </c>
      <c r="D7" s="19" t="s">
        <v>73</v>
      </c>
      <c r="E7" s="19" t="s">
        <v>109</v>
      </c>
    </row>
    <row r="8" spans="1:14" x14ac:dyDescent="0.2">
      <c r="A8" s="20">
        <f>K3*0.27</f>
        <v>62739052.275600001</v>
      </c>
      <c r="B8" s="19">
        <v>0.05</v>
      </c>
      <c r="C8" s="19">
        <v>15</v>
      </c>
      <c r="D8" s="19">
        <v>0.3</v>
      </c>
      <c r="E8" s="19">
        <v>1.5</v>
      </c>
    </row>
    <row r="9" spans="1:14" x14ac:dyDescent="0.2">
      <c r="A9" s="1"/>
    </row>
    <row r="10" spans="1:14" x14ac:dyDescent="0.2">
      <c r="A10" s="19"/>
      <c r="B10" s="21">
        <v>0.18</v>
      </c>
      <c r="C10" s="21">
        <v>0.18</v>
      </c>
      <c r="D10" s="21">
        <v>0.18</v>
      </c>
      <c r="E10" s="21">
        <v>0.18</v>
      </c>
      <c r="F10" s="21">
        <v>0.18</v>
      </c>
      <c r="G10" s="19"/>
      <c r="H10" s="19"/>
    </row>
    <row r="11" spans="1:14" x14ac:dyDescent="0.2">
      <c r="A11" s="19" t="s">
        <v>66</v>
      </c>
      <c r="B11" s="19">
        <v>2019</v>
      </c>
      <c r="C11" s="19">
        <v>2020</v>
      </c>
      <c r="D11" s="19">
        <v>2021</v>
      </c>
      <c r="E11" s="19">
        <v>2022</v>
      </c>
      <c r="F11" s="19">
        <v>2023</v>
      </c>
      <c r="G11" s="19" t="s">
        <v>118</v>
      </c>
      <c r="H11" s="19" t="s">
        <v>113</v>
      </c>
    </row>
    <row r="12" spans="1:14" x14ac:dyDescent="0.2">
      <c r="A12" s="19" t="s">
        <v>114</v>
      </c>
      <c r="B12" s="22">
        <f>A8*(1+D8)</f>
        <v>81560767.958279997</v>
      </c>
      <c r="C12" s="22">
        <f>B12*(1+D8)</f>
        <v>106028998.345764</v>
      </c>
      <c r="D12" s="22">
        <f>C12*(1+D8)</f>
        <v>137837697.84949321</v>
      </c>
      <c r="E12" s="22">
        <f>D12*(1+D8)</f>
        <v>179189007.20434117</v>
      </c>
      <c r="F12" s="22">
        <f>E12*(1+D8)</f>
        <v>232945709.36564353</v>
      </c>
      <c r="G12" s="22">
        <f>F12*C8</f>
        <v>3494185640.484653</v>
      </c>
      <c r="H12" s="19"/>
      <c r="M12">
        <v>2018</v>
      </c>
      <c r="N12" s="9">
        <v>232366860.28</v>
      </c>
    </row>
    <row r="13" spans="1:14" x14ac:dyDescent="0.2">
      <c r="A13" s="19" t="s">
        <v>115</v>
      </c>
      <c r="B13" s="20">
        <f>B12/(1+B8)</f>
        <v>77676921.86502856</v>
      </c>
      <c r="C13" s="20">
        <f>C12/(1+B8)^2</f>
        <v>96171427.070987746</v>
      </c>
      <c r="D13" s="20">
        <f>D12/(1+B8)^3</f>
        <v>119069385.8974134</v>
      </c>
      <c r="E13" s="20">
        <f>E12/(1+B8)^4</f>
        <v>147419239.68251187</v>
      </c>
      <c r="F13" s="20">
        <f>F12/(1+B8)^5</f>
        <v>182519058.65453848</v>
      </c>
      <c r="G13" s="20">
        <f>G12/(1+B8)^4</f>
        <v>2874675173.8089814</v>
      </c>
      <c r="H13" s="20">
        <f>SUM(B13:G13)</f>
        <v>3497531206.9794617</v>
      </c>
      <c r="M13">
        <f>M12-1</f>
        <v>2017</v>
      </c>
      <c r="N13" s="9">
        <v>138703129.69</v>
      </c>
    </row>
    <row r="14" spans="1:14" x14ac:dyDescent="0.2">
      <c r="A14" s="19"/>
      <c r="B14" s="20"/>
      <c r="C14" s="20"/>
      <c r="D14" s="20"/>
      <c r="E14" s="20"/>
      <c r="F14" s="20"/>
      <c r="G14" s="20" t="s">
        <v>116</v>
      </c>
      <c r="H14" s="20">
        <f>H13*E8</f>
        <v>5246296810.4691925</v>
      </c>
      <c r="M14">
        <f t="shared" ref="M14:M20" si="1">M13-1</f>
        <v>2016</v>
      </c>
      <c r="N14" s="9">
        <v>92753424.450000003</v>
      </c>
    </row>
    <row r="15" spans="1:14" x14ac:dyDescent="0.2">
      <c r="M15">
        <f t="shared" si="1"/>
        <v>2015</v>
      </c>
      <c r="N15" s="9">
        <v>120559675.81</v>
      </c>
    </row>
    <row r="16" spans="1:14" x14ac:dyDescent="0.2">
      <c r="M16">
        <f t="shared" si="1"/>
        <v>2014</v>
      </c>
      <c r="N16" s="9">
        <v>96069481.920000002</v>
      </c>
    </row>
    <row r="17" spans="13:14" x14ac:dyDescent="0.2">
      <c r="M17">
        <f t="shared" si="1"/>
        <v>2013</v>
      </c>
      <c r="N17" s="9">
        <v>28881580</v>
      </c>
    </row>
    <row r="18" spans="13:14" x14ac:dyDescent="0.2">
      <c r="M18">
        <f t="shared" si="1"/>
        <v>2012</v>
      </c>
      <c r="N18" s="9">
        <v>68000398.879999995</v>
      </c>
    </row>
    <row r="19" spans="13:14" x14ac:dyDescent="0.2">
      <c r="M19">
        <f t="shared" si="1"/>
        <v>2011</v>
      </c>
      <c r="N19" s="9">
        <v>47735376.670000002</v>
      </c>
    </row>
    <row r="20" spans="13:14" x14ac:dyDescent="0.2">
      <c r="M20">
        <f t="shared" si="1"/>
        <v>2010</v>
      </c>
      <c r="N20" s="9">
        <v>45143297.100000001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workbookViewId="0">
      <selection activeCell="A4" sqref="A4:B12"/>
    </sheetView>
  </sheetViews>
  <sheetFormatPr baseColWidth="10" defaultRowHeight="15" x14ac:dyDescent="0.2"/>
  <cols>
    <col min="2" max="2" width="14" customWidth="1"/>
    <col min="3" max="4" width="13.6640625" bestFit="1" customWidth="1"/>
    <col min="5" max="5" width="13.33203125" customWidth="1"/>
    <col min="8" max="8" width="15.5" customWidth="1"/>
    <col min="9" max="9" width="16.1640625" customWidth="1"/>
    <col min="10" max="10" width="14.1640625" customWidth="1"/>
    <col min="11" max="11" width="16.6640625" customWidth="1"/>
    <col min="12" max="12" width="15" customWidth="1"/>
    <col min="13" max="13" width="14.5" customWidth="1"/>
    <col min="14" max="19" width="17.83203125" customWidth="1"/>
    <col min="20" max="20" width="15.6640625" customWidth="1"/>
    <col min="21" max="21" width="16.1640625" customWidth="1"/>
    <col min="22" max="24" width="15.1640625" bestFit="1" customWidth="1"/>
    <col min="25" max="25" width="13.6640625" bestFit="1" customWidth="1"/>
    <col min="26" max="26" width="14.6640625" customWidth="1"/>
    <col min="27" max="27" width="18.1640625" customWidth="1"/>
  </cols>
  <sheetData>
    <row r="2" spans="1:27" x14ac:dyDescent="0.2">
      <c r="J2" t="s">
        <v>83</v>
      </c>
      <c r="L2" t="s">
        <v>83</v>
      </c>
      <c r="Y2" t="s">
        <v>83</v>
      </c>
      <c r="AA2" t="s">
        <v>83</v>
      </c>
    </row>
    <row r="3" spans="1:27" x14ac:dyDescent="0.2">
      <c r="A3" t="s">
        <v>74</v>
      </c>
      <c r="B3" t="s">
        <v>87</v>
      </c>
      <c r="C3" t="s">
        <v>75</v>
      </c>
      <c r="D3" t="s">
        <v>51</v>
      </c>
      <c r="E3" t="s">
        <v>76</v>
      </c>
      <c r="F3" t="s">
        <v>77</v>
      </c>
      <c r="G3" t="s">
        <v>79</v>
      </c>
      <c r="H3" t="s">
        <v>80</v>
      </c>
      <c r="I3" t="s">
        <v>81</v>
      </c>
      <c r="J3" t="s">
        <v>82</v>
      </c>
      <c r="K3" t="s">
        <v>108</v>
      </c>
      <c r="L3" t="s">
        <v>84</v>
      </c>
      <c r="M3" t="s">
        <v>85</v>
      </c>
      <c r="N3" t="s">
        <v>88</v>
      </c>
      <c r="O3" t="s">
        <v>89</v>
      </c>
      <c r="P3" t="s">
        <v>96</v>
      </c>
      <c r="Q3" t="s">
        <v>90</v>
      </c>
      <c r="R3" t="s">
        <v>91</v>
      </c>
      <c r="S3" t="s">
        <v>92</v>
      </c>
      <c r="T3" t="s">
        <v>93</v>
      </c>
      <c r="U3" t="s">
        <v>94</v>
      </c>
      <c r="V3" t="s">
        <v>95</v>
      </c>
      <c r="W3" t="s">
        <v>86</v>
      </c>
    </row>
    <row r="4" spans="1:27" x14ac:dyDescent="0.2">
      <c r="A4">
        <v>2018</v>
      </c>
      <c r="B4" s="9">
        <v>232366860.28</v>
      </c>
      <c r="C4" s="9">
        <v>216834636.72999999</v>
      </c>
      <c r="D4" s="9">
        <v>247006342.69999999</v>
      </c>
      <c r="E4" s="9">
        <v>246095084.09999999</v>
      </c>
      <c r="F4" s="2">
        <f t="shared" ref="F4:F13" si="0">C4/D4</f>
        <v>0.87785048092208362</v>
      </c>
      <c r="G4" s="2">
        <f t="shared" ref="G4:G13" si="1">E4/D4</f>
        <v>0.99631078866218925</v>
      </c>
      <c r="H4" s="9">
        <f>D4+J4+L4+M4+N4+O4+Q4+R4+S4+T4+U4+V4+P4</f>
        <v>246095084.09999993</v>
      </c>
      <c r="I4" s="9">
        <f>H4-E4</f>
        <v>0</v>
      </c>
      <c r="J4" s="9">
        <v>61198503.189999998</v>
      </c>
      <c r="K4" s="2">
        <f>J4/D4</f>
        <v>0.24776085715470172</v>
      </c>
      <c r="L4" s="9">
        <v>67871562.459999993</v>
      </c>
      <c r="M4" s="9">
        <v>45241993.590000004</v>
      </c>
      <c r="N4" s="9">
        <v>514480.32</v>
      </c>
      <c r="O4" s="9">
        <v>160893.64000000001</v>
      </c>
      <c r="P4" s="9"/>
      <c r="Q4" s="9">
        <v>51728220.75</v>
      </c>
      <c r="R4" s="13">
        <v>-7435631.6900000004</v>
      </c>
      <c r="S4" s="13">
        <v>-9082167.9000000004</v>
      </c>
      <c r="T4" s="9">
        <v>-196821639.97999999</v>
      </c>
      <c r="U4" s="9">
        <v>-361900981.50999999</v>
      </c>
      <c r="V4" s="9">
        <v>347613508.52999997</v>
      </c>
      <c r="W4" s="9">
        <v>1179835774</v>
      </c>
      <c r="X4" s="9"/>
      <c r="Y4" s="9"/>
      <c r="Z4" s="9"/>
      <c r="AA4" s="9"/>
    </row>
    <row r="5" spans="1:27" x14ac:dyDescent="0.2">
      <c r="A5">
        <f>A4-1</f>
        <v>2017</v>
      </c>
      <c r="B5" s="9">
        <v>138703129.69</v>
      </c>
      <c r="C5" s="9">
        <v>145936922.75</v>
      </c>
      <c r="D5" s="9">
        <v>144167550.41</v>
      </c>
      <c r="E5" s="9">
        <v>65219021.219999999</v>
      </c>
      <c r="F5" s="2">
        <f t="shared" si="0"/>
        <v>1.0122730277026144</v>
      </c>
      <c r="G5" s="2">
        <f t="shared" si="1"/>
        <v>0.45238350124228904</v>
      </c>
      <c r="H5" s="9">
        <f t="shared" ref="H5:H13" si="2">D5+J5+L5+M5+N5+O5+Q5+R5+S5+T5+U5+V5+P5</f>
        <v>65219021.219999939</v>
      </c>
      <c r="I5" s="9">
        <f t="shared" ref="I5:I13" si="3">H5-E5</f>
        <v>-5.9604644775390625E-8</v>
      </c>
      <c r="J5" s="9">
        <v>14427763.859999999</v>
      </c>
      <c r="K5" s="2">
        <f t="shared" ref="K5:K13" si="4">J5/D5</f>
        <v>0.10007636128219348</v>
      </c>
      <c r="L5" s="9">
        <v>43716461.159999996</v>
      </c>
      <c r="M5" s="9">
        <v>31171289.27</v>
      </c>
      <c r="N5" s="9">
        <v>62184.07</v>
      </c>
      <c r="O5" s="9">
        <v>43577.37</v>
      </c>
      <c r="P5" s="9"/>
      <c r="Q5" s="9">
        <v>52053269.520000003</v>
      </c>
      <c r="R5" s="9">
        <v>-1315394.68</v>
      </c>
      <c r="S5" s="9">
        <v>-5158371.92</v>
      </c>
      <c r="T5" s="9">
        <v>-253515522.31</v>
      </c>
      <c r="U5" s="9">
        <v>-249620565.97999999</v>
      </c>
      <c r="V5" s="9">
        <v>289186780.44999999</v>
      </c>
      <c r="W5" s="9">
        <v>982816157.38</v>
      </c>
      <c r="X5" s="9"/>
      <c r="Y5" s="9"/>
      <c r="Z5" s="9"/>
      <c r="AA5" s="9"/>
    </row>
    <row r="6" spans="1:27" x14ac:dyDescent="0.2">
      <c r="A6">
        <f t="shared" ref="A6:A12" si="5">A5-1</f>
        <v>2016</v>
      </c>
      <c r="B6" s="9">
        <v>92753424.450000003</v>
      </c>
      <c r="C6" s="9">
        <v>88628567.230000004</v>
      </c>
      <c r="D6" s="9">
        <v>93983912.129999995</v>
      </c>
      <c r="E6" s="9">
        <v>31456959.93</v>
      </c>
      <c r="F6" s="2">
        <f t="shared" si="0"/>
        <v>0.94301849349926614</v>
      </c>
      <c r="G6" s="2">
        <f t="shared" si="1"/>
        <v>0.33470579397129424</v>
      </c>
      <c r="H6" s="9">
        <f t="shared" si="2"/>
        <v>31456959.929999992</v>
      </c>
      <c r="I6" s="9">
        <f t="shared" si="3"/>
        <v>0</v>
      </c>
      <c r="J6" s="9">
        <v>16351431.380000001</v>
      </c>
      <c r="K6" s="2">
        <f t="shared" si="4"/>
        <v>0.17398117411182509</v>
      </c>
      <c r="L6" s="9">
        <v>20413387.91</v>
      </c>
      <c r="M6" s="9">
        <v>22672439.510000002</v>
      </c>
      <c r="N6" s="9">
        <v>106050</v>
      </c>
      <c r="O6" s="9">
        <v>-149908.24</v>
      </c>
      <c r="P6" s="9"/>
      <c r="Q6" s="9">
        <v>37640655.329999998</v>
      </c>
      <c r="R6" s="9">
        <v>1304582.6200000001</v>
      </c>
      <c r="S6" s="9">
        <v>-1432197.04</v>
      </c>
      <c r="T6" s="9">
        <v>-140899465.72</v>
      </c>
      <c r="U6" s="9">
        <v>-40591044.350000001</v>
      </c>
      <c r="V6" s="9">
        <v>22057116.399999999</v>
      </c>
      <c r="W6" s="9">
        <v>676630580</v>
      </c>
      <c r="X6" s="9"/>
      <c r="Y6" s="9"/>
      <c r="Z6" s="9"/>
      <c r="AA6" s="9"/>
    </row>
    <row r="7" spans="1:27" x14ac:dyDescent="0.2">
      <c r="A7">
        <f t="shared" si="5"/>
        <v>2015</v>
      </c>
      <c r="B7" s="9">
        <v>120559675.81</v>
      </c>
      <c r="C7" s="9">
        <v>115296313.16</v>
      </c>
      <c r="D7" s="9">
        <v>127098732.27</v>
      </c>
      <c r="E7" s="9">
        <v>51772954.280000001</v>
      </c>
      <c r="F7" s="2">
        <f t="shared" si="0"/>
        <v>0.90713975742159458</v>
      </c>
      <c r="G7" s="2">
        <f t="shared" si="1"/>
        <v>0.40734437987954925</v>
      </c>
      <c r="H7" s="9">
        <f t="shared" si="2"/>
        <v>51772954.280000031</v>
      </c>
      <c r="I7" s="9">
        <f t="shared" si="3"/>
        <v>0</v>
      </c>
      <c r="J7" s="9">
        <v>22624070.460000001</v>
      </c>
      <c r="K7" s="2">
        <f t="shared" si="4"/>
        <v>0.17800390339015301</v>
      </c>
      <c r="L7" s="9">
        <v>14067298.119999999</v>
      </c>
      <c r="M7" s="9">
        <v>12080485.189999999</v>
      </c>
      <c r="N7" s="9">
        <v>0</v>
      </c>
      <c r="O7" s="9">
        <v>63676.82</v>
      </c>
      <c r="P7" s="9"/>
      <c r="Q7" s="9">
        <v>14527485.619999999</v>
      </c>
      <c r="R7" s="9">
        <v>161208.74</v>
      </c>
      <c r="S7" s="9">
        <v>-3408857.45</v>
      </c>
      <c r="T7" s="9">
        <v>-153220203.00999999</v>
      </c>
      <c r="U7" s="9">
        <v>-112978613.56999999</v>
      </c>
      <c r="V7" s="9">
        <v>130757671.09</v>
      </c>
      <c r="W7" s="9">
        <v>489983888.39999998</v>
      </c>
      <c r="X7" s="9"/>
      <c r="Y7" s="9"/>
      <c r="Z7" s="9"/>
      <c r="AA7" s="9"/>
    </row>
    <row r="8" spans="1:27" x14ac:dyDescent="0.2">
      <c r="A8">
        <f t="shared" si="5"/>
        <v>2014</v>
      </c>
      <c r="B8" s="9">
        <v>96069481.920000002</v>
      </c>
      <c r="C8" s="9">
        <v>95314944.459999993</v>
      </c>
      <c r="D8" s="9">
        <v>98733375.319999993</v>
      </c>
      <c r="E8" s="9">
        <v>40168678.530000001</v>
      </c>
      <c r="F8" s="2">
        <f t="shared" si="0"/>
        <v>0.96537714983488931</v>
      </c>
      <c r="G8" s="2">
        <f t="shared" si="1"/>
        <v>0.40683992013654174</v>
      </c>
      <c r="H8" s="9">
        <f t="shared" si="2"/>
        <v>40168678.530000001</v>
      </c>
      <c r="I8" s="9">
        <f t="shared" si="3"/>
        <v>0</v>
      </c>
      <c r="J8" s="9">
        <v>-4892554.13</v>
      </c>
      <c r="K8" s="2">
        <f t="shared" si="4"/>
        <v>-4.95531942885876E-2</v>
      </c>
      <c r="L8" s="9">
        <v>10672318.5</v>
      </c>
      <c r="M8" s="9">
        <v>7728084.0300000003</v>
      </c>
      <c r="N8" s="9"/>
      <c r="O8" s="9">
        <v>21025.040000000001</v>
      </c>
      <c r="P8" s="9">
        <v>22139.84</v>
      </c>
      <c r="Q8" s="9">
        <v>1520804.5</v>
      </c>
      <c r="R8" s="9">
        <v>593515.6</v>
      </c>
      <c r="S8" s="9">
        <v>48245.39</v>
      </c>
      <c r="T8" s="9">
        <v>-194381687.37</v>
      </c>
      <c r="U8" s="9">
        <v>-53696141.93</v>
      </c>
      <c r="V8" s="9">
        <v>173799553.74000001</v>
      </c>
      <c r="W8" s="9"/>
      <c r="X8" s="9"/>
      <c r="Y8" s="9"/>
      <c r="Z8" s="9"/>
      <c r="AA8" s="9"/>
    </row>
    <row r="9" spans="1:27" x14ac:dyDescent="0.2">
      <c r="A9">
        <f t="shared" si="5"/>
        <v>2013</v>
      </c>
      <c r="B9" s="9">
        <v>28881580</v>
      </c>
      <c r="C9" s="9">
        <v>20942216.949999999</v>
      </c>
      <c r="D9" s="14">
        <v>28483511.449999999</v>
      </c>
      <c r="E9" s="9">
        <v>-49418423.219999999</v>
      </c>
      <c r="F9" s="2">
        <f t="shared" si="0"/>
        <v>0.73523999970165199</v>
      </c>
      <c r="G9" s="2">
        <f t="shared" si="1"/>
        <v>-1.7349835292165146</v>
      </c>
      <c r="H9" s="9">
        <f t="shared" si="2"/>
        <v>-49418423.220000006</v>
      </c>
      <c r="I9" s="9">
        <f t="shared" si="3"/>
        <v>0</v>
      </c>
      <c r="J9" s="9">
        <v>16408333.619999999</v>
      </c>
      <c r="K9" s="2">
        <f t="shared" si="4"/>
        <v>0.57606428367524887</v>
      </c>
      <c r="L9" s="9">
        <v>4079640.86</v>
      </c>
      <c r="M9" s="9">
        <v>4293410.74</v>
      </c>
      <c r="N9" s="9"/>
      <c r="O9" s="9"/>
      <c r="P9" s="9"/>
      <c r="Q9" s="9">
        <v>-3851.07</v>
      </c>
      <c r="R9" s="9">
        <v>-7184243.8200000003</v>
      </c>
      <c r="S9" s="9">
        <v>-2425352.6</v>
      </c>
      <c r="T9" s="9">
        <v>17829235.370000001</v>
      </c>
      <c r="U9" s="9">
        <v>-53424002.280000001</v>
      </c>
      <c r="V9" s="9">
        <v>-57475105.490000002</v>
      </c>
      <c r="W9" s="9"/>
      <c r="X9" s="9"/>
      <c r="Y9" s="9"/>
      <c r="Z9" s="9"/>
      <c r="AA9" s="9"/>
    </row>
    <row r="10" spans="1:27" x14ac:dyDescent="0.2">
      <c r="A10">
        <f t="shared" si="5"/>
        <v>2012</v>
      </c>
      <c r="B10" s="9">
        <v>68000398.879999995</v>
      </c>
      <c r="C10" s="9">
        <v>67245550.900000006</v>
      </c>
      <c r="D10" s="9">
        <v>68000398.879999995</v>
      </c>
      <c r="E10" s="9">
        <v>-89999481.459999993</v>
      </c>
      <c r="F10" s="2">
        <f t="shared" si="0"/>
        <v>0.98889935952681596</v>
      </c>
      <c r="G10" s="2">
        <f t="shared" si="1"/>
        <v>-1.3235140225989215</v>
      </c>
      <c r="H10" s="9">
        <f t="shared" si="2"/>
        <v>-89999481.460000008</v>
      </c>
      <c r="I10" s="9">
        <f t="shared" si="3"/>
        <v>0</v>
      </c>
      <c r="J10" s="9">
        <v>12101534.25</v>
      </c>
      <c r="K10" s="2">
        <f t="shared" si="4"/>
        <v>0.17796269506235579</v>
      </c>
      <c r="L10" s="9">
        <v>3100798.93</v>
      </c>
      <c r="M10" s="9">
        <v>2252255.81</v>
      </c>
      <c r="N10" s="9"/>
      <c r="O10" s="9"/>
      <c r="P10" s="9">
        <v>12441.4</v>
      </c>
      <c r="Q10" s="9">
        <v>590400</v>
      </c>
      <c r="R10" s="9">
        <v>425331.63</v>
      </c>
      <c r="S10" s="9">
        <v>-1990842.56</v>
      </c>
      <c r="T10" s="9">
        <v>-49011045.890000001</v>
      </c>
      <c r="U10" s="9">
        <v>-151569376.31</v>
      </c>
      <c r="V10" s="9">
        <v>26088622.399999999</v>
      </c>
      <c r="W10" s="9"/>
      <c r="X10" s="9"/>
      <c r="Y10" s="9"/>
      <c r="Z10" s="9"/>
      <c r="AA10" s="9"/>
    </row>
    <row r="11" spans="1:27" ht="16" x14ac:dyDescent="0.2">
      <c r="A11">
        <f t="shared" si="5"/>
        <v>2011</v>
      </c>
      <c r="B11" s="9">
        <v>47735376.670000002</v>
      </c>
      <c r="C11" s="9">
        <v>45844510.909999996</v>
      </c>
      <c r="D11" s="9">
        <v>47735376.670000002</v>
      </c>
      <c r="E11" s="9">
        <v>-73304041.349999994</v>
      </c>
      <c r="F11" s="2">
        <f t="shared" si="0"/>
        <v>0.96038858616175227</v>
      </c>
      <c r="G11" s="2">
        <f t="shared" si="1"/>
        <v>-1.5356334539215859</v>
      </c>
      <c r="H11" s="9">
        <f t="shared" si="2"/>
        <v>-73304041.350000009</v>
      </c>
      <c r="I11" s="9">
        <f t="shared" si="3"/>
        <v>0</v>
      </c>
      <c r="J11" s="9">
        <v>6971997.3399999999</v>
      </c>
      <c r="K11" s="2">
        <f t="shared" si="4"/>
        <v>0.14605514455658739</v>
      </c>
      <c r="L11" s="9">
        <v>2366955.58</v>
      </c>
      <c r="M11" s="9">
        <v>1503927.17</v>
      </c>
      <c r="N11" s="9"/>
      <c r="O11" s="9"/>
      <c r="P11" s="9">
        <v>20348.97</v>
      </c>
      <c r="Q11" s="15">
        <v>1954697.19</v>
      </c>
      <c r="R11" s="9">
        <v>437285.98</v>
      </c>
      <c r="S11" s="9">
        <v>-1116451.77</v>
      </c>
      <c r="T11" s="9">
        <v>-40537846.159999996</v>
      </c>
      <c r="U11" s="9">
        <v>-108823169.17</v>
      </c>
      <c r="V11" s="9">
        <v>16182836.85</v>
      </c>
      <c r="W11" s="9"/>
      <c r="X11" s="9"/>
      <c r="Y11" s="9"/>
      <c r="Z11" s="9"/>
      <c r="AA11" s="9"/>
    </row>
    <row r="12" spans="1:27" x14ac:dyDescent="0.2">
      <c r="A12">
        <f t="shared" si="5"/>
        <v>2010</v>
      </c>
      <c r="B12" s="9">
        <v>45143297.100000001</v>
      </c>
      <c r="C12" s="9">
        <v>44531588.109999999</v>
      </c>
      <c r="D12" s="9">
        <v>45143297.100000001</v>
      </c>
      <c r="E12" s="9">
        <v>21833713.07</v>
      </c>
      <c r="F12" s="2">
        <f t="shared" si="0"/>
        <v>0.98644961645922835</v>
      </c>
      <c r="G12" s="2">
        <f t="shared" si="1"/>
        <v>0.48365348728593416</v>
      </c>
      <c r="H12" s="9">
        <f t="shared" si="2"/>
        <v>21833713.070000008</v>
      </c>
      <c r="I12" s="9">
        <f t="shared" si="3"/>
        <v>0</v>
      </c>
      <c r="J12" s="9">
        <v>-239882.76</v>
      </c>
      <c r="K12" s="2">
        <f t="shared" si="4"/>
        <v>-5.3138068198390412E-3</v>
      </c>
      <c r="L12" s="9">
        <v>588286.17000000004</v>
      </c>
      <c r="M12" s="9">
        <v>1441783.74</v>
      </c>
      <c r="N12" s="9"/>
      <c r="O12" s="9"/>
      <c r="P12" s="9"/>
      <c r="Q12" s="9">
        <v>1514575.14</v>
      </c>
      <c r="R12" s="9">
        <v>141530.06</v>
      </c>
      <c r="S12" s="9">
        <v>-663945.21</v>
      </c>
      <c r="T12" s="9">
        <v>-48411827.390000001</v>
      </c>
      <c r="U12" s="9">
        <v>-37541607.380000003</v>
      </c>
      <c r="V12" s="9">
        <v>59861503.600000001</v>
      </c>
      <c r="W12" s="9"/>
      <c r="X12" s="9"/>
      <c r="Y12" s="9"/>
      <c r="Z12" s="9"/>
      <c r="AA12" s="9"/>
    </row>
    <row r="13" spans="1:27" x14ac:dyDescent="0.2">
      <c r="A13" t="s">
        <v>78</v>
      </c>
      <c r="B13" s="9">
        <f>SUM(B4:B12)</f>
        <v>870213224.79999995</v>
      </c>
      <c r="C13" s="9">
        <f>SUM(C4:C12)</f>
        <v>840575251.20000005</v>
      </c>
      <c r="D13" s="9">
        <f>SUM(D4:D12)</f>
        <v>900352496.92999995</v>
      </c>
      <c r="E13" s="9">
        <f>SUM(E4:E12)</f>
        <v>243824465.09999993</v>
      </c>
      <c r="F13" s="2">
        <f t="shared" si="0"/>
        <v>0.93360684183825016</v>
      </c>
      <c r="G13" s="2">
        <f t="shared" si="1"/>
        <v>0.27081000600474442</v>
      </c>
      <c r="H13" s="9">
        <f t="shared" si="2"/>
        <v>243824465.10000011</v>
      </c>
      <c r="I13" s="9">
        <f t="shared" si="3"/>
        <v>0</v>
      </c>
      <c r="J13" s="9">
        <f t="shared" ref="J13:V13" si="6">SUM(J4:J12)</f>
        <v>144951197.21000001</v>
      </c>
      <c r="K13" s="2">
        <f t="shared" si="4"/>
        <v>0.16099383042114179</v>
      </c>
      <c r="L13" s="9">
        <f t="shared" si="6"/>
        <v>166876709.69</v>
      </c>
      <c r="M13" s="9">
        <f t="shared" si="6"/>
        <v>128385669.05</v>
      </c>
      <c r="N13" s="9">
        <f t="shared" si="6"/>
        <v>682714.39</v>
      </c>
      <c r="O13" s="9">
        <f t="shared" si="6"/>
        <v>139264.63000000003</v>
      </c>
      <c r="P13" s="9">
        <f t="shared" si="6"/>
        <v>54930.21</v>
      </c>
      <c r="Q13" s="9">
        <f t="shared" si="6"/>
        <v>161526256.98000002</v>
      </c>
      <c r="R13" s="9">
        <f t="shared" si="6"/>
        <v>-12871815.559999999</v>
      </c>
      <c r="S13" s="9">
        <f t="shared" si="6"/>
        <v>-25229941.059999999</v>
      </c>
      <c r="T13" s="9">
        <f t="shared" si="6"/>
        <v>-1058970002.4599999</v>
      </c>
      <c r="U13" s="9">
        <f t="shared" si="6"/>
        <v>-1170145502.4800003</v>
      </c>
      <c r="V13" s="9">
        <f t="shared" si="6"/>
        <v>1008072487.5700001</v>
      </c>
      <c r="W13" s="9"/>
      <c r="X13" s="9"/>
      <c r="Y13" s="9"/>
      <c r="Z13" s="9"/>
      <c r="AA13" s="9"/>
    </row>
    <row r="14" spans="1:27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7" ht="170" customHeight="1" x14ac:dyDescent="0.2">
      <c r="A16" s="23" t="s">
        <v>107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</sheetData>
  <mergeCells count="1">
    <mergeCell ref="A16:N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97</v>
      </c>
      <c r="C3" t="s">
        <v>98</v>
      </c>
      <c r="D3" t="s">
        <v>99</v>
      </c>
      <c r="E3" s="17" t="s">
        <v>100</v>
      </c>
      <c r="F3" s="17" t="s">
        <v>106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L3" t="s">
        <v>78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自由现金流</vt:lpstr>
      <vt:lpstr>工作表2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2019-07-18T07:26:11Z</dcterms:modified>
</cp:coreProperties>
</file>