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4"/>
  </bookViews>
  <sheets>
    <sheet name="DCF速算" sheetId="1" r:id="rId1"/>
    <sheet name="增速估值" sheetId="2" r:id="rId2"/>
    <sheet name="真实数据估值" sheetId="11" r:id="rId3"/>
    <sheet name="各营业业务分析" sheetId="6" r:id="rId4"/>
    <sheet name="在建工程历史" sheetId="12" r:id="rId5"/>
    <sheet name="宋城发展史" sheetId="13" r:id="rId6"/>
    <sheet name="营业收入分析" sheetId="3" r:id="rId7"/>
    <sheet name="营业成本分析" sheetId="5" r:id="rId8"/>
    <sheet name="合并利润表预估" sheetId="10" r:id="rId9"/>
    <sheet name="合并资产表" sheetId="8" r:id="rId10"/>
    <sheet name="合并利润表" sheetId="7" r:id="rId11"/>
    <sheet name="合并现金流表" sheetId="9" r:id="rId12"/>
    <sheet name="核电各项目" sheetId="14" r:id="rId13"/>
    <sheet name="子公司情况" sheetId="15" r:id="rId14"/>
    <sheet name="机组情况" sheetId="16" r:id="rId15"/>
  </sheets>
  <definedNames>
    <definedName name="_xlnm._FilterDatabase" localSheetId="4" hidden="1">在建工程历史!$A$1:$P$138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H16" authorId="0">
      <text>
        <r>
          <rPr>
            <b/>
            <sz val="9"/>
            <rFont val="宋体"/>
            <charset val="134"/>
          </rPr>
          <t xml:space="preserve">负数为卖了资产
</t>
        </r>
      </text>
    </comment>
    <comment ref="C23" authorId="0">
      <text>
        <r>
          <rPr>
            <b/>
            <sz val="9"/>
            <rFont val="宋体"/>
            <charset val="134"/>
          </rPr>
          <t>新增10个室内外剧院、10000多个座位数</t>
        </r>
        <r>
          <rPr>
            <sz val="9"/>
            <rFont val="宋体"/>
            <charset val="134"/>
          </rPr>
          <t xml:space="preserve">
</t>
        </r>
      </text>
    </comment>
    <comment ref="J27" authorId="0">
      <text>
        <r>
          <rPr>
            <sz val="9"/>
            <rFont val="宋体"/>
            <charset val="134"/>
          </rPr>
          <t>福清核电机组投入商业运行，操纵人员培训费转入长期待摊费用所致</t>
        </r>
      </text>
    </comment>
    <comment ref="B37" authorId="0">
      <text>
        <r>
          <rPr>
            <b/>
            <sz val="9"/>
            <rFont val="宋体"/>
            <charset val="134"/>
          </rPr>
          <t xml:space="preserve">维修类型
</t>
        </r>
      </text>
    </comment>
    <comment ref="B59" authorId="0">
      <text>
        <r>
          <rPr>
            <sz val="9"/>
            <rFont val="宋体"/>
            <charset val="134"/>
          </rPr>
          <t>三门核电二期工程根据《国家发改委办公厅关于同意浙江三门核电项目 3、4 号机组开展前期工作的复函》(发改办能源[2009]817 号)文件要求开展
前期工作，项目尚未核准，暂无投资预算，无工程进度。</t>
        </r>
      </text>
    </comment>
    <comment ref="F59" authorId="0">
      <text>
        <r>
          <rPr>
            <sz val="9"/>
            <rFont val="宋体"/>
            <charset val="134"/>
          </rPr>
          <t>三门核电二期工程根据《国家发改委办公厅关于同意浙江三门核电项目 3、4 号机组开展前期工作的复函》(发改办能源[2009]817 号)文件要求开展
前期工作，项目尚未核准，暂无投资预算，无工程进度。</t>
        </r>
      </text>
    </comment>
    <comment ref="F60" authorId="0">
      <text>
        <r>
          <rPr>
            <sz val="9"/>
            <rFont val="宋体"/>
            <charset val="134"/>
          </rPr>
          <t>三门核电二期工程根据《国家发改委办公厅关于同意浙江三门核电项目 3、4 号机组开展前期工作的复函》(发改办能源[2009]817 号)文件要求开展
前期工作，项目尚未核准，暂无投资预算，无工程进度。</t>
        </r>
      </text>
    </comment>
    <comment ref="F61" authorId="0">
      <text>
        <r>
          <rPr>
            <sz val="9"/>
            <rFont val="宋体"/>
            <charset val="134"/>
          </rPr>
          <t>三门核电二期工程根据《国家发改委办公厅关于同意浙江三门核电项目 3、4 号机组开展前期工作的复函》(发改办能源[2009]817 号)文件要求开展
前期工作，项目尚未核准，暂无投资预算，无工程进度。</t>
        </r>
      </text>
    </comment>
    <comment ref="F62" authorId="0">
      <text>
        <r>
          <rPr>
            <sz val="9"/>
            <rFont val="宋体"/>
            <charset val="134"/>
          </rPr>
          <t>三门核电二期工程根据《国家发改委办公厅关于同意浙江三门核电项目 3、4 号机组开展前期工作的复函》(发改办能源[2009]817 号)文件要求开展
前期工作，项目尚未核准，暂无投资预算，无工程进度。</t>
        </r>
      </text>
    </comment>
    <comment ref="C107" authorId="0">
      <text>
        <r>
          <rPr>
            <b/>
            <sz val="9"/>
            <rFont val="宋体"/>
            <charset val="134"/>
          </rPr>
          <t>出售，卖价10,919.9300</t>
        </r>
      </text>
    </comment>
    <comment ref="C115" authorId="0">
      <text>
        <r>
          <rPr>
            <b/>
            <sz val="9"/>
            <rFont val="宋体"/>
            <charset val="134"/>
          </rPr>
          <t>2018建成营业</t>
        </r>
      </text>
    </comment>
    <comment ref="C124" authorId="0">
      <text>
        <r>
          <rPr>
            <b/>
            <sz val="9"/>
            <rFont val="宋体"/>
            <charset val="134"/>
          </rPr>
          <t>2019建成营业</t>
        </r>
      </text>
    </comment>
    <comment ref="C128" authorId="0">
      <text>
        <r>
          <rPr>
            <b/>
            <sz val="9"/>
            <rFont val="宋体"/>
            <charset val="134"/>
          </rPr>
          <t>2020建成营业</t>
        </r>
      </text>
    </comment>
    <comment ref="A129" authorId="0">
      <text>
        <r>
          <rPr>
            <b/>
            <sz val="9"/>
            <rFont val="宋体"/>
            <charset val="134"/>
          </rPr>
          <t>千古情系列产品线在长三角和珠三角的延续</t>
        </r>
      </text>
    </comment>
    <comment ref="A132" authorId="0">
      <text>
        <r>
          <rPr>
            <b/>
            <sz val="9"/>
            <rFont val="宋体"/>
            <charset val="134"/>
          </rPr>
          <t>千古情系列产品线在长三角和珠三角的延续</t>
        </r>
      </text>
    </comment>
    <comment ref="A134" authorId="0">
      <text>
        <r>
          <rPr>
            <b/>
            <sz val="9"/>
            <rFont val="宋体"/>
            <charset val="134"/>
          </rPr>
          <t>未来的旗舰型产品，公司寄予厚望，将从项目的规划设计、工程建设、艺术创作等各方面投入大量精力，确保将珠
海项目打造成为世界级的演艺度假目的地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B106" authorId="0">
      <text>
        <r>
          <rPr>
            <b/>
            <sz val="9"/>
            <rFont val="宋体"/>
            <charset val="134"/>
          </rPr>
          <t>丽江茶马古城旅游发展有限公司、
阿坝州九寨千古情旅游发展有限公司享受西部大开发税收优惠
政策，按15%税率计征企业所得税。
北京六间房科技有限公司为高新技术企业， 2016年享受15%企业所得税。</t>
        </r>
      </text>
    </comment>
    <comment ref="G106" authorId="0">
      <text>
        <r>
          <rPr>
            <b/>
            <sz val="9"/>
            <rFont val="宋体"/>
            <charset val="134"/>
          </rPr>
          <t xml:space="preserve">2017年对比2016年所得税比例大幅下降，因宋城评为高新企业，享受15%税率
企业所得税优惠税率：
丽江茶马古城旅游发展有限公司、阿坝州九寨千古情旅游发展有限公司、九寨沟县藏谜文化传播有限公司享受西部大开
发税收优惠政策，按15%税率计征企业所得税。
杭州宋城旅游发展有限公司、北京六间房科技有限公司、北京灵动时空科技有限责任公司和北京璧途科技有限责任公司
为高新技术企业，2017年享受15%企业所得税。
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B84" authorId="0">
      <text>
        <r>
          <rPr>
            <b/>
            <sz val="9"/>
            <rFont val="宋体"/>
            <charset val="134"/>
          </rPr>
          <t>丽江茶马古城旅游发展有限公司、
阿坝州九寨千古情旅游发展有限公司享受西部大开发税收优惠
政策，按15%税率计征企业所得税。
北京六间房科技有限公司为高新技术企业， 2016年享受15%企业所得税。</t>
        </r>
      </text>
    </comment>
    <comment ref="G84" authorId="0">
      <text>
        <r>
          <rPr>
            <b/>
            <sz val="9"/>
            <rFont val="宋体"/>
            <charset val="134"/>
          </rPr>
          <t xml:space="preserve">2017年对比2016年所得税比例大幅下降，因宋城评为高新企业，享受15%税率
企业所得税优惠税率：
丽江茶马古城旅游发展有限公司、阿坝州九寨千古情旅游发展有限公司、九寨沟县藏谜文化传播有限公司享受西部大开
发税收优惠政策，按15%税率计征企业所得税。
杭州宋城旅游发展有限公司、北京六间房科技有限公司、北京灵动时空科技有限责任公司和北京璧途科技有限责任公司
为高新技术企业，2017年享受15%企业所得税。
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D9" authorId="0">
      <text>
        <r>
          <rPr>
            <sz val="9"/>
            <rFont val="宋体"/>
            <charset val="134"/>
          </rPr>
          <t>一、二号机组 0.3998
三、四号机组 0.4153</t>
        </r>
      </text>
    </comment>
  </commentList>
</comments>
</file>

<file path=xl/sharedStrings.xml><?xml version="1.0" encoding="utf-8"?>
<sst xmlns="http://schemas.openxmlformats.org/spreadsheetml/2006/main" count="1009" uniqueCount="466">
  <si>
    <t>Apple Inc.</t>
  </si>
  <si>
    <t>Assumptions</t>
  </si>
  <si>
    <t>第一阶段</t>
  </si>
  <si>
    <t>第二阶段</t>
  </si>
  <si>
    <t>经营现金流过去三年CAGR</t>
  </si>
  <si>
    <t>营收过去三年CAGR</t>
  </si>
  <si>
    <t>forward PE</t>
  </si>
  <si>
    <t>Revenue</t>
  </si>
  <si>
    <t xml:space="preserve">    增速</t>
  </si>
  <si>
    <r>
      <rPr>
        <sz val="12"/>
        <color theme="1"/>
        <rFont val="宋体"/>
        <charset val="134"/>
      </rPr>
      <t>过去</t>
    </r>
    <r>
      <rPr>
        <sz val="12"/>
        <color theme="1"/>
        <rFont val="Helvetica"/>
        <charset val="134"/>
      </rPr>
      <t>10</t>
    </r>
    <r>
      <rPr>
        <sz val="12"/>
        <color theme="1"/>
        <rFont val="宋体"/>
        <charset val="134"/>
      </rPr>
      <t>年</t>
    </r>
  </si>
  <si>
    <t>Growth</t>
  </si>
  <si>
    <t xml:space="preserve">    折现率</t>
  </si>
  <si>
    <r>
      <rPr>
        <sz val="12"/>
        <color theme="1"/>
        <rFont val="宋体"/>
        <charset val="134"/>
      </rPr>
      <t>过去</t>
    </r>
    <r>
      <rPr>
        <sz val="12"/>
        <color theme="1"/>
        <rFont val="Helvetica"/>
        <charset val="134"/>
      </rPr>
      <t>5</t>
    </r>
    <r>
      <rPr>
        <sz val="12"/>
        <color theme="1"/>
        <rFont val="宋体"/>
        <charset val="134"/>
      </rPr>
      <t>年</t>
    </r>
  </si>
  <si>
    <t>year count</t>
  </si>
  <si>
    <t>永续价值=最后一年自由现金流*(1+二阶段增速)/(折现率-二阶段增速)</t>
  </si>
  <si>
    <t>2016-2018</t>
  </si>
  <si>
    <r>
      <rPr>
        <sz val="12"/>
        <color theme="1"/>
        <rFont val="Helvetica"/>
        <charset val="134"/>
      </rPr>
      <t xml:space="preserve">     </t>
    </r>
    <r>
      <rPr>
        <sz val="12"/>
        <color theme="1"/>
        <rFont val="宋体"/>
        <charset val="134"/>
      </rPr>
      <t>净利润率</t>
    </r>
  </si>
  <si>
    <t>永续价值</t>
  </si>
  <si>
    <r>
      <rPr>
        <sz val="12"/>
        <color theme="1"/>
        <rFont val="宋体"/>
        <charset val="134"/>
      </rPr>
      <t>过去</t>
    </r>
    <r>
      <rPr>
        <sz val="12"/>
        <color theme="1"/>
        <rFont val="Helvetica"/>
        <charset val="134"/>
      </rPr>
      <t>3</t>
    </r>
    <r>
      <rPr>
        <sz val="12"/>
        <color theme="1"/>
        <rFont val="宋体"/>
        <charset val="134"/>
      </rPr>
      <t>年</t>
    </r>
  </si>
  <si>
    <r>
      <rPr>
        <sz val="12"/>
        <color theme="1"/>
        <rFont val="Helvetica"/>
        <charset val="134"/>
      </rPr>
      <t xml:space="preserve">     </t>
    </r>
    <r>
      <rPr>
        <sz val="12"/>
        <color theme="1"/>
        <rFont val="宋体"/>
        <charset val="134"/>
      </rPr>
      <t>净利润</t>
    </r>
  </si>
  <si>
    <t>自由现金流</t>
  </si>
  <si>
    <r>
      <rPr>
        <sz val="12"/>
        <color theme="1"/>
        <rFont val="宋体"/>
        <charset val="134"/>
      </rPr>
      <t>过去</t>
    </r>
    <r>
      <rPr>
        <sz val="12"/>
        <color theme="1"/>
        <rFont val="Helvetica"/>
        <charset val="134"/>
      </rPr>
      <t>1</t>
    </r>
    <r>
      <rPr>
        <sz val="12"/>
        <color theme="1"/>
        <rFont val="宋体"/>
        <charset val="134"/>
      </rPr>
      <t>年</t>
    </r>
  </si>
  <si>
    <t>PE</t>
  </si>
  <si>
    <t>折现</t>
  </si>
  <si>
    <t>EPS Normalized</t>
  </si>
  <si>
    <r>
      <rPr>
        <sz val="12"/>
        <color theme="1"/>
        <rFont val="Helvetica"/>
        <charset val="134"/>
      </rPr>
      <t xml:space="preserve">     </t>
    </r>
    <r>
      <rPr>
        <sz val="12"/>
        <color theme="1"/>
        <rFont val="Helvetica"/>
        <charset val="134"/>
      </rPr>
      <t>届时市值(亿)</t>
    </r>
  </si>
  <si>
    <t>EV</t>
  </si>
  <si>
    <t>Net debt</t>
  </si>
  <si>
    <r>
      <rPr>
        <sz val="12"/>
        <color theme="1"/>
        <rFont val="宋体"/>
        <charset val="134"/>
      </rPr>
      <t>年收益率要求</t>
    </r>
  </si>
  <si>
    <t>Minority Interest</t>
  </si>
  <si>
    <r>
      <rPr>
        <sz val="12"/>
        <color theme="1"/>
        <rFont val="宋体"/>
        <charset val="134"/>
      </rPr>
      <t>当前合理市值</t>
    </r>
  </si>
  <si>
    <t>Market Cap</t>
  </si>
  <si>
    <t>Shares outstanding</t>
  </si>
  <si>
    <t>增速</t>
  </si>
  <si>
    <r>
      <rPr>
        <sz val="12"/>
        <color theme="1"/>
        <rFont val="Helvetica"/>
        <charset val="134"/>
      </rPr>
      <t>21</t>
    </r>
    <r>
      <rPr>
        <sz val="12"/>
        <color theme="1"/>
        <rFont val="宋体"/>
        <charset val="134"/>
      </rPr>
      <t>年</t>
    </r>
  </si>
  <si>
    <t>Price per share</t>
  </si>
  <si>
    <r>
      <rPr>
        <sz val="12"/>
        <color theme="1"/>
        <rFont val="宋体"/>
        <charset val="134"/>
      </rPr>
      <t>相当于</t>
    </r>
    <r>
      <rPr>
        <sz val="12"/>
        <color theme="1"/>
        <rFont val="Helvetica"/>
        <charset val="134"/>
      </rPr>
      <t>22</t>
    </r>
    <r>
      <rPr>
        <sz val="12"/>
        <color theme="1"/>
        <rFont val="宋体"/>
        <charset val="134"/>
      </rPr>
      <t>年</t>
    </r>
  </si>
  <si>
    <r>
      <rPr>
        <sz val="12"/>
        <color theme="1"/>
        <rFont val="宋体"/>
        <charset val="134"/>
      </rPr>
      <t>当前合理股价</t>
    </r>
  </si>
  <si>
    <t>折现率</t>
  </si>
  <si>
    <r>
      <rPr>
        <sz val="12"/>
        <color theme="1"/>
        <rFont val="宋体"/>
        <charset val="134"/>
      </rPr>
      <t>备注：有回购</t>
    </r>
  </si>
  <si>
    <t>4%-25</t>
  </si>
  <si>
    <t>3%-33</t>
  </si>
  <si>
    <t>5%-20</t>
  </si>
  <si>
    <t>6.6%-20</t>
  </si>
  <si>
    <t>合理pe</t>
  </si>
  <si>
    <t>3年预估</t>
  </si>
  <si>
    <t>合理PE</t>
  </si>
  <si>
    <t>净利润</t>
  </si>
  <si>
    <t>第一年</t>
  </si>
  <si>
    <t>第二年</t>
  </si>
  <si>
    <t>第三年</t>
  </si>
  <si>
    <t>第四年</t>
  </si>
  <si>
    <t>第五年</t>
  </si>
  <si>
    <t>合计</t>
  </si>
  <si>
    <t>年份</t>
  </si>
  <si>
    <t>分红率</t>
  </si>
  <si>
    <t>预估净利润</t>
  </si>
  <si>
    <t>当期分红</t>
  </si>
  <si>
    <t>分红折现</t>
  </si>
  <si>
    <t>卖出价值</t>
  </si>
  <si>
    <t>总价值</t>
  </si>
  <si>
    <t>总股本</t>
  </si>
  <si>
    <t>当前市值</t>
  </si>
  <si>
    <t>目标股价</t>
  </si>
  <si>
    <t>5年预估</t>
  </si>
  <si>
    <t xml:space="preserve">                      VB才给他发个       </t>
  </si>
  <si>
    <t>座位数</t>
  </si>
  <si>
    <t xml:space="preserve"> 2 万个</t>
  </si>
  <si>
    <t>营业收入</t>
  </si>
  <si>
    <t>营收增长</t>
  </si>
  <si>
    <t>营业成本</t>
  </si>
  <si>
    <t>成本增长</t>
  </si>
  <si>
    <t>毛利润</t>
  </si>
  <si>
    <t>毛利增长</t>
  </si>
  <si>
    <t>毛利率</t>
  </si>
  <si>
    <t>预估毛利
加上三费</t>
  </si>
  <si>
    <t>所得税税率</t>
  </si>
  <si>
    <t>剧院数</t>
  </si>
  <si>
    <t>1 号剧院座位数约在 4700 个，2018 年新建 
的 2 号剧院可增加约 2000 个座位</t>
  </si>
  <si>
    <t>开业时间</t>
  </si>
  <si>
    <t>占地</t>
  </si>
  <si>
    <t>地区</t>
  </si>
  <si>
    <t>桂林市阳朔县城核心区，交通四通八达</t>
  </si>
  <si>
    <t>投资</t>
  </si>
  <si>
    <t>持股</t>
  </si>
  <si>
    <t>位于武陵源区 
索溪峪街道百花洲，占地约 170 亩，距离张家界国家森林公园东南门 4 公里。武 
陵源区是旅游集散中心，周边住宿、餐饮配套齐全，客流量大</t>
  </si>
  <si>
    <t>位于西安世博园内，处于参观兵马俑回程的必经之路，与兵马俑形成旅游动线，有较好 的客流基础</t>
  </si>
  <si>
    <t>剧场数</t>
  </si>
  <si>
    <t>上海千古情</t>
  </si>
  <si>
    <t>汇总</t>
  </si>
  <si>
    <t>项目名称</t>
  </si>
  <si>
    <t>项目详情</t>
  </si>
  <si>
    <t>开始日期</t>
  </si>
  <si>
    <t>截止日期</t>
  </si>
  <si>
    <t>预算</t>
  </si>
  <si>
    <t>年初余额</t>
  </si>
  <si>
    <t>本期投入</t>
  </si>
  <si>
    <t>转入固定资产</t>
  </si>
  <si>
    <t>其他减少</t>
  </si>
  <si>
    <t>年末余额</t>
  </si>
  <si>
    <t>总投入</t>
  </si>
  <si>
    <t>总转入固定资产</t>
  </si>
  <si>
    <t>工程投入
占预算比
例(%)</t>
  </si>
  <si>
    <t>工程
进度</t>
  </si>
  <si>
    <t>固定资产转化率</t>
  </si>
  <si>
    <t>漳州</t>
  </si>
  <si>
    <t>漳州能源一期工程</t>
  </si>
  <si>
    <t>宋城景区改扩建项目三期</t>
  </si>
  <si>
    <t>宋城景区改扩建项目四期</t>
  </si>
  <si>
    <t>宋城景区基础设施及配
套改造项目</t>
  </si>
  <si>
    <t>宋城景区整改项目2020</t>
  </si>
  <si>
    <t>宋城景区1号大剧院整改项目</t>
  </si>
  <si>
    <t>宋城景区2号大剧院整改项目及氛围整个、景区入口整改</t>
  </si>
  <si>
    <t>宋城景区 3、4号剧院整项目</t>
  </si>
  <si>
    <t>宋城景区蚕博一层等提升改造项目</t>
  </si>
  <si>
    <t>福清核电</t>
  </si>
  <si>
    <t>福清核电二期工程（3,4号机组）</t>
  </si>
  <si>
    <t>福清核电三期工程（5,6号机组）</t>
  </si>
  <si>
    <t>.</t>
  </si>
  <si>
    <t>福建三明</t>
  </si>
  <si>
    <t>福建三明核电工程</t>
  </si>
  <si>
    <t xml:space="preserve">杭州乐园索道工程  </t>
  </si>
  <si>
    <t>杭州乐园提升改造工程2019</t>
  </si>
  <si>
    <t>杭州乐园提升改造工程2020</t>
  </si>
  <si>
    <t>辽宁徐大宝</t>
  </si>
  <si>
    <t>辽宁徐大宝一期</t>
  </si>
  <si>
    <t>辽宁徐大宝二期</t>
  </si>
  <si>
    <t>三门核电</t>
  </si>
  <si>
    <t>三门核电1,2号机组</t>
  </si>
  <si>
    <t>三门核电3、4号机组</t>
  </si>
  <si>
    <t>江苏核电</t>
  </si>
  <si>
    <t>江苏核电 3、4号机组</t>
  </si>
  <si>
    <t>江苏核电5、6号机组</t>
  </si>
  <si>
    <t>江苏核电7、8号机组</t>
  </si>
  <si>
    <t>海南核电</t>
  </si>
  <si>
    <t>海南昌江核电工程</t>
  </si>
  <si>
    <t>湖南核电</t>
  </si>
  <si>
    <t>湖南桃花江核电项目</t>
  </si>
  <si>
    <t>河北沧州</t>
  </si>
  <si>
    <t>河北沧州核电项目</t>
  </si>
  <si>
    <t>九寨千古情整改项目</t>
  </si>
  <si>
    <t>九寨千古情整改项目2020</t>
  </si>
  <si>
    <t>藏谜大剧院</t>
  </si>
  <si>
    <t>武汉</t>
  </si>
  <si>
    <t>龙泉山旅游开发项目</t>
  </si>
  <si>
    <t>上海宋城</t>
  </si>
  <si>
    <t>上海世博大剧院项目</t>
  </si>
  <si>
    <t>桂林宋城</t>
  </si>
  <si>
    <t xml:space="preserve">桂林漓江千古情项目  </t>
  </si>
  <si>
    <t>桂林漓江千古情整改项目</t>
  </si>
  <si>
    <t>澳洲宋城</t>
  </si>
  <si>
    <t>澳洲传奇项目</t>
  </si>
  <si>
    <t>张家界千古情</t>
  </si>
  <si>
    <t>西安千古情</t>
  </si>
  <si>
    <t>西安中华千古情项目</t>
  </si>
  <si>
    <t>佛山</t>
  </si>
  <si>
    <t>西樵山岭南千古情景区项目</t>
  </si>
  <si>
    <t>西塘</t>
  </si>
  <si>
    <t>西塘演艺谷项目</t>
  </si>
  <si>
    <t>珠海</t>
  </si>
  <si>
    <t>珠海演艺王国项目</t>
  </si>
  <si>
    <t>轻资产</t>
  </si>
  <si>
    <t>郑州</t>
  </si>
  <si>
    <t>首演</t>
  </si>
  <si>
    <t>项目</t>
  </si>
  <si>
    <t>时间</t>
  </si>
  <si>
    <t>事件</t>
  </si>
  <si>
    <t>影响</t>
  </si>
  <si>
    <t>杭州宋城</t>
  </si>
  <si>
    <t>1、利用疫情闭园期就新增10个室内外剧院、10000多个座位数
2、新建的两个大型美食广场能够同时容纳1500
人就餐与休息</t>
  </si>
  <si>
    <t>吴越千古情</t>
  </si>
  <si>
    <t>规划杭州乐园演出</t>
  </si>
  <si>
    <t>Q1推出演出</t>
  </si>
  <si>
    <t>半年报解释停止演出，无人观看，不赚钱</t>
  </si>
  <si>
    <t>泰安千古情</t>
  </si>
  <si>
    <t>规划建设</t>
  </si>
  <si>
    <t>宣布终止建设，以轻资产形式和政府托管，推进泰安千古情</t>
  </si>
  <si>
    <t>因收益不急预期，宣布终止托管，结束，正是宣告失败
失败原因：线路规划不合理，爬泰山不会跑远路看</t>
  </si>
  <si>
    <t>石林千古情</t>
  </si>
  <si>
    <t>规划建设，2亿</t>
  </si>
  <si>
    <t>终止建设
未进在建工程
失败原因：离市区太远，观看演出需求不强烈</t>
  </si>
  <si>
    <t>后来一直强调项目选址很重要的根本原因</t>
  </si>
  <si>
    <t>武夷山千古情</t>
  </si>
  <si>
    <t>规划建设，3.5亿</t>
  </si>
  <si>
    <t>终止建设
未进在建工程
失败原因：远离核心景区</t>
  </si>
  <si>
    <t>三亚千古情</t>
  </si>
  <si>
    <t>规划建设，投资3.3亿</t>
  </si>
  <si>
    <t>投入营业</t>
  </si>
  <si>
    <t>当年营收三千多万，利润700多万</t>
  </si>
  <si>
    <t>营收增至4亿，净利润越2.2亿，增长放缓</t>
  </si>
  <si>
    <t>丽江千古情</t>
  </si>
  <si>
    <t>规划建设，预算2.2亿</t>
  </si>
  <si>
    <t>当年营收七千多万，利润五千多万</t>
  </si>
  <si>
    <t>营收增至3.3亿，净利润越1.8亿，增长放缓</t>
  </si>
  <si>
    <t>九寨千古情</t>
  </si>
  <si>
    <t>规划建设，预算2.4亿</t>
  </si>
  <si>
    <t>当前营收六千多万，利润五千多万</t>
  </si>
  <si>
    <t>2017/8/8 九寨沟地震</t>
  </si>
  <si>
    <t>营收定格在九千万，正常发展预估全年1.5亿</t>
  </si>
  <si>
    <t>重新开业，碰上ncov</t>
  </si>
  <si>
    <t>当年营收2.5千万</t>
  </si>
  <si>
    <t>规划建设，预算8.3亿</t>
  </si>
  <si>
    <t>开业，评价略低于预期</t>
  </si>
  <si>
    <t>规划建设，预算6.9亿</t>
  </si>
  <si>
    <t>开始营业</t>
  </si>
  <si>
    <t>当年营收四千多万，略微亏损</t>
  </si>
  <si>
    <t>告诉增长，营收1.6亿，净利润。6。7千万</t>
  </si>
  <si>
    <t>澳洲传奇</t>
  </si>
  <si>
    <t>11月，规划建设，4亿澳元，打造3大演艺秀和4大主题公园</t>
  </si>
  <si>
    <t>明确表示规划中，基本要黄</t>
  </si>
  <si>
    <t>规划建设，预算5.3亿</t>
  </si>
  <si>
    <t>当年营收6.5千万，利润2.3千万</t>
  </si>
  <si>
    <t>西安宋城</t>
  </si>
  <si>
    <t>规划建设，预算4.8亿</t>
  </si>
  <si>
    <t>开业，西安千古情开演，碰到ncov</t>
  </si>
  <si>
    <t>当年营收2.5千万，净利润1.8千万</t>
  </si>
  <si>
    <t>佛山千古情</t>
  </si>
  <si>
    <t>规划建设，预算7亿</t>
  </si>
  <si>
    <t>西塘千古情</t>
  </si>
  <si>
    <t>规划建设，预算4亿</t>
  </si>
  <si>
    <t>珠海千古情</t>
  </si>
  <si>
    <t>规划建设，预算25亿
未来的旗舰型产品，公司寄予厚望，将从项目的规划设计、工程建设、艺术创作等各方面投入大量精力，确保将珠
海项目打造成为世界级的演艺度假目的地</t>
  </si>
  <si>
    <t>三亚宋城</t>
  </si>
  <si>
    <t>丽江宋城</t>
  </si>
  <si>
    <t>九寨沟宋城</t>
  </si>
  <si>
    <t>张家界宋城</t>
  </si>
  <si>
    <t>数字娱乐平台</t>
  </si>
  <si>
    <t>电子商务手续费</t>
  </si>
  <si>
    <t>设计策划费</t>
  </si>
  <si>
    <t>其他</t>
  </si>
  <si>
    <t>总营业收入</t>
  </si>
  <si>
    <t>实际营业收入</t>
  </si>
  <si>
    <t>占比</t>
  </si>
  <si>
    <t>总营业成本</t>
  </si>
  <si>
    <t>实际营业成本</t>
  </si>
  <si>
    <t>差值</t>
  </si>
  <si>
    <t xml:space="preserve">一、营业总收入 </t>
  </si>
  <si>
    <t xml:space="preserve"> </t>
  </si>
  <si>
    <t>利息收入</t>
  </si>
  <si>
    <t xml:space="preserve">已赚保费 </t>
  </si>
  <si>
    <t>二、营业总成本</t>
  </si>
  <si>
    <t>减</t>
  </si>
  <si>
    <t>税金及附加</t>
  </si>
  <si>
    <t>销售费用</t>
  </si>
  <si>
    <t>管理费用</t>
  </si>
  <si>
    <t>研发费用</t>
  </si>
  <si>
    <t>财务费用</t>
  </si>
  <si>
    <t>利息费用</t>
  </si>
  <si>
    <t>三费合计</t>
  </si>
  <si>
    <t>加</t>
  </si>
  <si>
    <t>其他收益</t>
  </si>
  <si>
    <t>投资收益</t>
  </si>
  <si>
    <t>对联营企业和合营企业的投资收益</t>
  </si>
  <si>
    <t>公允价值变动收益</t>
  </si>
  <si>
    <t>信用减值损失</t>
  </si>
  <si>
    <t>资产减值损失</t>
  </si>
  <si>
    <t>资产处置收益</t>
  </si>
  <si>
    <t>三、营业利润</t>
  </si>
  <si>
    <t>加：  营业外收入</t>
  </si>
  <si>
    <t xml:space="preserve">非流动资产处置利得  </t>
  </si>
  <si>
    <t>减：营业外支出</t>
  </si>
  <si>
    <t xml:space="preserve">非流动资产处置损失  </t>
  </si>
  <si>
    <t>四、利润总额</t>
  </si>
  <si>
    <t>减：所得税费用</t>
  </si>
  <si>
    <t>五、净利润</t>
  </si>
  <si>
    <t xml:space="preserve">（一）按经营持续性分类 </t>
  </si>
  <si>
    <t>持续经营净利润</t>
  </si>
  <si>
    <t xml:space="preserve">（二）按所有权归属分类 </t>
  </si>
  <si>
    <t>归属于母公司股东的净利润</t>
  </si>
  <si>
    <t xml:space="preserve">少数股东损益  </t>
  </si>
  <si>
    <t>六、其他综合收益的税后净额</t>
  </si>
  <si>
    <t>归属母公司所有者的其他综合收益
的税后净额</t>
  </si>
  <si>
    <t>（一）不能重分类进损益的其他综
合收益</t>
  </si>
  <si>
    <t>2.权益法下不能转损益的其
他综合收益</t>
  </si>
  <si>
    <t>3.其他权益工具投资公允价
值变动</t>
  </si>
  <si>
    <t>（二）将重分类进损益的其他综合
收益</t>
  </si>
  <si>
    <t xml:space="preserve">6.外币财务报表折算差额 </t>
  </si>
  <si>
    <t>归属于少数股东的其他综合收益的
税后净额</t>
  </si>
  <si>
    <t xml:space="preserve">七、综合收益总额  </t>
  </si>
  <si>
    <t>归属于母公司所有者的综合收益
总额</t>
  </si>
  <si>
    <t xml:space="preserve">归属于少数股东的综合收益总额  </t>
  </si>
  <si>
    <t xml:space="preserve">八、每股收益： </t>
  </si>
  <si>
    <t xml:space="preserve">（一）基本每股收益  </t>
  </si>
  <si>
    <t xml:space="preserve">（二）稀释每股收益  </t>
  </si>
  <si>
    <t>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</t>
  </si>
  <si>
    <t>流动资产</t>
  </si>
  <si>
    <t xml:space="preserve">货币资金  </t>
  </si>
  <si>
    <t xml:space="preserve">交易性金融资产 </t>
  </si>
  <si>
    <t>以公允价值计量且其变动计入当
期损益的金融资产</t>
  </si>
  <si>
    <t xml:space="preserve">应收账款 </t>
  </si>
  <si>
    <t xml:space="preserve">预付款项  </t>
  </si>
  <si>
    <t>应收利息</t>
  </si>
  <si>
    <t xml:space="preserve">其他应收款  </t>
  </si>
  <si>
    <t xml:space="preserve">存货  </t>
  </si>
  <si>
    <t xml:space="preserve">划分为持有待售的资产  </t>
  </si>
  <si>
    <t xml:space="preserve">其他流动资产  </t>
  </si>
  <si>
    <t xml:space="preserve">流动资产合计  </t>
  </si>
  <si>
    <t xml:space="preserve">非流动资产： </t>
  </si>
  <si>
    <t>可供出售金融资产</t>
  </si>
  <si>
    <t xml:space="preserve">长期股权投资  </t>
  </si>
  <si>
    <t>其他权益工具投资</t>
  </si>
  <si>
    <t xml:space="preserve">固定资产  </t>
  </si>
  <si>
    <t xml:space="preserve">在建工程  </t>
  </si>
  <si>
    <t xml:space="preserve">无形资产  </t>
  </si>
  <si>
    <t xml:space="preserve">商誉  </t>
  </si>
  <si>
    <t xml:space="preserve">长期待摊费用  </t>
  </si>
  <si>
    <t xml:space="preserve">递延所得税资产  </t>
  </si>
  <si>
    <t xml:space="preserve">其他非流动资产  </t>
  </si>
  <si>
    <t>非流动资产合计</t>
  </si>
  <si>
    <t xml:space="preserve">资产总计  </t>
  </si>
  <si>
    <t>流动负债：</t>
  </si>
  <si>
    <t>短期借款</t>
  </si>
  <si>
    <t xml:space="preserve">应付账款  </t>
  </si>
  <si>
    <t>预收款项</t>
  </si>
  <si>
    <t xml:space="preserve">合同负债  </t>
  </si>
  <si>
    <t xml:space="preserve">应付职工薪酬  </t>
  </si>
  <si>
    <t xml:space="preserve">应交税费 </t>
  </si>
  <si>
    <t xml:space="preserve">应付利息  </t>
  </si>
  <si>
    <t xml:space="preserve">其他应付款  </t>
  </si>
  <si>
    <t xml:space="preserve">一年内到期的非流动负债  </t>
  </si>
  <si>
    <t>其他流动负债</t>
  </si>
  <si>
    <t>流动负债合计</t>
  </si>
  <si>
    <t xml:space="preserve">非流动负债： </t>
  </si>
  <si>
    <t>长期借款</t>
  </si>
  <si>
    <t>预计负债</t>
  </si>
  <si>
    <t>递延收益</t>
  </si>
  <si>
    <t>递延所得税负债</t>
  </si>
  <si>
    <t xml:space="preserve">非流动负债合计 </t>
  </si>
  <si>
    <t xml:space="preserve">负债合计 </t>
  </si>
  <si>
    <t>所有者权益：</t>
  </si>
  <si>
    <t xml:space="preserve">股本 </t>
  </si>
  <si>
    <t xml:space="preserve">资本公积 </t>
  </si>
  <si>
    <t>减：库存股</t>
  </si>
  <si>
    <t xml:space="preserve">其他综合收益  </t>
  </si>
  <si>
    <t>盈余公积</t>
  </si>
  <si>
    <t xml:space="preserve">未分配利润  </t>
  </si>
  <si>
    <t>归属于母公司所有者权益合计</t>
  </si>
  <si>
    <t xml:space="preserve">少数股东权益  </t>
  </si>
  <si>
    <t xml:space="preserve">所有者权益合计  </t>
  </si>
  <si>
    <t>负债和所有者权益总计</t>
  </si>
  <si>
    <t>销售商品、提供劳务收到的现金</t>
  </si>
  <si>
    <t xml:space="preserve">收到的税费返还  </t>
  </si>
  <si>
    <t>收到其他与经营活动有关的现金</t>
  </si>
  <si>
    <t xml:space="preserve">经营活动现金流入小计  </t>
  </si>
  <si>
    <t>购买商品、接受劳务支付的现金</t>
  </si>
  <si>
    <t>支付给职工以及为职工支付的现</t>
  </si>
  <si>
    <t xml:space="preserve">支付的各项税费  </t>
  </si>
  <si>
    <t xml:space="preserve">支付其他与经营活动有关的现金  </t>
  </si>
  <si>
    <t xml:space="preserve">经营活动现金流出小计  </t>
  </si>
  <si>
    <t xml:space="preserve">经营活动产生的现金流量净额  </t>
  </si>
  <si>
    <t>收回投资收到的现金</t>
  </si>
  <si>
    <t>取得投资收益收到的现金</t>
  </si>
  <si>
    <t>处置固定资产、无形资产和其他长期资产收回的现金净额</t>
  </si>
  <si>
    <t>处置子公司及其他营业单位收到
的现金净额</t>
  </si>
  <si>
    <t>收到其他与投资活动有关的现金</t>
  </si>
  <si>
    <t xml:space="preserve">投资活动现金流入小计 </t>
  </si>
  <si>
    <t>购建固定资产、无形资产和其他
长期资产支付的现金</t>
  </si>
  <si>
    <t xml:space="preserve">投资支付的现金  </t>
  </si>
  <si>
    <t>取得子公司及其他营业单位支付
的现金净额</t>
  </si>
  <si>
    <t xml:space="preserve">支付其他与投资活动有关的现金 </t>
  </si>
  <si>
    <t xml:space="preserve">投资活动现金流出小计  </t>
  </si>
  <si>
    <t xml:space="preserve">投资活动产生的现金流量净额  </t>
  </si>
  <si>
    <t xml:space="preserve">吸收投资收到的现金  </t>
  </si>
  <si>
    <t>其中：子公司吸收少数股东投资
收到的现金</t>
  </si>
  <si>
    <t xml:space="preserve">取得借款收到的现金  </t>
  </si>
  <si>
    <t xml:space="preserve">筹资活动现金流入小计  </t>
  </si>
  <si>
    <t xml:space="preserve">偿还债务支付的现金  </t>
  </si>
  <si>
    <t>分配股利、利润或偿付利息支付
的现金</t>
  </si>
  <si>
    <t>其中：子公司支付给少数股东的
股利、利润</t>
  </si>
  <si>
    <t>支付其他与筹资活动有关的现金</t>
  </si>
  <si>
    <t>筹资活动现金流出小计</t>
  </si>
  <si>
    <t xml:space="preserve">筹资活动产生的现金流量净额  </t>
  </si>
  <si>
    <t>四、汇率变动对现金及现金等价物的
影响</t>
  </si>
  <si>
    <t xml:space="preserve">五、现金及现金等价物净增加额 </t>
  </si>
  <si>
    <t xml:space="preserve">期初现金及现金等价物余额  </t>
  </si>
  <si>
    <t xml:space="preserve">六、期末现金及现金等价物余额 </t>
  </si>
  <si>
    <t>浙江核电</t>
  </si>
  <si>
    <t>秦山一核</t>
  </si>
  <si>
    <t>归属股东</t>
  </si>
  <si>
    <t>上网电价</t>
  </si>
  <si>
    <t>综合收益总额</t>
  </si>
  <si>
    <t>经营活动现金流量</t>
  </si>
  <si>
    <t>秦山二核</t>
  </si>
  <si>
    <t>0.3998
0.4153</t>
  </si>
  <si>
    <t>秦山三核</t>
  </si>
  <si>
    <t>田湾核电</t>
  </si>
  <si>
    <t>辽宁核电</t>
  </si>
  <si>
    <t>漳州能源</t>
  </si>
  <si>
    <t>核电机组</t>
  </si>
  <si>
    <t>中国核电
持投比例</t>
  </si>
  <si>
    <t>累计金额</t>
  </si>
  <si>
    <t>进度</t>
  </si>
  <si>
    <t>当期金额</t>
  </si>
  <si>
    <t>开始建设时间</t>
  </si>
  <si>
    <t>投产时间</t>
  </si>
  <si>
    <t>上网电价（含增值税）元/每千瓦</t>
  </si>
  <si>
    <t>机型</t>
  </si>
  <si>
    <t>机组容
量 （MWE）</t>
  </si>
  <si>
    <t>秦山一期</t>
  </si>
  <si>
    <t>1994.04.01</t>
  </si>
  <si>
    <t>CP300</t>
  </si>
  <si>
    <t>秦山二期 1 号机组</t>
  </si>
  <si>
    <t>2002.04.15</t>
  </si>
  <si>
    <t>CP600</t>
  </si>
  <si>
    <t>秦山二期 2 号机组</t>
  </si>
  <si>
    <t>2004.05.03</t>
  </si>
  <si>
    <t>秦山二期 3 号机组</t>
  </si>
  <si>
    <t>2010.10.05</t>
  </si>
  <si>
    <t>秦山二期 4 号机组</t>
  </si>
  <si>
    <t>2011.12.30</t>
  </si>
  <si>
    <t>秦山三期 1 号机组</t>
  </si>
  <si>
    <t>2002.12.31</t>
  </si>
  <si>
    <t>CANDU6</t>
  </si>
  <si>
    <t>秦山三期 2 号机组</t>
  </si>
  <si>
    <t>2003.07.24</t>
  </si>
  <si>
    <r>
      <rPr>
        <sz val="10.5"/>
        <color rgb="FF000000"/>
        <rFont val="宋体"/>
        <charset val="134"/>
      </rPr>
      <t xml:space="preserve">方家山 </t>
    </r>
    <r>
      <rPr>
        <sz val="10.5"/>
        <color rgb="FF000000"/>
        <rFont val="Times New Roman"/>
        <charset val="134"/>
      </rPr>
      <t xml:space="preserve">1 </t>
    </r>
    <r>
      <rPr>
        <sz val="10.5"/>
        <color rgb="FF000000"/>
        <rFont val="宋体"/>
        <charset val="134"/>
      </rPr>
      <t>号机组</t>
    </r>
  </si>
  <si>
    <t>2014.12.15</t>
  </si>
  <si>
    <t>M310</t>
  </si>
  <si>
    <r>
      <rPr>
        <sz val="10.5"/>
        <color rgb="FF000000"/>
        <rFont val="宋体"/>
        <charset val="134"/>
      </rPr>
      <t>方家山 2</t>
    </r>
    <r>
      <rPr>
        <sz val="10.5"/>
        <color rgb="FF000000"/>
        <rFont val="Times New Roman"/>
        <charset val="134"/>
      </rPr>
      <t xml:space="preserve"> </t>
    </r>
    <r>
      <rPr>
        <sz val="10.5"/>
        <color rgb="FF000000"/>
        <rFont val="宋体"/>
        <charset val="134"/>
      </rPr>
      <t>号机组</t>
    </r>
  </si>
  <si>
    <t>2015.02.12</t>
  </si>
  <si>
    <r>
      <rPr>
        <sz val="10.55"/>
        <color rgb="FF000000"/>
        <rFont val="宋体"/>
        <charset val="134"/>
      </rPr>
      <t xml:space="preserve">田湾 </t>
    </r>
    <r>
      <rPr>
        <sz val="10.55"/>
        <color rgb="FF000000"/>
        <rFont val="Times New Roman"/>
        <charset val="134"/>
      </rPr>
      <t xml:space="preserve">1 </t>
    </r>
    <r>
      <rPr>
        <sz val="10.55"/>
        <color rgb="FF000000"/>
        <rFont val="宋体"/>
        <charset val="134"/>
      </rPr>
      <t>号机组</t>
    </r>
  </si>
  <si>
    <t>2007.05.17</t>
  </si>
  <si>
    <t>VVER1000</t>
  </si>
  <si>
    <r>
      <rPr>
        <sz val="10.55"/>
        <color rgb="FF000000"/>
        <rFont val="宋体"/>
        <charset val="134"/>
      </rPr>
      <t xml:space="preserve">田湾 </t>
    </r>
    <r>
      <rPr>
        <sz val="10.55"/>
        <color rgb="FF000000"/>
        <rFont val="Times New Roman"/>
        <charset val="134"/>
      </rPr>
      <t xml:space="preserve">2 </t>
    </r>
    <r>
      <rPr>
        <sz val="10.55"/>
        <color rgb="FF000000"/>
        <rFont val="宋体"/>
        <charset val="134"/>
      </rPr>
      <t>号机组</t>
    </r>
  </si>
  <si>
    <t>2007.08.16</t>
  </si>
  <si>
    <r>
      <rPr>
        <sz val="10.55"/>
        <color rgb="FF000000"/>
        <rFont val="宋体"/>
        <charset val="134"/>
      </rPr>
      <t xml:space="preserve">田湾 </t>
    </r>
    <r>
      <rPr>
        <sz val="10.55"/>
        <color rgb="FF000000"/>
        <rFont val="Times New Roman"/>
        <charset val="134"/>
      </rPr>
      <t xml:space="preserve">3 </t>
    </r>
    <r>
      <rPr>
        <sz val="10.55"/>
        <color rgb="FF000000"/>
        <rFont val="宋体"/>
        <charset val="134"/>
      </rPr>
      <t>号机组</t>
    </r>
  </si>
  <si>
    <t>2018.02.15</t>
  </si>
  <si>
    <r>
      <rPr>
        <sz val="10.55"/>
        <color rgb="FF000000"/>
        <rFont val="宋体"/>
        <charset val="134"/>
      </rPr>
      <t xml:space="preserve">田湾 </t>
    </r>
    <r>
      <rPr>
        <sz val="10.55"/>
        <color rgb="FF000000"/>
        <rFont val="Times New Roman"/>
        <charset val="134"/>
      </rPr>
      <t xml:space="preserve">4 </t>
    </r>
    <r>
      <rPr>
        <sz val="10.55"/>
        <color rgb="FF000000"/>
        <rFont val="宋体"/>
        <charset val="134"/>
      </rPr>
      <t>号机组</t>
    </r>
  </si>
  <si>
    <t>2018.12.22</t>
  </si>
  <si>
    <r>
      <rPr>
        <sz val="10.55"/>
        <color rgb="FF000000"/>
        <rFont val="宋体"/>
        <charset val="134"/>
      </rPr>
      <t xml:space="preserve">田湾 </t>
    </r>
    <r>
      <rPr>
        <sz val="10.55"/>
        <color rgb="FF000000"/>
        <rFont val="Times New Roman"/>
        <charset val="134"/>
      </rPr>
      <t xml:space="preserve">5 </t>
    </r>
    <r>
      <rPr>
        <sz val="10.55"/>
        <color rgb="FF000000"/>
        <rFont val="宋体"/>
        <charset val="134"/>
      </rPr>
      <t>号机组</t>
    </r>
  </si>
  <si>
    <t>2020.09.08</t>
  </si>
  <si>
    <r>
      <rPr>
        <sz val="10.55"/>
        <color rgb="FF000000"/>
        <rFont val="宋体"/>
        <charset val="134"/>
      </rPr>
      <t xml:space="preserve">田湾 </t>
    </r>
    <r>
      <rPr>
        <sz val="10.55"/>
        <color rgb="FF000000"/>
        <rFont val="Times New Roman"/>
        <charset val="134"/>
      </rPr>
      <t xml:space="preserve">6 </t>
    </r>
    <r>
      <rPr>
        <sz val="10.55"/>
        <color rgb="FF000000"/>
        <rFont val="宋体"/>
        <charset val="134"/>
      </rPr>
      <t>号机组</t>
    </r>
  </si>
  <si>
    <t>2021.06.02</t>
  </si>
  <si>
    <t>在建</t>
  </si>
  <si>
    <r>
      <rPr>
        <sz val="10.55"/>
        <color rgb="FF000000"/>
        <rFont val="宋体"/>
        <charset val="134"/>
      </rPr>
      <t xml:space="preserve">田湾 </t>
    </r>
    <r>
      <rPr>
        <sz val="10.55"/>
        <color rgb="FF000000"/>
        <rFont val="Times New Roman"/>
        <charset val="134"/>
      </rPr>
      <t xml:space="preserve">7 </t>
    </r>
    <r>
      <rPr>
        <sz val="10.55"/>
        <color rgb="FF000000"/>
        <rFont val="宋体"/>
        <charset val="134"/>
      </rPr>
      <t>号机组</t>
    </r>
  </si>
  <si>
    <r>
      <rPr>
        <sz val="10.55"/>
        <color rgb="FF000000"/>
        <rFont val="宋体"/>
        <charset val="134"/>
      </rPr>
      <t xml:space="preserve">田湾 </t>
    </r>
    <r>
      <rPr>
        <sz val="10.55"/>
        <color rgb="FF000000"/>
        <rFont val="Times New Roman"/>
        <charset val="134"/>
      </rPr>
      <t xml:space="preserve">8 </t>
    </r>
    <r>
      <rPr>
        <sz val="10.55"/>
        <color rgb="FF000000"/>
        <rFont val="宋体"/>
        <charset val="134"/>
      </rPr>
      <t>号机组</t>
    </r>
  </si>
  <si>
    <r>
      <rPr>
        <sz val="10.55"/>
        <color rgb="FF000000"/>
        <rFont val="宋体"/>
        <charset val="134"/>
      </rPr>
      <t xml:space="preserve">福清 </t>
    </r>
    <r>
      <rPr>
        <sz val="10.55"/>
        <color rgb="FF000000"/>
        <rFont val="Times New Roman"/>
        <charset val="134"/>
      </rPr>
      <t xml:space="preserve">1 </t>
    </r>
    <r>
      <rPr>
        <sz val="10.55"/>
        <color rgb="FF000000"/>
        <rFont val="宋体"/>
        <charset val="134"/>
      </rPr>
      <t>号机组</t>
    </r>
  </si>
  <si>
    <t>2014.11.22</t>
  </si>
  <si>
    <r>
      <rPr>
        <sz val="10.55"/>
        <color rgb="FF000000"/>
        <rFont val="宋体"/>
        <charset val="134"/>
      </rPr>
      <t xml:space="preserve">福清 </t>
    </r>
    <r>
      <rPr>
        <sz val="10.55"/>
        <color rgb="FF000000"/>
        <rFont val="Times New Roman"/>
        <charset val="134"/>
      </rPr>
      <t xml:space="preserve">2 </t>
    </r>
    <r>
      <rPr>
        <sz val="10.55"/>
        <color rgb="FF000000"/>
        <rFont val="宋体"/>
        <charset val="134"/>
      </rPr>
      <t>号机组</t>
    </r>
  </si>
  <si>
    <t>2015.10.16</t>
  </si>
  <si>
    <r>
      <rPr>
        <sz val="10.55"/>
        <color rgb="FF000000"/>
        <rFont val="宋体"/>
        <charset val="134"/>
      </rPr>
      <t xml:space="preserve">福清 </t>
    </r>
    <r>
      <rPr>
        <sz val="10.55"/>
        <color rgb="FF000000"/>
        <rFont val="Times New Roman"/>
        <charset val="134"/>
      </rPr>
      <t xml:space="preserve">3 </t>
    </r>
    <r>
      <rPr>
        <sz val="10.55"/>
        <color rgb="FF000000"/>
        <rFont val="宋体"/>
        <charset val="134"/>
      </rPr>
      <t>号机组</t>
    </r>
  </si>
  <si>
    <t>2016.10.24</t>
  </si>
  <si>
    <r>
      <rPr>
        <sz val="10.55"/>
        <color rgb="FF000000"/>
        <rFont val="宋体"/>
        <charset val="134"/>
      </rPr>
      <t xml:space="preserve">福清 </t>
    </r>
    <r>
      <rPr>
        <sz val="10.55"/>
        <color rgb="FF000000"/>
        <rFont val="Times New Roman"/>
        <charset val="134"/>
      </rPr>
      <t xml:space="preserve">4 </t>
    </r>
    <r>
      <rPr>
        <sz val="10.55"/>
        <color rgb="FF000000"/>
        <rFont val="宋体"/>
        <charset val="134"/>
      </rPr>
      <t>号机组</t>
    </r>
  </si>
  <si>
    <t>2017.09.17</t>
  </si>
  <si>
    <r>
      <rPr>
        <sz val="10.55"/>
        <color rgb="FF000000"/>
        <rFont val="宋体"/>
        <charset val="134"/>
      </rPr>
      <t xml:space="preserve">福清 </t>
    </r>
    <r>
      <rPr>
        <sz val="10.55"/>
        <color rgb="FF000000"/>
        <rFont val="Times New Roman"/>
        <charset val="134"/>
      </rPr>
      <t xml:space="preserve">5 </t>
    </r>
    <r>
      <rPr>
        <sz val="10.55"/>
        <color rgb="FF000000"/>
        <rFont val="宋体"/>
        <charset val="134"/>
      </rPr>
      <t>号机组</t>
    </r>
  </si>
  <si>
    <t>2021.01.29</t>
  </si>
  <si>
    <t>华龙一号</t>
  </si>
  <si>
    <r>
      <rPr>
        <sz val="10.55"/>
        <color rgb="FF000000"/>
        <rFont val="宋体"/>
        <charset val="134"/>
      </rPr>
      <t xml:space="preserve">海南 </t>
    </r>
    <r>
      <rPr>
        <sz val="10.55"/>
        <color rgb="FF000000"/>
        <rFont val="Times New Roman"/>
        <charset val="134"/>
      </rPr>
      <t xml:space="preserve">1 </t>
    </r>
    <r>
      <rPr>
        <sz val="10.55"/>
        <color rgb="FF000000"/>
        <rFont val="宋体"/>
        <charset val="134"/>
      </rPr>
      <t>号机组</t>
    </r>
  </si>
  <si>
    <t>2015.12.25</t>
  </si>
  <si>
    <r>
      <rPr>
        <sz val="10.55"/>
        <color rgb="FF000000"/>
        <rFont val="宋体"/>
        <charset val="134"/>
      </rPr>
      <t xml:space="preserve">海南 </t>
    </r>
    <r>
      <rPr>
        <sz val="10.55"/>
        <color rgb="FF000000"/>
        <rFont val="Times New Roman"/>
        <charset val="134"/>
      </rPr>
      <t xml:space="preserve">2 </t>
    </r>
    <r>
      <rPr>
        <sz val="10.55"/>
        <color rgb="FF000000"/>
        <rFont val="宋体"/>
        <charset val="134"/>
      </rPr>
      <t>号机组</t>
    </r>
  </si>
  <si>
    <t>2016.08.12</t>
  </si>
  <si>
    <r>
      <rPr>
        <sz val="10.55"/>
        <color rgb="FF000000"/>
        <rFont val="宋体"/>
        <charset val="134"/>
      </rPr>
      <t xml:space="preserve">三门 </t>
    </r>
    <r>
      <rPr>
        <sz val="10.55"/>
        <color rgb="FF000000"/>
        <rFont val="Times New Roman"/>
        <charset val="134"/>
      </rPr>
      <t xml:space="preserve">1 </t>
    </r>
    <r>
      <rPr>
        <sz val="10.55"/>
        <color rgb="FF000000"/>
        <rFont val="宋体"/>
        <charset val="134"/>
      </rPr>
      <t>号机组</t>
    </r>
  </si>
  <si>
    <t>2018.09.21</t>
  </si>
  <si>
    <t>AP1000</t>
  </si>
  <si>
    <r>
      <rPr>
        <sz val="10.55"/>
        <color rgb="FF000000"/>
        <rFont val="宋体"/>
        <charset val="134"/>
      </rPr>
      <t xml:space="preserve">三门 </t>
    </r>
    <r>
      <rPr>
        <sz val="10.55"/>
        <color rgb="FF000000"/>
        <rFont val="Times New Roman"/>
        <charset val="134"/>
      </rPr>
      <t xml:space="preserve">2 </t>
    </r>
    <r>
      <rPr>
        <sz val="10.55"/>
        <color rgb="FF000000"/>
        <rFont val="宋体"/>
        <charset val="134"/>
      </rPr>
      <t>号机组</t>
    </r>
  </si>
  <si>
    <t>2018.11.05</t>
  </si>
  <si>
    <r>
      <rPr>
        <sz val="10.55"/>
        <color rgb="FF000000"/>
        <rFont val="宋体"/>
        <charset val="134"/>
      </rPr>
      <t xml:space="preserve">三门 </t>
    </r>
    <r>
      <rPr>
        <sz val="10.55"/>
        <color rgb="FF000000"/>
        <rFont val="Times New Roman"/>
        <charset val="134"/>
      </rPr>
      <t xml:space="preserve">3 </t>
    </r>
    <r>
      <rPr>
        <sz val="10.55"/>
        <color rgb="FF000000"/>
        <rFont val="宋体"/>
        <charset val="134"/>
      </rPr>
      <t>号机组</t>
    </r>
  </si>
  <si>
    <t>万千瓦</t>
  </si>
  <si>
    <r>
      <rPr>
        <sz val="10.55"/>
        <color rgb="FF000000"/>
        <rFont val="宋体"/>
        <charset val="134"/>
      </rPr>
      <t xml:space="preserve">三门 </t>
    </r>
    <r>
      <rPr>
        <sz val="10.55"/>
        <color rgb="FF000000"/>
        <rFont val="Times New Roman"/>
        <charset val="134"/>
      </rPr>
      <t xml:space="preserve">4 </t>
    </r>
    <r>
      <rPr>
        <sz val="10.55"/>
        <color rgb="FF000000"/>
        <rFont val="宋体"/>
        <charset val="134"/>
      </rPr>
      <t>号机组</t>
    </r>
  </si>
  <si>
    <t>在建工程</t>
  </si>
  <si>
    <t>计划完结时间</t>
  </si>
  <si>
    <t>福建漳州 1 号机组</t>
  </si>
  <si>
    <t>福建漳州 2 号机组</t>
  </si>
  <si>
    <t>海南小堆</t>
  </si>
  <si>
    <t>辽宁徐大堡 3 号</t>
  </si>
  <si>
    <t>辽宁徐大堡 4 号</t>
  </si>
</sst>
</file>

<file path=xl/styles.xml><?xml version="1.0" encoding="utf-8"?>
<styleSheet xmlns="http://schemas.openxmlformats.org/spreadsheetml/2006/main">
  <numFmts count="1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* #,##0.00_);_(* \(#,##0.00\);_(* &quot;-&quot;?_);_(@_)"/>
    <numFmt numFmtId="177" formatCode="#,##0.00_ "/>
    <numFmt numFmtId="178" formatCode="0.00_);[Red]\(0.00\)"/>
    <numFmt numFmtId="179" formatCode="#,##0.00_ ;[Red]\-#,##0.00\ "/>
    <numFmt numFmtId="180" formatCode="#,##0.00_);[Red]\(#,##0.00\)"/>
    <numFmt numFmtId="181" formatCode="0&quot;年后Revenue&quot;"/>
    <numFmt numFmtId="182" formatCode="yyyy"/>
    <numFmt numFmtId="183" formatCode="#,##0.0_ "/>
    <numFmt numFmtId="184" formatCode="0.0%"/>
    <numFmt numFmtId="185" formatCode="_(* #,##0.0_);_(* \(#,##0.0\);_(* &quot;-&quot;?_);_(@_)"/>
    <numFmt numFmtId="186" formatCode="_(* #,##0.00_);_(* \(#,##0.00\);_(* &quot;-&quot;??_);_(@_)"/>
    <numFmt numFmtId="187" formatCode="0&quot;倍PE&quot;"/>
    <numFmt numFmtId="188" formatCode="0.00&quot;倍PE&quot;"/>
  </numFmts>
  <fonts count="41">
    <font>
      <sz val="12"/>
      <color theme="1"/>
      <name val="等线"/>
      <charset val="134"/>
      <scheme val="minor"/>
    </font>
    <font>
      <b/>
      <sz val="10.55"/>
      <color rgb="FF000000"/>
      <name val="宋体"/>
      <charset val="134"/>
    </font>
    <font>
      <sz val="10.55"/>
      <color rgb="FF000000"/>
      <name val="宋体"/>
      <charset val="134"/>
    </font>
    <font>
      <sz val="10.55"/>
      <color rgb="FF000000"/>
      <name val="Times New Roman"/>
      <charset val="134"/>
    </font>
    <font>
      <sz val="10.5"/>
      <color rgb="FF000000"/>
      <name val="宋体"/>
      <charset val="134"/>
    </font>
    <font>
      <sz val="9"/>
      <color rgb="FF000000"/>
      <name val="Times New Roman"/>
      <charset val="134"/>
    </font>
    <font>
      <sz val="11"/>
      <color rgb="FF000000"/>
      <name val="宋体"/>
      <charset val="134"/>
    </font>
    <font>
      <sz val="11"/>
      <color rgb="FF000000"/>
      <name val="Courier New"/>
      <charset val="134"/>
    </font>
    <font>
      <sz val="12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2"/>
      <color theme="1"/>
      <name val="Arial"/>
      <charset val="134"/>
    </font>
    <font>
      <sz val="12"/>
      <color theme="1"/>
      <name val="宋体"/>
      <charset val="134"/>
    </font>
    <font>
      <b/>
      <sz val="12"/>
      <name val="Arial"/>
      <charset val="134"/>
    </font>
    <font>
      <sz val="12"/>
      <color theme="1"/>
      <name val="Helvetica"/>
      <charset val="134"/>
    </font>
    <font>
      <i/>
      <sz val="12"/>
      <color indexed="8"/>
      <name val="Arial"/>
      <charset val="134"/>
    </font>
    <font>
      <i/>
      <sz val="12"/>
      <color theme="1"/>
      <name val="宋体"/>
      <charset val="134"/>
    </font>
    <font>
      <i/>
      <sz val="12"/>
      <color indexed="8"/>
      <name val="Helvetica"/>
      <charset val="134"/>
    </font>
    <font>
      <b/>
      <sz val="12"/>
      <color theme="1"/>
      <name val="Helvetica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.5"/>
      <color rgb="FF000000"/>
      <name val="Times New Roman"/>
      <charset val="134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12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20" borderId="13" applyNumberFormat="0" applyFont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1" fillId="24" borderId="16" applyNumberFormat="0" applyAlignment="0" applyProtection="0">
      <alignment vertical="center"/>
    </xf>
    <xf numFmtId="0" fontId="32" fillId="24" borderId="12" applyNumberFormat="0" applyAlignment="0" applyProtection="0">
      <alignment vertical="center"/>
    </xf>
    <xf numFmtId="0" fontId="33" fillId="25" borderId="17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</cellStyleXfs>
  <cellXfs count="173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9" fontId="3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2" fillId="2" borderId="0" xfId="0" applyFont="1" applyFill="1">
      <alignment vertical="center"/>
    </xf>
    <xf numFmtId="9" fontId="3" fillId="2" borderId="0" xfId="0" applyNumberFormat="1" applyFont="1" applyFill="1">
      <alignment vertical="center"/>
    </xf>
    <xf numFmtId="4" fontId="0" fillId="2" borderId="0" xfId="0" applyNumberFormat="1" applyFill="1" applyAlignment="1">
      <alignment vertical="center" wrapText="1"/>
    </xf>
    <xf numFmtId="9" fontId="0" fillId="2" borderId="0" xfId="0" applyNumberFormat="1" applyFill="1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5" fillId="2" borderId="0" xfId="0" applyFont="1" applyFill="1">
      <alignment vertical="center"/>
    </xf>
    <xf numFmtId="10" fontId="0" fillId="0" borderId="0" xfId="0" applyNumberFormat="1" applyFont="1" applyFill="1" applyBorder="1" applyAlignment="1" applyProtection="1">
      <alignment vertical="center"/>
    </xf>
    <xf numFmtId="4" fontId="5" fillId="0" borderId="0" xfId="0" applyNumberFormat="1" applyFont="1">
      <alignment vertical="center"/>
    </xf>
    <xf numFmtId="10" fontId="0" fillId="0" borderId="0" xfId="0" applyNumberFormat="1">
      <alignment vertical="center"/>
    </xf>
    <xf numFmtId="10" fontId="2" fillId="0" borderId="0" xfId="0" applyNumberFormat="1" applyFont="1">
      <alignment vertical="center"/>
    </xf>
    <xf numFmtId="0" fontId="3" fillId="0" borderId="0" xfId="0" applyFont="1" applyAlignment="1">
      <alignment vertical="center" wrapText="1"/>
    </xf>
    <xf numFmtId="177" fontId="0" fillId="0" borderId="0" xfId="0" applyNumberFormat="1">
      <alignment vertical="center"/>
    </xf>
    <xf numFmtId="0" fontId="0" fillId="3" borderId="0" xfId="0" applyFill="1">
      <alignment vertical="center"/>
    </xf>
    <xf numFmtId="4" fontId="0" fillId="0" borderId="0" xfId="0" applyNumberFormat="1">
      <alignment vertical="center"/>
    </xf>
    <xf numFmtId="0" fontId="0" fillId="3" borderId="0" xfId="0" applyFill="1" applyAlignment="1">
      <alignment vertical="center" wrapText="1"/>
    </xf>
    <xf numFmtId="4" fontId="0" fillId="3" borderId="0" xfId="0" applyNumberFormat="1" applyFill="1">
      <alignment vertical="center"/>
    </xf>
    <xf numFmtId="177" fontId="0" fillId="3" borderId="0" xfId="0" applyNumberFormat="1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0" borderId="0" xfId="0" applyFill="1">
      <alignment vertical="center"/>
    </xf>
    <xf numFmtId="4" fontId="0" fillId="4" borderId="0" xfId="0" applyNumberFormat="1" applyFill="1">
      <alignment vertical="center"/>
    </xf>
    <xf numFmtId="0" fontId="0" fillId="0" borderId="0" xfId="0" applyFill="1" applyAlignment="1">
      <alignment vertical="center" wrapText="1"/>
    </xf>
    <xf numFmtId="4" fontId="0" fillId="0" borderId="0" xfId="0" applyNumberFormat="1" applyFill="1">
      <alignment vertical="center"/>
    </xf>
    <xf numFmtId="0" fontId="0" fillId="2" borderId="0" xfId="0" applyFill="1" applyAlignment="1">
      <alignment vertical="center" wrapText="1"/>
    </xf>
    <xf numFmtId="4" fontId="0" fillId="2" borderId="0" xfId="0" applyNumberFormat="1" applyFill="1">
      <alignment vertical="center"/>
    </xf>
    <xf numFmtId="0" fontId="0" fillId="0" borderId="0" xfId="0" applyAlignment="1"/>
    <xf numFmtId="4" fontId="0" fillId="0" borderId="0" xfId="0" applyNumberFormat="1" applyAlignment="1"/>
    <xf numFmtId="177" fontId="0" fillId="0" borderId="0" xfId="0" applyNumberFormat="1" applyAlignment="1"/>
    <xf numFmtId="179" fontId="0" fillId="0" borderId="0" xfId="0" applyNumberFormat="1" applyAlignment="1"/>
    <xf numFmtId="180" fontId="0" fillId="0" borderId="0" xfId="0" applyNumberFormat="1" applyAlignment="1"/>
    <xf numFmtId="0" fontId="6" fillId="0" borderId="0" xfId="0" applyFont="1" applyAlignment="1">
      <alignment horizontal="left" vertical="center"/>
    </xf>
    <xf numFmtId="182" fontId="7" fillId="0" borderId="0" xfId="0" applyNumberFormat="1" applyFont="1" applyAlignment="1">
      <alignment horizontal="left" vertical="center"/>
    </xf>
    <xf numFmtId="10" fontId="0" fillId="0" borderId="0" xfId="0" applyNumberFormat="1" applyAlignment="1"/>
    <xf numFmtId="179" fontId="0" fillId="0" borderId="0" xfId="0" applyNumberFormat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31" fontId="0" fillId="0" borderId="0" xfId="0" applyNumberFormat="1" applyAlignment="1">
      <alignment vertical="center" wrapText="1"/>
    </xf>
    <xf numFmtId="0" fontId="0" fillId="7" borderId="0" xfId="0" applyFill="1">
      <alignment vertical="center"/>
    </xf>
    <xf numFmtId="0" fontId="0" fillId="0" borderId="0" xfId="0" applyNumberFormat="1">
      <alignment vertical="center"/>
    </xf>
    <xf numFmtId="0" fontId="0" fillId="8" borderId="0" xfId="0" applyFill="1">
      <alignment vertical="center"/>
    </xf>
    <xf numFmtId="14" fontId="0" fillId="0" borderId="0" xfId="0" applyNumberFormat="1">
      <alignment vertical="center"/>
    </xf>
    <xf numFmtId="180" fontId="0" fillId="0" borderId="0" xfId="0" applyNumberFormat="1">
      <alignment vertical="center"/>
    </xf>
    <xf numFmtId="4" fontId="0" fillId="8" borderId="0" xfId="0" applyNumberFormat="1" applyFill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14" fontId="0" fillId="0" borderId="0" xfId="0" applyNumberFormat="1" applyFont="1" applyFill="1" applyAlignment="1">
      <alignment vertical="center"/>
    </xf>
    <xf numFmtId="180" fontId="0" fillId="0" borderId="0" xfId="0" applyNumberFormat="1" applyFont="1" applyFill="1" applyAlignment="1">
      <alignment vertical="center"/>
    </xf>
    <xf numFmtId="4" fontId="0" fillId="8" borderId="0" xfId="0" applyNumberFormat="1" applyFont="1" applyFill="1" applyAlignment="1">
      <alignment vertical="center"/>
    </xf>
    <xf numFmtId="4" fontId="0" fillId="0" borderId="0" xfId="0" applyNumberFormat="1" applyFont="1" applyFill="1" applyAlignment="1">
      <alignment vertical="center"/>
    </xf>
    <xf numFmtId="4" fontId="0" fillId="0" borderId="0" xfId="0" applyNumberFormat="1" applyAlignment="1">
      <alignment vertical="center" wrapText="1"/>
    </xf>
    <xf numFmtId="0" fontId="8" fillId="9" borderId="0" xfId="0" applyNumberFormat="1" applyFont="1" applyFill="1">
      <alignment vertical="center"/>
    </xf>
    <xf numFmtId="14" fontId="8" fillId="9" borderId="0" xfId="0" applyNumberFormat="1" applyFont="1" applyFill="1">
      <alignment vertical="center"/>
    </xf>
    <xf numFmtId="0" fontId="8" fillId="9" borderId="0" xfId="0" applyFont="1" applyFill="1">
      <alignment vertical="center"/>
    </xf>
    <xf numFmtId="180" fontId="8" fillId="9" borderId="0" xfId="0" applyNumberFormat="1" applyFont="1" applyFill="1">
      <alignment vertical="center"/>
    </xf>
    <xf numFmtId="4" fontId="8" fillId="9" borderId="0" xfId="0" applyNumberFormat="1" applyFont="1" applyFill="1">
      <alignment vertical="center"/>
    </xf>
    <xf numFmtId="0" fontId="0" fillId="0" borderId="0" xfId="0" applyFont="1" applyFill="1" applyAlignment="1">
      <alignment vertical="center" wrapText="1"/>
    </xf>
    <xf numFmtId="0" fontId="0" fillId="5" borderId="0" xfId="0" applyNumberFormat="1" applyFill="1">
      <alignment vertical="center"/>
    </xf>
    <xf numFmtId="14" fontId="0" fillId="5" borderId="0" xfId="0" applyNumberFormat="1" applyFill="1">
      <alignment vertical="center"/>
    </xf>
    <xf numFmtId="180" fontId="0" fillId="5" borderId="0" xfId="0" applyNumberFormat="1" applyFill="1">
      <alignment vertical="center"/>
    </xf>
    <xf numFmtId="4" fontId="0" fillId="5" borderId="0" xfId="0" applyNumberFormat="1" applyFill="1">
      <alignment vertical="center"/>
    </xf>
    <xf numFmtId="0" fontId="0" fillId="0" borderId="0" xfId="0" applyFill="1">
      <alignment vertical="center"/>
    </xf>
    <xf numFmtId="180" fontId="0" fillId="0" borderId="0" xfId="0" applyNumberFormat="1" applyAlignment="1">
      <alignment vertical="center" wrapText="1"/>
    </xf>
    <xf numFmtId="180" fontId="0" fillId="0" borderId="0" xfId="0" applyNumberFormat="1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0" borderId="0" xfId="0" applyNumberFormat="1" applyFill="1">
      <alignment vertical="center"/>
    </xf>
    <xf numFmtId="180" fontId="0" fillId="0" borderId="0" xfId="0" applyNumberFormat="1" applyFill="1" applyAlignment="1">
      <alignment vertical="center" wrapText="1"/>
    </xf>
    <xf numFmtId="4" fontId="0" fillId="0" borderId="0" xfId="0" applyNumberFormat="1" applyFill="1">
      <alignment vertical="center"/>
    </xf>
    <xf numFmtId="0" fontId="0" fillId="9" borderId="0" xfId="0" applyFill="1" applyAlignment="1">
      <alignment vertical="center" wrapText="1"/>
    </xf>
    <xf numFmtId="180" fontId="0" fillId="5" borderId="0" xfId="0" applyNumberFormat="1" applyFill="1" applyAlignment="1">
      <alignment vertical="center" wrapText="1"/>
    </xf>
    <xf numFmtId="4" fontId="0" fillId="8" borderId="0" xfId="0" applyNumberFormat="1" applyFill="1" applyAlignment="1">
      <alignment vertical="center" wrapText="1"/>
    </xf>
    <xf numFmtId="9" fontId="0" fillId="0" borderId="0" xfId="0" applyNumberFormat="1">
      <alignment vertical="center"/>
    </xf>
    <xf numFmtId="4" fontId="0" fillId="8" borderId="0" xfId="0" applyNumberFormat="1" applyFont="1" applyFill="1" applyAlignment="1">
      <alignment vertical="center" wrapText="1"/>
    </xf>
    <xf numFmtId="10" fontId="0" fillId="0" borderId="0" xfId="0" applyNumberFormat="1" applyFont="1" applyFill="1" applyAlignment="1">
      <alignment vertical="center"/>
    </xf>
    <xf numFmtId="9" fontId="0" fillId="0" borderId="0" xfId="0" applyNumberFormat="1" applyFont="1" applyFill="1" applyAlignment="1">
      <alignment vertical="center"/>
    </xf>
    <xf numFmtId="9" fontId="0" fillId="5" borderId="0" xfId="0" applyNumberFormat="1" applyFill="1">
      <alignment vertical="center"/>
    </xf>
    <xf numFmtId="4" fontId="8" fillId="9" borderId="0" xfId="0" applyNumberFormat="1" applyFont="1" applyFill="1">
      <alignment vertical="center"/>
    </xf>
    <xf numFmtId="10" fontId="8" fillId="9" borderId="0" xfId="0" applyNumberFormat="1" applyFont="1" applyFill="1">
      <alignment vertical="center"/>
    </xf>
    <xf numFmtId="9" fontId="8" fillId="9" borderId="0" xfId="0" applyNumberFormat="1" applyFont="1" applyFill="1">
      <alignment vertical="center"/>
    </xf>
    <xf numFmtId="10" fontId="0" fillId="5" borderId="0" xfId="0" applyNumberFormat="1" applyFill="1">
      <alignment vertical="center"/>
    </xf>
    <xf numFmtId="9" fontId="0" fillId="0" borderId="0" xfId="0" applyNumberFormat="1" applyFill="1">
      <alignment vertical="center"/>
    </xf>
    <xf numFmtId="9" fontId="0" fillId="9" borderId="0" xfId="0" applyNumberFormat="1" applyFill="1">
      <alignment vertical="center"/>
    </xf>
    <xf numFmtId="9" fontId="0" fillId="9" borderId="0" xfId="0" applyNumberFormat="1" applyFont="1" applyFill="1" applyAlignment="1">
      <alignment vertical="center"/>
    </xf>
    <xf numFmtId="10" fontId="0" fillId="0" borderId="0" xfId="0" applyNumberFormat="1" applyFill="1">
      <alignment vertical="center"/>
    </xf>
    <xf numFmtId="9" fontId="0" fillId="0" borderId="0" xfId="0" applyNumberFormat="1" applyFill="1">
      <alignment vertical="center"/>
    </xf>
    <xf numFmtId="180" fontId="0" fillId="0" borderId="0" xfId="0" applyNumberFormat="1" applyFill="1" applyAlignment="1">
      <alignment vertical="center" wrapText="1"/>
    </xf>
    <xf numFmtId="0" fontId="0" fillId="0" borderId="0" xfId="0" applyFill="1" applyAlignment="1">
      <alignment vertical="center" wrapText="1"/>
    </xf>
    <xf numFmtId="180" fontId="0" fillId="5" borderId="0" xfId="0" applyNumberFormat="1" applyFill="1" applyAlignment="1">
      <alignment vertical="center" wrapText="1"/>
    </xf>
    <xf numFmtId="180" fontId="0" fillId="0" borderId="0" xfId="0" applyNumberFormat="1" applyAlignment="1">
      <alignment vertical="center" wrapText="1"/>
    </xf>
    <xf numFmtId="0" fontId="9" fillId="9" borderId="0" xfId="0" applyFont="1" applyFill="1">
      <alignment vertical="center"/>
    </xf>
    <xf numFmtId="0" fontId="0" fillId="9" borderId="0" xfId="0" applyFill="1">
      <alignment vertical="center"/>
    </xf>
    <xf numFmtId="183" fontId="0" fillId="0" borderId="0" xfId="0" applyNumberFormat="1">
      <alignment vertical="center"/>
    </xf>
    <xf numFmtId="9" fontId="0" fillId="0" borderId="0" xfId="11" applyFont="1">
      <alignment vertical="center"/>
    </xf>
    <xf numFmtId="180" fontId="0" fillId="10" borderId="0" xfId="0" applyNumberFormat="1" applyFill="1" applyAlignment="1"/>
    <xf numFmtId="0" fontId="7" fillId="0" borderId="0" xfId="0" applyNumberFormat="1" applyFont="1" applyAlignment="1">
      <alignment horizontal="left" vertical="center"/>
    </xf>
    <xf numFmtId="0" fontId="7" fillId="2" borderId="0" xfId="0" applyNumberFormat="1" applyFont="1" applyFill="1" applyAlignment="1">
      <alignment horizontal="left" vertical="center"/>
    </xf>
    <xf numFmtId="180" fontId="0" fillId="2" borderId="0" xfId="0" applyNumberFormat="1" applyFill="1" applyAlignment="1"/>
    <xf numFmtId="10" fontId="0" fillId="2" borderId="0" xfId="0" applyNumberFormat="1" applyFill="1" applyAlignment="1"/>
    <xf numFmtId="177" fontId="0" fillId="2" borderId="0" xfId="0" applyNumberFormat="1" applyFill="1">
      <alignment vertical="center"/>
    </xf>
    <xf numFmtId="10" fontId="0" fillId="2" borderId="0" xfId="0" applyNumberFormat="1" applyFill="1">
      <alignment vertical="center"/>
    </xf>
    <xf numFmtId="10" fontId="0" fillId="0" borderId="0" xfId="0" applyNumberFormat="1" applyAlignment="1">
      <alignment wrapText="1"/>
    </xf>
    <xf numFmtId="182" fontId="7" fillId="2" borderId="0" xfId="0" applyNumberFormat="1" applyFont="1" applyFill="1" applyAlignment="1">
      <alignment horizontal="left" vertical="center"/>
    </xf>
    <xf numFmtId="180" fontId="0" fillId="0" borderId="0" xfId="0" applyNumberFormat="1" applyFill="1" applyAlignment="1"/>
    <xf numFmtId="0" fontId="0" fillId="0" borderId="0" xfId="0" applyNumberFormat="1" applyAlignment="1">
      <alignment vertical="center" wrapText="1"/>
    </xf>
    <xf numFmtId="9" fontId="0" fillId="0" borderId="0" xfId="11" applyFont="1" applyAlignment="1"/>
    <xf numFmtId="3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0" fillId="0" borderId="2" xfId="0" applyFont="1" applyBorder="1">
      <alignment vertical="center"/>
    </xf>
    <xf numFmtId="0" fontId="0" fillId="0" borderId="3" xfId="0" applyBorder="1">
      <alignment vertical="center"/>
    </xf>
    <xf numFmtId="0" fontId="10" fillId="11" borderId="0" xfId="0" applyFont="1" applyFill="1">
      <alignment vertical="center"/>
    </xf>
    <xf numFmtId="0" fontId="11" fillId="11" borderId="0" xfId="0" applyFont="1" applyFill="1">
      <alignment vertical="center"/>
    </xf>
    <xf numFmtId="0" fontId="10" fillId="0" borderId="0" xfId="0" applyFont="1">
      <alignment vertical="center"/>
    </xf>
    <xf numFmtId="184" fontId="10" fillId="11" borderId="0" xfId="11" applyNumberFormat="1" applyFont="1" applyFill="1" applyBorder="1">
      <alignment vertical="center"/>
    </xf>
    <xf numFmtId="0" fontId="10" fillId="12" borderId="0" xfId="0" applyFont="1" applyFill="1">
      <alignment vertical="center"/>
    </xf>
    <xf numFmtId="0" fontId="11" fillId="12" borderId="3" xfId="0" applyFont="1" applyFill="1" applyBorder="1">
      <alignment vertical="center"/>
    </xf>
    <xf numFmtId="185" fontId="10" fillId="0" borderId="0" xfId="0" applyNumberFormat="1" applyFont="1">
      <alignment vertical="center"/>
    </xf>
    <xf numFmtId="0" fontId="10" fillId="0" borderId="3" xfId="0" applyFont="1" applyBorder="1">
      <alignment vertical="center"/>
    </xf>
    <xf numFmtId="0" fontId="11" fillId="13" borderId="0" xfId="0" applyFont="1" applyFill="1">
      <alignment vertical="center"/>
    </xf>
    <xf numFmtId="0" fontId="10" fillId="13" borderId="0" xfId="0" applyFont="1" applyFill="1">
      <alignment vertical="center"/>
    </xf>
    <xf numFmtId="178" fontId="12" fillId="0" borderId="0" xfId="0" applyNumberFormat="1" applyFont="1">
      <alignment vertical="center"/>
    </xf>
    <xf numFmtId="9" fontId="10" fillId="13" borderId="0" xfId="11" applyFont="1" applyFill="1" applyBorder="1">
      <alignment vertical="center"/>
    </xf>
    <xf numFmtId="9" fontId="13" fillId="13" borderId="0" xfId="11" applyFont="1" applyFill="1" applyBorder="1">
      <alignment vertical="center"/>
    </xf>
    <xf numFmtId="178" fontId="10" fillId="0" borderId="0" xfId="0" applyNumberFormat="1" applyFont="1">
      <alignment vertical="center"/>
    </xf>
    <xf numFmtId="178" fontId="10" fillId="14" borderId="0" xfId="0" applyNumberFormat="1" applyFont="1" applyFill="1">
      <alignment vertical="center"/>
    </xf>
    <xf numFmtId="0" fontId="0" fillId="0" borderId="4" xfId="0" applyBorder="1">
      <alignment vertical="center"/>
    </xf>
    <xf numFmtId="0" fontId="10" fillId="13" borderId="5" xfId="0" applyFont="1" applyFill="1" applyBorder="1">
      <alignment vertical="center"/>
    </xf>
    <xf numFmtId="9" fontId="13" fillId="13" borderId="5" xfId="11" applyFont="1" applyFill="1" applyBorder="1">
      <alignment vertical="center"/>
    </xf>
    <xf numFmtId="178" fontId="10" fillId="0" borderId="5" xfId="0" applyNumberFormat="1" applyFont="1" applyBorder="1">
      <alignment vertical="center"/>
    </xf>
    <xf numFmtId="0" fontId="0" fillId="0" borderId="6" xfId="0" applyBorder="1">
      <alignment vertical="center"/>
    </xf>
    <xf numFmtId="0" fontId="13" fillId="0" borderId="7" xfId="0" applyFont="1" applyBorder="1" applyAlignment="1">
      <alignment horizontal="center" vertical="center"/>
    </xf>
    <xf numFmtId="0" fontId="11" fillId="0" borderId="0" xfId="0" applyFont="1">
      <alignment vertical="center"/>
    </xf>
    <xf numFmtId="0" fontId="10" fillId="0" borderId="8" xfId="0" applyFont="1" applyBorder="1">
      <alignment vertical="center"/>
    </xf>
    <xf numFmtId="0" fontId="13" fillId="0" borderId="1" xfId="0" applyFont="1" applyBorder="1">
      <alignment vertical="center"/>
    </xf>
    <xf numFmtId="184" fontId="14" fillId="0" borderId="0" xfId="11" applyNumberFormat="1" applyFont="1" applyBorder="1" applyAlignment="1">
      <alignment horizontal="left" vertical="top" wrapText="1"/>
    </xf>
    <xf numFmtId="0" fontId="13" fillId="0" borderId="3" xfId="0" applyFont="1" applyBorder="1">
      <alignment vertical="center"/>
    </xf>
    <xf numFmtId="0" fontId="15" fillId="0" borderId="0" xfId="0" applyFont="1">
      <alignment vertical="center"/>
    </xf>
    <xf numFmtId="0" fontId="15" fillId="0" borderId="8" xfId="0" applyFont="1" applyBorder="1" applyAlignment="1">
      <alignment horizontal="right" vertical="center"/>
    </xf>
    <xf numFmtId="0" fontId="11" fillId="12" borderId="8" xfId="0" applyFont="1" applyFill="1" applyBorder="1">
      <alignment vertical="center"/>
    </xf>
    <xf numFmtId="185" fontId="10" fillId="0" borderId="8" xfId="0" applyNumberFormat="1" applyFont="1" applyBorder="1">
      <alignment vertical="center"/>
    </xf>
    <xf numFmtId="186" fontId="10" fillId="0" borderId="8" xfId="0" applyNumberFormat="1" applyFont="1" applyBorder="1">
      <alignment vertical="center"/>
    </xf>
    <xf numFmtId="0" fontId="13" fillId="0" borderId="4" xfId="0" applyFont="1" applyBorder="1">
      <alignment vertical="center"/>
    </xf>
    <xf numFmtId="9" fontId="10" fillId="0" borderId="0" xfId="11" applyFont="1" applyBorder="1">
      <alignment vertical="center"/>
    </xf>
    <xf numFmtId="9" fontId="10" fillId="0" borderId="8" xfId="11" applyFont="1" applyBorder="1">
      <alignment vertical="center"/>
    </xf>
    <xf numFmtId="0" fontId="10" fillId="0" borderId="5" xfId="0" applyFont="1" applyBorder="1">
      <alignment vertical="center"/>
    </xf>
    <xf numFmtId="0" fontId="10" fillId="0" borderId="9" xfId="0" applyFont="1" applyBorder="1">
      <alignment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13" fillId="0" borderId="2" xfId="0" applyFont="1" applyBorder="1">
      <alignment vertical="center"/>
    </xf>
    <xf numFmtId="0" fontId="13" fillId="0" borderId="6" xfId="0" applyFont="1" applyBorder="1">
      <alignment vertical="center"/>
    </xf>
    <xf numFmtId="185" fontId="13" fillId="0" borderId="6" xfId="0" applyNumberFormat="1" applyFont="1" applyBorder="1">
      <alignment vertical="center"/>
    </xf>
    <xf numFmtId="0" fontId="13" fillId="0" borderId="0" xfId="0" applyFont="1" applyAlignment="1">
      <alignment horizontal="right" vertical="center"/>
    </xf>
    <xf numFmtId="186" fontId="13" fillId="0" borderId="8" xfId="0" applyNumberFormat="1" applyFont="1" applyBorder="1">
      <alignment vertical="center"/>
    </xf>
    <xf numFmtId="184" fontId="16" fillId="11" borderId="8" xfId="11" applyNumberFormat="1" applyFont="1" applyFill="1" applyBorder="1" applyAlignment="1">
      <alignment horizontal="right" vertical="top" wrapText="1"/>
    </xf>
    <xf numFmtId="181" fontId="13" fillId="0" borderId="3" xfId="0" applyNumberFormat="1" applyFont="1" applyBorder="1" applyAlignment="1">
      <alignment horizontal="left" vertical="center"/>
    </xf>
    <xf numFmtId="185" fontId="13" fillId="0" borderId="8" xfId="0" applyNumberFormat="1" applyFont="1" applyBorder="1">
      <alignment vertical="center"/>
    </xf>
    <xf numFmtId="187" fontId="13" fillId="11" borderId="8" xfId="0" applyNumberFormat="1" applyFont="1" applyFill="1" applyBorder="1">
      <alignment vertical="center"/>
    </xf>
    <xf numFmtId="0" fontId="13" fillId="0" borderId="8" xfId="0" applyFont="1" applyBorder="1">
      <alignment vertical="center"/>
    </xf>
    <xf numFmtId="187" fontId="13" fillId="11" borderId="0" xfId="0" applyNumberFormat="1" applyFont="1" applyFill="1">
      <alignment vertical="center"/>
    </xf>
    <xf numFmtId="186" fontId="17" fillId="0" borderId="8" xfId="0" applyNumberFormat="1" applyFont="1" applyBorder="1">
      <alignment vertical="center"/>
    </xf>
    <xf numFmtId="188" fontId="13" fillId="0" borderId="8" xfId="0" applyNumberFormat="1" applyFont="1" applyBorder="1">
      <alignment vertical="center"/>
    </xf>
    <xf numFmtId="176" fontId="17" fillId="0" borderId="9" xfId="0" applyNumberFormat="1" applyFont="1" applyBorder="1">
      <alignment vertical="center"/>
    </xf>
    <xf numFmtId="187" fontId="13" fillId="11" borderId="5" xfId="0" applyNumberFormat="1" applyFont="1" applyFill="1" applyBorder="1">
      <alignment vertical="center"/>
    </xf>
    <xf numFmtId="186" fontId="13" fillId="0" borderId="9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customXml" Target="../customXml/item1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U20"/>
  <sheetViews>
    <sheetView zoomScale="120" zoomScaleNormal="120" workbookViewId="0">
      <selection activeCell="E16" sqref="E16"/>
    </sheetView>
  </sheetViews>
  <sheetFormatPr defaultColWidth="11" defaultRowHeight="15.75"/>
  <cols>
    <col min="2" max="2" width="20.5" customWidth="1"/>
    <col min="3" max="3" width="14.375" customWidth="1"/>
    <col min="4" max="9" width="11.375" customWidth="1"/>
    <col min="10" max="13" width="12.5" customWidth="1"/>
    <col min="14" max="14" width="13" customWidth="1"/>
    <col min="18" max="18" width="11.625" customWidth="1"/>
    <col min="20" max="20" width="20.5" customWidth="1"/>
    <col min="21" max="21" width="12.5" customWidth="1"/>
  </cols>
  <sheetData>
    <row r="2" spans="2:21">
      <c r="B2" s="114"/>
      <c r="C2" s="115"/>
      <c r="D2" s="115"/>
      <c r="E2" s="115"/>
      <c r="F2" s="115"/>
      <c r="G2" s="116" t="s">
        <v>0</v>
      </c>
      <c r="H2" s="115"/>
      <c r="I2" s="115"/>
      <c r="J2" s="115"/>
      <c r="K2" s="115"/>
      <c r="L2" s="115"/>
      <c r="M2" s="115"/>
      <c r="N2" s="137"/>
      <c r="P2" s="138" t="str">
        <f>G2</f>
        <v>Apple Inc.</v>
      </c>
      <c r="Q2" s="154"/>
      <c r="R2" s="155"/>
      <c r="S2" s="156"/>
      <c r="T2" s="138" t="str">
        <f>G2</f>
        <v>Apple Inc.</v>
      </c>
      <c r="U2" s="155"/>
    </row>
    <row r="3" spans="2:21">
      <c r="B3" s="117"/>
      <c r="C3" s="118" t="s">
        <v>1</v>
      </c>
      <c r="D3" s="119" t="s">
        <v>2</v>
      </c>
      <c r="E3" s="119" t="s">
        <v>3</v>
      </c>
      <c r="F3" s="120"/>
      <c r="H3" s="120"/>
      <c r="I3" s="139" t="s">
        <v>4</v>
      </c>
      <c r="J3" s="139"/>
      <c r="K3" s="139" t="s">
        <v>5</v>
      </c>
      <c r="M3" s="139"/>
      <c r="N3" s="140"/>
      <c r="P3" s="141" t="s">
        <v>6</v>
      </c>
      <c r="Q3" s="157"/>
      <c r="R3" s="158"/>
      <c r="S3" s="156"/>
      <c r="T3" s="141" t="s">
        <v>7</v>
      </c>
      <c r="U3" s="159">
        <v>274515</v>
      </c>
    </row>
    <row r="4" spans="2:21">
      <c r="B4" s="117"/>
      <c r="C4" s="119" t="s">
        <v>8</v>
      </c>
      <c r="D4" s="121">
        <v>0.06</v>
      </c>
      <c r="E4" s="121">
        <v>0.03</v>
      </c>
      <c r="F4" s="120"/>
      <c r="G4" s="120"/>
      <c r="H4" s="120"/>
      <c r="I4" s="142">
        <f>POWER(80674/64225,1/3)-1</f>
        <v>0.0789711337637415</v>
      </c>
      <c r="K4" s="142">
        <f>POWER(274515/229234,1/3)-1</f>
        <v>0.061929492587995</v>
      </c>
      <c r="N4" s="140"/>
      <c r="P4" s="143"/>
      <c r="Q4" s="160" t="s">
        <v>9</v>
      </c>
      <c r="R4" s="161">
        <v>14.71</v>
      </c>
      <c r="S4" s="156"/>
      <c r="T4" s="143" t="s">
        <v>10</v>
      </c>
      <c r="U4" s="162">
        <v>0.09</v>
      </c>
    </row>
    <row r="5" spans="2:21">
      <c r="B5" s="117"/>
      <c r="C5" s="119" t="s">
        <v>11</v>
      </c>
      <c r="D5" s="121">
        <v>0.12</v>
      </c>
      <c r="E5" s="121"/>
      <c r="F5" s="120"/>
      <c r="G5" s="120"/>
      <c r="H5" s="120"/>
      <c r="I5" s="120"/>
      <c r="J5" s="120"/>
      <c r="K5" s="120"/>
      <c r="L5" s="120"/>
      <c r="M5" s="120"/>
      <c r="N5" s="140"/>
      <c r="P5" s="143"/>
      <c r="Q5" s="160" t="s">
        <v>12</v>
      </c>
      <c r="R5" s="161">
        <v>16.67</v>
      </c>
      <c r="S5" s="156"/>
      <c r="T5" s="163">
        <v>5</v>
      </c>
      <c r="U5" s="164">
        <f>U3*POWER(1+U4,T5)</f>
        <v>422375.354979374</v>
      </c>
    </row>
    <row r="6" spans="2:21">
      <c r="B6" s="117"/>
      <c r="C6" s="122" t="s">
        <v>13</v>
      </c>
      <c r="E6" s="120"/>
      <c r="F6" s="120"/>
      <c r="G6" s="120"/>
      <c r="H6" s="120"/>
      <c r="I6" s="120"/>
      <c r="K6" s="144"/>
      <c r="L6" s="144"/>
      <c r="M6" s="144"/>
      <c r="N6" s="145" t="s">
        <v>14</v>
      </c>
      <c r="P6" s="143"/>
      <c r="Q6" s="160" t="s">
        <v>15</v>
      </c>
      <c r="R6" s="161">
        <v>13.91</v>
      </c>
      <c r="S6" s="156"/>
      <c r="T6" s="143" t="s">
        <v>16</v>
      </c>
      <c r="U6" s="162">
        <v>0.25</v>
      </c>
    </row>
    <row r="7" spans="2:21">
      <c r="B7" s="117"/>
      <c r="C7" s="122">
        <v>0</v>
      </c>
      <c r="D7" s="122">
        <v>1</v>
      </c>
      <c r="E7" s="122">
        <v>2</v>
      </c>
      <c r="F7" s="122">
        <v>3</v>
      </c>
      <c r="G7" s="122">
        <v>4</v>
      </c>
      <c r="H7" s="122">
        <v>5</v>
      </c>
      <c r="I7" s="122">
        <v>6</v>
      </c>
      <c r="J7" s="122">
        <v>7</v>
      </c>
      <c r="K7" s="122">
        <v>8</v>
      </c>
      <c r="L7" s="122">
        <v>9</v>
      </c>
      <c r="M7" s="122">
        <v>10</v>
      </c>
      <c r="N7" s="146" t="s">
        <v>17</v>
      </c>
      <c r="P7" s="143"/>
      <c r="Q7" s="160" t="s">
        <v>18</v>
      </c>
      <c r="R7" s="161">
        <v>18.93</v>
      </c>
      <c r="S7" s="156"/>
      <c r="T7" s="143" t="s">
        <v>19</v>
      </c>
      <c r="U7" s="164">
        <f>U5*U6</f>
        <v>105593.838744843</v>
      </c>
    </row>
    <row r="8" spans="2:21">
      <c r="B8" s="123" t="s">
        <v>20</v>
      </c>
      <c r="C8" s="124">
        <f>80674-7309</f>
        <v>73365</v>
      </c>
      <c r="D8" s="124">
        <f>C8*(1+D4)</f>
        <v>77766.9</v>
      </c>
      <c r="E8" s="124">
        <f>D8*(1+D4)</f>
        <v>82432.914</v>
      </c>
      <c r="F8" s="124">
        <f>E8*(1+D4)</f>
        <v>87378.88884</v>
      </c>
      <c r="G8" s="124">
        <f>F8*(1+D4)</f>
        <v>92621.6221704</v>
      </c>
      <c r="H8" s="124">
        <f>G8*(1+D4)</f>
        <v>98178.919500624</v>
      </c>
      <c r="I8" s="124">
        <f>H8*(1+D4)</f>
        <v>104069.654670661</v>
      </c>
      <c r="J8" s="124">
        <f>I8*(1+D4)</f>
        <v>110313.833950901</v>
      </c>
      <c r="K8" s="124">
        <f>J8*(1+D4)</f>
        <v>116932.663987955</v>
      </c>
      <c r="L8" s="124">
        <f>K8*(1+D4)</f>
        <v>123948.623827233</v>
      </c>
      <c r="M8" s="124">
        <f>L8*(1+D4)</f>
        <v>131385.541256867</v>
      </c>
      <c r="N8" s="147">
        <f>M8*(1+E4)/(D5-E4)</f>
        <v>1503634.52771747</v>
      </c>
      <c r="P8" s="143"/>
      <c r="Q8" s="160" t="s">
        <v>21</v>
      </c>
      <c r="R8" s="161">
        <v>25.63</v>
      </c>
      <c r="S8" s="156"/>
      <c r="T8" s="143" t="s">
        <v>22</v>
      </c>
      <c r="U8" s="165">
        <v>15</v>
      </c>
    </row>
    <row r="9" spans="2:21">
      <c r="B9" s="123" t="s">
        <v>23</v>
      </c>
      <c r="D9" s="124">
        <f>D8/(1+D5)^(D7)</f>
        <v>69434.7321428571</v>
      </c>
      <c r="E9" s="124">
        <f>E8/(1+D5)^(E7)</f>
        <v>65715.0143494898</v>
      </c>
      <c r="F9" s="124">
        <f>F8/(1+D5)^(F7)</f>
        <v>62194.5671521957</v>
      </c>
      <c r="G9" s="124">
        <f>G8/(1+D5)^(G7)</f>
        <v>58862.7153404709</v>
      </c>
      <c r="H9" s="124">
        <f>H8/(1+D5)^(H7)</f>
        <v>55709.3555900886</v>
      </c>
      <c r="I9" s="124">
        <f>I8/(1+D5)^(I7)</f>
        <v>52724.9258263338</v>
      </c>
      <c r="J9" s="124">
        <f>J8/(1+D5)^(J7)</f>
        <v>49900.3762284945</v>
      </c>
      <c r="K9" s="124">
        <f>K8/(1+D5)^(K7)</f>
        <v>47227.1417876823</v>
      </c>
      <c r="L9" s="124">
        <f>L8/(1+D5)^(L7)</f>
        <v>44697.1163347707</v>
      </c>
      <c r="M9" s="124">
        <f>M8/(1+D5)^(M7)</f>
        <v>42302.6279596937</v>
      </c>
      <c r="N9" s="147">
        <f>N8/(1+D5)^(M7)</f>
        <v>484130.075538717</v>
      </c>
      <c r="P9" s="143" t="s">
        <v>24</v>
      </c>
      <c r="Q9" s="156"/>
      <c r="R9" s="161"/>
      <c r="S9" s="156"/>
      <c r="T9" s="143" t="s">
        <v>25</v>
      </c>
      <c r="U9" s="164">
        <f>U7*U8/100</f>
        <v>15839.0758117265</v>
      </c>
    </row>
    <row r="10" spans="2:21">
      <c r="B10" s="125" t="s">
        <v>26</v>
      </c>
      <c r="C10" s="124">
        <f>SUM(D9:N9)</f>
        <v>1032898.64825079</v>
      </c>
      <c r="E10" s="120"/>
      <c r="F10" s="120"/>
      <c r="G10" s="120"/>
      <c r="H10" s="120"/>
      <c r="I10" s="120"/>
      <c r="J10" s="120"/>
      <c r="K10" s="120"/>
      <c r="L10" s="120"/>
      <c r="M10" s="120"/>
      <c r="N10" s="140"/>
      <c r="P10" s="143"/>
      <c r="Q10" s="156">
        <v>2021</v>
      </c>
      <c r="R10" s="161">
        <v>3.95</v>
      </c>
      <c r="S10" s="156"/>
      <c r="T10" s="143"/>
      <c r="U10" s="166"/>
    </row>
    <row r="11" spans="2:21">
      <c r="B11" s="125" t="s">
        <v>27</v>
      </c>
      <c r="C11" s="124">
        <v>-69552</v>
      </c>
      <c r="E11" s="120"/>
      <c r="F11" s="120"/>
      <c r="G11" s="120"/>
      <c r="H11" s="120"/>
      <c r="I11" s="120"/>
      <c r="J11" s="120"/>
      <c r="K11" s="120"/>
      <c r="L11" s="120"/>
      <c r="M11" s="120"/>
      <c r="N11" s="148"/>
      <c r="P11" s="143"/>
      <c r="Q11" s="156">
        <v>2022</v>
      </c>
      <c r="R11" s="161">
        <v>4.31</v>
      </c>
      <c r="S11" s="156"/>
      <c r="T11" s="143" t="s">
        <v>28</v>
      </c>
      <c r="U11" s="162">
        <v>0.12</v>
      </c>
    </row>
    <row r="12" spans="2:21">
      <c r="B12" s="125" t="s">
        <v>29</v>
      </c>
      <c r="C12" s="124">
        <v>0</v>
      </c>
      <c r="E12" s="120"/>
      <c r="F12" s="120"/>
      <c r="G12" s="120"/>
      <c r="H12" s="120"/>
      <c r="I12" s="120"/>
      <c r="J12" s="120"/>
      <c r="K12" s="120"/>
      <c r="L12" s="120"/>
      <c r="M12" s="120"/>
      <c r="N12" s="148"/>
      <c r="P12" s="143"/>
      <c r="Q12" s="156">
        <v>2023</v>
      </c>
      <c r="R12" s="161">
        <v>4.71</v>
      </c>
      <c r="S12" s="156"/>
      <c r="T12" s="143" t="s">
        <v>30</v>
      </c>
      <c r="U12" s="164">
        <f>U9/POWER(1+U11,T5)</f>
        <v>8987.5169853365</v>
      </c>
    </row>
    <row r="13" spans="2:21">
      <c r="B13" s="125" t="s">
        <v>31</v>
      </c>
      <c r="C13" s="124">
        <f>C10-C11-C12</f>
        <v>1102450.64825079</v>
      </c>
      <c r="E13" s="120"/>
      <c r="F13" s="120"/>
      <c r="G13" s="120"/>
      <c r="H13" s="120"/>
      <c r="I13" s="120"/>
      <c r="J13" s="120"/>
      <c r="K13" s="120"/>
      <c r="L13" s="120"/>
      <c r="M13" s="120"/>
      <c r="N13" s="148"/>
      <c r="P13" s="143"/>
      <c r="Q13" s="156"/>
      <c r="R13" s="161"/>
      <c r="S13" s="156"/>
      <c r="T13" s="143"/>
      <c r="U13" s="166"/>
    </row>
    <row r="14" spans="2:21">
      <c r="B14" s="125" t="s">
        <v>32</v>
      </c>
      <c r="C14" s="124">
        <v>17001.8</v>
      </c>
      <c r="E14" s="126" t="s">
        <v>33</v>
      </c>
      <c r="F14" s="127"/>
      <c r="G14" s="127"/>
      <c r="H14" s="127"/>
      <c r="I14" s="127"/>
      <c r="J14" s="120"/>
      <c r="K14" s="120"/>
      <c r="L14" s="120"/>
      <c r="M14" s="120"/>
      <c r="N14" s="148"/>
      <c r="P14" s="143" t="s">
        <v>34</v>
      </c>
      <c r="Q14" s="167">
        <v>15</v>
      </c>
      <c r="R14" s="168">
        <f>Q14*R10</f>
        <v>59.25</v>
      </c>
      <c r="S14" s="156"/>
      <c r="T14" s="143" t="s">
        <v>32</v>
      </c>
      <c r="U14" s="161">
        <f>C14</f>
        <v>17001.8</v>
      </c>
    </row>
    <row r="15" spans="2:21">
      <c r="B15" s="125" t="s">
        <v>35</v>
      </c>
      <c r="D15" s="128">
        <f>C13/C14</f>
        <v>64.8431723847354</v>
      </c>
      <c r="E15" s="129">
        <v>0.04</v>
      </c>
      <c r="F15" s="129">
        <v>0.05</v>
      </c>
      <c r="G15" s="129">
        <v>0.06</v>
      </c>
      <c r="H15" s="129">
        <v>0.07</v>
      </c>
      <c r="I15" s="129">
        <v>0.08</v>
      </c>
      <c r="J15" s="120"/>
      <c r="K15" s="120"/>
      <c r="L15" s="120"/>
      <c r="M15" s="120"/>
      <c r="N15" s="140"/>
      <c r="P15" s="143" t="s">
        <v>36</v>
      </c>
      <c r="Q15" s="156"/>
      <c r="R15" s="169">
        <f>R14/R11</f>
        <v>13.7470997679814</v>
      </c>
      <c r="S15" s="156"/>
      <c r="T15" s="149" t="s">
        <v>37</v>
      </c>
      <c r="U15" s="170">
        <f>U12/U14*100</f>
        <v>52.8621498037649</v>
      </c>
    </row>
    <row r="16" spans="2:21">
      <c r="B16" s="117"/>
      <c r="C16" s="126" t="s">
        <v>38</v>
      </c>
      <c r="D16" s="130">
        <v>0.18</v>
      </c>
      <c r="E16" s="131">
        <v>35.4603656562076</v>
      </c>
      <c r="F16" s="131">
        <v>37.3185044688564</v>
      </c>
      <c r="G16" s="131">
        <v>39.3040768318188</v>
      </c>
      <c r="H16" s="131">
        <v>41.4258353341664</v>
      </c>
      <c r="I16" s="131">
        <v>43.6930831517045</v>
      </c>
      <c r="J16" s="120"/>
      <c r="K16" s="120"/>
      <c r="L16" s="120"/>
      <c r="M16" s="120"/>
      <c r="N16" s="140"/>
      <c r="P16" s="143"/>
      <c r="Q16" s="167">
        <v>12</v>
      </c>
      <c r="R16" s="161">
        <f>Q16*R10</f>
        <v>47.4</v>
      </c>
      <c r="S16" s="156"/>
      <c r="T16" s="143" t="s">
        <v>39</v>
      </c>
      <c r="U16" s="156"/>
    </row>
    <row r="17" spans="2:21">
      <c r="B17" s="117"/>
      <c r="C17" s="127"/>
      <c r="D17" s="130">
        <v>0.15</v>
      </c>
      <c r="E17" s="131">
        <v>43.512927325866</v>
      </c>
      <c r="F17" s="132">
        <v>46.0696559707823</v>
      </c>
      <c r="G17" s="132">
        <v>48.8115554325495</v>
      </c>
      <c r="H17" s="132">
        <v>51.7517169333478</v>
      </c>
      <c r="I17" s="131">
        <v>54.9040694959267</v>
      </c>
      <c r="J17" s="120"/>
      <c r="K17" s="120"/>
      <c r="L17" s="120"/>
      <c r="M17" s="120"/>
      <c r="N17" s="140"/>
      <c r="P17" s="149"/>
      <c r="Q17" s="171">
        <v>10</v>
      </c>
      <c r="R17" s="172">
        <f>Q17*R10</f>
        <v>39.5</v>
      </c>
      <c r="S17" s="156"/>
      <c r="T17" s="156"/>
      <c r="U17" s="156"/>
    </row>
    <row r="18" spans="2:14">
      <c r="B18" s="117"/>
      <c r="C18" s="127"/>
      <c r="D18" s="130">
        <v>0.12</v>
      </c>
      <c r="E18" s="131">
        <v>56.9884323135359</v>
      </c>
      <c r="F18" s="132">
        <v>60.7711969839638</v>
      </c>
      <c r="G18" s="132">
        <v>64.8431723847354</v>
      </c>
      <c r="H18" s="132">
        <v>69.2253904099302</v>
      </c>
      <c r="I18" s="131">
        <v>73.9402517147119</v>
      </c>
      <c r="J18" s="150"/>
      <c r="K18" s="150"/>
      <c r="L18" s="150"/>
      <c r="M18" s="150"/>
      <c r="N18" s="151"/>
    </row>
    <row r="19" spans="2:14">
      <c r="B19" s="117"/>
      <c r="C19" s="127"/>
      <c r="D19" s="130">
        <v>0.1</v>
      </c>
      <c r="E19" s="131">
        <v>72.4367048973179</v>
      </c>
      <c r="F19" s="132">
        <v>77.6746915898931</v>
      </c>
      <c r="G19" s="132">
        <v>83.327726348544</v>
      </c>
      <c r="H19" s="132">
        <v>89.4265526572377</v>
      </c>
      <c r="I19" s="131">
        <v>96.0039368173219</v>
      </c>
      <c r="J19" s="120"/>
      <c r="K19" s="120"/>
      <c r="L19" s="120"/>
      <c r="M19" s="120"/>
      <c r="N19" s="140"/>
    </row>
    <row r="20" spans="2:14">
      <c r="B20" s="133"/>
      <c r="C20" s="134"/>
      <c r="D20" s="135">
        <v>0.08</v>
      </c>
      <c r="E20" s="136">
        <v>100.307703200713</v>
      </c>
      <c r="F20" s="136">
        <v>108.237829972069</v>
      </c>
      <c r="G20" s="136">
        <v>116.818958034287</v>
      </c>
      <c r="H20" s="136">
        <v>126.100186498101</v>
      </c>
      <c r="I20" s="136">
        <v>136.133879942124</v>
      </c>
      <c r="J20" s="152"/>
      <c r="K20" s="152"/>
      <c r="L20" s="152"/>
      <c r="M20" s="152"/>
      <c r="N20" s="153"/>
    </row>
  </sheetData>
  <mergeCells count="2">
    <mergeCell ref="P2:R2"/>
    <mergeCell ref="T2:U2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6"/>
  <sheetViews>
    <sheetView topLeftCell="A34" workbookViewId="0">
      <selection activeCell="I54" sqref="I54"/>
    </sheetView>
  </sheetViews>
  <sheetFormatPr defaultColWidth="9" defaultRowHeight="15.75"/>
  <cols>
    <col min="1" max="3" width="9" style="6"/>
    <col min="4" max="14" width="16.125" customWidth="1"/>
    <col min="15" max="15" width="13.375" customWidth="1"/>
  </cols>
  <sheetData>
    <row r="1" spans="4:15">
      <c r="D1">
        <v>2020</v>
      </c>
      <c r="E1">
        <f>D1-1</f>
        <v>2019</v>
      </c>
      <c r="F1">
        <f t="shared" ref="F1:O1" si="0">E1-1</f>
        <v>2018</v>
      </c>
      <c r="G1">
        <f t="shared" si="0"/>
        <v>2017</v>
      </c>
      <c r="H1">
        <f t="shared" si="0"/>
        <v>2016</v>
      </c>
      <c r="I1">
        <f t="shared" si="0"/>
        <v>2015</v>
      </c>
      <c r="J1">
        <f t="shared" si="0"/>
        <v>2014</v>
      </c>
      <c r="K1">
        <f t="shared" si="0"/>
        <v>2013</v>
      </c>
      <c r="L1">
        <f t="shared" si="0"/>
        <v>2012</v>
      </c>
      <c r="M1">
        <f t="shared" si="0"/>
        <v>2011</v>
      </c>
      <c r="N1">
        <f t="shared" si="0"/>
        <v>2010</v>
      </c>
      <c r="O1">
        <f t="shared" si="0"/>
        <v>2009</v>
      </c>
    </row>
    <row r="2" s="26" customFormat="1" spans="1:15">
      <c r="A2" s="27" t="s">
        <v>285</v>
      </c>
      <c r="B2" s="27" t="s">
        <v>237</v>
      </c>
      <c r="C2" s="27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2:15">
      <c r="B3" s="6" t="s">
        <v>286</v>
      </c>
      <c r="D3" s="22">
        <v>1337776253.98</v>
      </c>
      <c r="E3" s="22">
        <v>1785124821.87</v>
      </c>
      <c r="F3" s="22">
        <v>1549948352.47</v>
      </c>
      <c r="G3" s="22">
        <v>1460157480.3</v>
      </c>
      <c r="H3" s="22">
        <v>1005011708.58</v>
      </c>
      <c r="I3" s="22">
        <v>1482746188.4</v>
      </c>
      <c r="J3" s="22">
        <v>1020469484.44</v>
      </c>
      <c r="K3" s="22">
        <v>905102987.87</v>
      </c>
      <c r="L3" s="22">
        <v>1424053444.73</v>
      </c>
      <c r="M3" s="22">
        <v>1767337423.67</v>
      </c>
      <c r="N3" s="22">
        <v>2350417724.04</v>
      </c>
      <c r="O3" s="22">
        <v>86667925.92</v>
      </c>
    </row>
    <row r="4" ht="31.5" spans="2:8">
      <c r="B4" s="6" t="s">
        <v>287</v>
      </c>
      <c r="D4" s="22">
        <v>335217557.68</v>
      </c>
      <c r="E4" s="22">
        <v>854108086.54</v>
      </c>
      <c r="F4" s="22">
        <v>106598374.11</v>
      </c>
      <c r="G4" s="22">
        <v>98976410.23</v>
      </c>
      <c r="H4" s="22"/>
    </row>
    <row r="5" ht="94.5" spans="2:8">
      <c r="B5" s="6" t="s">
        <v>288</v>
      </c>
      <c r="D5" s="22"/>
      <c r="E5" s="22"/>
      <c r="F5" s="22"/>
      <c r="G5" s="22"/>
      <c r="H5" s="22">
        <v>170113847.21</v>
      </c>
    </row>
    <row r="6" spans="2:15">
      <c r="B6" s="6" t="s">
        <v>289</v>
      </c>
      <c r="D6" s="22">
        <v>5887012.36</v>
      </c>
      <c r="E6" s="22">
        <v>5337855.43</v>
      </c>
      <c r="F6" s="22">
        <v>66824328.02</v>
      </c>
      <c r="G6" s="22">
        <v>33460407.96</v>
      </c>
      <c r="H6" s="22">
        <v>18776243.37</v>
      </c>
      <c r="I6" s="22">
        <v>15893180.22</v>
      </c>
      <c r="J6" s="22">
        <v>5288889.64</v>
      </c>
      <c r="K6" s="22">
        <v>4407431.27</v>
      </c>
      <c r="L6" s="22">
        <v>3476168.05</v>
      </c>
      <c r="M6" s="22">
        <v>5312997.95</v>
      </c>
      <c r="N6" s="22">
        <v>1661548.44</v>
      </c>
      <c r="O6" s="22">
        <v>1637853.1</v>
      </c>
    </row>
    <row r="7" spans="2:15">
      <c r="B7" s="6" t="s">
        <v>290</v>
      </c>
      <c r="D7" s="22">
        <v>21934226.54</v>
      </c>
      <c r="E7" s="22">
        <v>17221603.54</v>
      </c>
      <c r="F7" s="22">
        <v>17842852.66</v>
      </c>
      <c r="G7" s="22">
        <v>13603076.84</v>
      </c>
      <c r="H7" s="22">
        <v>17521540.16</v>
      </c>
      <c r="I7" s="22">
        <v>6826044.44</v>
      </c>
      <c r="J7" s="22">
        <v>5675204.26</v>
      </c>
      <c r="K7" s="22">
        <v>2364876.71</v>
      </c>
      <c r="L7" s="22">
        <v>70087373.95</v>
      </c>
      <c r="M7" s="22">
        <v>195130733.36</v>
      </c>
      <c r="N7" s="22">
        <v>15270562.52</v>
      </c>
      <c r="O7" s="22">
        <v>3486172.07</v>
      </c>
    </row>
    <row r="8" spans="2:15">
      <c r="B8" s="6" t="s">
        <v>291</v>
      </c>
      <c r="D8" s="22"/>
      <c r="E8" s="22"/>
      <c r="F8" s="22"/>
      <c r="G8" s="22"/>
      <c r="H8" s="22">
        <v>85050</v>
      </c>
      <c r="I8" s="22">
        <v>220681.66</v>
      </c>
      <c r="J8" s="22">
        <v>1483598.84</v>
      </c>
      <c r="K8" s="22">
        <v>2879203.96</v>
      </c>
      <c r="L8" s="22">
        <v>4110426.09</v>
      </c>
      <c r="M8" s="22">
        <v>14262626.2</v>
      </c>
      <c r="N8" s="22"/>
      <c r="O8" s="22"/>
    </row>
    <row r="9" ht="31.5" spans="2:15">
      <c r="B9" s="6" t="s">
        <v>292</v>
      </c>
      <c r="D9" s="22">
        <v>50524990.69</v>
      </c>
      <c r="E9" s="22">
        <v>125573266.78</v>
      </c>
      <c r="F9" s="22">
        <v>164073704.11</v>
      </c>
      <c r="G9" s="22">
        <v>153737258.11</v>
      </c>
      <c r="H9" s="22">
        <v>40832741.74</v>
      </c>
      <c r="I9" s="22">
        <v>8134382.12</v>
      </c>
      <c r="J9" s="22">
        <v>7156072.37</v>
      </c>
      <c r="K9" s="22">
        <v>6862045</v>
      </c>
      <c r="L9" s="22">
        <v>2820576.38</v>
      </c>
      <c r="M9" s="22">
        <v>12321795.75</v>
      </c>
      <c r="N9" s="22">
        <v>3233170.15</v>
      </c>
      <c r="O9" s="22">
        <v>2560407.11</v>
      </c>
    </row>
    <row r="10" spans="2:15">
      <c r="B10" s="6" t="s">
        <v>293</v>
      </c>
      <c r="D10" s="22">
        <v>13424146.5</v>
      </c>
      <c r="E10" s="22">
        <v>6110221.56</v>
      </c>
      <c r="F10" s="22">
        <v>3268474.06</v>
      </c>
      <c r="G10" s="22">
        <v>4169614.71</v>
      </c>
      <c r="H10" s="22">
        <v>4680536.3</v>
      </c>
      <c r="I10" s="22">
        <v>2985237.71</v>
      </c>
      <c r="J10" s="22">
        <v>1847490.25</v>
      </c>
      <c r="K10" s="22">
        <v>1232258.72</v>
      </c>
      <c r="L10" s="22">
        <v>1293299.8</v>
      </c>
      <c r="M10" s="22">
        <v>476771.14</v>
      </c>
      <c r="N10" s="22">
        <v>532234.69</v>
      </c>
      <c r="O10" s="22">
        <v>390446.37</v>
      </c>
    </row>
    <row r="11" ht="47.25" spans="2:15">
      <c r="B11" s="6" t="s">
        <v>294</v>
      </c>
      <c r="D11" s="22"/>
      <c r="E11" s="22"/>
      <c r="F11" s="22"/>
      <c r="G11" s="22"/>
      <c r="H11" s="22">
        <v>130605655.16</v>
      </c>
      <c r="I11" s="22"/>
      <c r="J11" s="22"/>
      <c r="K11" s="22"/>
      <c r="L11" s="22"/>
      <c r="M11" s="22"/>
      <c r="N11" s="22"/>
      <c r="O11" s="22"/>
    </row>
    <row r="12" ht="31.5" spans="2:15">
      <c r="B12" s="6" t="s">
        <v>295</v>
      </c>
      <c r="D12" s="22">
        <v>148641404.47</v>
      </c>
      <c r="E12" s="22">
        <v>127570975.96</v>
      </c>
      <c r="F12" s="22">
        <v>891152889.93</v>
      </c>
      <c r="G12" s="22">
        <v>541736065.99</v>
      </c>
      <c r="H12" s="22">
        <v>451379164.78</v>
      </c>
      <c r="I12" s="22">
        <v>221994443.75</v>
      </c>
      <c r="J12" s="22">
        <v>11185289.22</v>
      </c>
      <c r="K12" s="22">
        <v>250000000</v>
      </c>
      <c r="L12" s="22"/>
      <c r="M12" s="22"/>
      <c r="N12" s="22"/>
      <c r="O12" s="22"/>
    </row>
    <row r="13" ht="31.5" spans="1:15">
      <c r="A13" s="6" t="s">
        <v>296</v>
      </c>
      <c r="D13" s="22">
        <v>1913405592.22</v>
      </c>
      <c r="E13" s="22">
        <v>2921046831.68</v>
      </c>
      <c r="F13" s="22">
        <v>2799708975.36</v>
      </c>
      <c r="G13" s="22">
        <v>2305840314.14</v>
      </c>
      <c r="H13" s="22">
        <v>1839006487.3</v>
      </c>
      <c r="I13" s="22">
        <v>1738800158.3</v>
      </c>
      <c r="J13" s="22">
        <v>1053106029.02</v>
      </c>
      <c r="K13" s="22">
        <v>1172848803.53</v>
      </c>
      <c r="L13" s="22">
        <v>1505841289</v>
      </c>
      <c r="M13" s="22">
        <v>1994842348.07</v>
      </c>
      <c r="N13" s="22">
        <v>2371115239.84</v>
      </c>
      <c r="O13" s="22">
        <v>94742804.57</v>
      </c>
    </row>
    <row r="14" s="26" customFormat="1" ht="31.5" spans="1:7">
      <c r="A14" s="27" t="s">
        <v>297</v>
      </c>
      <c r="B14" s="27"/>
      <c r="C14" s="27"/>
      <c r="D14" s="29"/>
      <c r="E14" s="29"/>
      <c r="F14" s="29"/>
      <c r="G14" s="29"/>
    </row>
    <row r="15" s="28" customFormat="1" ht="31.5" spans="1:9">
      <c r="A15" s="30"/>
      <c r="B15" s="30" t="s">
        <v>298</v>
      </c>
      <c r="C15" s="30"/>
      <c r="D15" s="31"/>
      <c r="E15" s="31"/>
      <c r="F15" s="31">
        <v>284538031.12</v>
      </c>
      <c r="G15" s="31">
        <v>290468609.11</v>
      </c>
      <c r="H15" s="31">
        <v>193675872.69</v>
      </c>
      <c r="I15" s="31">
        <v>129222198.59</v>
      </c>
    </row>
    <row r="16" ht="31.5" spans="2:15">
      <c r="B16" s="6" t="s">
        <v>299</v>
      </c>
      <c r="D16" s="22">
        <v>1534539625.11</v>
      </c>
      <c r="E16" s="22">
        <v>3468596165.08</v>
      </c>
      <c r="F16" s="22">
        <v>1055416698.6</v>
      </c>
      <c r="G16" s="22">
        <v>34201481.01</v>
      </c>
      <c r="H16" s="22"/>
      <c r="I16" s="22"/>
      <c r="J16" s="22">
        <v>125877479.4</v>
      </c>
      <c r="K16" s="22"/>
      <c r="L16" s="22"/>
      <c r="M16" s="22"/>
      <c r="N16" s="22"/>
      <c r="O16" s="22"/>
    </row>
    <row r="17" ht="31.5" spans="2:7">
      <c r="B17" s="6" t="s">
        <v>300</v>
      </c>
      <c r="D17" s="22">
        <v>224266596.74</v>
      </c>
      <c r="E17" s="22">
        <v>300959931.64</v>
      </c>
      <c r="F17" s="22"/>
      <c r="G17" s="22"/>
    </row>
    <row r="18" spans="2:15">
      <c r="B18" s="6" t="s">
        <v>301</v>
      </c>
      <c r="D18" s="22">
        <v>2508754929.16</v>
      </c>
      <c r="E18" s="22">
        <v>2311251277.89</v>
      </c>
      <c r="F18" s="22">
        <v>2139367402.24</v>
      </c>
      <c r="G18" s="22">
        <v>1688749563.83</v>
      </c>
      <c r="H18" s="22">
        <v>1793039645.75</v>
      </c>
      <c r="I18" s="22">
        <v>1759072395.16</v>
      </c>
      <c r="J18" s="22">
        <v>1650993091.58</v>
      </c>
      <c r="K18" s="22">
        <v>1056330769.94</v>
      </c>
      <c r="L18" s="22">
        <v>830003211.74</v>
      </c>
      <c r="M18" s="22">
        <v>528145377.62</v>
      </c>
      <c r="N18" s="22">
        <v>348457305.42</v>
      </c>
      <c r="O18" s="22">
        <v>353406414.44</v>
      </c>
    </row>
    <row r="19" spans="2:15">
      <c r="B19" s="6" t="s">
        <v>302</v>
      </c>
      <c r="D19" s="22">
        <v>771871563.73</v>
      </c>
      <c r="E19" s="22">
        <v>370000233.1</v>
      </c>
      <c r="F19" s="22">
        <v>146357104.79</v>
      </c>
      <c r="G19" s="22">
        <v>230446124.68</v>
      </c>
      <c r="H19" s="22">
        <v>117964209.24</v>
      </c>
      <c r="I19" s="22">
        <v>105676989.6</v>
      </c>
      <c r="J19" s="22">
        <v>221699249.91</v>
      </c>
      <c r="K19" s="22">
        <v>446955480.38</v>
      </c>
      <c r="L19" s="22">
        <v>174098095.32</v>
      </c>
      <c r="M19" s="22">
        <v>127419177</v>
      </c>
      <c r="N19" s="22">
        <v>4171567</v>
      </c>
      <c r="O19" s="22">
        <v>4423240</v>
      </c>
    </row>
    <row r="20" spans="2:15">
      <c r="B20" s="6" t="s">
        <v>303</v>
      </c>
      <c r="D20" s="22">
        <v>1880031922.56</v>
      </c>
      <c r="E20" s="22">
        <v>1498490129.82</v>
      </c>
      <c r="F20" s="22">
        <v>1397373820.46</v>
      </c>
      <c r="G20" s="22">
        <v>1144808784.09</v>
      </c>
      <c r="H20" s="22">
        <v>980374418.83</v>
      </c>
      <c r="I20" s="22">
        <v>699468871.88</v>
      </c>
      <c r="J20" s="22">
        <v>729309004.33</v>
      </c>
      <c r="K20" s="22">
        <v>667705516.31</v>
      </c>
      <c r="L20" s="22">
        <v>683505765.87</v>
      </c>
      <c r="M20" s="22">
        <v>387557161.3</v>
      </c>
      <c r="N20" s="22">
        <v>250529572.52</v>
      </c>
      <c r="O20" s="22">
        <v>257437085.6</v>
      </c>
    </row>
    <row r="21" spans="2:15">
      <c r="B21" s="6" t="s">
        <v>304</v>
      </c>
      <c r="D21" s="22">
        <v>11655794.87</v>
      </c>
      <c r="E21" s="22">
        <v>28078665.69</v>
      </c>
      <c r="F21" s="22">
        <v>2786902188.63</v>
      </c>
      <c r="G21" s="22">
        <v>2786902188.63</v>
      </c>
      <c r="H21" s="22">
        <v>2416688201.73</v>
      </c>
      <c r="I21" s="22">
        <v>2416688201.73</v>
      </c>
      <c r="J21" s="22">
        <v>1136161.06</v>
      </c>
      <c r="K21" s="22"/>
      <c r="L21" s="22"/>
      <c r="O21" s="22"/>
    </row>
    <row r="22" ht="31.5" spans="2:13">
      <c r="B22" s="6" t="s">
        <v>305</v>
      </c>
      <c r="D22" s="22">
        <v>323741176.89</v>
      </c>
      <c r="E22" s="22">
        <v>112440627.02</v>
      </c>
      <c r="F22" s="22">
        <v>109384480.81</v>
      </c>
      <c r="G22" s="22">
        <v>66919716.38</v>
      </c>
      <c r="H22" s="22">
        <v>79298932.22</v>
      </c>
      <c r="I22" s="22">
        <v>62320705.62</v>
      </c>
      <c r="J22" s="22">
        <v>55922144.61</v>
      </c>
      <c r="K22" s="22">
        <v>16723572.59</v>
      </c>
      <c r="L22" s="22">
        <v>4085376.31</v>
      </c>
      <c r="M22" s="22">
        <v>3232325.6</v>
      </c>
    </row>
    <row r="23" ht="31.5" spans="2:15">
      <c r="B23" s="6" t="s">
        <v>306</v>
      </c>
      <c r="D23" s="22">
        <v>18485803.52</v>
      </c>
      <c r="E23" s="22">
        <v>9148452.39</v>
      </c>
      <c r="F23" s="22">
        <v>10054066.62</v>
      </c>
      <c r="G23" s="22">
        <v>3911711.42</v>
      </c>
      <c r="H23" s="22">
        <v>2463325.46</v>
      </c>
      <c r="I23" s="22">
        <v>2536032.61</v>
      </c>
      <c r="J23" s="22">
        <v>2383910.48</v>
      </c>
      <c r="K23" s="22">
        <v>3706937.68</v>
      </c>
      <c r="L23" s="22">
        <v>1296507.72</v>
      </c>
      <c r="M23" s="22">
        <v>324771.75</v>
      </c>
      <c r="N23" s="22">
        <v>160770.93</v>
      </c>
      <c r="O23" s="22">
        <v>145543.73</v>
      </c>
    </row>
    <row r="24" ht="31.5" spans="2:11">
      <c r="B24" s="6" t="s">
        <v>307</v>
      </c>
      <c r="D24" s="22">
        <v>8589826.26</v>
      </c>
      <c r="E24" s="22">
        <v>21064619.27</v>
      </c>
      <c r="F24" s="22">
        <v>88057689.99</v>
      </c>
      <c r="G24" s="22">
        <v>202432211.88</v>
      </c>
      <c r="H24" s="22">
        <v>144825934.73</v>
      </c>
      <c r="I24" s="22">
        <v>16692044.4</v>
      </c>
      <c r="J24" s="22">
        <v>1926386</v>
      </c>
      <c r="K24" s="22">
        <v>91545192.35</v>
      </c>
    </row>
    <row r="25" ht="31.5" spans="1:15">
      <c r="A25" s="6" t="s">
        <v>308</v>
      </c>
      <c r="D25" s="22">
        <v>7281937238.84</v>
      </c>
      <c r="E25" s="22">
        <v>8120030101.9</v>
      </c>
      <c r="F25" s="22">
        <v>8017451483.26</v>
      </c>
      <c r="G25" s="22">
        <v>6448840391.03</v>
      </c>
      <c r="H25" s="22">
        <v>5728330540.65</v>
      </c>
      <c r="I25" s="22">
        <v>5248227439.59</v>
      </c>
      <c r="J25" s="22">
        <v>2789247427.37</v>
      </c>
      <c r="K25" s="22">
        <v>2282967469.25</v>
      </c>
      <c r="L25" s="22">
        <v>1692988956.96</v>
      </c>
      <c r="M25" s="22">
        <v>1046678813.27</v>
      </c>
      <c r="N25" s="22">
        <v>603319215.87</v>
      </c>
      <c r="O25" s="22">
        <v>615412283.77</v>
      </c>
    </row>
    <row r="26" spans="1:15">
      <c r="A26" s="6" t="s">
        <v>309</v>
      </c>
      <c r="D26" s="22">
        <v>9195342831.06</v>
      </c>
      <c r="E26" s="22">
        <v>11041076933.58</v>
      </c>
      <c r="F26" s="22">
        <v>10817160458.62</v>
      </c>
      <c r="G26" s="22">
        <v>8754680705.17</v>
      </c>
      <c r="H26" s="22">
        <v>7567337027.95</v>
      </c>
      <c r="I26" s="22">
        <v>6987027597.89</v>
      </c>
      <c r="J26" s="22">
        <v>3842353456.39</v>
      </c>
      <c r="K26" s="22">
        <v>3455816272.78</v>
      </c>
      <c r="L26" s="22">
        <v>3198830245.96</v>
      </c>
      <c r="M26" s="22">
        <v>3041521161.34</v>
      </c>
      <c r="N26" s="22">
        <v>2974434455.71</v>
      </c>
      <c r="O26" s="22">
        <v>710155088.34</v>
      </c>
    </row>
    <row r="27" s="26" customFormat="1" ht="31.5" spans="1:15">
      <c r="A27" s="27" t="s">
        <v>310</v>
      </c>
      <c r="B27" s="27"/>
      <c r="C27" s="27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</row>
    <row r="28" s="28" customFormat="1" spans="1:15">
      <c r="A28" s="30"/>
      <c r="B28" s="30" t="s">
        <v>311</v>
      </c>
      <c r="C28" s="30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>
        <v>20000000</v>
      </c>
      <c r="O28" s="31"/>
    </row>
    <row r="29" spans="2:15">
      <c r="B29" s="6" t="s">
        <v>312</v>
      </c>
      <c r="D29" s="22">
        <v>372476464.69</v>
      </c>
      <c r="E29" s="22">
        <v>300656879.62</v>
      </c>
      <c r="F29" s="22">
        <v>317623879.59</v>
      </c>
      <c r="G29" s="22">
        <v>178615508.63</v>
      </c>
      <c r="H29" s="22">
        <v>210532665.58</v>
      </c>
      <c r="I29" s="22">
        <v>187859706.77</v>
      </c>
      <c r="J29" s="22">
        <v>255973180.87</v>
      </c>
      <c r="K29" s="22">
        <v>178013307.09</v>
      </c>
      <c r="L29" s="22">
        <v>143442855.08</v>
      </c>
      <c r="M29" s="22">
        <v>71232530.32</v>
      </c>
      <c r="N29" s="22">
        <v>33827035.41</v>
      </c>
      <c r="O29" s="22">
        <v>19717332.22</v>
      </c>
    </row>
    <row r="30" spans="2:15">
      <c r="B30" s="6" t="s">
        <v>313</v>
      </c>
      <c r="D30" s="22">
        <v>12888689.05</v>
      </c>
      <c r="E30" s="22">
        <v>351733456.28</v>
      </c>
      <c r="F30" s="22">
        <v>498976155.56</v>
      </c>
      <c r="G30" s="22">
        <v>531663534.79</v>
      </c>
      <c r="H30" s="22">
        <v>81847805.99</v>
      </c>
      <c r="I30" s="22">
        <v>31812823.26</v>
      </c>
      <c r="J30" s="22">
        <v>14101803.27</v>
      </c>
      <c r="K30" s="22">
        <v>8108222.59</v>
      </c>
      <c r="L30" s="22">
        <v>10692319.63</v>
      </c>
      <c r="M30" s="22">
        <v>6504764.92</v>
      </c>
      <c r="N30" s="22">
        <v>4260596.45</v>
      </c>
      <c r="O30" s="22">
        <v>2806596.4</v>
      </c>
    </row>
    <row r="31" spans="2:15">
      <c r="B31" s="6" t="s">
        <v>314</v>
      </c>
      <c r="D31" s="22">
        <v>188550237.52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</row>
    <row r="32" ht="31.5" spans="2:15">
      <c r="B32" s="6" t="s">
        <v>315</v>
      </c>
      <c r="D32" s="22">
        <v>18817804.74</v>
      </c>
      <c r="E32" s="22">
        <v>26737888.43</v>
      </c>
      <c r="F32" s="22">
        <v>26400426.91</v>
      </c>
      <c r="G32" s="22">
        <v>26850756.74</v>
      </c>
      <c r="H32" s="22">
        <v>28578711.64</v>
      </c>
      <c r="I32" s="22">
        <v>13169593.95</v>
      </c>
      <c r="J32" s="22">
        <v>4480796.47</v>
      </c>
      <c r="K32" s="22">
        <v>4391860.13</v>
      </c>
      <c r="L32" s="22">
        <v>3504907.34</v>
      </c>
      <c r="M32" s="22">
        <v>2979632.65</v>
      </c>
      <c r="N32" s="22">
        <v>2534741.92</v>
      </c>
      <c r="O32" s="22">
        <v>1777076.89</v>
      </c>
    </row>
    <row r="33" spans="2:15">
      <c r="B33" s="6" t="s">
        <v>316</v>
      </c>
      <c r="D33" s="22">
        <v>19869808.49</v>
      </c>
      <c r="E33" s="22">
        <v>22614171.64</v>
      </c>
      <c r="F33" s="22">
        <v>66700640.92</v>
      </c>
      <c r="G33" s="22">
        <v>62414070.29</v>
      </c>
      <c r="H33" s="22">
        <v>54190062.5</v>
      </c>
      <c r="I33" s="22">
        <v>45083705.13</v>
      </c>
      <c r="J33" s="22">
        <v>32621267.97</v>
      </c>
      <c r="K33" s="22">
        <v>31509233.35</v>
      </c>
      <c r="L33" s="22">
        <v>16474965.59</v>
      </c>
      <c r="M33" s="22">
        <v>14561019.29</v>
      </c>
      <c r="N33" s="22">
        <v>8427623.18</v>
      </c>
      <c r="O33" s="22">
        <v>6186620.49</v>
      </c>
    </row>
    <row r="34" spans="2:15">
      <c r="B34" s="6" t="s">
        <v>317</v>
      </c>
      <c r="D34" s="22"/>
      <c r="E34" s="22"/>
      <c r="F34" s="22"/>
      <c r="G34" s="22"/>
      <c r="H34" s="22">
        <v>522500</v>
      </c>
      <c r="I34" s="22">
        <v>787500</v>
      </c>
      <c r="J34" s="22"/>
      <c r="K34" s="22">
        <v>82133.73</v>
      </c>
      <c r="L34" s="22">
        <v>164267.03</v>
      </c>
      <c r="M34" s="22">
        <v>506694.25</v>
      </c>
      <c r="N34" s="22">
        <v>567249.11</v>
      </c>
      <c r="O34" s="22">
        <v>648200</v>
      </c>
    </row>
    <row r="35" ht="31.5" spans="2:15">
      <c r="B35" s="6" t="s">
        <v>318</v>
      </c>
      <c r="D35" s="22">
        <v>65149971.79</v>
      </c>
      <c r="E35" s="22">
        <v>63299348.02</v>
      </c>
      <c r="F35" s="22">
        <v>207692868.51</v>
      </c>
      <c r="G35" s="22">
        <v>259365274.62</v>
      </c>
      <c r="H35" s="22">
        <v>225255165.64</v>
      </c>
      <c r="I35" s="22">
        <v>383167235.09</v>
      </c>
      <c r="J35" s="22">
        <v>15580650.06</v>
      </c>
      <c r="K35" s="22">
        <v>15969930.52</v>
      </c>
      <c r="L35" s="22">
        <v>16928054.56</v>
      </c>
      <c r="M35" s="22">
        <v>7302037.37</v>
      </c>
      <c r="N35" s="22">
        <v>5558439.68</v>
      </c>
      <c r="O35" s="22">
        <v>8176563.98</v>
      </c>
    </row>
    <row r="36" ht="47.25" spans="2:15">
      <c r="B36" s="6" t="s">
        <v>319</v>
      </c>
      <c r="D36" s="22">
        <v>12426708.33</v>
      </c>
      <c r="E36" s="22">
        <v>1630056078.29</v>
      </c>
      <c r="F36" s="22"/>
      <c r="G36" s="22">
        <v>200000000</v>
      </c>
      <c r="H36" s="22"/>
      <c r="I36" s="22"/>
      <c r="J36" s="22"/>
      <c r="K36" s="22">
        <v>30000000</v>
      </c>
      <c r="L36" s="22">
        <v>40000000</v>
      </c>
      <c r="M36" s="22">
        <v>159500000</v>
      </c>
      <c r="N36" s="22">
        <v>130000000</v>
      </c>
      <c r="O36" s="22">
        <v>38000000</v>
      </c>
    </row>
    <row r="37" ht="31.5" spans="2:15">
      <c r="B37" s="6" t="s">
        <v>320</v>
      </c>
      <c r="D37" s="22">
        <v>3513902.08</v>
      </c>
      <c r="E37" s="22">
        <v>265152567.09</v>
      </c>
      <c r="F37" s="22"/>
      <c r="G37" s="22"/>
      <c r="H37" s="22"/>
      <c r="I37" s="22"/>
      <c r="J37" s="22"/>
      <c r="K37" s="22"/>
      <c r="L37" s="22">
        <v>5133333.06</v>
      </c>
      <c r="M37" s="22">
        <v>4476190.3</v>
      </c>
      <c r="N37" s="22">
        <v>4619047.54</v>
      </c>
      <c r="O37" s="22">
        <v>4761904.78</v>
      </c>
    </row>
    <row r="38" ht="31.5" spans="1:15">
      <c r="A38" s="6" t="s">
        <v>321</v>
      </c>
      <c r="D38" s="22">
        <v>693693586.69</v>
      </c>
      <c r="E38" s="22">
        <v>765041743.99</v>
      </c>
      <c r="F38" s="22">
        <v>1117393971.49</v>
      </c>
      <c r="G38" s="22">
        <v>1258909145.07</v>
      </c>
      <c r="H38" s="22">
        <v>600926911.35</v>
      </c>
      <c r="I38" s="22">
        <v>661880564.2</v>
      </c>
      <c r="J38" s="22">
        <v>322757698.64</v>
      </c>
      <c r="K38" s="22">
        <v>268074687.41</v>
      </c>
      <c r="L38" s="22">
        <v>236340702.29</v>
      </c>
      <c r="M38" s="22">
        <v>267062869.1</v>
      </c>
      <c r="N38" s="22">
        <v>209794733.29</v>
      </c>
      <c r="O38" s="22">
        <v>82074294.76</v>
      </c>
    </row>
    <row r="39" s="26" customFormat="1" ht="31.5" spans="1:7">
      <c r="A39" s="27" t="s">
        <v>322</v>
      </c>
      <c r="B39" s="27"/>
      <c r="C39" s="27"/>
      <c r="D39" s="29"/>
      <c r="E39" s="29"/>
      <c r="F39" s="29"/>
      <c r="G39" s="29"/>
    </row>
    <row r="40" spans="2:15">
      <c r="B40" s="6" t="s">
        <v>323</v>
      </c>
      <c r="D40" s="22">
        <v>282000000</v>
      </c>
      <c r="E40" s="22"/>
      <c r="F40" s="22"/>
      <c r="G40" s="22"/>
      <c r="H40" s="22">
        <v>400000000</v>
      </c>
      <c r="I40" s="22">
        <v>600000000</v>
      </c>
      <c r="J40" s="22"/>
      <c r="K40" s="22"/>
      <c r="L40" s="22">
        <v>30000000</v>
      </c>
      <c r="M40" s="22">
        <v>70000000</v>
      </c>
      <c r="N40" s="22">
        <v>232000000</v>
      </c>
      <c r="O40" s="22">
        <v>362000000</v>
      </c>
    </row>
    <row r="41" spans="2:15">
      <c r="B41" s="6" t="s">
        <v>324</v>
      </c>
      <c r="D41" s="22"/>
      <c r="E41" s="22"/>
      <c r="F41" s="22"/>
      <c r="G41" s="22">
        <v>7668772.09</v>
      </c>
      <c r="H41" s="22"/>
      <c r="I41" s="22"/>
      <c r="J41" s="22"/>
      <c r="K41" s="22"/>
      <c r="L41" s="22"/>
      <c r="M41" s="22"/>
      <c r="N41" s="22"/>
      <c r="O41" s="22"/>
    </row>
    <row r="42" spans="2:15">
      <c r="B42" s="6" t="s">
        <v>325</v>
      </c>
      <c r="D42" s="22">
        <v>387619860.41</v>
      </c>
      <c r="E42" s="22">
        <v>382872318.9</v>
      </c>
      <c r="F42" s="22">
        <v>11338274.26</v>
      </c>
      <c r="G42" s="22">
        <v>10323745.97</v>
      </c>
      <c r="H42" s="22">
        <v>4961904.1</v>
      </c>
      <c r="I42" s="22">
        <v>11092792.59</v>
      </c>
      <c r="J42" s="22">
        <v>5247618.58</v>
      </c>
      <c r="K42" s="22">
        <v>5390475.82</v>
      </c>
      <c r="L42" s="22"/>
      <c r="O42" s="22"/>
    </row>
    <row r="43" ht="31.5" spans="2:8">
      <c r="B43" s="6" t="s">
        <v>326</v>
      </c>
      <c r="D43" s="22">
        <v>96769220.18</v>
      </c>
      <c r="E43" s="22">
        <v>10771548.18</v>
      </c>
      <c r="F43" s="22"/>
      <c r="G43" s="22"/>
      <c r="H43" s="22"/>
    </row>
    <row r="44" ht="31.5" spans="1:15">
      <c r="A44" s="6" t="s">
        <v>327</v>
      </c>
      <c r="D44" s="22">
        <v>766389080.59</v>
      </c>
      <c r="E44" s="22">
        <v>393643867.08</v>
      </c>
      <c r="F44" s="22">
        <v>11338274.26</v>
      </c>
      <c r="G44" s="22">
        <v>17992518.06</v>
      </c>
      <c r="H44" s="22">
        <v>404961904.1</v>
      </c>
      <c r="I44" s="22">
        <v>611092792.59</v>
      </c>
      <c r="J44" s="22">
        <v>5247618.58</v>
      </c>
      <c r="K44" s="22">
        <v>5390475.82</v>
      </c>
      <c r="L44" s="22">
        <v>30000000</v>
      </c>
      <c r="M44" s="22">
        <v>70000000</v>
      </c>
      <c r="N44" s="22">
        <v>232000000</v>
      </c>
      <c r="O44" s="22">
        <v>362000000</v>
      </c>
    </row>
    <row r="45" spans="1:15">
      <c r="A45" s="6" t="s">
        <v>328</v>
      </c>
      <c r="D45" s="22">
        <v>1460082667.28</v>
      </c>
      <c r="E45" s="22">
        <v>1158685611.07</v>
      </c>
      <c r="F45" s="22">
        <v>1128732245.75</v>
      </c>
      <c r="G45" s="22">
        <v>1276901663.13</v>
      </c>
      <c r="H45" s="22">
        <v>1005888815.45</v>
      </c>
      <c r="I45" s="22">
        <v>1272973356.79</v>
      </c>
      <c r="J45" s="22">
        <v>328005317.22</v>
      </c>
      <c r="K45" s="22">
        <v>273465163.23</v>
      </c>
      <c r="L45" s="22">
        <v>266340702.29</v>
      </c>
      <c r="M45" s="22">
        <v>337062869.1</v>
      </c>
      <c r="N45" s="22">
        <v>441794733.29</v>
      </c>
      <c r="O45" s="22">
        <v>444074294.76</v>
      </c>
    </row>
    <row r="46" s="26" customFormat="1" ht="31.5" spans="1:5">
      <c r="A46" s="27" t="s">
        <v>329</v>
      </c>
      <c r="B46" s="27"/>
      <c r="C46" s="27"/>
      <c r="D46" s="29"/>
      <c r="E46" s="29"/>
    </row>
    <row r="47" spans="2:15">
      <c r="B47" s="6" t="s">
        <v>330</v>
      </c>
      <c r="D47" s="22">
        <v>2614694040</v>
      </c>
      <c r="E47" s="22">
        <v>1452607800</v>
      </c>
      <c r="F47" s="22">
        <v>1452607800</v>
      </c>
      <c r="G47" s="22">
        <v>1452607800</v>
      </c>
      <c r="H47" s="22">
        <v>1452613577</v>
      </c>
      <c r="I47" s="22">
        <v>1452680502</v>
      </c>
      <c r="J47" s="22">
        <v>557775000</v>
      </c>
      <c r="K47" s="22">
        <v>557815000</v>
      </c>
      <c r="L47" s="22">
        <v>554400000</v>
      </c>
      <c r="M47" s="22">
        <v>369600000</v>
      </c>
      <c r="N47" s="22">
        <v>168000000</v>
      </c>
      <c r="O47" s="22">
        <v>126000000</v>
      </c>
    </row>
    <row r="48" spans="2:15">
      <c r="B48" s="6" t="s">
        <v>331</v>
      </c>
      <c r="D48" s="22">
        <v>1211364214.86</v>
      </c>
      <c r="E48" s="22">
        <v>2476312069.09</v>
      </c>
      <c r="F48" s="22">
        <v>2476312069.09</v>
      </c>
      <c r="G48" s="22">
        <v>2476312069.09</v>
      </c>
      <c r="H48" s="22">
        <v>2476175483.58</v>
      </c>
      <c r="I48" s="22">
        <v>2475537852.74</v>
      </c>
      <c r="J48" s="22">
        <v>1748111902.09</v>
      </c>
      <c r="K48" s="22">
        <v>1745194402.09</v>
      </c>
      <c r="L48" s="22">
        <v>1724349852.09</v>
      </c>
      <c r="M48" s="22">
        <v>1909149852.09</v>
      </c>
      <c r="N48" s="22">
        <v>2110749852.09</v>
      </c>
      <c r="O48" s="22">
        <v>24328852.09</v>
      </c>
    </row>
    <row r="49" ht="31.5" spans="2:10">
      <c r="B49" s="6" t="s">
        <v>332</v>
      </c>
      <c r="D49" s="22"/>
      <c r="E49" s="22"/>
      <c r="F49" s="22"/>
      <c r="G49" s="22"/>
      <c r="H49" s="22">
        <v>4059719.25</v>
      </c>
      <c r="I49" s="22">
        <v>11544792</v>
      </c>
      <c r="J49" s="22">
        <v>464304</v>
      </c>
    </row>
    <row r="50" ht="31.5" spans="2:8">
      <c r="B50" s="6" t="s">
        <v>333</v>
      </c>
      <c r="D50" s="22">
        <v>-63325115.75</v>
      </c>
      <c r="E50" s="22">
        <v>-8681151.59</v>
      </c>
      <c r="F50" s="22">
        <v>20405965.33</v>
      </c>
      <c r="G50" s="22">
        <v>-7448262.71</v>
      </c>
      <c r="H50" s="22">
        <v>-7080414.2</v>
      </c>
    </row>
    <row r="51" spans="2:15">
      <c r="B51" s="6" t="s">
        <v>334</v>
      </c>
      <c r="D51" s="22">
        <v>517673268.35</v>
      </c>
      <c r="E51" s="22">
        <v>517673268.35</v>
      </c>
      <c r="F51" s="22">
        <v>351171582.73</v>
      </c>
      <c r="G51" s="22">
        <v>256799377.74</v>
      </c>
      <c r="H51" s="22">
        <v>197539000.26</v>
      </c>
      <c r="I51" s="22">
        <v>160928221.41</v>
      </c>
      <c r="J51" s="22">
        <v>124458149.63</v>
      </c>
      <c r="K51" s="22">
        <v>99557973.58</v>
      </c>
      <c r="L51" s="22">
        <v>74491263.4</v>
      </c>
      <c r="M51" s="22">
        <v>49635944.34</v>
      </c>
      <c r="N51" s="22">
        <v>31244114.47</v>
      </c>
      <c r="O51" s="22">
        <v>19739193.87</v>
      </c>
    </row>
    <row r="52" ht="31.5" spans="2:15">
      <c r="B52" s="6" t="s">
        <v>335</v>
      </c>
      <c r="D52" s="22">
        <v>3131881024.6</v>
      </c>
      <c r="E52" s="22">
        <v>5176157180.79</v>
      </c>
      <c r="F52" s="22">
        <v>4170577596.34</v>
      </c>
      <c r="G52" s="22">
        <v>3152076189.92</v>
      </c>
      <c r="H52" s="22">
        <v>2288985858.17</v>
      </c>
      <c r="I52" s="22">
        <v>1524979100.25</v>
      </c>
      <c r="J52" s="22">
        <v>1014541768.01</v>
      </c>
      <c r="K52" s="22">
        <v>734040194.27</v>
      </c>
      <c r="L52" s="22">
        <v>533843042.73</v>
      </c>
      <c r="M52" s="22">
        <v>376072495.81</v>
      </c>
      <c r="N52" s="22">
        <v>222645755.86</v>
      </c>
      <c r="O52" s="22">
        <v>96012747.62</v>
      </c>
    </row>
    <row r="53" ht="63" spans="2:15">
      <c r="B53" s="6" t="s">
        <v>336</v>
      </c>
      <c r="D53" s="22">
        <v>7412287432.06</v>
      </c>
      <c r="E53" s="22">
        <v>9614069166.64</v>
      </c>
      <c r="F53" s="22">
        <v>8471075013.49</v>
      </c>
      <c r="G53" s="22">
        <v>7330347174.04</v>
      </c>
      <c r="H53" s="22">
        <v>6404173785.56</v>
      </c>
      <c r="I53" s="22">
        <v>5602580884.4</v>
      </c>
      <c r="J53" s="22">
        <v>3444422515.73</v>
      </c>
      <c r="K53" s="22">
        <v>3136607569.94</v>
      </c>
      <c r="L53" s="22">
        <v>2887084158.22</v>
      </c>
      <c r="M53" s="22">
        <v>2704458292.24</v>
      </c>
      <c r="N53" s="22">
        <v>2532639722.42</v>
      </c>
      <c r="O53" s="22">
        <v>266080793.58</v>
      </c>
    </row>
    <row r="54" ht="31.5" spans="2:12">
      <c r="B54" s="6" t="s">
        <v>337</v>
      </c>
      <c r="D54" s="22">
        <v>322972731.72</v>
      </c>
      <c r="E54" s="22">
        <v>268322155.87</v>
      </c>
      <c r="F54" s="22">
        <v>1217353199.38</v>
      </c>
      <c r="G54" s="22">
        <v>147431868</v>
      </c>
      <c r="H54" s="22">
        <v>157274426.94</v>
      </c>
      <c r="I54" s="22">
        <v>111473356.7</v>
      </c>
      <c r="J54" s="22">
        <v>69925623.44</v>
      </c>
      <c r="K54" s="22">
        <v>45743539.61</v>
      </c>
      <c r="L54" s="22">
        <v>45405385.45</v>
      </c>
    </row>
    <row r="55" ht="31.5" spans="1:15">
      <c r="A55" s="6" t="s">
        <v>338</v>
      </c>
      <c r="D55" s="22">
        <v>7735260163.78</v>
      </c>
      <c r="E55" s="22">
        <v>9882391322.51</v>
      </c>
      <c r="F55" s="22">
        <v>9688428212.87</v>
      </c>
      <c r="G55" s="22">
        <v>7477779042.04</v>
      </c>
      <c r="H55" s="22">
        <v>6561448212.5</v>
      </c>
      <c r="I55" s="22">
        <v>5714054241.1</v>
      </c>
      <c r="J55" s="22">
        <v>3514348139.17</v>
      </c>
      <c r="K55" s="22">
        <v>3182351109.55</v>
      </c>
      <c r="L55" s="22">
        <v>2932489543.67</v>
      </c>
      <c r="M55" s="22">
        <v>2704458292.24</v>
      </c>
      <c r="N55" s="22">
        <v>2532639722.42</v>
      </c>
      <c r="O55" s="22">
        <v>266080793.58</v>
      </c>
    </row>
    <row r="56" ht="47.25" spans="1:15">
      <c r="A56" s="6" t="s">
        <v>339</v>
      </c>
      <c r="D56" s="22">
        <v>9195342831.06</v>
      </c>
      <c r="E56" s="22">
        <v>11041076933.58</v>
      </c>
      <c r="F56" s="22">
        <v>10817160458.62</v>
      </c>
      <c r="G56" s="22">
        <v>8754680705.17</v>
      </c>
      <c r="H56" s="22">
        <v>7567337027.95</v>
      </c>
      <c r="I56" s="22">
        <v>6987027597.89</v>
      </c>
      <c r="J56" s="22">
        <v>3842353456.39</v>
      </c>
      <c r="K56" s="22">
        <v>3455816272.78</v>
      </c>
      <c r="L56" s="22">
        <v>3198830245.96</v>
      </c>
      <c r="M56" s="22">
        <v>3041521161.34</v>
      </c>
      <c r="N56" s="22">
        <v>2974434455.71</v>
      </c>
      <c r="O56" s="22">
        <v>710155088.34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4"/>
  <sheetViews>
    <sheetView workbookViewId="0">
      <selection activeCell="A3" sqref="$A3:$XFD3"/>
    </sheetView>
  </sheetViews>
  <sheetFormatPr defaultColWidth="9" defaultRowHeight="15.75"/>
  <cols>
    <col min="1" max="1" width="11.875" style="6" customWidth="1"/>
    <col min="2" max="2" width="19.625" style="6" customWidth="1"/>
    <col min="3" max="3" width="16.5" style="6" customWidth="1"/>
    <col min="4" max="4" width="17.25" customWidth="1"/>
    <col min="5" max="9" width="16.125" customWidth="1"/>
    <col min="10" max="12" width="14.375" customWidth="1"/>
    <col min="13" max="13" width="16.125" customWidth="1"/>
    <col min="14" max="15" width="14.375" customWidth="1"/>
  </cols>
  <sheetData>
    <row r="1" spans="4:15">
      <c r="D1">
        <v>2020</v>
      </c>
      <c r="E1">
        <f>D1-1</f>
        <v>2019</v>
      </c>
      <c r="F1">
        <f t="shared" ref="F1:O1" si="0">E1-1</f>
        <v>2018</v>
      </c>
      <c r="G1">
        <f t="shared" si="0"/>
        <v>2017</v>
      </c>
      <c r="H1">
        <f t="shared" si="0"/>
        <v>2016</v>
      </c>
      <c r="I1">
        <f t="shared" si="0"/>
        <v>2015</v>
      </c>
      <c r="J1">
        <f t="shared" si="0"/>
        <v>2014</v>
      </c>
      <c r="K1">
        <f t="shared" si="0"/>
        <v>2013</v>
      </c>
      <c r="L1">
        <f t="shared" si="0"/>
        <v>2012</v>
      </c>
      <c r="M1">
        <f t="shared" si="0"/>
        <v>2011</v>
      </c>
      <c r="N1">
        <f t="shared" si="0"/>
        <v>2010</v>
      </c>
      <c r="O1">
        <f t="shared" si="0"/>
        <v>2009</v>
      </c>
    </row>
    <row r="2" ht="31.5" spans="1:15">
      <c r="A2" s="6" t="s">
        <v>236</v>
      </c>
      <c r="B2" s="6" t="s">
        <v>237</v>
      </c>
      <c r="D2" s="22">
        <v>902586125.63</v>
      </c>
      <c r="E2" s="22">
        <v>2611753208.86</v>
      </c>
      <c r="F2" s="22">
        <v>3211192814.48</v>
      </c>
      <c r="G2" s="22">
        <v>3023831231.26</v>
      </c>
      <c r="H2" s="22">
        <v>2644228901.65</v>
      </c>
      <c r="I2" s="22">
        <v>1694513980</v>
      </c>
      <c r="J2" s="22">
        <v>935119130.2</v>
      </c>
      <c r="K2" s="22">
        <v>678715861.77</v>
      </c>
      <c r="L2" s="22">
        <v>586157062.8</v>
      </c>
      <c r="M2" s="22">
        <v>504532175.14</v>
      </c>
      <c r="N2" s="22">
        <v>444756661.95</v>
      </c>
      <c r="O2" s="22">
        <v>273295452.89</v>
      </c>
    </row>
    <row r="3" spans="2:15">
      <c r="B3" s="6" t="s">
        <v>68</v>
      </c>
      <c r="D3" s="22">
        <v>902586125.63</v>
      </c>
      <c r="E3" s="22">
        <v>2611753208.86</v>
      </c>
      <c r="F3" s="22">
        <v>3211192814.48</v>
      </c>
      <c r="G3" s="22">
        <v>3023831231.26</v>
      </c>
      <c r="H3" s="22">
        <v>2644228901.65</v>
      </c>
      <c r="I3" s="22">
        <v>1694513980</v>
      </c>
      <c r="J3" s="22">
        <v>935119130.2</v>
      </c>
      <c r="K3" s="22">
        <v>678715861.77</v>
      </c>
      <c r="L3" s="22">
        <v>586157062.8</v>
      </c>
      <c r="M3" s="22">
        <v>504532175.14</v>
      </c>
      <c r="N3" s="22">
        <v>444756661.95</v>
      </c>
      <c r="O3" s="22">
        <v>273295452.89</v>
      </c>
    </row>
    <row r="4" spans="2:2">
      <c r="B4" s="6" t="s">
        <v>238</v>
      </c>
    </row>
    <row r="5" spans="2:9">
      <c r="B5" s="6" t="s">
        <v>239</v>
      </c>
      <c r="H5" s="22"/>
      <c r="I5" s="22"/>
    </row>
    <row r="6" ht="31.5" spans="1:15">
      <c r="A6" s="6" t="s">
        <v>240</v>
      </c>
      <c r="D6" s="22">
        <v>740982414.36</v>
      </c>
      <c r="E6" s="22">
        <v>1147753469.26</v>
      </c>
      <c r="F6" s="22">
        <v>1701599539.42</v>
      </c>
      <c r="G6" s="22">
        <v>1701002798.18</v>
      </c>
      <c r="H6" s="22">
        <v>1510625846.05</v>
      </c>
      <c r="I6" s="22">
        <v>871568205.96</v>
      </c>
      <c r="J6" s="22">
        <v>469647144.79</v>
      </c>
      <c r="K6" s="22">
        <v>308482004.25</v>
      </c>
      <c r="L6" s="22">
        <v>256812394.84</v>
      </c>
      <c r="M6" s="22">
        <v>223844591.1</v>
      </c>
      <c r="N6" s="22">
        <v>216138612.81</v>
      </c>
      <c r="O6" s="22">
        <v>157412346.33</v>
      </c>
    </row>
    <row r="7" spans="1:15">
      <c r="A7" s="6" t="s">
        <v>241</v>
      </c>
      <c r="B7" s="6" t="s">
        <v>70</v>
      </c>
      <c r="D7" s="22">
        <v>352670473.42</v>
      </c>
      <c r="E7" s="22">
        <v>747189301.24</v>
      </c>
      <c r="F7" s="22">
        <v>1078093212.26</v>
      </c>
      <c r="G7" s="22">
        <v>1113022779.37</v>
      </c>
      <c r="H7" s="22">
        <v>1014187220.09</v>
      </c>
      <c r="I7" s="22">
        <v>582067363.27</v>
      </c>
      <c r="J7" s="22">
        <v>306886789.69</v>
      </c>
      <c r="K7" s="22">
        <v>198128917.91</v>
      </c>
      <c r="L7" s="22">
        <v>177879156.28</v>
      </c>
      <c r="M7" s="22">
        <v>122278040.84</v>
      </c>
      <c r="N7" s="22">
        <v>105488846.32</v>
      </c>
      <c r="O7" s="22">
        <v>82141466.53</v>
      </c>
    </row>
    <row r="8" spans="2:15">
      <c r="B8" s="6" t="s">
        <v>242</v>
      </c>
      <c r="D8" s="22">
        <v>11933497.05</v>
      </c>
      <c r="E8" s="22">
        <v>36164788.45</v>
      </c>
      <c r="F8" s="22">
        <v>32028054.79</v>
      </c>
      <c r="G8" s="22">
        <v>30381624.76</v>
      </c>
      <c r="H8" s="22">
        <v>34262836.14</v>
      </c>
      <c r="I8" s="22">
        <v>48724915.41</v>
      </c>
      <c r="J8" s="22">
        <v>34263198.84</v>
      </c>
      <c r="K8" s="22">
        <v>25009427.07</v>
      </c>
      <c r="L8" s="22">
        <v>21923584.88</v>
      </c>
      <c r="M8" s="22">
        <v>19260611.23</v>
      </c>
      <c r="N8" s="22">
        <v>15718223.34</v>
      </c>
      <c r="O8" s="22">
        <v>9757316</v>
      </c>
    </row>
    <row r="9" spans="2:15">
      <c r="B9" s="6" t="s">
        <v>243</v>
      </c>
      <c r="D9" s="22">
        <v>63649750.3</v>
      </c>
      <c r="E9" s="22">
        <v>145503636.64</v>
      </c>
      <c r="F9" s="22">
        <v>287539187.32</v>
      </c>
      <c r="G9" s="22">
        <v>325298838.81</v>
      </c>
      <c r="H9" s="22">
        <v>276605414.42</v>
      </c>
      <c r="I9" s="22">
        <v>106520269.88</v>
      </c>
      <c r="J9" s="22">
        <v>36585795.13</v>
      </c>
      <c r="K9" s="22">
        <v>23602001.19</v>
      </c>
      <c r="L9" s="22">
        <v>37941258.98</v>
      </c>
      <c r="M9" s="22">
        <v>41864607.77</v>
      </c>
      <c r="N9" s="22">
        <v>30368526.43</v>
      </c>
      <c r="O9" s="22">
        <v>22067926.09</v>
      </c>
    </row>
    <row r="10" spans="2:15">
      <c r="B10" s="6" t="s">
        <v>244</v>
      </c>
      <c r="D10" s="22">
        <v>288084167.74</v>
      </c>
      <c r="E10" s="22">
        <v>188215121.23</v>
      </c>
      <c r="F10" s="22">
        <v>202558710.77</v>
      </c>
      <c r="G10" s="22">
        <v>158901128.09</v>
      </c>
      <c r="H10" s="22">
        <v>169132938.08</v>
      </c>
      <c r="I10" s="22">
        <v>132056262.72</v>
      </c>
      <c r="J10" s="22">
        <v>103069854.96</v>
      </c>
      <c r="K10" s="22">
        <v>75966541.95</v>
      </c>
      <c r="L10" s="22">
        <v>62448206.18</v>
      </c>
      <c r="M10" s="22">
        <v>49950591.69</v>
      </c>
      <c r="N10" s="22">
        <v>40611513.45</v>
      </c>
      <c r="O10" s="22">
        <v>26876761.23</v>
      </c>
    </row>
    <row r="11" spans="2:7">
      <c r="B11" s="6" t="s">
        <v>245</v>
      </c>
      <c r="D11" s="22">
        <v>37487964</v>
      </c>
      <c r="E11" s="22">
        <v>48424520.54</v>
      </c>
      <c r="F11" s="22">
        <v>70567576.48</v>
      </c>
      <c r="G11" s="22">
        <v>52888750.07</v>
      </c>
    </row>
    <row r="12" spans="2:15">
      <c r="B12" s="6" t="s">
        <v>246</v>
      </c>
      <c r="D12" s="22">
        <v>-12843438.15</v>
      </c>
      <c r="E12" s="22">
        <v>-17743898.84</v>
      </c>
      <c r="F12" s="22">
        <v>-1086632.03</v>
      </c>
      <c r="G12" s="22">
        <v>11550922.31</v>
      </c>
      <c r="H12" s="22">
        <v>13425509.83</v>
      </c>
      <c r="I12" s="22">
        <v>1195018.87</v>
      </c>
      <c r="J12" s="22">
        <v>-12482381.49</v>
      </c>
      <c r="K12" s="22">
        <v>-15009309.81</v>
      </c>
      <c r="L12" s="22">
        <v>-13148062.95</v>
      </c>
      <c r="M12" s="22">
        <v>-13165263.77</v>
      </c>
      <c r="N12" s="22">
        <v>23890594.49</v>
      </c>
      <c r="O12" s="22">
        <v>17430889.13</v>
      </c>
    </row>
    <row r="13" spans="3:7">
      <c r="C13" s="6" t="s">
        <v>247</v>
      </c>
      <c r="D13" s="22">
        <v>7822986.14</v>
      </c>
      <c r="F13" s="22">
        <v>2755000</v>
      </c>
      <c r="G13" s="22">
        <v>11213562.5</v>
      </c>
    </row>
    <row r="14" spans="3:7">
      <c r="C14" s="6" t="s">
        <v>238</v>
      </c>
      <c r="D14" s="22">
        <v>32572127.48</v>
      </c>
      <c r="E14" s="22">
        <v>22648412.21</v>
      </c>
      <c r="F14" s="22">
        <v>8995034.38</v>
      </c>
      <c r="G14" s="22">
        <v>8246271.85</v>
      </c>
    </row>
    <row r="15" spans="2:15">
      <c r="B15" s="6" t="s">
        <v>248</v>
      </c>
      <c r="D15" s="22">
        <f>D9+D10+D12</f>
        <v>338890479.89</v>
      </c>
      <c r="E15" s="22">
        <f t="shared" ref="E15:O15" si="1">E9+E10+E12</f>
        <v>315974859.03</v>
      </c>
      <c r="F15" s="22">
        <f t="shared" si="1"/>
        <v>489011266.06</v>
      </c>
      <c r="G15" s="22">
        <f t="shared" si="1"/>
        <v>495750889.21</v>
      </c>
      <c r="H15" s="22">
        <f t="shared" si="1"/>
        <v>459163862.33</v>
      </c>
      <c r="I15" s="22">
        <f t="shared" si="1"/>
        <v>239771551.47</v>
      </c>
      <c r="J15" s="22">
        <f t="shared" si="1"/>
        <v>127173268.6</v>
      </c>
      <c r="K15" s="22">
        <f t="shared" si="1"/>
        <v>84559233.33</v>
      </c>
      <c r="L15" s="22">
        <f t="shared" si="1"/>
        <v>87241402.21</v>
      </c>
      <c r="M15" s="22">
        <f t="shared" si="1"/>
        <v>78649935.69</v>
      </c>
      <c r="N15" s="22">
        <f t="shared" si="1"/>
        <v>94870634.37</v>
      </c>
      <c r="O15" s="22">
        <f t="shared" si="1"/>
        <v>66375576.45</v>
      </c>
    </row>
    <row r="16" spans="1:7">
      <c r="A16" s="6" t="s">
        <v>249</v>
      </c>
      <c r="B16" s="6" t="s">
        <v>250</v>
      </c>
      <c r="D16" s="22">
        <v>34572160.23</v>
      </c>
      <c r="E16" s="22">
        <v>4285224.19</v>
      </c>
      <c r="F16" s="22">
        <v>1591601.01</v>
      </c>
      <c r="G16" s="22">
        <v>4536456.47</v>
      </c>
    </row>
    <row r="17" spans="2:15">
      <c r="B17" s="6" t="s">
        <v>251</v>
      </c>
      <c r="D17" s="22">
        <v>14014892.3</v>
      </c>
      <c r="E17" s="22">
        <v>273166244.68</v>
      </c>
      <c r="F17" s="22">
        <v>63280814.82</v>
      </c>
      <c r="G17" s="22">
        <v>17702729.92</v>
      </c>
      <c r="H17" s="22">
        <v>14451892.1</v>
      </c>
      <c r="I17" s="22">
        <v>4880868.04</v>
      </c>
      <c r="J17" s="22">
        <v>6516609.43</v>
      </c>
      <c r="K17" s="22">
        <v>10656664.34</v>
      </c>
      <c r="L17" s="22">
        <v>1100350.93</v>
      </c>
      <c r="O17" s="22">
        <v>666438.85</v>
      </c>
    </row>
    <row r="18" ht="47.25" spans="3:10">
      <c r="C18" s="6" t="s">
        <v>252</v>
      </c>
      <c r="D18" s="22">
        <v>-5356968.22</v>
      </c>
      <c r="E18" s="22">
        <v>72523327.47</v>
      </c>
      <c r="F18" s="22">
        <v>3255217.59</v>
      </c>
      <c r="G18" s="22">
        <v>4201481.01</v>
      </c>
      <c r="H18" s="22">
        <v>1569429.26</v>
      </c>
      <c r="I18" s="22">
        <v>3144719.19</v>
      </c>
      <c r="J18" s="22">
        <v>3377479.69</v>
      </c>
    </row>
    <row r="19" spans="2:8">
      <c r="B19" s="6" t="s">
        <v>253</v>
      </c>
      <c r="D19" s="22">
        <v>247726.31</v>
      </c>
      <c r="E19" s="22">
        <v>991859.52</v>
      </c>
      <c r="F19" s="22">
        <v>9660319.4</v>
      </c>
      <c r="G19" s="22">
        <v>1110054.41</v>
      </c>
      <c r="H19" s="22">
        <v>113847.21</v>
      </c>
    </row>
    <row r="20" spans="2:5">
      <c r="B20" s="6" t="s">
        <v>254</v>
      </c>
      <c r="D20" s="22">
        <v>-32739976.91</v>
      </c>
      <c r="E20" s="22">
        <v>1325984.52</v>
      </c>
    </row>
    <row r="21" spans="2:15">
      <c r="B21" s="6" t="s">
        <v>255</v>
      </c>
      <c r="D21" s="22">
        <v>-1877720155.72</v>
      </c>
      <c r="E21" s="22">
        <v>-17425960.27</v>
      </c>
      <c r="F21" s="22">
        <v>-31899429.83</v>
      </c>
      <c r="G21" s="22">
        <v>-8958754.77</v>
      </c>
      <c r="H21" s="22">
        <v>-3011927.49</v>
      </c>
      <c r="I21" s="22">
        <v>-1004375.81</v>
      </c>
      <c r="J21" s="22">
        <v>-1323887.66</v>
      </c>
      <c r="K21" s="22">
        <v>-784425.94</v>
      </c>
      <c r="L21" s="22">
        <v>-231748.53</v>
      </c>
      <c r="M21" s="22">
        <v>656003.34</v>
      </c>
      <c r="N21" s="22">
        <v>-60908.78</v>
      </c>
      <c r="O21" s="22">
        <v>862012.65</v>
      </c>
    </row>
    <row r="22" spans="2:7">
      <c r="B22" s="6" t="s">
        <v>256</v>
      </c>
      <c r="D22" s="22">
        <v>676435.92</v>
      </c>
      <c r="E22" s="22">
        <v>-767848.08</v>
      </c>
      <c r="F22" s="22">
        <v>19135248.57</v>
      </c>
      <c r="G22" s="22">
        <v>54373.41</v>
      </c>
    </row>
    <row r="23" ht="31.5" spans="1:15">
      <c r="A23" s="6" t="s">
        <v>257</v>
      </c>
      <c r="D23" s="22">
        <v>-1699345206.6</v>
      </c>
      <c r="E23" s="22">
        <v>1725575244.16</v>
      </c>
      <c r="F23" s="22">
        <v>1603261258.86</v>
      </c>
      <c r="G23" s="22">
        <v>1346232047.29</v>
      </c>
      <c r="H23" s="22">
        <v>1148168794.91</v>
      </c>
      <c r="I23" s="22">
        <v>827826642.08</v>
      </c>
      <c r="J23" s="22">
        <v>471988594.84</v>
      </c>
      <c r="K23" s="22">
        <v>380890521.86</v>
      </c>
      <c r="L23" s="22">
        <v>300445018.89</v>
      </c>
      <c r="M23" s="22">
        <v>280687584.04</v>
      </c>
      <c r="N23" s="22">
        <v>228618049.14</v>
      </c>
      <c r="O23" s="22">
        <v>116549545.41</v>
      </c>
    </row>
    <row r="24" spans="2:15">
      <c r="B24" s="6" t="s">
        <v>258</v>
      </c>
      <c r="D24" s="22">
        <v>3242377.14</v>
      </c>
      <c r="E24" s="22">
        <v>5997838.03</v>
      </c>
      <c r="F24" s="22">
        <v>15539954.51</v>
      </c>
      <c r="G24" s="22">
        <v>1608758.68</v>
      </c>
      <c r="H24" s="22">
        <v>18472939.01</v>
      </c>
      <c r="I24" s="22">
        <v>35596062.06</v>
      </c>
      <c r="J24" s="22">
        <v>22031382.9</v>
      </c>
      <c r="K24" s="22">
        <v>38655367.58</v>
      </c>
      <c r="L24" s="22">
        <v>51479203.83</v>
      </c>
      <c r="M24" s="22">
        <v>20918624.41</v>
      </c>
      <c r="N24" s="22">
        <v>2309221.03</v>
      </c>
      <c r="O24" s="22">
        <v>3576824.35</v>
      </c>
    </row>
    <row r="25" ht="31.5" spans="3:11">
      <c r="C25" s="6" t="s">
        <v>259</v>
      </c>
      <c r="D25" s="22"/>
      <c r="E25" s="22"/>
      <c r="F25" s="22"/>
      <c r="G25" s="22"/>
      <c r="H25" s="22">
        <v>2517946.74</v>
      </c>
      <c r="I25" s="22">
        <v>146066.43</v>
      </c>
      <c r="J25" s="22">
        <v>32891.68</v>
      </c>
      <c r="K25" s="22">
        <v>5581.25</v>
      </c>
    </row>
    <row r="26" spans="2:15">
      <c r="B26" s="6" t="s">
        <v>260</v>
      </c>
      <c r="D26" s="22">
        <v>41007879.43</v>
      </c>
      <c r="E26" s="22">
        <v>101517003.9</v>
      </c>
      <c r="F26" s="22">
        <v>76342284.48</v>
      </c>
      <c r="G26" s="22">
        <v>50455986.03</v>
      </c>
      <c r="H26" s="22">
        <v>6855213.35</v>
      </c>
      <c r="I26" s="22">
        <v>38296752.52</v>
      </c>
      <c r="J26" s="22">
        <v>2606799.54</v>
      </c>
      <c r="K26" s="22">
        <v>1083445.02</v>
      </c>
      <c r="L26" s="22">
        <v>10724941.41</v>
      </c>
      <c r="M26" s="22">
        <v>4194529.84</v>
      </c>
      <c r="N26" s="22">
        <v>12943823.5</v>
      </c>
      <c r="O26" s="22">
        <v>2642749.42</v>
      </c>
    </row>
    <row r="27" ht="31.5" spans="3:15">
      <c r="C27" s="6" t="s">
        <v>261</v>
      </c>
      <c r="D27" s="22"/>
      <c r="E27" s="22"/>
      <c r="F27" s="22"/>
      <c r="G27" s="22"/>
      <c r="H27" s="22">
        <v>4639673.81</v>
      </c>
      <c r="I27" s="22">
        <v>37765766.59</v>
      </c>
      <c r="J27" s="22">
        <v>1241098.61</v>
      </c>
      <c r="K27" s="22">
        <v>240204.86</v>
      </c>
      <c r="L27" s="22">
        <v>9369971.23</v>
      </c>
      <c r="M27" s="22">
        <v>3548876.35</v>
      </c>
      <c r="N27" s="22">
        <v>12584530.58</v>
      </c>
      <c r="O27" s="22">
        <v>2548321.41</v>
      </c>
    </row>
    <row r="28" ht="31.5" spans="1:15">
      <c r="A28" s="6" t="s">
        <v>262</v>
      </c>
      <c r="D28" s="22">
        <v>-1737110708.89</v>
      </c>
      <c r="E28" s="22">
        <v>1630056078.29</v>
      </c>
      <c r="F28" s="22">
        <v>1542458928.89</v>
      </c>
      <c r="G28" s="22">
        <v>1297384819.94</v>
      </c>
      <c r="H28" s="22">
        <v>1159786520.57</v>
      </c>
      <c r="I28" s="22">
        <v>825125951.62</v>
      </c>
      <c r="J28" s="22">
        <v>491413178.2</v>
      </c>
      <c r="K28" s="22">
        <v>418462444.42</v>
      </c>
      <c r="L28" s="22">
        <v>341199281.31</v>
      </c>
      <c r="M28" s="22">
        <v>297411678.61</v>
      </c>
      <c r="N28" s="22">
        <v>217983446.67</v>
      </c>
      <c r="O28" s="22">
        <v>117483620.34</v>
      </c>
    </row>
    <row r="29" spans="2:15">
      <c r="B29" s="6" t="s">
        <v>263</v>
      </c>
      <c r="D29" s="22">
        <v>29835169.11</v>
      </c>
      <c r="E29" s="22">
        <v>265152567.09</v>
      </c>
      <c r="F29" s="22">
        <v>264901157.26</v>
      </c>
      <c r="G29" s="22">
        <v>228110638.8</v>
      </c>
      <c r="H29" s="22">
        <v>243319608.58</v>
      </c>
      <c r="I29" s="22">
        <v>179680867.04</v>
      </c>
      <c r="J29" s="22">
        <v>126690403.88</v>
      </c>
      <c r="K29" s="22">
        <v>109700428.54</v>
      </c>
      <c r="L29" s="22">
        <v>84785699.97</v>
      </c>
      <c r="M29" s="22">
        <v>75193108.79</v>
      </c>
      <c r="N29" s="22">
        <v>54645517.83</v>
      </c>
      <c r="O29" s="22">
        <v>29071584.79</v>
      </c>
    </row>
    <row r="30" spans="1:15">
      <c r="A30" s="6" t="s">
        <v>264</v>
      </c>
      <c r="D30" s="22">
        <v>-1766945878</v>
      </c>
      <c r="E30" s="22">
        <v>1364903511.2</v>
      </c>
      <c r="F30" s="22">
        <v>1277557771.63</v>
      </c>
      <c r="G30" s="22">
        <v>1069274181.14</v>
      </c>
      <c r="H30" s="22">
        <v>916466911.99</v>
      </c>
      <c r="I30" s="22">
        <v>645445084.58</v>
      </c>
      <c r="J30" s="22">
        <v>364722774.32</v>
      </c>
      <c r="K30" s="22">
        <v>308762015.88</v>
      </c>
      <c r="L30" s="22">
        <v>256413581.34</v>
      </c>
      <c r="M30" s="22">
        <v>222218569.82</v>
      </c>
      <c r="N30" s="22">
        <v>163337928.84</v>
      </c>
      <c r="O30" s="22">
        <v>88412035.55</v>
      </c>
    </row>
    <row r="31" ht="31.5" spans="2:7">
      <c r="B31" s="6" t="s">
        <v>265</v>
      </c>
      <c r="C31" s="6" t="s">
        <v>266</v>
      </c>
      <c r="D31" s="22">
        <v>-1766945878</v>
      </c>
      <c r="E31" s="22">
        <v>1364903511.2</v>
      </c>
      <c r="F31" s="22">
        <v>1277557771.63</v>
      </c>
      <c r="G31" s="22">
        <v>1069274181.14</v>
      </c>
    </row>
    <row r="32" ht="31.5" spans="2:15">
      <c r="B32" s="6" t="s">
        <v>267</v>
      </c>
      <c r="C32" s="6" t="s">
        <v>268</v>
      </c>
      <c r="D32" s="22">
        <v>-1752398009.6</v>
      </c>
      <c r="E32" s="22">
        <v>1339790994.94</v>
      </c>
      <c r="F32" s="22">
        <v>1287186547.41</v>
      </c>
      <c r="G32" s="22">
        <v>1067612066.93</v>
      </c>
      <c r="H32" s="22">
        <v>902305171.91</v>
      </c>
      <c r="I32" s="22">
        <v>630560934.02</v>
      </c>
      <c r="J32" s="22">
        <v>361183249.79</v>
      </c>
      <c r="K32" s="22">
        <v>308423861.72</v>
      </c>
      <c r="L32" s="22">
        <v>256545865.98</v>
      </c>
      <c r="M32" s="22">
        <v>222218569.82</v>
      </c>
      <c r="N32" s="22">
        <v>163337928.84</v>
      </c>
      <c r="O32" s="22">
        <v>86995069.55</v>
      </c>
    </row>
    <row r="33" spans="3:15">
      <c r="C33" s="6" t="s">
        <v>269</v>
      </c>
      <c r="D33" s="22">
        <v>-14547868.4</v>
      </c>
      <c r="E33" s="22">
        <v>25112516.26</v>
      </c>
      <c r="F33" s="22">
        <v>-9628775.78</v>
      </c>
      <c r="G33" s="22">
        <v>1662114.21</v>
      </c>
      <c r="H33" s="22">
        <v>14161740.08</v>
      </c>
      <c r="I33" s="22">
        <v>14884150.56</v>
      </c>
      <c r="J33" s="22">
        <v>3539524.53</v>
      </c>
      <c r="K33" s="22">
        <v>338154.16</v>
      </c>
      <c r="L33" s="22">
        <v>-132284.64</v>
      </c>
      <c r="O33" s="22">
        <v>1416966</v>
      </c>
    </row>
    <row r="34" ht="47.25" spans="1:8">
      <c r="A34" s="6" t="s">
        <v>270</v>
      </c>
      <c r="D34" s="22">
        <v>-54643377.96</v>
      </c>
      <c r="E34" s="22">
        <v>-436587617.54</v>
      </c>
      <c r="F34" s="22">
        <v>27854228.04</v>
      </c>
      <c r="G34" s="22">
        <v>-367848.51</v>
      </c>
      <c r="H34" s="22">
        <v>-7080414.2</v>
      </c>
    </row>
    <row r="35" ht="47.25" spans="2:8">
      <c r="B35" s="6" t="s">
        <v>271</v>
      </c>
      <c r="D35" s="22">
        <v>-54643964.16</v>
      </c>
      <c r="E35" s="22">
        <v>-436587615.65</v>
      </c>
      <c r="F35" s="22">
        <v>27854228.04</v>
      </c>
      <c r="G35" s="22">
        <v>-367848.51</v>
      </c>
      <c r="H35" s="22">
        <v>-7080414.2</v>
      </c>
    </row>
    <row r="36" ht="47.25" spans="2:5">
      <c r="B36" s="6" t="s">
        <v>272</v>
      </c>
      <c r="D36" s="22">
        <v>-65726184.59</v>
      </c>
      <c r="E36" s="22">
        <v>-390940031.83</v>
      </c>
    </row>
    <row r="37" ht="47.25" spans="3:5">
      <c r="C37" s="6" t="s">
        <v>273</v>
      </c>
      <c r="D37" s="22">
        <v>1356586.59</v>
      </c>
      <c r="E37" s="22">
        <v>-1356586.59</v>
      </c>
    </row>
    <row r="38" ht="47.25" spans="3:5">
      <c r="C38" s="6" t="s">
        <v>274</v>
      </c>
      <c r="D38" s="22">
        <v>-67082771.18</v>
      </c>
      <c r="E38" s="22">
        <v>-389583445.24</v>
      </c>
    </row>
    <row r="39" ht="47.25" spans="2:8">
      <c r="B39" s="6" t="s">
        <v>275</v>
      </c>
      <c r="D39" s="22">
        <v>11082220.43</v>
      </c>
      <c r="E39" s="22">
        <v>-45647583.82</v>
      </c>
      <c r="F39" s="22">
        <v>27854228.04</v>
      </c>
      <c r="G39" s="22">
        <v>-367848.51</v>
      </c>
      <c r="H39" s="22">
        <v>-7080414.2</v>
      </c>
    </row>
    <row r="40" ht="31.5" spans="3:8">
      <c r="C40" s="6" t="s">
        <v>276</v>
      </c>
      <c r="D40" s="22">
        <v>11082220.43</v>
      </c>
      <c r="E40" s="22">
        <v>7332056.43</v>
      </c>
      <c r="F40" s="22">
        <v>-26055664.8</v>
      </c>
      <c r="G40" s="22">
        <v>-367848.51</v>
      </c>
      <c r="H40" s="22">
        <v>-7080414.2</v>
      </c>
    </row>
    <row r="41" spans="3:7">
      <c r="C41" s="6" t="s">
        <v>229</v>
      </c>
      <c r="D41" s="22"/>
      <c r="E41" s="22"/>
      <c r="F41" s="22">
        <v>53909892.84</v>
      </c>
      <c r="G41" s="22"/>
    </row>
    <row r="42" ht="47.25" spans="2:5">
      <c r="B42" s="6" t="s">
        <v>277</v>
      </c>
      <c r="D42" s="22">
        <v>586.2</v>
      </c>
      <c r="E42" s="22">
        <v>-1.89</v>
      </c>
    </row>
    <row r="43" ht="31.5" spans="1:15">
      <c r="A43" s="6" t="s">
        <v>278</v>
      </c>
      <c r="D43" s="22">
        <v>-1821589255.96</v>
      </c>
      <c r="E43" s="22">
        <v>928315893.66</v>
      </c>
      <c r="F43" s="22">
        <v>1305411999.67</v>
      </c>
      <c r="G43" s="22">
        <v>1068906332.63</v>
      </c>
      <c r="H43" s="22">
        <v>909386497.79</v>
      </c>
      <c r="I43" s="22">
        <v>645445084.58</v>
      </c>
      <c r="J43" s="22">
        <v>364722774.32</v>
      </c>
      <c r="K43" s="22">
        <v>308762015.88</v>
      </c>
      <c r="L43" s="22">
        <v>256413581.34</v>
      </c>
      <c r="M43" s="22">
        <v>222218569.82</v>
      </c>
      <c r="N43" s="22">
        <v>163337928.84</v>
      </c>
      <c r="O43" s="22">
        <v>88412035.55</v>
      </c>
    </row>
    <row r="44" ht="47.25" spans="2:15">
      <c r="B44" s="6" t="s">
        <v>279</v>
      </c>
      <c r="D44" s="22">
        <v>-1807041973.76</v>
      </c>
      <c r="E44" s="22">
        <v>903203379.29</v>
      </c>
      <c r="F44" s="22">
        <v>1315040775.45</v>
      </c>
      <c r="G44" s="22">
        <v>1067244218.42</v>
      </c>
      <c r="H44" s="22">
        <v>895224757.71</v>
      </c>
      <c r="I44" s="22">
        <v>630560934.02</v>
      </c>
      <c r="J44" s="22">
        <v>361183249.79</v>
      </c>
      <c r="K44" s="22">
        <v>308423861.72</v>
      </c>
      <c r="L44" s="22">
        <v>256413581.34</v>
      </c>
      <c r="M44" s="22">
        <v>222218569.82</v>
      </c>
      <c r="N44" s="22">
        <v>163337928.84</v>
      </c>
      <c r="O44" s="22">
        <v>88412035.55</v>
      </c>
    </row>
    <row r="45" ht="31.5" spans="2:12">
      <c r="B45" s="6" t="s">
        <v>280</v>
      </c>
      <c r="D45" s="22">
        <v>-14547282.2</v>
      </c>
      <c r="E45" s="22">
        <v>25112514.37</v>
      </c>
      <c r="F45" s="22">
        <v>-9628775.78</v>
      </c>
      <c r="G45" s="22">
        <v>1662114.21</v>
      </c>
      <c r="H45" s="22">
        <v>14161740.08</v>
      </c>
      <c r="I45" s="22">
        <v>14884150.56</v>
      </c>
      <c r="J45" s="22">
        <v>3539524.53</v>
      </c>
      <c r="K45" s="22">
        <v>338154.16</v>
      </c>
      <c r="L45" s="22">
        <v>-132284.64</v>
      </c>
    </row>
    <row r="46" ht="31.5" spans="1:1">
      <c r="A46" s="6" t="s">
        <v>281</v>
      </c>
    </row>
    <row r="47" spans="2:15">
      <c r="B47" s="6" t="s">
        <v>282</v>
      </c>
      <c r="D47" s="22">
        <v>-0.6702</v>
      </c>
      <c r="E47" s="22">
        <v>0.5124</v>
      </c>
      <c r="F47" s="22">
        <v>0.89</v>
      </c>
      <c r="G47" s="22">
        <v>0.73</v>
      </c>
      <c r="H47" s="22">
        <v>0.62</v>
      </c>
      <c r="I47" s="22">
        <v>0.45</v>
      </c>
      <c r="J47">
        <v>0.65</v>
      </c>
      <c r="K47">
        <v>0.55</v>
      </c>
      <c r="L47" s="22">
        <v>0.46</v>
      </c>
      <c r="M47" s="22">
        <v>0.4</v>
      </c>
      <c r="N47" s="22">
        <v>1.26</v>
      </c>
      <c r="O47" s="22">
        <v>0.7</v>
      </c>
    </row>
    <row r="48" spans="2:15">
      <c r="B48" s="6" t="s">
        <v>283</v>
      </c>
      <c r="D48" s="22">
        <v>-0.6702</v>
      </c>
      <c r="E48" s="22">
        <v>0.5124</v>
      </c>
      <c r="F48" s="22">
        <v>0.89</v>
      </c>
      <c r="G48" s="22">
        <v>0.73</v>
      </c>
      <c r="H48" s="22">
        <v>0.62</v>
      </c>
      <c r="I48" s="22">
        <v>0.45</v>
      </c>
      <c r="J48">
        <v>0.65</v>
      </c>
      <c r="K48">
        <v>0.55</v>
      </c>
      <c r="L48" s="22">
        <v>0.46</v>
      </c>
      <c r="M48" s="22">
        <v>0.4</v>
      </c>
      <c r="N48" s="22">
        <v>1.26</v>
      </c>
      <c r="O48" s="22">
        <v>0.7</v>
      </c>
    </row>
    <row r="55" s="26" customFormat="1" spans="1:2">
      <c r="A55" s="27" t="s">
        <v>232</v>
      </c>
      <c r="B55" s="27"/>
    </row>
    <row r="56" spans="4:15">
      <c r="D56">
        <v>2020</v>
      </c>
      <c r="E56">
        <f>D56-1</f>
        <v>2019</v>
      </c>
      <c r="F56">
        <f t="shared" ref="F56:O56" si="2">E56-1</f>
        <v>2018</v>
      </c>
      <c r="G56">
        <f t="shared" si="2"/>
        <v>2017</v>
      </c>
      <c r="H56">
        <f t="shared" si="2"/>
        <v>2016</v>
      </c>
      <c r="I56">
        <f t="shared" si="2"/>
        <v>2015</v>
      </c>
      <c r="J56">
        <f t="shared" si="2"/>
        <v>2014</v>
      </c>
      <c r="K56">
        <f t="shared" si="2"/>
        <v>2013</v>
      </c>
      <c r="L56">
        <f t="shared" si="2"/>
        <v>2012</v>
      </c>
      <c r="M56">
        <f t="shared" si="2"/>
        <v>2011</v>
      </c>
      <c r="N56">
        <f t="shared" si="2"/>
        <v>2010</v>
      </c>
      <c r="O56">
        <f t="shared" si="2"/>
        <v>2009</v>
      </c>
    </row>
    <row r="57" ht="31.5" spans="1:15">
      <c r="A57" s="6" t="s">
        <v>236</v>
      </c>
      <c r="B57" s="6" t="s">
        <v>237</v>
      </c>
      <c r="D57" s="22">
        <v>902586125.63</v>
      </c>
      <c r="E57" s="22">
        <v>2611753208.86</v>
      </c>
      <c r="F57" s="22">
        <v>3211192814.48</v>
      </c>
      <c r="G57" s="22">
        <v>3023831231.26</v>
      </c>
      <c r="H57" s="22">
        <v>2644228901.65</v>
      </c>
      <c r="I57" s="22">
        <v>1694513980</v>
      </c>
      <c r="J57" s="22">
        <v>935119130.2</v>
      </c>
      <c r="K57" s="22">
        <v>678715861.77</v>
      </c>
      <c r="L57" s="22">
        <v>586157062.8</v>
      </c>
      <c r="M57" s="22">
        <v>504532175.14</v>
      </c>
      <c r="N57" s="22">
        <v>444756661.95</v>
      </c>
      <c r="O57" s="22">
        <v>273295452.89</v>
      </c>
    </row>
    <row r="58" spans="2:15">
      <c r="B58" s="6" t="s">
        <v>68</v>
      </c>
      <c r="D58" s="22">
        <v>902586125.63</v>
      </c>
      <c r="E58" s="22">
        <v>2611753208.86</v>
      </c>
      <c r="F58" s="22">
        <v>3211192814.48</v>
      </c>
      <c r="G58" s="22">
        <v>3023831231.26</v>
      </c>
      <c r="H58" s="22">
        <v>2644228901.65</v>
      </c>
      <c r="I58" s="22">
        <v>1694513980</v>
      </c>
      <c r="J58" s="22">
        <v>935119130.2</v>
      </c>
      <c r="K58" s="22">
        <v>678715861.77</v>
      </c>
      <c r="L58" s="22">
        <v>586157062.8</v>
      </c>
      <c r="M58" s="22">
        <v>504532175.14</v>
      </c>
      <c r="N58" s="22">
        <v>444756661.95</v>
      </c>
      <c r="O58" s="22">
        <v>273295452.89</v>
      </c>
    </row>
    <row r="59" spans="2:2">
      <c r="B59" s="6" t="s">
        <v>238</v>
      </c>
    </row>
    <row r="60" spans="2:9">
      <c r="B60" s="6" t="s">
        <v>239</v>
      </c>
      <c r="H60" s="22"/>
      <c r="I60" s="22"/>
    </row>
    <row r="61" ht="31.5" spans="1:15">
      <c r="A61" s="6" t="s">
        <v>240</v>
      </c>
      <c r="D61" s="22">
        <v>740982414.36</v>
      </c>
      <c r="E61" s="22">
        <v>1147753469.26</v>
      </c>
      <c r="F61" s="22">
        <v>1701599539.42</v>
      </c>
      <c r="G61" s="22">
        <v>1701002798.18</v>
      </c>
      <c r="H61" s="22">
        <v>1510625846.05</v>
      </c>
      <c r="I61" s="22">
        <v>871568205.96</v>
      </c>
      <c r="J61" s="22">
        <v>469647144.79</v>
      </c>
      <c r="K61" s="22">
        <v>308482004.25</v>
      </c>
      <c r="L61" s="22">
        <v>256812394.84</v>
      </c>
      <c r="M61" s="22">
        <v>2238474591.1</v>
      </c>
      <c r="N61" s="22">
        <v>216138612.81</v>
      </c>
      <c r="O61" s="22">
        <v>157412346.33</v>
      </c>
    </row>
    <row r="62" spans="1:15">
      <c r="A62" s="6" t="s">
        <v>241</v>
      </c>
      <c r="B62" s="6" t="s">
        <v>70</v>
      </c>
      <c r="D62" s="17">
        <f>D7/D6</f>
        <v>0.475949856009212</v>
      </c>
      <c r="E62" s="17">
        <f t="shared" ref="E62:O62" si="3">E7/E6</f>
        <v>0.651001561965865</v>
      </c>
      <c r="F62" s="17">
        <f t="shared" si="3"/>
        <v>0.633576342308763</v>
      </c>
      <c r="G62" s="17">
        <f t="shared" si="3"/>
        <v>0.654333303014484</v>
      </c>
      <c r="H62" s="17">
        <f t="shared" si="3"/>
        <v>0.671368904975317</v>
      </c>
      <c r="I62" s="17">
        <f t="shared" si="3"/>
        <v>0.667839142467197</v>
      </c>
      <c r="J62" s="17">
        <f t="shared" si="3"/>
        <v>0.653441191103637</v>
      </c>
      <c r="K62" s="17">
        <f t="shared" si="3"/>
        <v>0.642270586874923</v>
      </c>
      <c r="L62" s="17">
        <f t="shared" si="3"/>
        <v>0.692642410779366</v>
      </c>
      <c r="M62" s="17">
        <f t="shared" si="3"/>
        <v>0.546263102624507</v>
      </c>
      <c r="N62" s="17">
        <f t="shared" si="3"/>
        <v>0.488061087042932</v>
      </c>
      <c r="O62" s="17">
        <f t="shared" si="3"/>
        <v>0.521823531921684</v>
      </c>
    </row>
    <row r="63" spans="2:15">
      <c r="B63" s="6" t="s">
        <v>242</v>
      </c>
      <c r="D63" s="17">
        <f>D8/D6</f>
        <v>0.0161049666209787</v>
      </c>
      <c r="E63" s="17">
        <f t="shared" ref="E63:O63" si="4">E8/E6</f>
        <v>0.0315091955011182</v>
      </c>
      <c r="F63" s="17">
        <f t="shared" si="4"/>
        <v>0.0188223222021539</v>
      </c>
      <c r="G63" s="17">
        <f t="shared" si="4"/>
        <v>0.0178610081021072</v>
      </c>
      <c r="H63" s="17">
        <f t="shared" si="4"/>
        <v>0.0226812193301146</v>
      </c>
      <c r="I63" s="17">
        <f t="shared" si="4"/>
        <v>0.055904879362059</v>
      </c>
      <c r="J63" s="17">
        <f t="shared" si="4"/>
        <v>0.0729551945968299</v>
      </c>
      <c r="K63" s="17">
        <f t="shared" si="4"/>
        <v>0.0810725641218664</v>
      </c>
      <c r="L63" s="17">
        <f t="shared" si="4"/>
        <v>0.0853680948447169</v>
      </c>
      <c r="M63" s="17">
        <f t="shared" si="4"/>
        <v>0.086044568400563</v>
      </c>
      <c r="N63" s="17">
        <f t="shared" si="4"/>
        <v>0.0727228843363465</v>
      </c>
      <c r="O63" s="17">
        <f t="shared" si="4"/>
        <v>0.0619857096821663</v>
      </c>
    </row>
    <row r="64" spans="2:15">
      <c r="B64" s="6" t="s">
        <v>243</v>
      </c>
      <c r="D64" s="17">
        <f>D9/D6</f>
        <v>0.0858991375051396</v>
      </c>
      <c r="E64" s="17">
        <f t="shared" ref="E64:O64" si="5">E9/E6</f>
        <v>0.126772552239647</v>
      </c>
      <c r="F64" s="17">
        <f t="shared" si="5"/>
        <v>0.168981702603193</v>
      </c>
      <c r="G64" s="17">
        <f t="shared" si="5"/>
        <v>0.191239449551791</v>
      </c>
      <c r="H64" s="17">
        <f t="shared" si="5"/>
        <v>0.183106501946376</v>
      </c>
      <c r="I64" s="17">
        <f t="shared" si="5"/>
        <v>0.122216791699821</v>
      </c>
      <c r="J64" s="17">
        <f t="shared" si="5"/>
        <v>0.0779006016237129</v>
      </c>
      <c r="K64" s="17">
        <f t="shared" si="5"/>
        <v>0.0765101395375805</v>
      </c>
      <c r="L64" s="17">
        <f t="shared" si="5"/>
        <v>0.147739204735964</v>
      </c>
      <c r="M64" s="17">
        <f t="shared" si="5"/>
        <v>0.187025326653068</v>
      </c>
      <c r="N64" s="17">
        <f t="shared" si="5"/>
        <v>0.140504864147971</v>
      </c>
      <c r="O64" s="17">
        <f t="shared" si="5"/>
        <v>0.140191837581384</v>
      </c>
    </row>
    <row r="65" spans="2:15">
      <c r="B65" s="6" t="s">
        <v>244</v>
      </c>
      <c r="D65" s="17">
        <f>D10/D6</f>
        <v>0.388786781112509</v>
      </c>
      <c r="E65" s="17">
        <f t="shared" ref="E65:O65" si="6">E10/E6</f>
        <v>0.163985669632826</v>
      </c>
      <c r="F65" s="17">
        <f t="shared" si="6"/>
        <v>0.119040177243491</v>
      </c>
      <c r="G65" s="17">
        <f t="shared" si="6"/>
        <v>0.0934161473808376</v>
      </c>
      <c r="H65" s="17">
        <f t="shared" si="6"/>
        <v>0.1119621635776</v>
      </c>
      <c r="I65" s="17">
        <f t="shared" si="6"/>
        <v>0.151515695291506</v>
      </c>
      <c r="J65" s="17">
        <f t="shared" si="6"/>
        <v>0.2194623263516</v>
      </c>
      <c r="K65" s="17">
        <f t="shared" si="6"/>
        <v>0.246259233612977</v>
      </c>
      <c r="L65" s="17">
        <f t="shared" si="6"/>
        <v>0.243166636169982</v>
      </c>
      <c r="M65" s="17">
        <f t="shared" si="6"/>
        <v>0.223148531061379</v>
      </c>
      <c r="N65" s="17">
        <f t="shared" si="6"/>
        <v>0.187895688428889</v>
      </c>
      <c r="O65" s="17">
        <f t="shared" si="6"/>
        <v>0.170741125817764</v>
      </c>
    </row>
    <row r="66" spans="2:15">
      <c r="B66" s="6" t="s">
        <v>245</v>
      </c>
      <c r="D66" s="17">
        <f>D11/D6</f>
        <v>0.050592245205143</v>
      </c>
      <c r="E66" s="17">
        <f t="shared" ref="E66:O66" si="7">E11/E6</f>
        <v>0.0421906984704835</v>
      </c>
      <c r="F66" s="17">
        <f t="shared" si="7"/>
        <v>0.0414713185124941</v>
      </c>
      <c r="G66" s="17">
        <f t="shared" si="7"/>
        <v>0.0310926884580018</v>
      </c>
      <c r="H66" s="17">
        <f t="shared" si="7"/>
        <v>0</v>
      </c>
      <c r="I66" s="17">
        <f t="shared" si="7"/>
        <v>0</v>
      </c>
      <c r="J66" s="17">
        <f t="shared" si="7"/>
        <v>0</v>
      </c>
      <c r="K66" s="17">
        <f t="shared" si="7"/>
        <v>0</v>
      </c>
      <c r="L66" s="17">
        <f t="shared" si="7"/>
        <v>0</v>
      </c>
      <c r="M66" s="17">
        <f t="shared" si="7"/>
        <v>0</v>
      </c>
      <c r="N66" s="17">
        <f t="shared" si="7"/>
        <v>0</v>
      </c>
      <c r="O66" s="17">
        <f t="shared" si="7"/>
        <v>0</v>
      </c>
    </row>
    <row r="67" spans="2:15">
      <c r="B67" s="6" t="s">
        <v>246</v>
      </c>
      <c r="D67" s="17">
        <f>D12/D6</f>
        <v>-0.0173329864529823</v>
      </c>
      <c r="E67" s="17">
        <f t="shared" ref="E67:O67" si="8">E12/E6</f>
        <v>-0.0154596778099396</v>
      </c>
      <c r="F67" s="17">
        <f t="shared" si="8"/>
        <v>-0.000638594454703711</v>
      </c>
      <c r="G67" s="17">
        <f t="shared" si="8"/>
        <v>0.00679065450236707</v>
      </c>
      <c r="H67" s="17">
        <f t="shared" si="8"/>
        <v>0.00888738258060734</v>
      </c>
      <c r="I67" s="17">
        <f t="shared" si="8"/>
        <v>0.00137111342730054</v>
      </c>
      <c r="J67" s="17">
        <f t="shared" si="8"/>
        <v>-0.0265782122354463</v>
      </c>
      <c r="K67" s="17">
        <f t="shared" si="8"/>
        <v>-0.0486553821721028</v>
      </c>
      <c r="L67" s="17">
        <f t="shared" si="8"/>
        <v>-0.0511971509715937</v>
      </c>
      <c r="M67" s="17">
        <f t="shared" si="8"/>
        <v>-0.0588143037332475</v>
      </c>
      <c r="N67" s="17">
        <f t="shared" si="8"/>
        <v>0.110533671792376</v>
      </c>
      <c r="O67" s="17">
        <f t="shared" si="8"/>
        <v>0.110733938832586</v>
      </c>
    </row>
    <row r="68" spans="3:7">
      <c r="C68" s="6" t="s">
        <v>247</v>
      </c>
      <c r="D68" s="22">
        <v>7822986.14</v>
      </c>
      <c r="F68" s="22">
        <v>2755000</v>
      </c>
      <c r="G68" s="22">
        <v>11213562.5</v>
      </c>
    </row>
    <row r="69" spans="3:7">
      <c r="C69" s="6" t="s">
        <v>238</v>
      </c>
      <c r="D69" s="22">
        <v>32572127.48</v>
      </c>
      <c r="E69" s="22">
        <v>22648412.21</v>
      </c>
      <c r="F69" s="22">
        <v>8995034.38</v>
      </c>
      <c r="G69" s="22">
        <v>8246271.85</v>
      </c>
    </row>
    <row r="70" ht="409.5" spans="1:15">
      <c r="A70" s="6" t="s">
        <v>284</v>
      </c>
      <c r="B70" s="6" t="s">
        <v>248</v>
      </c>
      <c r="D70" s="17">
        <f>D15/D6</f>
        <v>0.457352932164667</v>
      </c>
      <c r="E70" s="17">
        <f t="shared" ref="E70:O70" si="9">E15/E6</f>
        <v>0.275298544062534</v>
      </c>
      <c r="F70" s="17">
        <f t="shared" si="9"/>
        <v>0.28738328539198</v>
      </c>
      <c r="G70" s="17">
        <f t="shared" si="9"/>
        <v>0.291446251434996</v>
      </c>
      <c r="H70" s="17">
        <f t="shared" si="9"/>
        <v>0.303956048104583</v>
      </c>
      <c r="I70" s="17">
        <f t="shared" si="9"/>
        <v>0.275103600418628</v>
      </c>
      <c r="J70" s="17">
        <f t="shared" si="9"/>
        <v>0.270784715739866</v>
      </c>
      <c r="K70" s="17">
        <f t="shared" si="9"/>
        <v>0.274113990978454</v>
      </c>
      <c r="L70" s="17">
        <f t="shared" si="9"/>
        <v>0.339708689934352</v>
      </c>
      <c r="M70" s="17">
        <f t="shared" si="9"/>
        <v>0.3513595539812</v>
      </c>
      <c r="N70" s="17">
        <f t="shared" si="9"/>
        <v>0.438934224369236</v>
      </c>
      <c r="O70" s="17">
        <f t="shared" si="9"/>
        <v>0.421666902231734</v>
      </c>
    </row>
    <row r="71" spans="1:7">
      <c r="A71" s="6" t="s">
        <v>249</v>
      </c>
      <c r="B71" s="6" t="s">
        <v>250</v>
      </c>
      <c r="D71" s="22">
        <v>34572160.23</v>
      </c>
      <c r="E71" s="22">
        <v>4285224.19</v>
      </c>
      <c r="F71" s="22">
        <v>1591601.01</v>
      </c>
      <c r="G71" s="22">
        <v>4536456.47</v>
      </c>
    </row>
    <row r="72" spans="2:15">
      <c r="B72" s="6" t="s">
        <v>251</v>
      </c>
      <c r="D72" s="22">
        <v>14014892.3</v>
      </c>
      <c r="E72" s="22">
        <v>273166244.68</v>
      </c>
      <c r="F72" s="22">
        <v>63280814.82</v>
      </c>
      <c r="G72" s="22">
        <v>17702729.92</v>
      </c>
      <c r="H72" s="22">
        <v>14451892.1</v>
      </c>
      <c r="I72" s="22">
        <v>4880868.04</v>
      </c>
      <c r="J72" s="22">
        <v>6516609.43</v>
      </c>
      <c r="K72" s="22">
        <v>10656664.34</v>
      </c>
      <c r="L72" s="22">
        <v>1100350.93</v>
      </c>
      <c r="O72" s="22">
        <v>666438.85</v>
      </c>
    </row>
    <row r="73" ht="47.25" spans="3:10">
      <c r="C73" s="6" t="s">
        <v>252</v>
      </c>
      <c r="D73" s="22">
        <v>-5356968.22</v>
      </c>
      <c r="E73" s="22">
        <v>72523327.47</v>
      </c>
      <c r="F73" s="22">
        <v>3255217.59</v>
      </c>
      <c r="G73" s="22">
        <v>4201481.01</v>
      </c>
      <c r="H73" s="22">
        <v>1569429.26</v>
      </c>
      <c r="I73" s="22">
        <v>3144719.19</v>
      </c>
      <c r="J73" s="22">
        <v>3377479.69</v>
      </c>
    </row>
    <row r="74" spans="2:8">
      <c r="B74" s="6" t="s">
        <v>253</v>
      </c>
      <c r="D74" s="22">
        <v>247726.31</v>
      </c>
      <c r="E74" s="22">
        <v>991859.52</v>
      </c>
      <c r="F74" s="22">
        <v>9660319.4</v>
      </c>
      <c r="G74" s="22">
        <v>1110054.41</v>
      </c>
      <c r="H74" s="22">
        <v>113847.21</v>
      </c>
    </row>
    <row r="75" spans="2:5">
      <c r="B75" s="6" t="s">
        <v>254</v>
      </c>
      <c r="D75" s="22">
        <v>-32739976.91</v>
      </c>
      <c r="E75" s="22">
        <v>1325984.52</v>
      </c>
    </row>
    <row r="76" spans="2:15">
      <c r="B76" s="6" t="s">
        <v>255</v>
      </c>
      <c r="D76" s="22">
        <v>-1877720155.72</v>
      </c>
      <c r="E76" s="22">
        <v>-17425960.27</v>
      </c>
      <c r="F76" s="22">
        <v>-31899429.83</v>
      </c>
      <c r="G76" s="22">
        <v>-8958754.77</v>
      </c>
      <c r="H76" s="22">
        <v>-3011927.49</v>
      </c>
      <c r="I76" s="22">
        <v>-1004375.81</v>
      </c>
      <c r="J76" s="22">
        <v>-1323887.66</v>
      </c>
      <c r="K76" s="22">
        <v>-784425.94</v>
      </c>
      <c r="L76" s="22">
        <v>-231748.53</v>
      </c>
      <c r="M76" s="22">
        <v>656003.34</v>
      </c>
      <c r="N76" s="22">
        <v>-60908.78</v>
      </c>
      <c r="O76" s="22">
        <v>862012.65</v>
      </c>
    </row>
    <row r="77" spans="2:7">
      <c r="B77" s="6" t="s">
        <v>256</v>
      </c>
      <c r="D77" s="22">
        <v>676435.92</v>
      </c>
      <c r="E77" s="22">
        <v>-767848.08</v>
      </c>
      <c r="F77" s="22">
        <v>19135248.57</v>
      </c>
      <c r="G77" s="22">
        <v>54373.41</v>
      </c>
    </row>
    <row r="78" ht="31.5" spans="1:15">
      <c r="A78" s="6" t="s">
        <v>257</v>
      </c>
      <c r="D78" s="22">
        <v>-1699345206.6</v>
      </c>
      <c r="E78" s="22">
        <v>1725575244.16</v>
      </c>
      <c r="F78" s="22">
        <v>1603261258.86</v>
      </c>
      <c r="G78" s="22">
        <v>1346232047.29</v>
      </c>
      <c r="H78" s="22">
        <v>1148168794.91</v>
      </c>
      <c r="I78" s="22">
        <v>827826642.08</v>
      </c>
      <c r="J78" s="22">
        <v>471988594.84</v>
      </c>
      <c r="K78" s="22">
        <v>380890521.86</v>
      </c>
      <c r="L78" s="22">
        <v>300445018.89</v>
      </c>
      <c r="M78" s="22">
        <v>280687584.04</v>
      </c>
      <c r="N78" s="22">
        <v>228618049.14</v>
      </c>
      <c r="O78" s="22">
        <v>116549545.41</v>
      </c>
    </row>
    <row r="79" spans="2:15">
      <c r="B79" s="6" t="s">
        <v>258</v>
      </c>
      <c r="D79" s="22">
        <v>3242377.14</v>
      </c>
      <c r="E79" s="22">
        <v>5997838.03</v>
      </c>
      <c r="F79" s="22">
        <v>15539954.51</v>
      </c>
      <c r="G79" s="22">
        <v>1608758.68</v>
      </c>
      <c r="H79" s="22">
        <v>18472939.01</v>
      </c>
      <c r="I79" s="22">
        <v>35596062.06</v>
      </c>
      <c r="J79" s="22">
        <v>22031382.9</v>
      </c>
      <c r="K79" s="22">
        <v>38655367.58</v>
      </c>
      <c r="L79" s="22">
        <v>51479203.83</v>
      </c>
      <c r="M79" s="22">
        <v>20918624.41</v>
      </c>
      <c r="N79" s="22">
        <v>2309221.03</v>
      </c>
      <c r="O79" s="22">
        <v>3576824.35</v>
      </c>
    </row>
    <row r="80" ht="31.5" spans="3:11">
      <c r="C80" s="6" t="s">
        <v>259</v>
      </c>
      <c r="D80" s="22"/>
      <c r="E80" s="22"/>
      <c r="F80" s="22"/>
      <c r="G80" s="22"/>
      <c r="H80" s="22">
        <v>2517946.74</v>
      </c>
      <c r="I80" s="22">
        <v>146066.43</v>
      </c>
      <c r="J80" s="22">
        <v>32891.68</v>
      </c>
      <c r="K80" s="22">
        <v>5581.25</v>
      </c>
    </row>
    <row r="81" spans="2:15">
      <c r="B81" s="6" t="s">
        <v>260</v>
      </c>
      <c r="D81" s="22">
        <v>41007879.43</v>
      </c>
      <c r="E81" s="22">
        <v>101517003.9</v>
      </c>
      <c r="F81" s="22">
        <v>76342284.48</v>
      </c>
      <c r="G81" s="22">
        <v>50455986.03</v>
      </c>
      <c r="H81" s="22">
        <v>6855213.35</v>
      </c>
      <c r="I81" s="22">
        <v>38296752.52</v>
      </c>
      <c r="J81" s="22">
        <v>2606799.54</v>
      </c>
      <c r="K81" s="22">
        <v>1083445.02</v>
      </c>
      <c r="L81" s="22">
        <v>10724941.41</v>
      </c>
      <c r="M81" s="22">
        <v>4194529.84</v>
      </c>
      <c r="N81" s="22">
        <v>12943823.5</v>
      </c>
      <c r="O81" s="22">
        <v>2642749.42</v>
      </c>
    </row>
    <row r="82" ht="31.5" spans="3:15">
      <c r="C82" s="6" t="s">
        <v>261</v>
      </c>
      <c r="D82" s="22"/>
      <c r="E82" s="22"/>
      <c r="F82" s="22"/>
      <c r="G82" s="22"/>
      <c r="H82" s="22">
        <v>4639673.81</v>
      </c>
      <c r="I82" s="22">
        <v>37765766.59</v>
      </c>
      <c r="J82" s="22">
        <v>1241098.61</v>
      </c>
      <c r="K82" s="22">
        <v>240204.86</v>
      </c>
      <c r="L82" s="22">
        <v>9369971.23</v>
      </c>
      <c r="M82" s="22">
        <v>3548876.35</v>
      </c>
      <c r="N82" s="22">
        <v>12584530.58</v>
      </c>
      <c r="O82" s="22">
        <v>2548321.41</v>
      </c>
    </row>
    <row r="83" ht="31.5" spans="1:15">
      <c r="A83" s="6" t="s">
        <v>262</v>
      </c>
      <c r="D83" s="22">
        <v>-1737110708.89</v>
      </c>
      <c r="E83" s="22">
        <v>1630056078.29</v>
      </c>
      <c r="F83" s="22">
        <v>1542458928.89</v>
      </c>
      <c r="G83" s="22">
        <v>1297384819.94</v>
      </c>
      <c r="H83" s="22">
        <v>1159786520.57</v>
      </c>
      <c r="I83" s="22">
        <v>825125951.62</v>
      </c>
      <c r="J83" s="22">
        <v>491413178.2</v>
      </c>
      <c r="K83" s="22">
        <v>418462444.42</v>
      </c>
      <c r="L83" s="22">
        <v>341199281.31</v>
      </c>
      <c r="M83" s="22">
        <v>297411678.61</v>
      </c>
      <c r="N83" s="22">
        <v>217983446.67</v>
      </c>
      <c r="O83" s="22">
        <v>117483620.34</v>
      </c>
    </row>
    <row r="84" spans="2:15">
      <c r="B84" s="6" t="s">
        <v>263</v>
      </c>
      <c r="D84" s="17">
        <f>D29/D28</f>
        <v>-0.0171751684894421</v>
      </c>
      <c r="E84" s="17">
        <f t="shared" ref="E84:O84" si="10">E29/E28</f>
        <v>0.162664690265231</v>
      </c>
      <c r="F84" s="17">
        <f t="shared" si="10"/>
        <v>0.171739520773257</v>
      </c>
      <c r="G84" s="17">
        <f t="shared" si="10"/>
        <v>0.175823422082701</v>
      </c>
      <c r="H84" s="17">
        <f t="shared" si="10"/>
        <v>0.209796893018222</v>
      </c>
      <c r="I84" s="17">
        <f t="shared" si="10"/>
        <v>0.217761744964179</v>
      </c>
      <c r="J84" s="17">
        <f t="shared" si="10"/>
        <v>0.257808315894285</v>
      </c>
      <c r="K84" s="17">
        <f t="shared" si="10"/>
        <v>0.262151191828093</v>
      </c>
      <c r="L84" s="17">
        <f t="shared" si="10"/>
        <v>0.24849319624729</v>
      </c>
      <c r="M84" s="17">
        <f t="shared" si="10"/>
        <v>0.252825003851317</v>
      </c>
      <c r="N84" s="17">
        <f t="shared" si="10"/>
        <v>0.250686548289727</v>
      </c>
      <c r="O84" s="17">
        <f t="shared" si="10"/>
        <v>0.247452238072561</v>
      </c>
    </row>
    <row r="85" spans="1:15">
      <c r="A85" s="6" t="s">
        <v>264</v>
      </c>
      <c r="D85" s="22">
        <v>-1766945878</v>
      </c>
      <c r="E85" s="22">
        <v>1364903511.2</v>
      </c>
      <c r="F85" s="22">
        <v>1277557771.63</v>
      </c>
      <c r="G85" s="22">
        <v>1069274181.14</v>
      </c>
      <c r="H85" s="22">
        <v>916466911.99</v>
      </c>
      <c r="I85" s="22">
        <v>645445084.58</v>
      </c>
      <c r="J85" s="22">
        <v>364722774.32</v>
      </c>
      <c r="K85" s="22">
        <v>308762015.88</v>
      </c>
      <c r="L85" s="22">
        <v>256413581.34</v>
      </c>
      <c r="M85" s="22">
        <v>222218569.82</v>
      </c>
      <c r="N85" s="22">
        <v>163337928.84</v>
      </c>
      <c r="O85" s="22">
        <v>88412035.55</v>
      </c>
    </row>
    <row r="86" ht="31.5" spans="2:7">
      <c r="B86" s="6" t="s">
        <v>265</v>
      </c>
      <c r="C86" s="6" t="s">
        <v>266</v>
      </c>
      <c r="D86" s="22">
        <v>-1766945878</v>
      </c>
      <c r="E86" s="22">
        <v>1364903511.2</v>
      </c>
      <c r="F86" s="22">
        <v>1277557771.63</v>
      </c>
      <c r="G86" s="22">
        <v>1069274181.14</v>
      </c>
    </row>
    <row r="87" ht="31.5" spans="2:15">
      <c r="B87" s="6" t="s">
        <v>267</v>
      </c>
      <c r="C87" s="6" t="s">
        <v>268</v>
      </c>
      <c r="D87" s="22">
        <v>-1752398009.6</v>
      </c>
      <c r="E87" s="22">
        <v>1339790994.94</v>
      </c>
      <c r="F87" s="22">
        <v>1287186547.41</v>
      </c>
      <c r="G87" s="22">
        <v>1067612066.93</v>
      </c>
      <c r="H87" s="22">
        <v>902305171.91</v>
      </c>
      <c r="I87" s="22">
        <v>630560934.02</v>
      </c>
      <c r="J87" s="22">
        <v>361183249.79</v>
      </c>
      <c r="K87" s="22">
        <v>308423861.72</v>
      </c>
      <c r="L87" s="22">
        <v>256545865.98</v>
      </c>
      <c r="M87" s="22">
        <v>222218569.82</v>
      </c>
      <c r="N87" s="22">
        <v>163337928.84</v>
      </c>
      <c r="O87" s="22">
        <v>86995069.55</v>
      </c>
    </row>
    <row r="88" spans="3:15">
      <c r="C88" s="6" t="s">
        <v>269</v>
      </c>
      <c r="D88" s="22">
        <v>-14547868.4</v>
      </c>
      <c r="E88" s="22">
        <v>25112516.26</v>
      </c>
      <c r="F88" s="22">
        <v>-9628775.78</v>
      </c>
      <c r="G88" s="22">
        <v>1662114.21</v>
      </c>
      <c r="H88" s="22">
        <v>14161740.08</v>
      </c>
      <c r="I88" s="22">
        <v>14884150.56</v>
      </c>
      <c r="J88" s="22">
        <v>3539524.53</v>
      </c>
      <c r="K88" s="22">
        <v>338154.16</v>
      </c>
      <c r="L88" s="22">
        <v>-132284.64</v>
      </c>
      <c r="O88" s="22">
        <v>1416966</v>
      </c>
    </row>
    <row r="89" ht="47.25" spans="1:8">
      <c r="A89" s="6" t="s">
        <v>270</v>
      </c>
      <c r="D89" s="22">
        <v>-54643377.96</v>
      </c>
      <c r="E89" s="22">
        <v>-436587617.54</v>
      </c>
      <c r="F89" s="22">
        <v>27854228.04</v>
      </c>
      <c r="G89" s="22">
        <v>-367848.51</v>
      </c>
      <c r="H89" s="22">
        <v>-7080414.2</v>
      </c>
    </row>
    <row r="90" ht="47.25" spans="2:8">
      <c r="B90" s="6" t="s">
        <v>271</v>
      </c>
      <c r="D90" s="22">
        <v>-54643964.16</v>
      </c>
      <c r="E90" s="22">
        <v>-436587615.65</v>
      </c>
      <c r="F90" s="22">
        <v>27854228.04</v>
      </c>
      <c r="G90" s="22">
        <v>-367848.51</v>
      </c>
      <c r="H90" s="22">
        <v>-7080414.2</v>
      </c>
    </row>
    <row r="91" ht="47.25" spans="2:5">
      <c r="B91" s="6" t="s">
        <v>272</v>
      </c>
      <c r="D91" s="22">
        <v>-65726184.59</v>
      </c>
      <c r="E91" s="22">
        <v>-390940031.83</v>
      </c>
    </row>
    <row r="92" ht="47.25" spans="3:5">
      <c r="C92" s="6" t="s">
        <v>273</v>
      </c>
      <c r="D92" s="22">
        <v>1356586.59</v>
      </c>
      <c r="E92" s="22">
        <v>-1356586.59</v>
      </c>
    </row>
    <row r="93" ht="47.25" spans="3:5">
      <c r="C93" s="6" t="s">
        <v>274</v>
      </c>
      <c r="D93" s="22">
        <v>-67082771.18</v>
      </c>
      <c r="E93" s="22">
        <v>-389583445.24</v>
      </c>
    </row>
    <row r="94" ht="47.25" spans="2:8">
      <c r="B94" s="6" t="s">
        <v>275</v>
      </c>
      <c r="D94" s="22">
        <v>11082220.43</v>
      </c>
      <c r="E94" s="22">
        <v>-45647583.82</v>
      </c>
      <c r="F94" s="22">
        <v>27854228.04</v>
      </c>
      <c r="G94" s="22">
        <v>-367848.51</v>
      </c>
      <c r="H94" s="22">
        <v>-7080414.2</v>
      </c>
    </row>
    <row r="95" ht="31.5" spans="3:8">
      <c r="C95" s="6" t="s">
        <v>276</v>
      </c>
      <c r="D95" s="22">
        <v>11082220.43</v>
      </c>
      <c r="E95" s="22">
        <v>7332056.43</v>
      </c>
      <c r="F95" s="22">
        <v>-26055664.8</v>
      </c>
      <c r="G95" s="22">
        <v>-367848.51</v>
      </c>
      <c r="H95" s="22">
        <v>-7080414.2</v>
      </c>
    </row>
    <row r="96" spans="3:7">
      <c r="C96" s="6" t="s">
        <v>229</v>
      </c>
      <c r="D96" s="22"/>
      <c r="E96" s="22"/>
      <c r="F96" s="22">
        <v>53909892.84</v>
      </c>
      <c r="G96" s="22"/>
    </row>
    <row r="97" ht="47.25" spans="2:5">
      <c r="B97" s="6" t="s">
        <v>277</v>
      </c>
      <c r="D97" s="22">
        <v>586.2</v>
      </c>
      <c r="E97" s="22">
        <v>-1.89</v>
      </c>
    </row>
    <row r="98" ht="31.5" spans="1:15">
      <c r="A98" s="6" t="s">
        <v>278</v>
      </c>
      <c r="D98" s="22">
        <v>-1821589255.96</v>
      </c>
      <c r="E98" s="22">
        <v>928315893.66</v>
      </c>
      <c r="F98" s="22">
        <v>1305411999.67</v>
      </c>
      <c r="G98" s="22">
        <v>1068906332.63</v>
      </c>
      <c r="H98" s="22">
        <v>909386497.79</v>
      </c>
      <c r="I98" s="22">
        <v>645445084.58</v>
      </c>
      <c r="J98" s="22">
        <v>364722774.32</v>
      </c>
      <c r="K98" s="22">
        <v>308762015.88</v>
      </c>
      <c r="L98" s="22">
        <v>256413581.34</v>
      </c>
      <c r="M98" s="22">
        <v>222218569.82</v>
      </c>
      <c r="N98" s="22">
        <v>163337928.84</v>
      </c>
      <c r="O98" s="22">
        <v>88412035.55</v>
      </c>
    </row>
    <row r="99" ht="47.25" spans="2:15">
      <c r="B99" s="6" t="s">
        <v>279</v>
      </c>
      <c r="D99" s="22">
        <v>-1807041973.76</v>
      </c>
      <c r="E99" s="22">
        <v>903203379.29</v>
      </c>
      <c r="F99" s="22">
        <v>1315040775.45</v>
      </c>
      <c r="G99" s="22">
        <v>1067244218.42</v>
      </c>
      <c r="H99" s="22">
        <v>895224757.71</v>
      </c>
      <c r="I99" s="22">
        <v>630560934.02</v>
      </c>
      <c r="J99" s="22">
        <v>361183249.79</v>
      </c>
      <c r="K99" s="22">
        <v>308423861.72</v>
      </c>
      <c r="L99" s="22">
        <v>256413581.34</v>
      </c>
      <c r="M99" s="22">
        <v>222218569.82</v>
      </c>
      <c r="N99" s="22">
        <v>163337928.84</v>
      </c>
      <c r="O99" s="22">
        <v>88412035.55</v>
      </c>
    </row>
    <row r="100" ht="31.5" spans="2:12">
      <c r="B100" s="6" t="s">
        <v>280</v>
      </c>
      <c r="D100" s="22">
        <v>-14547282.2</v>
      </c>
      <c r="E100" s="22">
        <v>25112514.37</v>
      </c>
      <c r="F100" s="22">
        <v>-9628775.78</v>
      </c>
      <c r="G100" s="22">
        <v>1662114.21</v>
      </c>
      <c r="H100" s="22">
        <v>14161740.08</v>
      </c>
      <c r="I100" s="22">
        <v>14884150.56</v>
      </c>
      <c r="J100" s="22">
        <v>3539524.53</v>
      </c>
      <c r="K100" s="22">
        <v>338154.16</v>
      </c>
      <c r="L100" s="22">
        <v>-132284.64</v>
      </c>
    </row>
    <row r="101" ht="31.5" spans="1:1">
      <c r="A101" s="6" t="s">
        <v>281</v>
      </c>
    </row>
    <row r="102" spans="2:15">
      <c r="B102" s="6" t="s">
        <v>282</v>
      </c>
      <c r="D102" s="22">
        <v>-0.6702</v>
      </c>
      <c r="E102" s="22">
        <v>0.5124</v>
      </c>
      <c r="F102" s="22">
        <v>0.89</v>
      </c>
      <c r="G102" s="22">
        <v>0.73</v>
      </c>
      <c r="H102" s="22">
        <v>0.62</v>
      </c>
      <c r="I102" s="22">
        <v>0.45</v>
      </c>
      <c r="J102">
        <v>0.65</v>
      </c>
      <c r="K102">
        <v>0.55</v>
      </c>
      <c r="L102" s="22">
        <v>0.46</v>
      </c>
      <c r="M102" s="22">
        <v>0.4</v>
      </c>
      <c r="N102" s="22">
        <v>1.26</v>
      </c>
      <c r="O102" s="22">
        <v>0.7</v>
      </c>
    </row>
    <row r="103" spans="2:15">
      <c r="B103" s="6" t="s">
        <v>283</v>
      </c>
      <c r="D103" s="22">
        <v>-0.6702</v>
      </c>
      <c r="E103" s="22">
        <v>0.5124</v>
      </c>
      <c r="F103" s="22">
        <v>0.89</v>
      </c>
      <c r="G103" s="22">
        <v>0.73</v>
      </c>
      <c r="H103" s="22">
        <v>0.62</v>
      </c>
      <c r="I103" s="22">
        <v>0.45</v>
      </c>
      <c r="J103">
        <v>0.65</v>
      </c>
      <c r="K103">
        <v>0.55</v>
      </c>
      <c r="L103" s="22">
        <v>0.46</v>
      </c>
      <c r="M103" s="22">
        <v>0.4</v>
      </c>
      <c r="N103" s="22">
        <v>1.26</v>
      </c>
      <c r="O103" s="22">
        <v>0.7</v>
      </c>
    </row>
    <row r="104" spans="4:4">
      <c r="D104" s="6"/>
    </row>
  </sheetData>
  <pageMargins left="0.7" right="0.7" top="0.75" bottom="0.75" header="0.3" footer="0.3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7"/>
  <sheetViews>
    <sheetView topLeftCell="C32" workbookViewId="0">
      <selection activeCell="K43" sqref="K43"/>
    </sheetView>
  </sheetViews>
  <sheetFormatPr defaultColWidth="9" defaultRowHeight="15.75"/>
  <cols>
    <col min="1" max="1" width="13.125" style="6" customWidth="1"/>
    <col min="2" max="3" width="9" style="6"/>
    <col min="4" max="4" width="15.125" style="6" customWidth="1"/>
    <col min="5" max="12" width="16.125" customWidth="1"/>
    <col min="13" max="14" width="16.625" customWidth="1"/>
    <col min="15" max="15" width="16.125" customWidth="1"/>
    <col min="16" max="16" width="14.375" customWidth="1"/>
  </cols>
  <sheetData>
    <row r="1" spans="5:16">
      <c r="E1">
        <v>2020</v>
      </c>
      <c r="F1">
        <f>E1-1</f>
        <v>2019</v>
      </c>
      <c r="G1">
        <f t="shared" ref="G1:P1" si="0">F1-1</f>
        <v>2018</v>
      </c>
      <c r="H1">
        <f t="shared" si="0"/>
        <v>2017</v>
      </c>
      <c r="I1">
        <f t="shared" si="0"/>
        <v>2016</v>
      </c>
      <c r="J1">
        <f t="shared" si="0"/>
        <v>2015</v>
      </c>
      <c r="K1">
        <f t="shared" si="0"/>
        <v>2014</v>
      </c>
      <c r="L1">
        <f t="shared" si="0"/>
        <v>2013</v>
      </c>
      <c r="M1">
        <f t="shared" si="0"/>
        <v>2012</v>
      </c>
      <c r="N1">
        <f t="shared" si="0"/>
        <v>2011</v>
      </c>
      <c r="O1">
        <f t="shared" si="0"/>
        <v>2010</v>
      </c>
      <c r="P1">
        <f t="shared" si="0"/>
        <v>2009</v>
      </c>
    </row>
    <row r="2" ht="63" outlineLevel="2" spans="3:16">
      <c r="C2" s="6" t="s">
        <v>340</v>
      </c>
      <c r="E2" s="22">
        <v>807841498.5</v>
      </c>
      <c r="F2" s="22">
        <v>2667025005.2</v>
      </c>
      <c r="G2" s="22">
        <v>3423677691.02</v>
      </c>
      <c r="H2" s="22">
        <v>3575789215.41</v>
      </c>
      <c r="I2" s="22">
        <v>2797783278.29</v>
      </c>
      <c r="J2" s="22">
        <v>1723082214.61</v>
      </c>
      <c r="K2" s="22">
        <v>941202971.82</v>
      </c>
      <c r="L2" s="22">
        <v>676527597.1</v>
      </c>
      <c r="M2" s="22">
        <v>599209063.59</v>
      </c>
      <c r="N2" s="22">
        <v>504470939.25</v>
      </c>
      <c r="O2" s="22">
        <v>442316071.61</v>
      </c>
      <c r="P2" s="22">
        <v>275396606.57</v>
      </c>
    </row>
    <row r="3" ht="31.5" outlineLevel="2" spans="3:5">
      <c r="C3" s="6" t="s">
        <v>341</v>
      </c>
      <c r="E3" s="22">
        <v>32176543.78</v>
      </c>
    </row>
    <row r="4" ht="63" outlineLevel="2" spans="3:16">
      <c r="C4" s="6" t="s">
        <v>342</v>
      </c>
      <c r="E4" s="22">
        <v>103772075.6</v>
      </c>
      <c r="F4" s="22">
        <v>479656404.12</v>
      </c>
      <c r="G4" s="22">
        <v>98784621.78</v>
      </c>
      <c r="H4" s="22">
        <v>39689051.89</v>
      </c>
      <c r="I4" s="22">
        <v>35750306.86</v>
      </c>
      <c r="J4" s="22">
        <v>59932054.07</v>
      </c>
      <c r="K4" s="22">
        <v>46482270.89</v>
      </c>
      <c r="L4" s="22">
        <v>69069679.96</v>
      </c>
      <c r="M4" s="22">
        <v>99857152.96</v>
      </c>
      <c r="N4" s="22">
        <v>51410621.29</v>
      </c>
      <c r="O4" s="22">
        <v>19216183.26</v>
      </c>
      <c r="P4" s="22">
        <v>262859737.43</v>
      </c>
    </row>
    <row r="5" ht="47.25" outlineLevel="1" spans="2:16">
      <c r="B5" s="6" t="s">
        <v>343</v>
      </c>
      <c r="E5" s="22">
        <v>943790117.88</v>
      </c>
      <c r="F5" s="22">
        <v>3146681409.32</v>
      </c>
      <c r="G5" s="22">
        <v>3522462312.8</v>
      </c>
      <c r="H5" s="22">
        <v>3615478267.3</v>
      </c>
      <c r="I5" s="22">
        <v>2833533585.15</v>
      </c>
      <c r="J5" s="22">
        <v>1783014268.68</v>
      </c>
      <c r="K5" s="22">
        <v>987685242.71</v>
      </c>
      <c r="L5" s="22">
        <v>745597277.06</v>
      </c>
      <c r="M5" s="22">
        <v>699066216.55</v>
      </c>
      <c r="N5" s="22">
        <v>555881560.54</v>
      </c>
      <c r="O5" s="22">
        <v>461532254.87</v>
      </c>
      <c r="P5" s="22">
        <v>538256344</v>
      </c>
    </row>
    <row r="6" ht="63" outlineLevel="2" spans="3:16">
      <c r="C6" s="6" t="s">
        <v>344</v>
      </c>
      <c r="E6" s="22">
        <v>144882412.49</v>
      </c>
      <c r="F6" s="22">
        <v>589412294.52</v>
      </c>
      <c r="G6" s="22">
        <v>754670040.37</v>
      </c>
      <c r="H6" s="22">
        <v>805102783.23</v>
      </c>
      <c r="I6" s="22">
        <v>743282756.22</v>
      </c>
      <c r="J6" s="22">
        <v>297833419.16</v>
      </c>
      <c r="K6" s="22">
        <v>102257869.53</v>
      </c>
      <c r="L6" s="22">
        <v>66128303.62</v>
      </c>
      <c r="M6" s="22">
        <v>65084359.54</v>
      </c>
      <c r="N6" s="22">
        <v>43295103.49</v>
      </c>
      <c r="O6" s="22">
        <v>47935442.89</v>
      </c>
      <c r="P6" s="22">
        <v>35858616.63</v>
      </c>
    </row>
    <row r="7" ht="63" outlineLevel="2" spans="3:16">
      <c r="C7" s="6" t="s">
        <v>345</v>
      </c>
      <c r="E7" s="22">
        <v>183145317.9</v>
      </c>
      <c r="F7" s="22">
        <v>240420521.04</v>
      </c>
      <c r="G7" s="22">
        <v>284435580.74</v>
      </c>
      <c r="H7" s="22">
        <v>261968591.91</v>
      </c>
      <c r="I7" s="22">
        <v>211200422.7</v>
      </c>
      <c r="J7" s="22">
        <v>173674829.73</v>
      </c>
      <c r="K7" s="22">
        <v>109764543.59</v>
      </c>
      <c r="L7" s="22">
        <v>68087192.4</v>
      </c>
      <c r="M7" s="22">
        <v>68589084.62</v>
      </c>
      <c r="N7" s="22">
        <v>50420443.92</v>
      </c>
      <c r="O7" s="22">
        <v>30986853.21</v>
      </c>
      <c r="P7" s="22">
        <v>19336232</v>
      </c>
    </row>
    <row r="8" ht="31.5" outlineLevel="2" spans="3:16">
      <c r="C8" s="6" t="s">
        <v>346</v>
      </c>
      <c r="E8" s="22">
        <v>64685320.62</v>
      </c>
      <c r="F8" s="22">
        <v>414326350.84</v>
      </c>
      <c r="G8" s="22">
        <v>418790473.9</v>
      </c>
      <c r="H8" s="22">
        <v>365818980.6</v>
      </c>
      <c r="I8" s="22">
        <v>344751845.97</v>
      </c>
      <c r="J8" s="22">
        <v>250141411.54</v>
      </c>
      <c r="K8" s="22">
        <v>172024829.98</v>
      </c>
      <c r="L8" s="22">
        <v>130137083.99</v>
      </c>
      <c r="M8" s="22">
        <v>111544288.01</v>
      </c>
      <c r="N8" s="22">
        <v>96914556.1</v>
      </c>
      <c r="O8" s="22">
        <v>77391089.76</v>
      </c>
      <c r="P8" s="22">
        <v>56485475.05</v>
      </c>
    </row>
    <row r="9" ht="63" outlineLevel="2" spans="3:16">
      <c r="C9" s="6" t="s">
        <v>347</v>
      </c>
      <c r="E9" s="22">
        <v>157135166.93</v>
      </c>
      <c r="F9" s="22">
        <v>331070743.41</v>
      </c>
      <c r="G9" s="22">
        <v>417322469.78</v>
      </c>
      <c r="H9" s="22">
        <v>418571042.18</v>
      </c>
      <c r="I9" s="22">
        <v>504046868.09</v>
      </c>
      <c r="J9" s="22">
        <v>146043480.89</v>
      </c>
      <c r="K9" s="22">
        <v>75635406.24</v>
      </c>
      <c r="L9" s="22">
        <v>51898036.22</v>
      </c>
      <c r="M9" s="22">
        <v>58297553.67</v>
      </c>
      <c r="N9" s="22">
        <v>70299340.46</v>
      </c>
      <c r="O9" s="22">
        <v>54858963.24</v>
      </c>
      <c r="P9" s="22">
        <v>275863777.36</v>
      </c>
    </row>
    <row r="10" ht="47.25" outlineLevel="1" spans="2:16">
      <c r="B10" s="6" t="s">
        <v>348</v>
      </c>
      <c r="E10" s="22">
        <v>549848217.94</v>
      </c>
      <c r="F10" s="22">
        <v>1575229909.81</v>
      </c>
      <c r="G10" s="22">
        <v>1875218564.79</v>
      </c>
      <c r="H10" s="22">
        <v>1851461397.92</v>
      </c>
      <c r="I10" s="22">
        <v>1803281892.98</v>
      </c>
      <c r="J10" s="22">
        <v>867693141.32</v>
      </c>
      <c r="K10" s="22">
        <v>459682649.34</v>
      </c>
      <c r="L10" s="22">
        <v>316250616.23</v>
      </c>
      <c r="M10" s="22">
        <v>303515285.84</v>
      </c>
      <c r="N10" s="22">
        <v>260929443.97</v>
      </c>
      <c r="O10" s="22">
        <v>211172349.1</v>
      </c>
      <c r="P10" s="22">
        <v>387544101.04</v>
      </c>
    </row>
    <row r="11" s="21" customFormat="1" ht="47.25" spans="1:16">
      <c r="A11" s="23" t="s">
        <v>349</v>
      </c>
      <c r="B11" s="23"/>
      <c r="C11" s="23"/>
      <c r="D11" s="23"/>
      <c r="E11" s="24">
        <v>393941899.94</v>
      </c>
      <c r="F11" s="24">
        <v>1571451499.51</v>
      </c>
      <c r="G11" s="24">
        <v>1647243748.01</v>
      </c>
      <c r="H11" s="24">
        <v>1764016869.38</v>
      </c>
      <c r="I11" s="24">
        <v>1030251692.17</v>
      </c>
      <c r="J11" s="24">
        <v>915321127.36</v>
      </c>
      <c r="K11" s="24">
        <v>528002593.37</v>
      </c>
      <c r="L11" s="24">
        <v>429346660.83</v>
      </c>
      <c r="M11" s="24">
        <v>395550930.71</v>
      </c>
      <c r="N11" s="24">
        <v>294952116.57</v>
      </c>
      <c r="O11" s="24">
        <v>250359905.77</v>
      </c>
      <c r="P11" s="24">
        <v>150712242.96</v>
      </c>
    </row>
    <row r="12" ht="47.25" outlineLevel="1" spans="3:16">
      <c r="C12" s="6" t="s">
        <v>350</v>
      </c>
      <c r="E12" s="22">
        <v>1349803239.12</v>
      </c>
      <c r="F12" s="22">
        <v>1937501358.58</v>
      </c>
      <c r="G12" s="22">
        <v>871751381.96</v>
      </c>
      <c r="H12" s="22">
        <v>990929484.48</v>
      </c>
      <c r="I12" s="22">
        <v>1101745010.68</v>
      </c>
      <c r="J12" s="22">
        <v>625140000</v>
      </c>
      <c r="K12" s="22">
        <v>450000000</v>
      </c>
      <c r="L12" s="22">
        <v>1854000000</v>
      </c>
      <c r="P12" s="22">
        <v>8740848.79</v>
      </c>
    </row>
    <row r="13" ht="47.25" outlineLevel="1" spans="3:13">
      <c r="C13" s="6" t="s">
        <v>351</v>
      </c>
      <c r="E13" s="22"/>
      <c r="F13" s="22"/>
      <c r="G13" s="22">
        <v>1485808.25</v>
      </c>
      <c r="H13" s="22">
        <v>26266165.27</v>
      </c>
      <c r="I13" s="22">
        <v>15029618.68</v>
      </c>
      <c r="J13" s="22">
        <v>2530422.84</v>
      </c>
      <c r="K13" s="22">
        <v>3139129.74</v>
      </c>
      <c r="L13" s="22">
        <v>10656664.34</v>
      </c>
      <c r="M13" s="22">
        <v>1100350.93</v>
      </c>
    </row>
    <row r="14" ht="110.25" outlineLevel="1" spans="3:16">
      <c r="C14" s="6" t="s">
        <v>352</v>
      </c>
      <c r="E14" s="22">
        <v>2136278.15</v>
      </c>
      <c r="F14" s="22">
        <v>1980388.82</v>
      </c>
      <c r="G14" s="22">
        <v>141723743.63</v>
      </c>
      <c r="H14" s="22">
        <v>18089330</v>
      </c>
      <c r="I14" s="22">
        <v>10552751.4</v>
      </c>
      <c r="J14" s="22">
        <v>118068046.02</v>
      </c>
      <c r="K14" s="22">
        <v>60940.26</v>
      </c>
      <c r="L14" s="22">
        <v>996723.28</v>
      </c>
      <c r="M14" s="22">
        <v>91182.96</v>
      </c>
      <c r="N14" s="22"/>
      <c r="O14" s="22">
        <v>115834</v>
      </c>
      <c r="P14" s="22">
        <v>12660</v>
      </c>
    </row>
    <row r="15" ht="94.5" outlineLevel="1" spans="3:16">
      <c r="C15" s="6" t="s">
        <v>353</v>
      </c>
      <c r="E15" s="22"/>
      <c r="F15" s="22"/>
      <c r="G15" s="22"/>
      <c r="H15" s="22">
        <v>909473.05</v>
      </c>
      <c r="I15" s="22"/>
      <c r="J15" s="22"/>
      <c r="K15" s="22"/>
      <c r="L15" s="22"/>
      <c r="M15" s="22"/>
      <c r="N15" s="22"/>
      <c r="O15" s="22"/>
      <c r="P15" s="22"/>
    </row>
    <row r="16" ht="63" outlineLevel="1" spans="3:16">
      <c r="C16" s="6" t="s">
        <v>354</v>
      </c>
      <c r="E16" s="22"/>
      <c r="F16" s="22"/>
      <c r="G16" s="22"/>
      <c r="H16" s="22"/>
      <c r="I16" s="22"/>
      <c r="J16" s="22"/>
      <c r="K16" s="22"/>
      <c r="L16" s="22"/>
      <c r="M16" s="22">
        <v>187005369.01</v>
      </c>
      <c r="N16" s="22"/>
      <c r="O16" s="22"/>
      <c r="P16" s="22"/>
    </row>
    <row r="17" ht="47.25" outlineLevel="1" collapsed="1" spans="2:16">
      <c r="B17" s="6" t="s">
        <v>355</v>
      </c>
      <c r="E17" s="22">
        <v>1351939517.27</v>
      </c>
      <c r="F17" s="22">
        <v>1939481747.4</v>
      </c>
      <c r="G17" s="22">
        <v>1014960933.84</v>
      </c>
      <c r="H17" s="22">
        <v>1036194452.8</v>
      </c>
      <c r="I17" s="22">
        <v>1127327380.76</v>
      </c>
      <c r="J17" s="22">
        <v>745738468.86</v>
      </c>
      <c r="K17" s="22">
        <v>453200070</v>
      </c>
      <c r="L17" s="22">
        <v>1865653387.62</v>
      </c>
      <c r="M17" s="22">
        <v>188196902.9</v>
      </c>
      <c r="O17" s="22">
        <v>115834</v>
      </c>
      <c r="P17" s="22">
        <v>8753508.79</v>
      </c>
    </row>
    <row r="18" ht="110.25" outlineLevel="2" spans="3:16">
      <c r="C18" s="6" t="s">
        <v>356</v>
      </c>
      <c r="E18" s="22">
        <v>1017897394.85</v>
      </c>
      <c r="F18" s="22">
        <v>813257636.27</v>
      </c>
      <c r="G18" s="22">
        <v>664952562.63</v>
      </c>
      <c r="H18" s="22">
        <v>538238058.97</v>
      </c>
      <c r="I18" s="22">
        <v>698387357.59</v>
      </c>
      <c r="J18" s="22">
        <v>241765902.93</v>
      </c>
      <c r="K18" s="22">
        <v>464037384.68</v>
      </c>
      <c r="L18" s="22">
        <v>603746855.32</v>
      </c>
      <c r="M18" s="22">
        <v>503625399.33</v>
      </c>
      <c r="N18" s="22">
        <v>655039659.92</v>
      </c>
      <c r="O18" s="22">
        <v>46610120.02</v>
      </c>
      <c r="P18" s="22">
        <v>286357443.55</v>
      </c>
    </row>
    <row r="19" ht="31.5" outlineLevel="2" spans="3:16">
      <c r="C19" s="6" t="s">
        <v>357</v>
      </c>
      <c r="E19" s="22">
        <v>897276184.3</v>
      </c>
      <c r="F19" s="22">
        <v>1962519693.46</v>
      </c>
      <c r="G19" s="22">
        <v>1191582151.59</v>
      </c>
      <c r="H19" s="22">
        <v>1243451484.92</v>
      </c>
      <c r="I19" s="22">
        <v>1656189900</v>
      </c>
      <c r="J19" s="22">
        <v>798650000</v>
      </c>
      <c r="K19" s="22">
        <v>333499999.71</v>
      </c>
      <c r="L19" s="22">
        <v>2104000000</v>
      </c>
      <c r="P19" s="22">
        <v>24457413.42</v>
      </c>
    </row>
    <row r="20" ht="94.5" outlineLevel="2" spans="3:13">
      <c r="C20" s="6" t="s">
        <v>358</v>
      </c>
      <c r="E20" s="22">
        <v>377767506.95</v>
      </c>
      <c r="F20" s="22"/>
      <c r="G20" s="22">
        <v>445433440.83</v>
      </c>
      <c r="H20" s="22">
        <v>189008878.24</v>
      </c>
      <c r="I20" s="22"/>
      <c r="J20" s="22">
        <v>1296419983.61</v>
      </c>
      <c r="K20" s="22">
        <v>437161.86</v>
      </c>
      <c r="M20" s="22">
        <v>176000000</v>
      </c>
    </row>
    <row r="21" ht="63" outlineLevel="2" spans="3:16">
      <c r="C21" s="6" t="s">
        <v>359</v>
      </c>
      <c r="E21" s="22"/>
      <c r="F21" s="22">
        <v>345075573.87</v>
      </c>
      <c r="G21" s="22">
        <v>197168.83</v>
      </c>
      <c r="K21" s="22">
        <v>252038.77</v>
      </c>
      <c r="N21">
        <v>50626.92</v>
      </c>
      <c r="O21" s="22">
        <v>360112.74</v>
      </c>
      <c r="P21" s="22">
        <v>215971.27</v>
      </c>
    </row>
    <row r="22" ht="47.25" outlineLevel="1" spans="2:16">
      <c r="B22" s="6" t="s">
        <v>360</v>
      </c>
      <c r="E22" s="22">
        <v>2292941086.1</v>
      </c>
      <c r="F22" s="22">
        <v>3120852903.6</v>
      </c>
      <c r="G22" s="22">
        <v>2302165323.88</v>
      </c>
      <c r="H22" s="22">
        <v>1970698422.13</v>
      </c>
      <c r="I22" s="22">
        <v>2354577257.59</v>
      </c>
      <c r="J22" s="22">
        <v>2336835886.54</v>
      </c>
      <c r="K22" s="22">
        <v>798226585.02</v>
      </c>
      <c r="L22" s="22">
        <v>2707746855.32</v>
      </c>
      <c r="M22" s="22">
        <v>679625399.33</v>
      </c>
      <c r="N22" s="22">
        <v>655090286.84</v>
      </c>
      <c r="O22" s="22">
        <v>46970232.76</v>
      </c>
      <c r="P22" s="22">
        <v>311030828.24</v>
      </c>
    </row>
    <row r="23" s="21" customFormat="1" ht="47.25" spans="1:16">
      <c r="A23" s="23" t="s">
        <v>361</v>
      </c>
      <c r="B23" s="23"/>
      <c r="C23" s="23"/>
      <c r="D23" s="23"/>
      <c r="E23" s="24">
        <v>-941001568.83</v>
      </c>
      <c r="F23" s="24">
        <v>-1181371156.2</v>
      </c>
      <c r="G23" s="24">
        <v>-1287204390.04</v>
      </c>
      <c r="H23" s="24">
        <v>-934503969.33</v>
      </c>
      <c r="I23" s="24">
        <v>-1227249876.83</v>
      </c>
      <c r="J23" s="24">
        <v>-1591097417.68</v>
      </c>
      <c r="K23" s="24">
        <v>-345026515.02</v>
      </c>
      <c r="L23" s="24">
        <v>-842093467.7</v>
      </c>
      <c r="M23" s="21">
        <v>-491428496.43</v>
      </c>
      <c r="N23" s="21">
        <v>-655090286.84</v>
      </c>
      <c r="O23" s="24">
        <v>-46854398.76</v>
      </c>
      <c r="P23" s="24">
        <v>-302277319.45</v>
      </c>
    </row>
    <row r="24" ht="47.25" spans="3:16">
      <c r="C24" s="6" t="s">
        <v>362</v>
      </c>
      <c r="E24" s="22">
        <v>120000000</v>
      </c>
      <c r="F24" s="22">
        <v>13500000</v>
      </c>
      <c r="G24" s="22">
        <v>121500000</v>
      </c>
      <c r="H24" s="22"/>
      <c r="I24" s="22">
        <v>60000000</v>
      </c>
      <c r="J24" s="22">
        <v>632949988.28</v>
      </c>
      <c r="K24" s="22">
        <v>20000000</v>
      </c>
      <c r="L24" s="22">
        <v>20933950</v>
      </c>
      <c r="M24" s="22"/>
      <c r="N24" s="22"/>
      <c r="O24" s="22">
        <v>2128421000</v>
      </c>
      <c r="P24" s="22">
        <v>30977421.35</v>
      </c>
    </row>
    <row r="25" ht="47.25" spans="4:12">
      <c r="D25" s="6" t="s">
        <v>363</v>
      </c>
      <c r="E25" s="22">
        <v>120000000</v>
      </c>
      <c r="F25" s="22">
        <v>13500000</v>
      </c>
      <c r="G25" s="22">
        <v>121500000</v>
      </c>
      <c r="H25" s="22"/>
      <c r="I25" s="22">
        <v>60000000</v>
      </c>
      <c r="J25" s="22"/>
      <c r="K25" s="22"/>
      <c r="L25" s="22"/>
    </row>
    <row r="26" ht="47.25" spans="3:16">
      <c r="C26" s="6" t="s">
        <v>364</v>
      </c>
      <c r="E26" s="22">
        <v>300000000</v>
      </c>
      <c r="F26" s="22"/>
      <c r="G26" s="22"/>
      <c r="H26" s="22"/>
      <c r="I26" s="22"/>
      <c r="J26" s="22">
        <v>600000000</v>
      </c>
      <c r="K26" s="22"/>
      <c r="L26" s="22"/>
      <c r="M26" s="22"/>
      <c r="N26" s="22"/>
      <c r="O26" s="22">
        <v>20000000</v>
      </c>
      <c r="P26" s="22">
        <v>530000000</v>
      </c>
    </row>
    <row r="27" ht="47.25" spans="2:16">
      <c r="B27" s="6" t="s">
        <v>365</v>
      </c>
      <c r="E27" s="22">
        <v>420000000</v>
      </c>
      <c r="F27" s="22">
        <v>13500000</v>
      </c>
      <c r="G27" s="22">
        <v>121500000</v>
      </c>
      <c r="H27" s="22"/>
      <c r="I27" s="22">
        <v>60000000</v>
      </c>
      <c r="J27" s="22">
        <v>1232949988.28</v>
      </c>
      <c r="K27" s="22">
        <v>20000000</v>
      </c>
      <c r="L27" s="22">
        <v>20933950</v>
      </c>
      <c r="M27" s="22"/>
      <c r="N27" s="22"/>
      <c r="O27" s="22">
        <v>2148421000</v>
      </c>
      <c r="P27" s="22">
        <v>560977421.35</v>
      </c>
    </row>
    <row r="28" ht="47.25" spans="3:16">
      <c r="C28" s="6" t="s">
        <v>366</v>
      </c>
      <c r="E28" s="22">
        <v>6000000</v>
      </c>
      <c r="F28" s="22"/>
      <c r="G28" s="22">
        <v>200000000</v>
      </c>
      <c r="H28" s="22">
        <v>200000000</v>
      </c>
      <c r="I28" s="22">
        <v>200000000</v>
      </c>
      <c r="J28" s="22"/>
      <c r="K28" s="22">
        <v>30000000</v>
      </c>
      <c r="L28" s="22">
        <v>40000000</v>
      </c>
      <c r="M28" s="22">
        <v>159500000</v>
      </c>
      <c r="N28" s="22">
        <v>152500000</v>
      </c>
      <c r="O28" s="22">
        <v>38000000</v>
      </c>
      <c r="P28" s="22">
        <v>330000000</v>
      </c>
    </row>
    <row r="29" ht="78.75" spans="3:16">
      <c r="C29" s="6" t="s">
        <v>367</v>
      </c>
      <c r="E29" s="22">
        <v>300917837.81</v>
      </c>
      <c r="F29" s="22">
        <v>174312936</v>
      </c>
      <c r="G29" s="22">
        <v>183329186</v>
      </c>
      <c r="H29" s="22">
        <v>166736170.2</v>
      </c>
      <c r="I29" s="22">
        <v>133282510.14</v>
      </c>
      <c r="J29" s="22">
        <v>94733530</v>
      </c>
      <c r="K29" s="22">
        <v>56900077.78</v>
      </c>
      <c r="L29" s="22">
        <v>87137599.99</v>
      </c>
      <c r="M29" s="22">
        <v>87906413.22</v>
      </c>
      <c r="N29" s="22">
        <v>70442130.1</v>
      </c>
      <c r="O29" s="22">
        <v>50176708.89</v>
      </c>
      <c r="P29" s="22">
        <v>32188248.75</v>
      </c>
    </row>
    <row r="30" ht="47.25" spans="4:16">
      <c r="D30" s="6" t="s">
        <v>368</v>
      </c>
      <c r="E30" s="22">
        <v>3000000</v>
      </c>
      <c r="F30" s="22"/>
      <c r="G30" s="22">
        <v>6000000</v>
      </c>
      <c r="H30" s="22">
        <v>10000000</v>
      </c>
      <c r="I30" s="22">
        <v>8280000</v>
      </c>
      <c r="J30" s="22">
        <v>1000000</v>
      </c>
      <c r="K30" s="22"/>
      <c r="L30" s="22"/>
      <c r="M30" s="22"/>
      <c r="N30" s="22"/>
      <c r="O30" s="22"/>
      <c r="P30" s="22">
        <v>153450</v>
      </c>
    </row>
    <row r="31" ht="31.5" spans="4:16">
      <c r="D31" s="6" t="s">
        <v>369</v>
      </c>
      <c r="E31" s="22"/>
      <c r="F31" s="22"/>
      <c r="G31" s="22"/>
      <c r="H31" s="22">
        <v>13691.49</v>
      </c>
      <c r="I31" s="22"/>
      <c r="J31" s="22"/>
      <c r="K31" s="22">
        <v>709504</v>
      </c>
      <c r="L31" s="22"/>
      <c r="M31" s="22"/>
      <c r="N31" s="22"/>
      <c r="O31" s="22"/>
      <c r="P31" s="22"/>
    </row>
    <row r="32" ht="47.25" spans="2:16">
      <c r="B32" s="6" t="s">
        <v>370</v>
      </c>
      <c r="E32" s="22">
        <v>306917837.81</v>
      </c>
      <c r="F32" s="22">
        <v>174312936</v>
      </c>
      <c r="G32" s="22">
        <v>383329186</v>
      </c>
      <c r="H32" s="22">
        <v>366749861.69</v>
      </c>
      <c r="I32" s="22">
        <v>333282510.14</v>
      </c>
      <c r="J32" s="22">
        <v>94896994</v>
      </c>
      <c r="K32" s="22">
        <v>87609581.78</v>
      </c>
      <c r="L32" s="22">
        <v>127137599.99</v>
      </c>
      <c r="M32" s="22">
        <v>247406413.22</v>
      </c>
      <c r="N32" s="22">
        <v>222942130.1</v>
      </c>
      <c r="O32" s="22">
        <v>88176708.89</v>
      </c>
      <c r="P32" s="22">
        <v>362188248.75</v>
      </c>
    </row>
    <row r="33" s="21" customFormat="1" ht="47.25" spans="1:16">
      <c r="A33" s="23" t="s">
        <v>371</v>
      </c>
      <c r="B33" s="23"/>
      <c r="C33" s="23"/>
      <c r="D33" s="23"/>
      <c r="E33" s="24">
        <v>113082162.19</v>
      </c>
      <c r="F33" s="24">
        <v>-160812936</v>
      </c>
      <c r="G33" s="24">
        <v>-261829186</v>
      </c>
      <c r="H33" s="24">
        <v>-366749861.69</v>
      </c>
      <c r="I33" s="24">
        <v>-273282510.14</v>
      </c>
      <c r="J33" s="24">
        <v>1138052994.28</v>
      </c>
      <c r="K33" s="24">
        <v>-67609581.78</v>
      </c>
      <c r="L33" s="24">
        <v>-106203649.99</v>
      </c>
      <c r="M33" s="24">
        <v>-247406413.22</v>
      </c>
      <c r="N33" s="24">
        <v>-222942130.1</v>
      </c>
      <c r="O33" s="24">
        <v>2060244291.11</v>
      </c>
      <c r="P33" s="24">
        <v>198789172.6</v>
      </c>
    </row>
    <row r="34" s="21" customFormat="1" ht="63" spans="1:16">
      <c r="A34" s="23" t="s">
        <v>372</v>
      </c>
      <c r="B34" s="23"/>
      <c r="C34" s="23"/>
      <c r="D34" s="23"/>
      <c r="E34" s="24">
        <v>-9956266.67</v>
      </c>
      <c r="F34" s="24">
        <v>2494267.57</v>
      </c>
      <c r="G34" s="24">
        <v>-8419299.8</v>
      </c>
      <c r="H34" s="24">
        <v>-7617266.64</v>
      </c>
      <c r="I34" s="24">
        <v>-7453785.02</v>
      </c>
      <c r="J34" s="24"/>
      <c r="K34" s="24"/>
      <c r="L34" s="24"/>
      <c r="M34" s="24"/>
      <c r="P34" s="24"/>
    </row>
    <row r="35" s="21" customFormat="1" ht="47.25" spans="1:16">
      <c r="A35" s="23" t="s">
        <v>373</v>
      </c>
      <c r="B35" s="23"/>
      <c r="C35" s="23"/>
      <c r="D35" s="23"/>
      <c r="E35" s="24">
        <v>-443933773.37</v>
      </c>
      <c r="F35" s="24">
        <v>231761674.88</v>
      </c>
      <c r="G35" s="24">
        <v>89790872.17</v>
      </c>
      <c r="H35" s="24">
        <v>455145771.72</v>
      </c>
      <c r="I35" s="24">
        <v>-477734479.82</v>
      </c>
      <c r="J35" s="24">
        <v>462276703.96</v>
      </c>
      <c r="K35" s="24">
        <v>115366496.57</v>
      </c>
      <c r="L35" s="24">
        <v>-518950456.86</v>
      </c>
      <c r="M35" s="21">
        <v>-343283978.94</v>
      </c>
      <c r="N35" s="25">
        <v>-583080300.37</v>
      </c>
      <c r="O35" s="24">
        <v>2263749798.12</v>
      </c>
      <c r="P35" s="24">
        <v>47224096.11</v>
      </c>
    </row>
    <row r="36" ht="47.25" spans="3:16">
      <c r="C36" s="6" t="s">
        <v>374</v>
      </c>
      <c r="E36" s="22">
        <v>1781710027.35</v>
      </c>
      <c r="F36" s="22">
        <v>1549948352.47</v>
      </c>
      <c r="G36" s="22">
        <v>1460157480.3</v>
      </c>
      <c r="H36" s="22">
        <v>1005011708.58</v>
      </c>
      <c r="I36" s="22">
        <v>1482746188.4</v>
      </c>
      <c r="J36" s="22">
        <v>1020469484.44</v>
      </c>
      <c r="K36" s="22">
        <v>905102987.87</v>
      </c>
      <c r="L36" s="22">
        <v>1424053444.73</v>
      </c>
      <c r="M36" s="22">
        <v>1767337423.67</v>
      </c>
      <c r="N36" s="22">
        <v>2350417724.04</v>
      </c>
      <c r="O36" s="22">
        <v>86667925.92</v>
      </c>
      <c r="P36" s="22">
        <v>39443829.81</v>
      </c>
    </row>
    <row r="37" s="21" customFormat="1" ht="47.25" spans="1:16">
      <c r="A37" s="23" t="s">
        <v>375</v>
      </c>
      <c r="B37" s="23"/>
      <c r="C37" s="23"/>
      <c r="D37" s="23"/>
      <c r="E37" s="24">
        <v>1337776253.98</v>
      </c>
      <c r="F37" s="24">
        <v>1781710027.35</v>
      </c>
      <c r="G37" s="24">
        <v>1549948352.47</v>
      </c>
      <c r="H37" s="24">
        <v>1460157480.3</v>
      </c>
      <c r="I37" s="24">
        <v>1005011708.58</v>
      </c>
      <c r="J37" s="24">
        <v>1482746188.4</v>
      </c>
      <c r="K37" s="24">
        <v>1020469484.44</v>
      </c>
      <c r="L37" s="24">
        <v>905102987.87</v>
      </c>
      <c r="M37" s="25">
        <v>1424053444.73</v>
      </c>
      <c r="N37" s="25">
        <v>1767337423.67</v>
      </c>
      <c r="O37" s="24">
        <v>2350417724.04</v>
      </c>
      <c r="P37" s="24">
        <v>86667925.92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G11" sqref="G11"/>
    </sheetView>
  </sheetViews>
  <sheetFormatPr defaultColWidth="9" defaultRowHeight="15.75" outlineLevelRow="2" outlineLevelCol="1"/>
  <sheetData>
    <row r="1" spans="2:2">
      <c r="B1" t="s">
        <v>376</v>
      </c>
    </row>
    <row r="3" spans="1:1">
      <c r="A3" t="s">
        <v>54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61"/>
  <sheetViews>
    <sheetView topLeftCell="A4" workbookViewId="0">
      <selection activeCell="I26" sqref="I26"/>
    </sheetView>
  </sheetViews>
  <sheetFormatPr defaultColWidth="9" defaultRowHeight="15.75"/>
  <cols>
    <col min="5" max="5" width="15.5" customWidth="1"/>
    <col min="6" max="6" width="13.125" customWidth="1"/>
    <col min="7" max="7" width="13.75" customWidth="1"/>
    <col min="8" max="9" width="16.375" customWidth="1"/>
    <col min="10" max="10" width="12.625"/>
    <col min="11" max="11" width="17.625"/>
    <col min="12" max="12" width="29.375"/>
    <col min="13" max="14" width="28.25"/>
  </cols>
  <sheetData>
    <row r="1" spans="2:10">
      <c r="B1" s="4" t="s">
        <v>377</v>
      </c>
      <c r="C1" s="4"/>
      <c r="D1" s="4"/>
      <c r="J1" t="s">
        <v>378</v>
      </c>
    </row>
    <row r="2" spans="3:14">
      <c r="C2" t="s">
        <v>232</v>
      </c>
      <c r="D2" t="s">
        <v>379</v>
      </c>
      <c r="E2" s="4" t="s">
        <v>68</v>
      </c>
      <c r="F2" s="4" t="s">
        <v>47</v>
      </c>
      <c r="G2" s="4" t="s">
        <v>380</v>
      </c>
      <c r="H2" s="4" t="s">
        <v>381</v>
      </c>
      <c r="I2" s="4"/>
      <c r="K2" s="4" t="s">
        <v>68</v>
      </c>
      <c r="L2" s="4" t="s">
        <v>47</v>
      </c>
      <c r="M2" s="4" t="s">
        <v>380</v>
      </c>
      <c r="N2" s="4" t="s">
        <v>381</v>
      </c>
    </row>
    <row r="3" spans="2:15">
      <c r="B3">
        <v>2021</v>
      </c>
      <c r="C3" s="15">
        <v>0.72</v>
      </c>
      <c r="D3" s="12">
        <v>0.4056</v>
      </c>
      <c r="E3" s="16">
        <v>6869352611.61</v>
      </c>
      <c r="F3" s="16">
        <v>1598451113.79</v>
      </c>
      <c r="G3" s="16">
        <v>1581648025.59</v>
      </c>
      <c r="H3" s="16">
        <v>3635178821.68</v>
      </c>
      <c r="I3" s="16"/>
      <c r="K3" s="20">
        <f>E3*C3</f>
        <v>4945933880.3592</v>
      </c>
      <c r="L3" s="20">
        <f>F3*C3</f>
        <v>1150884801.9288</v>
      </c>
      <c r="M3" s="20">
        <f>G3*C3</f>
        <v>1138786578.4248</v>
      </c>
      <c r="N3" s="20">
        <f>H3*C3</f>
        <v>2617328751.6096</v>
      </c>
      <c r="O3" s="20">
        <f>J3*H3</f>
        <v>0</v>
      </c>
    </row>
    <row r="4" spans="2:14">
      <c r="B4">
        <v>2020</v>
      </c>
      <c r="C4" s="15">
        <v>0.72</v>
      </c>
      <c r="D4" s="12">
        <v>0.4056</v>
      </c>
      <c r="E4" s="16">
        <v>6364123230.21</v>
      </c>
      <c r="F4" s="16">
        <v>1291383225.98</v>
      </c>
      <c r="G4" s="16">
        <v>1296192603.37</v>
      </c>
      <c r="H4" s="16">
        <v>3871927974.89</v>
      </c>
      <c r="I4" s="16"/>
      <c r="K4" s="20">
        <f>E4*C4</f>
        <v>4582168725.7512</v>
      </c>
      <c r="L4" s="20">
        <f t="shared" ref="L4:L49" si="0">F4*C4</f>
        <v>929795922.7056</v>
      </c>
      <c r="M4" s="20">
        <f t="shared" ref="M4:M52" si="1">G4*C4</f>
        <v>933258674.4264</v>
      </c>
      <c r="N4" s="20">
        <f t="shared" ref="N4:N52" si="2">H4*C4</f>
        <v>2787788141.9208</v>
      </c>
    </row>
    <row r="5" spans="3:14">
      <c r="C5" s="17"/>
      <c r="D5" s="17"/>
      <c r="K5" s="20">
        <f t="shared" ref="K5:K48" si="3">E5*C5</f>
        <v>0</v>
      </c>
      <c r="L5" s="20">
        <f t="shared" si="0"/>
        <v>0</v>
      </c>
      <c r="M5" s="20">
        <f t="shared" si="1"/>
        <v>0</v>
      </c>
      <c r="N5" s="20">
        <f t="shared" si="2"/>
        <v>0</v>
      </c>
    </row>
    <row r="6" spans="3:14">
      <c r="C6" s="17"/>
      <c r="D6" s="17"/>
      <c r="K6" s="20">
        <f t="shared" si="3"/>
        <v>0</v>
      </c>
      <c r="L6" s="20">
        <f t="shared" si="0"/>
        <v>0</v>
      </c>
      <c r="M6" s="20">
        <f t="shared" si="1"/>
        <v>0</v>
      </c>
      <c r="N6" s="20">
        <f t="shared" si="2"/>
        <v>0</v>
      </c>
    </row>
    <row r="7" spans="2:14">
      <c r="B7" s="4" t="s">
        <v>382</v>
      </c>
      <c r="C7" s="18"/>
      <c r="D7" s="18"/>
      <c r="K7" s="20">
        <f t="shared" si="3"/>
        <v>0</v>
      </c>
      <c r="L7" s="20">
        <f t="shared" si="0"/>
        <v>0</v>
      </c>
      <c r="M7" s="20">
        <f t="shared" si="1"/>
        <v>0</v>
      </c>
      <c r="N7" s="20">
        <f t="shared" si="2"/>
        <v>0</v>
      </c>
    </row>
    <row r="8" spans="3:14">
      <c r="C8" s="17"/>
      <c r="D8" s="17"/>
      <c r="E8" s="4" t="s">
        <v>68</v>
      </c>
      <c r="F8" s="4" t="s">
        <v>47</v>
      </c>
      <c r="G8" s="4" t="s">
        <v>380</v>
      </c>
      <c r="H8" s="4" t="s">
        <v>381</v>
      </c>
      <c r="I8" s="4"/>
      <c r="K8" s="4" t="s">
        <v>68</v>
      </c>
      <c r="L8" s="4" t="s">
        <v>47</v>
      </c>
      <c r="M8" s="4" t="s">
        <v>380</v>
      </c>
      <c r="N8" s="4" t="s">
        <v>381</v>
      </c>
    </row>
    <row r="9" ht="27" spans="2:14">
      <c r="B9">
        <v>2021</v>
      </c>
      <c r="C9" s="17">
        <v>0.5</v>
      </c>
      <c r="D9" s="19" t="s">
        <v>383</v>
      </c>
      <c r="E9" s="16">
        <v>7114852655.54</v>
      </c>
      <c r="F9" s="16">
        <v>1785273399.12</v>
      </c>
      <c r="G9" s="16">
        <v>1779827941.08</v>
      </c>
      <c r="H9" s="16">
        <v>3543545624.76</v>
      </c>
      <c r="I9" s="16"/>
      <c r="K9" s="20">
        <f t="shared" si="3"/>
        <v>3557426327.77</v>
      </c>
      <c r="L9" s="20">
        <f t="shared" si="0"/>
        <v>892636699.56</v>
      </c>
      <c r="M9" s="20">
        <f t="shared" si="1"/>
        <v>889913970.54</v>
      </c>
      <c r="N9" s="20">
        <f t="shared" si="2"/>
        <v>1771772812.38</v>
      </c>
    </row>
    <row r="10" ht="27" spans="2:14">
      <c r="B10">
        <v>2020</v>
      </c>
      <c r="C10" s="17">
        <v>0.5</v>
      </c>
      <c r="D10" s="19" t="s">
        <v>383</v>
      </c>
      <c r="E10" s="16">
        <v>7051274434.85</v>
      </c>
      <c r="F10" s="16">
        <v>1979806626.59</v>
      </c>
      <c r="G10" s="16">
        <v>1981069762.81</v>
      </c>
      <c r="H10" s="16">
        <v>3426613995.47</v>
      </c>
      <c r="I10" s="16"/>
      <c r="K10" s="20">
        <f t="shared" si="3"/>
        <v>3525637217.425</v>
      </c>
      <c r="L10" s="20">
        <f t="shared" si="0"/>
        <v>989903313.295</v>
      </c>
      <c r="M10" s="20">
        <f t="shared" si="1"/>
        <v>990534881.405</v>
      </c>
      <c r="N10" s="20">
        <f t="shared" si="2"/>
        <v>1713306997.735</v>
      </c>
    </row>
    <row r="11" spans="3:14">
      <c r="C11" s="17"/>
      <c r="D11" s="17"/>
      <c r="K11" s="20">
        <f t="shared" si="3"/>
        <v>0</v>
      </c>
      <c r="L11" s="20">
        <f t="shared" si="0"/>
        <v>0</v>
      </c>
      <c r="M11" s="20">
        <f t="shared" si="1"/>
        <v>0</v>
      </c>
      <c r="N11" s="20">
        <f t="shared" si="2"/>
        <v>0</v>
      </c>
    </row>
    <row r="12" spans="2:14">
      <c r="B12" s="4" t="s">
        <v>384</v>
      </c>
      <c r="C12" s="18"/>
      <c r="D12" s="18"/>
      <c r="K12" s="20">
        <f t="shared" si="3"/>
        <v>0</v>
      </c>
      <c r="L12" s="20">
        <f t="shared" si="0"/>
        <v>0</v>
      </c>
      <c r="M12" s="20">
        <f t="shared" si="1"/>
        <v>0</v>
      </c>
      <c r="N12" s="20">
        <f t="shared" si="2"/>
        <v>0</v>
      </c>
    </row>
    <row r="13" spans="3:14">
      <c r="C13" s="17"/>
      <c r="D13" s="17"/>
      <c r="E13" s="4" t="s">
        <v>68</v>
      </c>
      <c r="F13" s="4" t="s">
        <v>47</v>
      </c>
      <c r="G13" s="4" t="s">
        <v>380</v>
      </c>
      <c r="H13" s="4" t="s">
        <v>381</v>
      </c>
      <c r="I13" s="4"/>
      <c r="K13" s="4" t="s">
        <v>68</v>
      </c>
      <c r="L13" s="4" t="s">
        <v>47</v>
      </c>
      <c r="M13" s="4" t="s">
        <v>380</v>
      </c>
      <c r="N13" s="4" t="s">
        <v>381</v>
      </c>
    </row>
    <row r="14" spans="2:14">
      <c r="B14">
        <v>2021</v>
      </c>
      <c r="C14" s="17">
        <v>0.51</v>
      </c>
      <c r="D14" s="12">
        <v>0.4481</v>
      </c>
      <c r="E14" s="16">
        <v>4184541228.26</v>
      </c>
      <c r="F14" s="16">
        <v>1480439973.7</v>
      </c>
      <c r="G14" s="16">
        <v>1478195857.12</v>
      </c>
      <c r="H14" s="16">
        <v>1995355797.14</v>
      </c>
      <c r="I14" s="16"/>
      <c r="K14" s="20">
        <f t="shared" si="3"/>
        <v>2134116026.4126</v>
      </c>
      <c r="L14" s="20">
        <f t="shared" si="0"/>
        <v>755024386.587</v>
      </c>
      <c r="M14" s="20">
        <f t="shared" si="1"/>
        <v>753879887.1312</v>
      </c>
      <c r="N14" s="20">
        <f t="shared" si="2"/>
        <v>1017631456.5414</v>
      </c>
    </row>
    <row r="15" spans="2:14">
      <c r="B15">
        <v>2020</v>
      </c>
      <c r="C15" s="17">
        <v>0.51</v>
      </c>
      <c r="D15" s="12">
        <v>0.4481</v>
      </c>
      <c r="E15" s="16">
        <v>4161305634.98</v>
      </c>
      <c r="F15" s="16">
        <v>1584035522.79</v>
      </c>
      <c r="G15" s="16">
        <v>1585058505.28</v>
      </c>
      <c r="H15" s="16">
        <v>2076316650.23</v>
      </c>
      <c r="I15" s="16"/>
      <c r="K15" s="20">
        <f t="shared" si="3"/>
        <v>2122265873.8398</v>
      </c>
      <c r="L15" s="20">
        <f t="shared" si="0"/>
        <v>807858116.6229</v>
      </c>
      <c r="M15" s="20">
        <f t="shared" si="1"/>
        <v>808379837.6928</v>
      </c>
      <c r="N15" s="20">
        <f t="shared" si="2"/>
        <v>1058921491.6173</v>
      </c>
    </row>
    <row r="16" spans="3:14">
      <c r="C16" s="17"/>
      <c r="D16" s="17"/>
      <c r="K16" s="20">
        <f t="shared" si="3"/>
        <v>0</v>
      </c>
      <c r="L16" s="20">
        <f t="shared" si="0"/>
        <v>0</v>
      </c>
      <c r="M16" s="20">
        <f t="shared" si="1"/>
        <v>0</v>
      </c>
      <c r="N16" s="20">
        <f t="shared" si="2"/>
        <v>0</v>
      </c>
    </row>
    <row r="17" spans="2:14">
      <c r="B17" s="4" t="s">
        <v>385</v>
      </c>
      <c r="C17" s="18"/>
      <c r="D17" s="18"/>
      <c r="K17" s="20">
        <f t="shared" si="3"/>
        <v>0</v>
      </c>
      <c r="L17" s="20">
        <f t="shared" si="0"/>
        <v>0</v>
      </c>
      <c r="M17" s="20">
        <f t="shared" si="1"/>
        <v>0</v>
      </c>
      <c r="N17" s="20">
        <f t="shared" si="2"/>
        <v>0</v>
      </c>
    </row>
    <row r="18" spans="3:14">
      <c r="C18" s="17"/>
      <c r="D18" s="17"/>
      <c r="E18" s="4" t="s">
        <v>68</v>
      </c>
      <c r="F18" s="4" t="s">
        <v>47</v>
      </c>
      <c r="G18" s="4" t="s">
        <v>380</v>
      </c>
      <c r="H18" s="4" t="s">
        <v>381</v>
      </c>
      <c r="I18" s="4"/>
      <c r="K18" s="4" t="s">
        <v>68</v>
      </c>
      <c r="L18" s="4" t="s">
        <v>47</v>
      </c>
      <c r="M18" s="4" t="s">
        <v>380</v>
      </c>
      <c r="N18" s="4" t="s">
        <v>381</v>
      </c>
    </row>
    <row r="19" spans="2:14">
      <c r="B19">
        <v>2021</v>
      </c>
      <c r="C19" s="17">
        <v>0.5</v>
      </c>
      <c r="D19" s="17"/>
      <c r="E19" s="16">
        <v>15909083133.87</v>
      </c>
      <c r="F19" s="16">
        <v>4142097126.79</v>
      </c>
      <c r="G19" s="16">
        <v>4142197126.79</v>
      </c>
      <c r="H19" s="16">
        <v>9641941808.96</v>
      </c>
      <c r="I19" s="16"/>
      <c r="K19" s="20">
        <f t="shared" si="3"/>
        <v>7954541566.935</v>
      </c>
      <c r="L19" s="20">
        <f t="shared" si="0"/>
        <v>2071048563.395</v>
      </c>
      <c r="M19" s="20">
        <f t="shared" si="1"/>
        <v>2071098563.395</v>
      </c>
      <c r="N19" s="20">
        <f t="shared" si="2"/>
        <v>4820970904.48</v>
      </c>
    </row>
    <row r="20" spans="2:14">
      <c r="B20">
        <v>2020</v>
      </c>
      <c r="C20" s="17">
        <v>0.5</v>
      </c>
      <c r="D20" s="17"/>
      <c r="E20" s="16">
        <v>11432371678.69</v>
      </c>
      <c r="F20" s="16">
        <v>2148527353.8</v>
      </c>
      <c r="G20" s="16">
        <v>2148677353.8</v>
      </c>
      <c r="H20" s="16">
        <v>7097064032.59</v>
      </c>
      <c r="I20" s="16"/>
      <c r="K20" s="20">
        <f t="shared" si="3"/>
        <v>5716185839.345</v>
      </c>
      <c r="L20" s="20">
        <f t="shared" si="0"/>
        <v>1074263676.9</v>
      </c>
      <c r="M20" s="20">
        <f t="shared" si="1"/>
        <v>1074338676.9</v>
      </c>
      <c r="N20" s="20">
        <f t="shared" si="2"/>
        <v>3548532016.295</v>
      </c>
    </row>
    <row r="21" spans="3:14">
      <c r="C21" s="17"/>
      <c r="D21" s="17"/>
      <c r="K21" s="20">
        <f t="shared" si="3"/>
        <v>0</v>
      </c>
      <c r="L21" s="20">
        <f t="shared" si="0"/>
        <v>0</v>
      </c>
      <c r="M21" s="20">
        <f t="shared" si="1"/>
        <v>0</v>
      </c>
      <c r="N21" s="20">
        <f t="shared" si="2"/>
        <v>0</v>
      </c>
    </row>
    <row r="22" spans="2:14">
      <c r="B22" s="4" t="s">
        <v>127</v>
      </c>
      <c r="C22" s="18"/>
      <c r="D22" s="18"/>
      <c r="K22" s="20">
        <f t="shared" si="3"/>
        <v>0</v>
      </c>
      <c r="L22" s="20">
        <f t="shared" si="0"/>
        <v>0</v>
      </c>
      <c r="M22" s="20">
        <f t="shared" si="1"/>
        <v>0</v>
      </c>
      <c r="N22" s="20">
        <f t="shared" si="2"/>
        <v>0</v>
      </c>
    </row>
    <row r="23" spans="3:14">
      <c r="C23" s="17"/>
      <c r="D23" s="17"/>
      <c r="E23" s="4" t="s">
        <v>68</v>
      </c>
      <c r="F23" s="4" t="s">
        <v>47</v>
      </c>
      <c r="G23" s="4" t="s">
        <v>380</v>
      </c>
      <c r="H23" s="4" t="s">
        <v>381</v>
      </c>
      <c r="I23" s="4"/>
      <c r="K23" s="4" t="s">
        <v>68</v>
      </c>
      <c r="L23" s="4" t="s">
        <v>47</v>
      </c>
      <c r="M23" s="4" t="s">
        <v>380</v>
      </c>
      <c r="N23" s="4" t="s">
        <v>381</v>
      </c>
    </row>
    <row r="24" spans="2:14">
      <c r="B24">
        <v>2021</v>
      </c>
      <c r="C24" s="17">
        <v>0.56</v>
      </c>
      <c r="D24" s="17"/>
      <c r="E24" s="16">
        <v>6862005019.08</v>
      </c>
      <c r="F24" s="16">
        <v>1446621562.29</v>
      </c>
      <c r="G24" s="16">
        <v>1446621562.29</v>
      </c>
      <c r="H24" s="16">
        <v>5042315260.48</v>
      </c>
      <c r="I24" s="16"/>
      <c r="K24" s="20">
        <f t="shared" si="3"/>
        <v>3842722810.6848</v>
      </c>
      <c r="L24" s="20">
        <f t="shared" si="0"/>
        <v>810108074.8824</v>
      </c>
      <c r="M24" s="20">
        <f t="shared" si="1"/>
        <v>810108074.8824</v>
      </c>
      <c r="N24" s="20">
        <f t="shared" si="2"/>
        <v>2823696545.8688</v>
      </c>
    </row>
    <row r="25" spans="2:14">
      <c r="B25">
        <v>2020</v>
      </c>
      <c r="C25" s="17">
        <v>0.56</v>
      </c>
      <c r="D25" s="17"/>
      <c r="E25" s="16">
        <v>6469164284.15</v>
      </c>
      <c r="F25" s="16">
        <v>1440690940.54</v>
      </c>
      <c r="G25" s="16">
        <v>1433578755.55</v>
      </c>
      <c r="H25" s="16">
        <v>5110403004.08</v>
      </c>
      <c r="I25" s="16"/>
      <c r="K25" s="20">
        <f t="shared" si="3"/>
        <v>3622731999.124</v>
      </c>
      <c r="L25" s="20">
        <f t="shared" si="0"/>
        <v>806786926.7024</v>
      </c>
      <c r="M25" s="20">
        <f t="shared" si="1"/>
        <v>802804103.108</v>
      </c>
      <c r="N25" s="20">
        <f t="shared" si="2"/>
        <v>2861825682.2848</v>
      </c>
    </row>
    <row r="26" spans="3:14">
      <c r="C26" s="17"/>
      <c r="D26" s="17"/>
      <c r="K26" s="20">
        <f t="shared" si="3"/>
        <v>0</v>
      </c>
      <c r="L26" s="20">
        <f t="shared" si="0"/>
        <v>0</v>
      </c>
      <c r="M26" s="20">
        <f t="shared" si="1"/>
        <v>0</v>
      </c>
      <c r="N26" s="20">
        <f t="shared" si="2"/>
        <v>0</v>
      </c>
    </row>
    <row r="27" spans="2:14">
      <c r="B27" s="4" t="s">
        <v>115</v>
      </c>
      <c r="C27" s="18"/>
      <c r="D27" s="18"/>
      <c r="K27" s="20">
        <f t="shared" si="3"/>
        <v>0</v>
      </c>
      <c r="L27" s="20">
        <f t="shared" si="0"/>
        <v>0</v>
      </c>
      <c r="M27" s="20">
        <f t="shared" si="1"/>
        <v>0</v>
      </c>
      <c r="N27" s="20">
        <f t="shared" si="2"/>
        <v>0</v>
      </c>
    </row>
    <row r="28" spans="3:14">
      <c r="C28" s="17"/>
      <c r="D28" s="17"/>
      <c r="E28" s="4" t="s">
        <v>68</v>
      </c>
      <c r="F28" s="4" t="s">
        <v>47</v>
      </c>
      <c r="G28" s="4" t="s">
        <v>380</v>
      </c>
      <c r="H28" s="4" t="s">
        <v>381</v>
      </c>
      <c r="I28" s="4"/>
      <c r="K28" s="4" t="s">
        <v>68</v>
      </c>
      <c r="L28" s="4" t="s">
        <v>47</v>
      </c>
      <c r="M28" s="4" t="s">
        <v>380</v>
      </c>
      <c r="N28" s="4" t="s">
        <v>381</v>
      </c>
    </row>
    <row r="29" spans="2:14">
      <c r="B29">
        <v>2021</v>
      </c>
      <c r="C29" s="17">
        <v>0.51</v>
      </c>
      <c r="D29" s="17"/>
      <c r="E29" s="16">
        <v>12644026252.3</v>
      </c>
      <c r="F29" s="16">
        <v>2776171651.73</v>
      </c>
      <c r="G29" s="16">
        <v>2776105162.77</v>
      </c>
      <c r="H29" s="16">
        <v>8531278668.11</v>
      </c>
      <c r="I29" s="16"/>
      <c r="K29" s="20">
        <f t="shared" si="3"/>
        <v>6448453388.673</v>
      </c>
      <c r="L29" s="20">
        <f t="shared" si="0"/>
        <v>1415847542.3823</v>
      </c>
      <c r="M29" s="20">
        <f t="shared" si="1"/>
        <v>1415813633.0127</v>
      </c>
      <c r="N29" s="20">
        <f t="shared" si="2"/>
        <v>4350952120.7361</v>
      </c>
    </row>
    <row r="30" spans="2:14">
      <c r="B30">
        <v>2020</v>
      </c>
      <c r="C30" s="17">
        <v>0.51</v>
      </c>
      <c r="D30" s="17"/>
      <c r="E30" s="16">
        <v>9528873703.87</v>
      </c>
      <c r="F30" s="16">
        <v>1873770883.29</v>
      </c>
      <c r="G30" s="16">
        <v>1873723094.33</v>
      </c>
      <c r="H30" s="16">
        <v>5024888412.66</v>
      </c>
      <c r="I30" s="16"/>
      <c r="K30" s="20">
        <f t="shared" si="3"/>
        <v>4859725588.9737</v>
      </c>
      <c r="L30" s="20">
        <f t="shared" si="0"/>
        <v>955623150.4779</v>
      </c>
      <c r="M30" s="20">
        <f t="shared" si="1"/>
        <v>955598778.1083</v>
      </c>
      <c r="N30" s="20">
        <f t="shared" si="2"/>
        <v>2562693090.4566</v>
      </c>
    </row>
    <row r="31" spans="3:14">
      <c r="C31" s="17"/>
      <c r="D31" s="17"/>
      <c r="K31" s="20">
        <f t="shared" si="3"/>
        <v>0</v>
      </c>
      <c r="L31" s="20">
        <f t="shared" si="0"/>
        <v>0</v>
      </c>
      <c r="M31" s="20">
        <f t="shared" si="1"/>
        <v>0</v>
      </c>
      <c r="N31" s="20">
        <f t="shared" si="2"/>
        <v>0</v>
      </c>
    </row>
    <row r="32" spans="2:14">
      <c r="B32" s="4" t="s">
        <v>134</v>
      </c>
      <c r="C32" s="18"/>
      <c r="D32" s="18"/>
      <c r="K32" s="20">
        <f t="shared" si="3"/>
        <v>0</v>
      </c>
      <c r="L32" s="20">
        <f t="shared" si="0"/>
        <v>0</v>
      </c>
      <c r="M32" s="20">
        <f t="shared" si="1"/>
        <v>0</v>
      </c>
      <c r="N32" s="20">
        <f t="shared" si="2"/>
        <v>0</v>
      </c>
    </row>
    <row r="33" spans="3:14">
      <c r="C33" s="17"/>
      <c r="D33" s="17"/>
      <c r="E33" s="4" t="s">
        <v>68</v>
      </c>
      <c r="F33" s="4" t="s">
        <v>47</v>
      </c>
      <c r="G33" s="4" t="s">
        <v>380</v>
      </c>
      <c r="H33" s="4" t="s">
        <v>381</v>
      </c>
      <c r="I33" s="4"/>
      <c r="K33" s="4" t="s">
        <v>68</v>
      </c>
      <c r="L33" s="4" t="s">
        <v>47</v>
      </c>
      <c r="M33" s="4" t="s">
        <v>380</v>
      </c>
      <c r="N33" s="4" t="s">
        <v>381</v>
      </c>
    </row>
    <row r="34" spans="2:14">
      <c r="B34">
        <v>2021</v>
      </c>
      <c r="C34" s="17">
        <v>0.51</v>
      </c>
      <c r="D34" s="17"/>
      <c r="E34" s="16">
        <v>3449141206.81</v>
      </c>
      <c r="F34" s="16">
        <v>21016025.2</v>
      </c>
      <c r="G34" s="16">
        <v>21016025.2</v>
      </c>
      <c r="H34" s="16">
        <v>1885533340.7</v>
      </c>
      <c r="I34" s="16"/>
      <c r="K34" s="20">
        <f t="shared" si="3"/>
        <v>1759062015.4731</v>
      </c>
      <c r="L34" s="20">
        <f t="shared" si="0"/>
        <v>10718172.852</v>
      </c>
      <c r="M34" s="20">
        <f t="shared" si="1"/>
        <v>10718172.852</v>
      </c>
      <c r="N34" s="20">
        <f t="shared" si="2"/>
        <v>961622003.757</v>
      </c>
    </row>
    <row r="35" spans="2:14">
      <c r="B35">
        <v>2020</v>
      </c>
      <c r="C35" s="17">
        <v>0.51</v>
      </c>
      <c r="D35" s="17"/>
      <c r="E35" s="16">
        <v>3392007421.16</v>
      </c>
      <c r="F35" s="16">
        <v>70391732.07</v>
      </c>
      <c r="G35" s="16">
        <v>70391732.07</v>
      </c>
      <c r="H35" s="16">
        <v>3085531313.81</v>
      </c>
      <c r="I35" s="16"/>
      <c r="K35" s="20">
        <f t="shared" si="3"/>
        <v>1729923784.7916</v>
      </c>
      <c r="L35" s="20">
        <f t="shared" si="0"/>
        <v>35899783.3557</v>
      </c>
      <c r="M35" s="20">
        <f t="shared" si="1"/>
        <v>35899783.3557</v>
      </c>
      <c r="N35" s="20">
        <f t="shared" si="2"/>
        <v>1573620970.0431</v>
      </c>
    </row>
    <row r="36" spans="3:14">
      <c r="C36" s="17"/>
      <c r="D36" s="17"/>
      <c r="K36" s="20">
        <f t="shared" si="3"/>
        <v>0</v>
      </c>
      <c r="L36" s="20">
        <f t="shared" si="0"/>
        <v>0</v>
      </c>
      <c r="M36" s="20">
        <f t="shared" si="1"/>
        <v>0</v>
      </c>
      <c r="N36" s="20">
        <f t="shared" si="2"/>
        <v>0</v>
      </c>
    </row>
    <row r="37" spans="2:14">
      <c r="B37" s="4" t="s">
        <v>386</v>
      </c>
      <c r="C37" s="18"/>
      <c r="D37" s="18"/>
      <c r="K37" s="20">
        <f t="shared" si="3"/>
        <v>0</v>
      </c>
      <c r="L37" s="20">
        <f t="shared" si="0"/>
        <v>0</v>
      </c>
      <c r="M37" s="20">
        <f t="shared" si="1"/>
        <v>0</v>
      </c>
      <c r="N37" s="20">
        <f t="shared" si="2"/>
        <v>0</v>
      </c>
    </row>
    <row r="38" spans="3:14">
      <c r="C38" s="17"/>
      <c r="D38" s="17"/>
      <c r="E38" s="4" t="s">
        <v>68</v>
      </c>
      <c r="F38" s="4" t="s">
        <v>47</v>
      </c>
      <c r="G38" s="4" t="s">
        <v>380</v>
      </c>
      <c r="H38" s="4" t="s">
        <v>381</v>
      </c>
      <c r="I38" s="4"/>
      <c r="K38" s="4" t="s">
        <v>68</v>
      </c>
      <c r="L38" s="4" t="s">
        <v>47</v>
      </c>
      <c r="M38" s="4" t="s">
        <v>380</v>
      </c>
      <c r="N38" s="4" t="s">
        <v>381</v>
      </c>
    </row>
    <row r="39" spans="2:14">
      <c r="B39">
        <v>2021</v>
      </c>
      <c r="C39" s="17">
        <v>0.54</v>
      </c>
      <c r="D39" s="17"/>
      <c r="E39" s="16">
        <v>19233744.5</v>
      </c>
      <c r="F39" s="16">
        <v>-48980567.96</v>
      </c>
      <c r="G39" s="16">
        <v>-48980567.96</v>
      </c>
      <c r="H39" s="16">
        <v>-41151627.55</v>
      </c>
      <c r="I39" s="16"/>
      <c r="K39" s="20">
        <f t="shared" si="3"/>
        <v>10386222.03</v>
      </c>
      <c r="L39" s="20">
        <f t="shared" si="0"/>
        <v>-26449506.6984</v>
      </c>
      <c r="M39" s="20">
        <f t="shared" si="1"/>
        <v>-26449506.6984</v>
      </c>
      <c r="N39" s="20">
        <f t="shared" si="2"/>
        <v>-22221878.877</v>
      </c>
    </row>
    <row r="40" spans="2:14">
      <c r="B40">
        <v>2020</v>
      </c>
      <c r="C40" s="17">
        <v>0.54</v>
      </c>
      <c r="D40" s="17"/>
      <c r="E40" s="16">
        <v>19715405.31</v>
      </c>
      <c r="F40" s="16">
        <v>6371782.48</v>
      </c>
      <c r="G40" s="16">
        <v>6371782.48</v>
      </c>
      <c r="H40" s="16">
        <v>10828911.58</v>
      </c>
      <c r="I40" s="16"/>
      <c r="K40" s="20">
        <f t="shared" si="3"/>
        <v>10646318.8674</v>
      </c>
      <c r="L40" s="20">
        <f t="shared" si="0"/>
        <v>3440762.5392</v>
      </c>
      <c r="M40" s="20">
        <f t="shared" si="1"/>
        <v>3440762.5392</v>
      </c>
      <c r="N40" s="20">
        <f t="shared" si="2"/>
        <v>5847612.2532</v>
      </c>
    </row>
    <row r="41" spans="3:14">
      <c r="C41" s="17"/>
      <c r="D41" s="17"/>
      <c r="K41" s="20">
        <f t="shared" si="3"/>
        <v>0</v>
      </c>
      <c r="L41" s="20">
        <f t="shared" si="0"/>
        <v>0</v>
      </c>
      <c r="M41" s="20">
        <f t="shared" si="1"/>
        <v>0</v>
      </c>
      <c r="N41" s="20">
        <f t="shared" si="2"/>
        <v>0</v>
      </c>
    </row>
    <row r="42" spans="2:14">
      <c r="B42" s="4" t="s">
        <v>387</v>
      </c>
      <c r="C42" s="18"/>
      <c r="D42" s="18"/>
      <c r="K42" s="20">
        <f t="shared" si="3"/>
        <v>0</v>
      </c>
      <c r="L42" s="20">
        <f t="shared" si="0"/>
        <v>0</v>
      </c>
      <c r="M42" s="20">
        <f t="shared" si="1"/>
        <v>0</v>
      </c>
      <c r="N42" s="20">
        <f t="shared" si="2"/>
        <v>0</v>
      </c>
    </row>
    <row r="43" spans="3:14">
      <c r="C43" s="17"/>
      <c r="D43" s="17"/>
      <c r="E43" s="4" t="s">
        <v>68</v>
      </c>
      <c r="F43" s="4" t="s">
        <v>47</v>
      </c>
      <c r="G43" s="4" t="s">
        <v>380</v>
      </c>
      <c r="H43" s="4" t="s">
        <v>381</v>
      </c>
      <c r="I43" s="4"/>
      <c r="K43" s="4" t="s">
        <v>68</v>
      </c>
      <c r="L43" s="4" t="s">
        <v>47</v>
      </c>
      <c r="M43" s="4" t="s">
        <v>380</v>
      </c>
      <c r="N43" s="4" t="s">
        <v>381</v>
      </c>
    </row>
    <row r="44" spans="2:14">
      <c r="B44">
        <v>2021</v>
      </c>
      <c r="C44" s="17">
        <v>0.51</v>
      </c>
      <c r="D44" s="17"/>
      <c r="E44" s="16">
        <v>16293639.82</v>
      </c>
      <c r="F44" s="16">
        <v>1984921.34</v>
      </c>
      <c r="G44" s="16">
        <v>1984921.34</v>
      </c>
      <c r="H44" s="16">
        <v>4093325.3</v>
      </c>
      <c r="I44" s="16"/>
      <c r="K44" s="20">
        <f t="shared" si="3"/>
        <v>8309756.3082</v>
      </c>
      <c r="L44" s="20">
        <f t="shared" si="0"/>
        <v>1012309.8834</v>
      </c>
      <c r="M44" s="20">
        <f t="shared" si="1"/>
        <v>1012309.8834</v>
      </c>
      <c r="N44" s="20">
        <f t="shared" si="2"/>
        <v>2087595.903</v>
      </c>
    </row>
    <row r="45" spans="2:14">
      <c r="B45">
        <v>2020</v>
      </c>
      <c r="C45" s="17">
        <v>0.51</v>
      </c>
      <c r="D45" s="17"/>
      <c r="E45" s="16">
        <v>18004284.97</v>
      </c>
      <c r="F45" s="16">
        <v>1123050.76</v>
      </c>
      <c r="G45" s="16">
        <v>1123050.76</v>
      </c>
      <c r="H45" s="16">
        <v>10044570.1</v>
      </c>
      <c r="I45" s="16"/>
      <c r="K45" s="20">
        <f t="shared" si="3"/>
        <v>9182185.3347</v>
      </c>
      <c r="L45" s="20">
        <f t="shared" si="0"/>
        <v>572755.8876</v>
      </c>
      <c r="M45" s="20">
        <f t="shared" si="1"/>
        <v>572755.8876</v>
      </c>
      <c r="N45" s="20">
        <f t="shared" si="2"/>
        <v>5122730.751</v>
      </c>
    </row>
    <row r="46" spans="3:14">
      <c r="C46" s="17"/>
      <c r="D46" s="17"/>
      <c r="K46" s="20">
        <f t="shared" si="3"/>
        <v>0</v>
      </c>
      <c r="L46" s="20">
        <f t="shared" si="0"/>
        <v>0</v>
      </c>
      <c r="M46" s="20">
        <f t="shared" si="1"/>
        <v>0</v>
      </c>
      <c r="N46" s="20">
        <f t="shared" si="2"/>
        <v>0</v>
      </c>
    </row>
    <row r="47" spans="11:14">
      <c r="K47" s="20">
        <f t="shared" si="3"/>
        <v>0</v>
      </c>
      <c r="L47" s="20">
        <f t="shared" si="0"/>
        <v>0</v>
      </c>
      <c r="M47" s="20">
        <f t="shared" si="1"/>
        <v>0</v>
      </c>
      <c r="N47" s="20">
        <f t="shared" si="2"/>
        <v>0</v>
      </c>
    </row>
    <row r="48" spans="11:14">
      <c r="K48" s="20">
        <f t="shared" si="3"/>
        <v>0</v>
      </c>
      <c r="L48" s="20">
        <f t="shared" si="0"/>
        <v>0</v>
      </c>
      <c r="M48" s="20">
        <f t="shared" si="1"/>
        <v>0</v>
      </c>
      <c r="N48" s="20">
        <f t="shared" si="2"/>
        <v>0</v>
      </c>
    </row>
    <row r="49" spans="12:14">
      <c r="L49" s="20">
        <f t="shared" si="0"/>
        <v>0</v>
      </c>
      <c r="M49" s="20">
        <f t="shared" si="1"/>
        <v>0</v>
      </c>
      <c r="N49" s="20">
        <f t="shared" si="2"/>
        <v>0</v>
      </c>
    </row>
    <row r="50" spans="13:14">
      <c r="M50" s="20">
        <f t="shared" si="1"/>
        <v>0</v>
      </c>
      <c r="N50" s="20">
        <f t="shared" si="2"/>
        <v>0</v>
      </c>
    </row>
    <row r="51" spans="13:14">
      <c r="M51" s="20">
        <f t="shared" si="1"/>
        <v>0</v>
      </c>
      <c r="N51" s="20">
        <f t="shared" si="2"/>
        <v>0</v>
      </c>
    </row>
    <row r="52" spans="2:14">
      <c r="B52" s="4" t="s">
        <v>53</v>
      </c>
      <c r="C52" s="18"/>
      <c r="D52" s="18"/>
      <c r="K52" s="20">
        <f t="shared" ref="K52:K58" si="4">E52*C52</f>
        <v>0</v>
      </c>
      <c r="L52" s="20">
        <f t="shared" ref="L52:L59" si="5">F52*C52</f>
        <v>0</v>
      </c>
      <c r="M52" s="20">
        <f t="shared" si="1"/>
        <v>0</v>
      </c>
      <c r="N52" s="20">
        <f t="shared" si="2"/>
        <v>0</v>
      </c>
    </row>
    <row r="53" spans="3:14">
      <c r="C53" s="17"/>
      <c r="D53" s="17"/>
      <c r="E53" s="4" t="s">
        <v>68</v>
      </c>
      <c r="F53" s="4" t="s">
        <v>47</v>
      </c>
      <c r="G53" s="4" t="s">
        <v>380</v>
      </c>
      <c r="H53" s="4" t="s">
        <v>381</v>
      </c>
      <c r="I53" s="4"/>
      <c r="K53" s="4" t="s">
        <v>68</v>
      </c>
      <c r="L53" s="4" t="s">
        <v>47</v>
      </c>
      <c r="M53" s="4" t="s">
        <v>380</v>
      </c>
      <c r="N53" s="4" t="s">
        <v>381</v>
      </c>
    </row>
    <row r="54" spans="2:14">
      <c r="B54">
        <v>2021</v>
      </c>
      <c r="C54" s="17">
        <v>0.51</v>
      </c>
      <c r="D54" s="17"/>
      <c r="E54" s="16">
        <f>E3+E9+E14+E19+E24+E29+E34+E39+E44</f>
        <v>57068529491.79</v>
      </c>
      <c r="F54" s="16">
        <f>F3+F9+F14+F19+F24+F29+F34+F39+F44</f>
        <v>13203075206</v>
      </c>
      <c r="G54" s="16">
        <f>G3+G9+G14+G19+G24+G29+G34+G39+G44</f>
        <v>13178616054.22</v>
      </c>
      <c r="H54" s="16">
        <f>H3+H9+H14+H19+H24+H29+H34+H39+H44</f>
        <v>34238091019.58</v>
      </c>
      <c r="I54" s="16"/>
      <c r="J54" s="16">
        <f>J3+J9+J14+J19+J24+J29+J34+J39+J44</f>
        <v>0</v>
      </c>
      <c r="K54" s="16">
        <f>K3+K9+K14+K19+K24+K29+K34+K39+K44</f>
        <v>30660951994.6459</v>
      </c>
      <c r="L54" s="16">
        <f>L3+L9+L14+L19+L24+L29+L34+L39+L44</f>
        <v>7080831044.7725</v>
      </c>
      <c r="M54" s="16">
        <f>M3+M9+M14+M19+M24+M29+M34+M39+M44</f>
        <v>7064881683.4231</v>
      </c>
      <c r="N54" s="16">
        <f>N3+N9+N14+N19+N24+N29+N34+N39+N44</f>
        <v>18343840312.3989</v>
      </c>
    </row>
    <row r="55" spans="2:14">
      <c r="B55">
        <v>2020</v>
      </c>
      <c r="C55" s="17">
        <v>0.51</v>
      </c>
      <c r="D55" s="17"/>
      <c r="E55" s="16">
        <f>E4+E10+E15+E20+E25+E30+E35+E40+E45</f>
        <v>48436840078.19</v>
      </c>
      <c r="F55" s="16">
        <f>F4+F10+F15+F20+F25+F30+F35+F40+F45</f>
        <v>10396101118.3</v>
      </c>
      <c r="G55" s="16">
        <f>G4+G10+G15+G20+G25+G30+G35+G40+G45</f>
        <v>10396186640.45</v>
      </c>
      <c r="H55" s="16">
        <f>H4+H10+H15+H20+H25+H30+H35+H40+H45</f>
        <v>29713618865.41</v>
      </c>
      <c r="I55" s="16"/>
      <c r="J55" s="16">
        <f>J4+J10+J15+J20+J25+J30+J35+J40+J45</f>
        <v>0</v>
      </c>
      <c r="K55" s="16">
        <f>K4+K10+K15+K20+K25+K30+K35+K40+K45</f>
        <v>26178467533.4524</v>
      </c>
      <c r="L55" s="16">
        <f>L4+L10+L15+L20+L25+L30+L35+L40+L45</f>
        <v>5604144408.4863</v>
      </c>
      <c r="M55" s="16">
        <f>M4+M10+M15+M20+M25+M30+M35+M40+M45</f>
        <v>5604828253.423</v>
      </c>
      <c r="N55" s="16">
        <f>N4+N10+N15+N20+N25+N30+N35+N40+N45</f>
        <v>16117658733.3568</v>
      </c>
    </row>
    <row r="56" spans="3:14">
      <c r="C56" s="17"/>
      <c r="D56" s="17"/>
      <c r="K56" s="20">
        <f t="shared" si="4"/>
        <v>0</v>
      </c>
      <c r="L56" s="20">
        <f t="shared" si="5"/>
        <v>0</v>
      </c>
      <c r="M56" s="20">
        <f t="shared" ref="M54:M61" si="6">G56*C56</f>
        <v>0</v>
      </c>
      <c r="N56" s="20">
        <f t="shared" ref="N54:N61" si="7">H56*C56</f>
        <v>0</v>
      </c>
    </row>
    <row r="57" spans="11:14">
      <c r="K57" s="20">
        <f t="shared" si="4"/>
        <v>0</v>
      </c>
      <c r="L57" s="20">
        <f t="shared" si="5"/>
        <v>0</v>
      </c>
      <c r="M57" s="20">
        <f t="shared" si="6"/>
        <v>0</v>
      </c>
      <c r="N57" s="20">
        <f t="shared" si="7"/>
        <v>0</v>
      </c>
    </row>
    <row r="58" spans="11:14">
      <c r="K58" s="20">
        <f t="shared" si="4"/>
        <v>0</v>
      </c>
      <c r="L58" s="20">
        <f t="shared" si="5"/>
        <v>0</v>
      </c>
      <c r="M58" s="20">
        <f t="shared" si="6"/>
        <v>0</v>
      </c>
      <c r="N58" s="20">
        <f t="shared" si="7"/>
        <v>0</v>
      </c>
    </row>
    <row r="59" spans="12:14">
      <c r="L59" s="20">
        <f t="shared" si="5"/>
        <v>0</v>
      </c>
      <c r="M59" s="20">
        <f t="shared" si="6"/>
        <v>0</v>
      </c>
      <c r="N59" s="20">
        <f t="shared" si="7"/>
        <v>0</v>
      </c>
    </row>
    <row r="60" spans="13:14">
      <c r="M60" s="20">
        <f t="shared" si="6"/>
        <v>0</v>
      </c>
      <c r="N60" s="20">
        <f t="shared" si="7"/>
        <v>0</v>
      </c>
    </row>
    <row r="61" spans="13:14">
      <c r="M61" s="20">
        <f t="shared" si="6"/>
        <v>0</v>
      </c>
      <c r="N61" s="20">
        <f t="shared" si="7"/>
        <v>0</v>
      </c>
    </row>
  </sheetData>
  <pageMargins left="0.75" right="0.75" top="1" bottom="1" header="0.5" footer="0.5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N47"/>
  <sheetViews>
    <sheetView topLeftCell="A3" workbookViewId="0">
      <selection activeCell="B29" sqref="B29"/>
    </sheetView>
  </sheetViews>
  <sheetFormatPr defaultColWidth="9" defaultRowHeight="15.75"/>
  <cols>
    <col min="2" max="2" width="17.5" customWidth="1"/>
    <col min="4" max="4" width="18.625" customWidth="1"/>
    <col min="5" max="5" width="17.125"/>
    <col min="7" max="7" width="16"/>
    <col min="11" max="12" width="17.125" customWidth="1"/>
    <col min="13" max="13" width="20" customWidth="1"/>
  </cols>
  <sheetData>
    <row r="3" ht="31.5" spans="2:13">
      <c r="B3" s="2" t="s">
        <v>388</v>
      </c>
      <c r="C3" s="3" t="s">
        <v>389</v>
      </c>
      <c r="D3" s="3" t="s">
        <v>94</v>
      </c>
      <c r="E3" s="3" t="s">
        <v>390</v>
      </c>
      <c r="F3" s="3" t="s">
        <v>391</v>
      </c>
      <c r="G3" s="3" t="s">
        <v>392</v>
      </c>
      <c r="H3" s="3" t="s">
        <v>393</v>
      </c>
      <c r="I3" s="2" t="s">
        <v>394</v>
      </c>
      <c r="J3" s="2"/>
      <c r="K3" s="6" t="s">
        <v>395</v>
      </c>
      <c r="L3" s="2" t="s">
        <v>396</v>
      </c>
      <c r="M3" s="6" t="s">
        <v>397</v>
      </c>
    </row>
    <row r="4" spans="2:13">
      <c r="B4" s="4" t="s">
        <v>398</v>
      </c>
      <c r="C4" s="5">
        <v>0.72</v>
      </c>
      <c r="D4" s="5"/>
      <c r="E4" s="5"/>
      <c r="F4" s="5"/>
      <c r="G4" s="5"/>
      <c r="H4" s="5"/>
      <c r="I4" s="12" t="s">
        <v>399</v>
      </c>
      <c r="J4" s="12"/>
      <c r="K4" s="12">
        <v>0.4056</v>
      </c>
      <c r="L4" s="12" t="s">
        <v>400</v>
      </c>
      <c r="M4" s="12">
        <v>350</v>
      </c>
    </row>
    <row r="5" spans="2:13">
      <c r="B5" s="4"/>
      <c r="C5" s="5"/>
      <c r="D5" s="5"/>
      <c r="E5" s="5"/>
      <c r="F5" s="5"/>
      <c r="G5" s="5"/>
      <c r="H5" s="5"/>
      <c r="I5" s="12"/>
      <c r="J5" s="12"/>
      <c r="K5" s="12"/>
      <c r="L5" s="12"/>
      <c r="M5" s="12"/>
    </row>
    <row r="6" spans="2:13">
      <c r="B6" s="6" t="s">
        <v>401</v>
      </c>
      <c r="C6" s="5">
        <v>0.5</v>
      </c>
      <c r="D6" s="5"/>
      <c r="E6" s="5"/>
      <c r="F6" s="5"/>
      <c r="G6" s="5"/>
      <c r="H6" s="5"/>
      <c r="I6" s="12" t="s">
        <v>402</v>
      </c>
      <c r="J6" s="12"/>
      <c r="K6" s="12">
        <v>0.3998</v>
      </c>
      <c r="L6" s="12" t="s">
        <v>403</v>
      </c>
      <c r="M6" s="12">
        <v>670</v>
      </c>
    </row>
    <row r="7" spans="2:13">
      <c r="B7" s="6" t="s">
        <v>404</v>
      </c>
      <c r="C7" s="5">
        <v>0.5</v>
      </c>
      <c r="D7" s="5"/>
      <c r="E7" s="5"/>
      <c r="F7" s="5"/>
      <c r="G7" s="5"/>
      <c r="H7" s="5"/>
      <c r="I7" s="12" t="s">
        <v>405</v>
      </c>
      <c r="J7" s="12"/>
      <c r="K7" s="12">
        <v>0.3998</v>
      </c>
      <c r="L7" s="12" t="s">
        <v>403</v>
      </c>
      <c r="M7" s="12">
        <v>650</v>
      </c>
    </row>
    <row r="8" spans="2:13">
      <c r="B8" s="6" t="s">
        <v>406</v>
      </c>
      <c r="C8" s="5">
        <v>0.5</v>
      </c>
      <c r="D8" s="5"/>
      <c r="E8" s="5"/>
      <c r="F8" s="5"/>
      <c r="G8" s="5"/>
      <c r="H8" s="5"/>
      <c r="I8" s="12" t="s">
        <v>407</v>
      </c>
      <c r="J8" s="12"/>
      <c r="K8" s="12">
        <v>0.4153</v>
      </c>
      <c r="L8" s="12" t="s">
        <v>403</v>
      </c>
      <c r="M8" s="12">
        <v>660</v>
      </c>
    </row>
    <row r="9" spans="2:13">
      <c r="B9" s="6" t="s">
        <v>408</v>
      </c>
      <c r="C9" s="5">
        <v>0.5</v>
      </c>
      <c r="D9" s="5"/>
      <c r="E9" s="5"/>
      <c r="F9" s="5"/>
      <c r="G9" s="5"/>
      <c r="H9" s="5"/>
      <c r="I9" s="12" t="s">
        <v>409</v>
      </c>
      <c r="J9" s="12"/>
      <c r="K9" s="12">
        <v>0.4153</v>
      </c>
      <c r="L9" s="12" t="s">
        <v>403</v>
      </c>
      <c r="M9" s="12">
        <v>660</v>
      </c>
    </row>
    <row r="11" spans="2:13">
      <c r="B11" s="6" t="s">
        <v>410</v>
      </c>
      <c r="C11" s="5">
        <v>0.51</v>
      </c>
      <c r="D11" s="5"/>
      <c r="E11" s="5"/>
      <c r="F11" s="5"/>
      <c r="G11" s="5"/>
      <c r="H11" s="5"/>
      <c r="I11" s="12" t="s">
        <v>411</v>
      </c>
      <c r="J11" s="12"/>
      <c r="K11" s="12">
        <v>0.4481</v>
      </c>
      <c r="L11" s="12" t="s">
        <v>412</v>
      </c>
      <c r="M11" s="12">
        <v>728</v>
      </c>
    </row>
    <row r="12" spans="2:13">
      <c r="B12" s="6" t="s">
        <v>413</v>
      </c>
      <c r="C12" s="5">
        <v>0.51</v>
      </c>
      <c r="D12" s="5"/>
      <c r="E12" s="5"/>
      <c r="F12" s="5"/>
      <c r="G12" s="5"/>
      <c r="H12" s="5"/>
      <c r="I12" s="12" t="s">
        <v>414</v>
      </c>
      <c r="J12" s="12"/>
      <c r="K12" s="12">
        <v>0.4481</v>
      </c>
      <c r="L12" s="12" t="s">
        <v>412</v>
      </c>
      <c r="M12" s="12">
        <v>728</v>
      </c>
    </row>
    <row r="14" spans="2:13">
      <c r="B14" s="7" t="s">
        <v>415</v>
      </c>
      <c r="C14" s="5">
        <v>0.72</v>
      </c>
      <c r="D14" s="5"/>
      <c r="E14" s="5"/>
      <c r="F14" s="5"/>
      <c r="G14" s="5"/>
      <c r="H14" s="5"/>
      <c r="I14" s="12" t="s">
        <v>416</v>
      </c>
      <c r="J14" s="12"/>
      <c r="K14" s="12">
        <v>0.4153</v>
      </c>
      <c r="L14" s="12" t="s">
        <v>417</v>
      </c>
      <c r="M14" s="12">
        <v>1089</v>
      </c>
    </row>
    <row r="15" spans="2:13">
      <c r="B15" s="7" t="s">
        <v>418</v>
      </c>
      <c r="C15" s="5">
        <v>0.72</v>
      </c>
      <c r="D15" s="5"/>
      <c r="E15" s="5"/>
      <c r="F15" s="5"/>
      <c r="G15" s="5"/>
      <c r="H15" s="5"/>
      <c r="I15" s="12" t="s">
        <v>419</v>
      </c>
      <c r="J15" s="12"/>
      <c r="K15" s="12">
        <v>0.4153</v>
      </c>
      <c r="L15" s="12" t="s">
        <v>417</v>
      </c>
      <c r="M15" s="12">
        <v>1089</v>
      </c>
    </row>
    <row r="17" spans="2:13">
      <c r="B17" s="4" t="s">
        <v>420</v>
      </c>
      <c r="C17" s="5">
        <v>0.5</v>
      </c>
      <c r="D17" s="5"/>
      <c r="E17" s="5"/>
      <c r="F17" s="5"/>
      <c r="G17" s="5"/>
      <c r="H17" s="5"/>
      <c r="I17" s="12" t="s">
        <v>421</v>
      </c>
      <c r="J17" s="12"/>
      <c r="K17" s="12">
        <v>0.439</v>
      </c>
      <c r="L17" s="12" t="s">
        <v>422</v>
      </c>
      <c r="M17" s="12">
        <v>1060</v>
      </c>
    </row>
    <row r="18" spans="2:13">
      <c r="B18" s="4" t="s">
        <v>423</v>
      </c>
      <c r="C18" s="5">
        <v>0.5</v>
      </c>
      <c r="D18" s="5"/>
      <c r="E18" s="5"/>
      <c r="F18" s="5"/>
      <c r="G18" s="5"/>
      <c r="H18" s="5"/>
      <c r="I18" s="12" t="s">
        <v>424</v>
      </c>
      <c r="J18" s="12"/>
      <c r="K18" s="12">
        <v>0.439</v>
      </c>
      <c r="L18" s="12" t="s">
        <v>422</v>
      </c>
      <c r="M18" s="12">
        <v>1060</v>
      </c>
    </row>
    <row r="19" spans="2:13">
      <c r="B19" s="4" t="s">
        <v>425</v>
      </c>
      <c r="C19" s="5">
        <v>0.5</v>
      </c>
      <c r="D19" s="5"/>
      <c r="E19" s="5"/>
      <c r="F19" s="5"/>
      <c r="G19" s="5"/>
      <c r="H19" s="5"/>
      <c r="I19" s="12" t="s">
        <v>426</v>
      </c>
      <c r="J19" s="12"/>
      <c r="K19" s="12">
        <v>0.391</v>
      </c>
      <c r="L19" s="12" t="s">
        <v>422</v>
      </c>
      <c r="M19" s="12">
        <v>1126</v>
      </c>
    </row>
    <row r="20" spans="2:13">
      <c r="B20" s="4" t="s">
        <v>427</v>
      </c>
      <c r="C20" s="5">
        <v>0.5</v>
      </c>
      <c r="D20" s="5"/>
      <c r="E20" s="5"/>
      <c r="F20" s="5"/>
      <c r="G20" s="5"/>
      <c r="H20" s="5"/>
      <c r="I20" s="12" t="s">
        <v>428</v>
      </c>
      <c r="J20" s="12"/>
      <c r="K20" s="12">
        <v>0.391</v>
      </c>
      <c r="L20" s="12" t="s">
        <v>422</v>
      </c>
      <c r="M20" s="12">
        <v>1126</v>
      </c>
    </row>
    <row r="21" spans="2:13">
      <c r="B21" s="4" t="s">
        <v>429</v>
      </c>
      <c r="C21" s="5">
        <v>0.5</v>
      </c>
      <c r="D21" s="5"/>
      <c r="E21" s="5"/>
      <c r="F21" s="5"/>
      <c r="G21" s="5"/>
      <c r="H21" s="5"/>
      <c r="I21" s="12" t="s">
        <v>430</v>
      </c>
      <c r="J21" s="12"/>
      <c r="K21" s="12">
        <v>0.391</v>
      </c>
      <c r="L21" s="12" t="s">
        <v>417</v>
      </c>
      <c r="M21" s="12">
        <v>1118</v>
      </c>
    </row>
    <row r="22" spans="2:13">
      <c r="B22" s="4" t="s">
        <v>431</v>
      </c>
      <c r="C22" s="5">
        <v>0.5</v>
      </c>
      <c r="D22" s="5"/>
      <c r="E22" s="5"/>
      <c r="F22" s="5"/>
      <c r="G22" s="5"/>
      <c r="H22" s="5"/>
      <c r="I22" s="12" t="s">
        <v>432</v>
      </c>
      <c r="J22" s="12"/>
      <c r="K22" s="12">
        <v>0.391</v>
      </c>
      <c r="L22" s="12" t="s">
        <v>417</v>
      </c>
      <c r="M22" s="12">
        <v>1118</v>
      </c>
    </row>
    <row r="23" s="1" customFormat="1" spans="1:13">
      <c r="A23" s="1" t="s">
        <v>433</v>
      </c>
      <c r="B23" s="8" t="s">
        <v>434</v>
      </c>
      <c r="I23" s="1">
        <v>2026</v>
      </c>
      <c r="M23" s="1">
        <v>126.5</v>
      </c>
    </row>
    <row r="24" spans="2:13">
      <c r="B24" s="8" t="s">
        <v>435</v>
      </c>
      <c r="C24" s="5"/>
      <c r="D24" s="5"/>
      <c r="E24" s="5"/>
      <c r="F24" s="5"/>
      <c r="G24" s="5"/>
      <c r="H24" s="5"/>
      <c r="I24" s="1">
        <v>2027</v>
      </c>
      <c r="J24" s="1"/>
      <c r="K24" s="12"/>
      <c r="L24" s="12"/>
      <c r="M24" s="1">
        <v>127.5</v>
      </c>
    </row>
    <row r="25" spans="2:13">
      <c r="B25" s="4"/>
      <c r="C25" s="5"/>
      <c r="D25" s="5"/>
      <c r="E25" s="5"/>
      <c r="F25" s="5"/>
      <c r="G25" s="5"/>
      <c r="H25" s="5"/>
      <c r="I25" s="12"/>
      <c r="J25" s="12"/>
      <c r="K25" s="12"/>
      <c r="L25" s="12"/>
      <c r="M25" s="12"/>
    </row>
    <row r="26" spans="2:13">
      <c r="B26" s="4" t="s">
        <v>436</v>
      </c>
      <c r="C26" s="5">
        <v>0.51</v>
      </c>
      <c r="D26" s="5"/>
      <c r="E26" s="5"/>
      <c r="F26" s="5"/>
      <c r="G26" s="5"/>
      <c r="H26" s="5"/>
      <c r="I26" s="12" t="s">
        <v>437</v>
      </c>
      <c r="J26" s="12"/>
      <c r="K26" s="12">
        <v>0.4153</v>
      </c>
      <c r="L26" s="12" t="s">
        <v>417</v>
      </c>
      <c r="M26" s="12">
        <v>1089</v>
      </c>
    </row>
    <row r="27" spans="2:13">
      <c r="B27" s="4" t="s">
        <v>438</v>
      </c>
      <c r="C27" s="5">
        <v>0.51</v>
      </c>
      <c r="D27" s="5"/>
      <c r="E27" s="5"/>
      <c r="F27" s="5"/>
      <c r="G27" s="5"/>
      <c r="H27" s="5"/>
      <c r="I27" s="12" t="s">
        <v>439</v>
      </c>
      <c r="J27" s="12"/>
      <c r="K27" s="12">
        <v>0.3916</v>
      </c>
      <c r="L27" s="12" t="s">
        <v>417</v>
      </c>
      <c r="M27" s="12">
        <v>1089</v>
      </c>
    </row>
    <row r="28" spans="2:13">
      <c r="B28" s="4" t="s">
        <v>440</v>
      </c>
      <c r="C28" s="5">
        <v>0.51</v>
      </c>
      <c r="D28" s="5"/>
      <c r="E28" s="5"/>
      <c r="F28" s="5"/>
      <c r="G28" s="5"/>
      <c r="H28" s="5"/>
      <c r="I28" s="12" t="s">
        <v>441</v>
      </c>
      <c r="J28" s="12"/>
      <c r="K28" s="12">
        <v>0.359</v>
      </c>
      <c r="L28" s="12" t="s">
        <v>417</v>
      </c>
      <c r="M28" s="12">
        <v>1089</v>
      </c>
    </row>
    <row r="29" spans="2:13">
      <c r="B29" s="4" t="s">
        <v>442</v>
      </c>
      <c r="C29" s="5">
        <v>0.51</v>
      </c>
      <c r="D29" s="5"/>
      <c r="E29" s="5"/>
      <c r="F29" s="5"/>
      <c r="G29" s="5"/>
      <c r="H29" s="5"/>
      <c r="I29" s="12" t="s">
        <v>443</v>
      </c>
      <c r="J29" s="12"/>
      <c r="K29" s="12">
        <v>0.3779</v>
      </c>
      <c r="L29" s="12" t="s">
        <v>417</v>
      </c>
      <c r="M29" s="12">
        <v>1089</v>
      </c>
    </row>
    <row r="30" spans="2:13">
      <c r="B30" s="4" t="s">
        <v>444</v>
      </c>
      <c r="C30" s="5">
        <v>0.51</v>
      </c>
      <c r="D30" s="5"/>
      <c r="E30" s="5"/>
      <c r="F30" s="5"/>
      <c r="G30" s="5"/>
      <c r="H30" s="5"/>
      <c r="I30" s="12" t="s">
        <v>445</v>
      </c>
      <c r="J30" s="12"/>
      <c r="L30" s="4" t="s">
        <v>446</v>
      </c>
      <c r="M30" s="12">
        <v>1161</v>
      </c>
    </row>
    <row r="32" spans="2:13">
      <c r="B32" s="4" t="s">
        <v>447</v>
      </c>
      <c r="C32" s="5">
        <v>0.51</v>
      </c>
      <c r="D32" s="5"/>
      <c r="E32" s="5"/>
      <c r="F32" s="5"/>
      <c r="G32" s="5"/>
      <c r="H32" s="5"/>
      <c r="I32" s="12" t="s">
        <v>448</v>
      </c>
      <c r="J32" s="12"/>
      <c r="K32" s="12">
        <v>0.4153</v>
      </c>
      <c r="L32" s="12" t="s">
        <v>403</v>
      </c>
      <c r="M32" s="12">
        <v>650</v>
      </c>
    </row>
    <row r="33" spans="2:13">
      <c r="B33" s="4" t="s">
        <v>449</v>
      </c>
      <c r="C33" s="5">
        <v>0.51</v>
      </c>
      <c r="D33" s="5"/>
      <c r="E33" s="5"/>
      <c r="F33" s="5"/>
      <c r="G33" s="5"/>
      <c r="H33" s="5"/>
      <c r="I33" s="12" t="s">
        <v>450</v>
      </c>
      <c r="J33" s="12"/>
      <c r="K33" s="12">
        <v>0.4153</v>
      </c>
      <c r="L33" s="12" t="s">
        <v>403</v>
      </c>
      <c r="M33" s="12">
        <v>650</v>
      </c>
    </row>
    <row r="35" spans="2:13">
      <c r="B35" s="4" t="s">
        <v>451</v>
      </c>
      <c r="C35" s="5">
        <v>0.51</v>
      </c>
      <c r="D35" s="5"/>
      <c r="E35" s="5"/>
      <c r="F35" s="5"/>
      <c r="G35" s="5"/>
      <c r="H35" s="5"/>
      <c r="I35" s="12" t="s">
        <v>452</v>
      </c>
      <c r="J35" s="12"/>
      <c r="K35" s="12">
        <v>0.4203</v>
      </c>
      <c r="L35" s="12" t="s">
        <v>453</v>
      </c>
      <c r="M35" s="12">
        <v>1250</v>
      </c>
    </row>
    <row r="36" spans="2:13">
      <c r="B36" s="4" t="s">
        <v>454</v>
      </c>
      <c r="C36" s="5">
        <v>0.51</v>
      </c>
      <c r="D36" s="5"/>
      <c r="E36" s="5"/>
      <c r="F36" s="5"/>
      <c r="G36" s="5"/>
      <c r="H36" s="5"/>
      <c r="I36" s="12" t="s">
        <v>455</v>
      </c>
      <c r="J36" s="12"/>
      <c r="K36" s="12">
        <v>0.4203</v>
      </c>
      <c r="L36" s="12" t="s">
        <v>453</v>
      </c>
      <c r="M36" s="12">
        <v>1250</v>
      </c>
    </row>
    <row r="37" s="1" customFormat="1" spans="1:14">
      <c r="A37" s="1" t="s">
        <v>433</v>
      </c>
      <c r="B37" s="8" t="s">
        <v>456</v>
      </c>
      <c r="C37" s="9"/>
      <c r="D37" s="9"/>
      <c r="E37" s="9"/>
      <c r="F37" s="9"/>
      <c r="G37" s="9"/>
      <c r="H37" s="9"/>
      <c r="I37" s="13">
        <v>2027</v>
      </c>
      <c r="J37" s="13"/>
      <c r="K37" s="13"/>
      <c r="L37" s="13"/>
      <c r="M37" s="13">
        <v>125.1</v>
      </c>
      <c r="N37" s="1" t="s">
        <v>457</v>
      </c>
    </row>
    <row r="38" s="1" customFormat="1" spans="2:13">
      <c r="B38" s="8" t="s">
        <v>458</v>
      </c>
      <c r="C38" s="9"/>
      <c r="D38" s="9"/>
      <c r="E38" s="9"/>
      <c r="F38" s="9"/>
      <c r="G38" s="9"/>
      <c r="H38" s="9"/>
      <c r="I38" s="13">
        <v>2028</v>
      </c>
      <c r="J38" s="13"/>
      <c r="K38" s="13"/>
      <c r="L38" s="13"/>
      <c r="M38" s="13">
        <v>125.1</v>
      </c>
    </row>
    <row r="40" s="1" customFormat="1" spans="1:13">
      <c r="A40" s="1" t="s">
        <v>459</v>
      </c>
      <c r="I40" s="1" t="s">
        <v>460</v>
      </c>
      <c r="M40" s="14"/>
    </row>
    <row r="41" s="1" customFormat="1" spans="2:13">
      <c r="B41" s="1" t="s">
        <v>461</v>
      </c>
      <c r="D41" s="10">
        <v>40313470000</v>
      </c>
      <c r="E41" s="10">
        <v>16506921237.79</v>
      </c>
      <c r="F41" s="11">
        <v>0.41</v>
      </c>
      <c r="G41" s="10">
        <v>6809194226.44</v>
      </c>
      <c r="I41" s="1">
        <v>2024</v>
      </c>
      <c r="M41" s="14">
        <v>121.2</v>
      </c>
    </row>
    <row r="42" s="1" customFormat="1" spans="2:13">
      <c r="B42" s="1" t="s">
        <v>462</v>
      </c>
      <c r="I42" s="1">
        <v>2025</v>
      </c>
      <c r="M42" s="14">
        <v>121.2</v>
      </c>
    </row>
    <row r="43" s="1" customFormat="1"/>
    <row r="44" s="1" customFormat="1" spans="2:13">
      <c r="B44" s="1" t="s">
        <v>463</v>
      </c>
      <c r="I44" s="1">
        <v>2026</v>
      </c>
      <c r="M44" s="1">
        <v>12.5</v>
      </c>
    </row>
    <row r="45" s="1" customFormat="1"/>
    <row r="46" s="1" customFormat="1" spans="2:13">
      <c r="B46" s="1" t="s">
        <v>464</v>
      </c>
      <c r="I46" s="1">
        <v>2027</v>
      </c>
      <c r="M46" s="1">
        <v>127.4</v>
      </c>
    </row>
    <row r="47" s="1" customFormat="1" spans="2:13">
      <c r="B47" s="1" t="s">
        <v>465</v>
      </c>
      <c r="I47" s="1">
        <v>2027</v>
      </c>
      <c r="M47" s="1">
        <v>127.4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X33"/>
  <sheetViews>
    <sheetView workbookViewId="0">
      <selection activeCell="C35" sqref="C35"/>
    </sheetView>
  </sheetViews>
  <sheetFormatPr defaultColWidth="9" defaultRowHeight="15.75"/>
  <cols>
    <col min="2" max="2" width="13.25" customWidth="1"/>
    <col min="3" max="3" width="15" customWidth="1"/>
  </cols>
  <sheetData>
    <row r="4" spans="2:5">
      <c r="B4" s="79" t="s">
        <v>40</v>
      </c>
      <c r="C4" t="s">
        <v>41</v>
      </c>
      <c r="D4" t="s">
        <v>42</v>
      </c>
      <c r="E4" t="s">
        <v>43</v>
      </c>
    </row>
    <row r="5" spans="2:13">
      <c r="B5" t="s">
        <v>44</v>
      </c>
      <c r="C5">
        <v>25</v>
      </c>
      <c r="K5" t="s">
        <v>45</v>
      </c>
      <c r="M5" t="s">
        <v>46</v>
      </c>
    </row>
    <row r="6" spans="2:24">
      <c r="B6" t="s">
        <v>47</v>
      </c>
      <c r="C6">
        <v>13</v>
      </c>
      <c r="L6">
        <f>E18</f>
        <v>388.2052080158</v>
      </c>
      <c r="M6">
        <v>10</v>
      </c>
      <c r="N6">
        <v>12</v>
      </c>
      <c r="O6">
        <v>15</v>
      </c>
      <c r="P6">
        <v>18</v>
      </c>
      <c r="Q6">
        <v>20</v>
      </c>
      <c r="R6">
        <v>22</v>
      </c>
      <c r="S6">
        <v>25</v>
      </c>
      <c r="T6">
        <v>30</v>
      </c>
      <c r="U6">
        <v>35</v>
      </c>
      <c r="V6">
        <v>40</v>
      </c>
      <c r="W6">
        <v>45</v>
      </c>
      <c r="X6">
        <v>50</v>
      </c>
    </row>
    <row r="7" spans="2:24">
      <c r="B7" t="s">
        <v>38</v>
      </c>
      <c r="C7" s="79">
        <v>0.08</v>
      </c>
      <c r="K7" t="s">
        <v>38</v>
      </c>
      <c r="L7" s="79">
        <v>0.05</v>
      </c>
      <c r="M7">
        <v>177.014069754886</v>
      </c>
      <c r="N7">
        <v>209.687431162941</v>
      </c>
      <c r="O7">
        <v>258.697473275024</v>
      </c>
      <c r="P7">
        <v>307.707515387107</v>
      </c>
      <c r="Q7">
        <v>340.380876795162</v>
      </c>
      <c r="R7">
        <v>373.054238203218</v>
      </c>
      <c r="S7">
        <v>422.064280315301</v>
      </c>
      <c r="T7">
        <v>503.747683835439</v>
      </c>
      <c r="U7">
        <v>585.431087355577</v>
      </c>
      <c r="V7">
        <v>667.114490875715</v>
      </c>
      <c r="W7">
        <v>748.797894395853</v>
      </c>
      <c r="X7">
        <v>830.481297915991</v>
      </c>
    </row>
    <row r="8" spans="3:24">
      <c r="C8" s="79"/>
      <c r="L8" s="79">
        <v>0.06</v>
      </c>
      <c r="M8">
        <v>172.172230263909</v>
      </c>
      <c r="N8">
        <v>203.929570215681</v>
      </c>
      <c r="O8">
        <v>251.56558014334</v>
      </c>
      <c r="P8">
        <v>299.201590070998</v>
      </c>
      <c r="Q8">
        <v>330.95893002277</v>
      </c>
      <c r="R8">
        <v>362.716269974543</v>
      </c>
      <c r="S8">
        <v>410.352279902201</v>
      </c>
      <c r="T8">
        <v>489.745629781632</v>
      </c>
      <c r="U8">
        <v>569.138979661062</v>
      </c>
      <c r="V8">
        <v>648.532329540493</v>
      </c>
      <c r="W8">
        <v>727.925679419924</v>
      </c>
      <c r="X8">
        <v>807.319029299354</v>
      </c>
    </row>
    <row r="9" spans="3:24">
      <c r="C9" s="79"/>
      <c r="L9" s="79">
        <v>0.07</v>
      </c>
      <c r="M9">
        <v>167.508198895875</v>
      </c>
      <c r="N9">
        <v>198.383441642457</v>
      </c>
      <c r="O9">
        <v>244.696305762328</v>
      </c>
      <c r="P9">
        <v>291.0091698822</v>
      </c>
      <c r="Q9">
        <v>321.884412628781</v>
      </c>
      <c r="R9">
        <v>352.759655375362</v>
      </c>
      <c r="S9">
        <v>399.072519495234</v>
      </c>
      <c r="T9">
        <v>476.260626361687</v>
      </c>
      <c r="U9">
        <v>553.44873322814</v>
      </c>
      <c r="V9">
        <v>630.636840094593</v>
      </c>
      <c r="W9">
        <v>707.824946961045</v>
      </c>
      <c r="X9">
        <v>785.013053827498</v>
      </c>
    </row>
    <row r="10" spans="3:24"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L10" s="79">
        <v>0.08</v>
      </c>
      <c r="M10">
        <v>163.013854754102</v>
      </c>
      <c r="N10">
        <v>193.039368522329</v>
      </c>
      <c r="O10">
        <v>238.077639174668</v>
      </c>
      <c r="P10">
        <v>283.115909827008</v>
      </c>
      <c r="Q10">
        <v>313.141423595234</v>
      </c>
      <c r="R10">
        <v>343.166937363461</v>
      </c>
      <c r="S10">
        <v>388.2052080158</v>
      </c>
      <c r="T10">
        <v>463.268992436366</v>
      </c>
      <c r="U10">
        <v>538.332776856932</v>
      </c>
      <c r="V10">
        <v>613.396561277498</v>
      </c>
      <c r="W10">
        <v>688.460345698064</v>
      </c>
      <c r="X10">
        <v>763.52413011863</v>
      </c>
    </row>
    <row r="11" spans="2:24">
      <c r="B11" t="s">
        <v>54</v>
      </c>
      <c r="C11">
        <v>1</v>
      </c>
      <c r="D11">
        <v>2</v>
      </c>
      <c r="E11">
        <v>3</v>
      </c>
      <c r="F11">
        <v>4</v>
      </c>
      <c r="G11">
        <v>5</v>
      </c>
      <c r="L11" s="79">
        <v>0.09</v>
      </c>
      <c r="M11">
        <v>158.681518715025</v>
      </c>
      <c r="N11">
        <v>187.888200573115</v>
      </c>
      <c r="O11">
        <v>231.698223360249</v>
      </c>
      <c r="P11">
        <v>275.508246147383</v>
      </c>
      <c r="Q11">
        <v>304.714928005473</v>
      </c>
      <c r="R11">
        <v>333.921609863563</v>
      </c>
      <c r="S11">
        <v>377.731632650697</v>
      </c>
      <c r="T11">
        <v>450.748337295921</v>
      </c>
      <c r="U11">
        <v>523.765041941146</v>
      </c>
      <c r="V11">
        <v>596.78174658637</v>
      </c>
      <c r="W11">
        <v>669.798451231594</v>
      </c>
      <c r="X11">
        <v>742.815155876818</v>
      </c>
    </row>
    <row r="12" spans="2:24">
      <c r="B12" t="s">
        <v>33</v>
      </c>
      <c r="C12" s="79">
        <v>0.15</v>
      </c>
      <c r="D12" s="79">
        <v>0.1</v>
      </c>
      <c r="E12" s="79">
        <v>0.15</v>
      </c>
      <c r="F12" s="79">
        <v>0.1</v>
      </c>
      <c r="G12" s="79">
        <v>0.15</v>
      </c>
      <c r="L12" s="79">
        <v>0.1</v>
      </c>
      <c r="M12">
        <v>154.503925619835</v>
      </c>
      <c r="N12">
        <v>182.921280991735</v>
      </c>
      <c r="O12">
        <v>225.547314049587</v>
      </c>
      <c r="P12">
        <v>268.173347107438</v>
      </c>
      <c r="Q12">
        <v>296.590702479339</v>
      </c>
      <c r="R12">
        <v>325.00805785124</v>
      </c>
      <c r="S12">
        <v>367.634090909091</v>
      </c>
      <c r="T12">
        <v>438.677479338843</v>
      </c>
      <c r="U12">
        <v>509.720867768595</v>
      </c>
      <c r="V12">
        <v>580.764256198347</v>
      </c>
      <c r="W12">
        <v>651.807644628099</v>
      </c>
      <c r="X12">
        <v>722.851033057851</v>
      </c>
    </row>
    <row r="13" spans="2:24">
      <c r="B13" t="s">
        <v>55</v>
      </c>
      <c r="C13" s="79">
        <v>0.3</v>
      </c>
      <c r="D13" s="79">
        <v>0.3</v>
      </c>
      <c r="E13" s="79">
        <v>0.3</v>
      </c>
      <c r="F13" s="79">
        <v>0.3</v>
      </c>
      <c r="G13" s="79">
        <v>0.3</v>
      </c>
      <c r="L13" s="79">
        <v>0.12</v>
      </c>
      <c r="M13">
        <v>146.585824326941</v>
      </c>
      <c r="N13">
        <v>173.507844530111</v>
      </c>
      <c r="O13">
        <v>213.890874834867</v>
      </c>
      <c r="P13">
        <v>254.273905139623</v>
      </c>
      <c r="Q13">
        <v>281.195925342793</v>
      </c>
      <c r="R13">
        <v>308.117945545964</v>
      </c>
      <c r="S13">
        <v>348.50097585072</v>
      </c>
      <c r="T13">
        <v>415.806026358646</v>
      </c>
      <c r="U13">
        <v>483.111076866572</v>
      </c>
      <c r="V13">
        <v>550.416127374499</v>
      </c>
      <c r="W13">
        <v>617.721177882425</v>
      </c>
      <c r="X13">
        <v>685.026228390351</v>
      </c>
    </row>
    <row r="14" spans="2:24">
      <c r="B14" t="s">
        <v>56</v>
      </c>
      <c r="C14">
        <f>C6*(1+C12)</f>
        <v>14.95</v>
      </c>
      <c r="D14">
        <f>C14*(1+D12)</f>
        <v>16.445</v>
      </c>
      <c r="E14">
        <f>D14*(1+E12)</f>
        <v>18.91175</v>
      </c>
      <c r="F14">
        <f>E14*(1+F12)</f>
        <v>20.802925</v>
      </c>
      <c r="G14">
        <f>F14*(1+G12)</f>
        <v>23.92336375</v>
      </c>
      <c r="L14" s="79">
        <v>0.15</v>
      </c>
      <c r="M14">
        <v>135.708695652174</v>
      </c>
      <c r="N14">
        <v>160.578260869565</v>
      </c>
      <c r="O14">
        <v>197.882608695652</v>
      </c>
      <c r="P14">
        <v>235.186956521739</v>
      </c>
      <c r="Q14">
        <v>260.056521739131</v>
      </c>
      <c r="R14">
        <v>284.926086956522</v>
      </c>
      <c r="S14">
        <v>322.230434782609</v>
      </c>
      <c r="T14">
        <v>384.404347826087</v>
      </c>
      <c r="U14">
        <v>446.578260869565</v>
      </c>
      <c r="V14">
        <v>508.752173913044</v>
      </c>
      <c r="W14">
        <v>570.926086956522</v>
      </c>
      <c r="X14">
        <v>633.1</v>
      </c>
    </row>
    <row r="15" spans="2:24">
      <c r="B15" t="s">
        <v>57</v>
      </c>
      <c r="C15">
        <f>C14*C13</f>
        <v>4.485</v>
      </c>
      <c r="D15">
        <f>D14*D13</f>
        <v>4.9335</v>
      </c>
      <c r="E15">
        <f>E14*E13</f>
        <v>5.673525</v>
      </c>
      <c r="F15">
        <f>F14*F13</f>
        <v>6.2408775</v>
      </c>
      <c r="G15">
        <f>G14*G13</f>
        <v>7.177009125</v>
      </c>
      <c r="L15" s="79">
        <v>0.2</v>
      </c>
      <c r="M15">
        <v>119.889829282407</v>
      </c>
      <c r="N15">
        <v>141.778428819444</v>
      </c>
      <c r="O15">
        <v>174.611328125</v>
      </c>
      <c r="P15">
        <v>207.444227430556</v>
      </c>
      <c r="Q15">
        <v>229.332826967593</v>
      </c>
      <c r="R15">
        <v>251.22142650463</v>
      </c>
      <c r="S15">
        <v>284.054325810185</v>
      </c>
      <c r="T15">
        <v>338.775824652778</v>
      </c>
      <c r="U15">
        <v>393.49732349537</v>
      </c>
      <c r="V15">
        <v>448.218822337963</v>
      </c>
      <c r="W15">
        <v>502.940321180556</v>
      </c>
      <c r="X15">
        <v>557.661820023148</v>
      </c>
    </row>
    <row r="16" spans="2:8">
      <c r="B16" t="s">
        <v>58</v>
      </c>
      <c r="C16">
        <f>C15/(1+C7)</f>
        <v>4.15277777777778</v>
      </c>
      <c r="D16">
        <f>D15/(1+C7)^(D11)</f>
        <v>4.22968106995885</v>
      </c>
      <c r="E16">
        <f>E15/(1+C7)^(E11)</f>
        <v>4.50382706523396</v>
      </c>
      <c r="F16">
        <f>F15/(1+C7)^(F11)</f>
        <v>4.5872312701457</v>
      </c>
      <c r="G16">
        <f>G15/(1+C7)^(G11)</f>
        <v>4.88455181543292</v>
      </c>
      <c r="H16">
        <f>SUM(C16:G16)</f>
        <v>22.3580689985492</v>
      </c>
    </row>
    <row r="17" spans="2:7">
      <c r="B17" t="s">
        <v>59</v>
      </c>
      <c r="E17">
        <f>E14*C5/(1+C7)^E11</f>
        <v>375.31892210283</v>
      </c>
      <c r="G17">
        <f>G14*C5/(1+C7)^G11</f>
        <v>407.04598461941</v>
      </c>
    </row>
    <row r="18" spans="2:7">
      <c r="B18" t="s">
        <v>60</v>
      </c>
      <c r="E18">
        <f>E17+C16+D16+E16</f>
        <v>388.2052080158</v>
      </c>
      <c r="G18">
        <f>G17+H16</f>
        <v>429.404053617959</v>
      </c>
    </row>
    <row r="20" spans="2:3">
      <c r="B20" t="s">
        <v>61</v>
      </c>
      <c r="C20" s="113">
        <v>2614694040</v>
      </c>
    </row>
    <row r="21" spans="2:3">
      <c r="B21" t="s">
        <v>62</v>
      </c>
      <c r="C21" s="113">
        <v>467</v>
      </c>
    </row>
    <row r="22" spans="2:11">
      <c r="B22" t="s">
        <v>63</v>
      </c>
      <c r="E22">
        <f>E18*100000000/C20</f>
        <v>14.8470605767626</v>
      </c>
      <c r="G22">
        <f>G18*100000000/C20</f>
        <v>16.4227266000866</v>
      </c>
      <c r="K22" t="s">
        <v>64</v>
      </c>
    </row>
    <row r="23" spans="13:13">
      <c r="M23" t="s">
        <v>46</v>
      </c>
    </row>
    <row r="24" spans="7:24">
      <c r="G24" t="s">
        <v>65</v>
      </c>
      <c r="L24">
        <f>G18</f>
        <v>429.404053617959</v>
      </c>
      <c r="M24">
        <v>10</v>
      </c>
      <c r="N24">
        <v>12</v>
      </c>
      <c r="O24">
        <v>15</v>
      </c>
      <c r="P24">
        <v>18</v>
      </c>
      <c r="Q24">
        <v>20</v>
      </c>
      <c r="R24">
        <v>22</v>
      </c>
      <c r="S24">
        <v>25</v>
      </c>
      <c r="T24">
        <v>30</v>
      </c>
      <c r="U24">
        <v>35</v>
      </c>
      <c r="V24">
        <v>40</v>
      </c>
      <c r="W24">
        <v>45</v>
      </c>
      <c r="X24">
        <v>50</v>
      </c>
    </row>
    <row r="25" spans="11:24">
      <c r="K25" t="s">
        <v>38</v>
      </c>
      <c r="L25" s="79">
        <v>0.05</v>
      </c>
      <c r="M25">
        <v>211.850837405833</v>
      </c>
      <c r="N25">
        <v>249.340000381969</v>
      </c>
      <c r="O25">
        <v>305.573744846173</v>
      </c>
      <c r="P25">
        <v>361.807489310377</v>
      </c>
      <c r="Q25">
        <v>399.296652286513</v>
      </c>
      <c r="R25">
        <v>436.785815262649</v>
      </c>
      <c r="S25">
        <v>493.019559726853</v>
      </c>
      <c r="T25">
        <v>586.742467167193</v>
      </c>
      <c r="U25">
        <v>680.465374607533</v>
      </c>
      <c r="V25">
        <v>774.188282047873</v>
      </c>
      <c r="W25">
        <v>867.911189488213</v>
      </c>
      <c r="X25">
        <v>961.634096928553</v>
      </c>
    </row>
    <row r="26" spans="12:24">
      <c r="L26" s="79">
        <v>0.06</v>
      </c>
      <c r="M26">
        <v>202.461259597584</v>
      </c>
      <c r="N26">
        <v>238.215117766854</v>
      </c>
      <c r="O26">
        <v>291.845905020759</v>
      </c>
      <c r="P26">
        <v>345.476692274664</v>
      </c>
      <c r="Q26">
        <v>381.230550443934</v>
      </c>
      <c r="R26">
        <v>416.984408613204</v>
      </c>
      <c r="S26">
        <v>470.615195867109</v>
      </c>
      <c r="T26">
        <v>559.999841290285</v>
      </c>
      <c r="U26">
        <v>649.38448671346</v>
      </c>
      <c r="V26">
        <v>738.769132136635</v>
      </c>
      <c r="W26">
        <v>828.153777559811</v>
      </c>
      <c r="X26">
        <v>917.538422982986</v>
      </c>
    </row>
    <row r="27" spans="3:24">
      <c r="C27" s="20">
        <v>492509895.313673</v>
      </c>
      <c r="L27" s="79">
        <v>0.07</v>
      </c>
      <c r="M27">
        <v>193.580506247954</v>
      </c>
      <c r="N27">
        <v>227.694561688975</v>
      </c>
      <c r="O27">
        <v>278.865644850507</v>
      </c>
      <c r="P27">
        <v>330.036728012039</v>
      </c>
      <c r="Q27">
        <v>364.15078345306</v>
      </c>
      <c r="R27">
        <v>398.264838894081</v>
      </c>
      <c r="S27">
        <v>449.435922055613</v>
      </c>
      <c r="T27">
        <v>534.721060658165</v>
      </c>
      <c r="U27">
        <v>620.006199260719</v>
      </c>
      <c r="V27">
        <v>705.291337863271</v>
      </c>
      <c r="W27">
        <v>790.576476465824</v>
      </c>
      <c r="X27">
        <v>875.861615068377</v>
      </c>
    </row>
    <row r="28" spans="3:24">
      <c r="C28" s="20">
        <v>1095674964.85643</v>
      </c>
      <c r="L28" s="79">
        <v>0.08</v>
      </c>
      <c r="M28">
        <v>185.176462846313</v>
      </c>
      <c r="N28">
        <v>217.740141615866</v>
      </c>
      <c r="O28">
        <v>266.585659770195</v>
      </c>
      <c r="P28">
        <v>315.431177924524</v>
      </c>
      <c r="Q28">
        <v>347.994856694077</v>
      </c>
      <c r="R28">
        <v>380.55853546363</v>
      </c>
      <c r="S28">
        <v>429.404053617959</v>
      </c>
      <c r="T28">
        <v>510.813250541841</v>
      </c>
      <c r="U28">
        <v>592.222447465723</v>
      </c>
      <c r="V28">
        <v>673.631644389605</v>
      </c>
      <c r="W28">
        <v>755.040841313487</v>
      </c>
      <c r="X28">
        <v>836.450038237369</v>
      </c>
    </row>
    <row r="29" spans="3:24">
      <c r="C29" s="20">
        <v>1240360139.73048</v>
      </c>
      <c r="L29" s="79">
        <v>0.09</v>
      </c>
      <c r="M29">
        <v>177.219317544404</v>
      </c>
      <c r="N29">
        <v>208.316407478318</v>
      </c>
      <c r="O29">
        <v>254.962042379189</v>
      </c>
      <c r="P29">
        <v>301.607677280061</v>
      </c>
      <c r="Q29">
        <v>332.704767213975</v>
      </c>
      <c r="R29">
        <v>363.801857147889</v>
      </c>
      <c r="S29">
        <v>410.44749204876</v>
      </c>
      <c r="T29">
        <v>488.190216883546</v>
      </c>
      <c r="U29">
        <v>565.932941718331</v>
      </c>
      <c r="V29">
        <v>643.675666553116</v>
      </c>
      <c r="W29">
        <v>721.418391387902</v>
      </c>
      <c r="X29">
        <v>799.161116222687</v>
      </c>
    </row>
    <row r="30" spans="3:24">
      <c r="C30" s="20">
        <v>1389298120.65081</v>
      </c>
      <c r="L30" s="79">
        <v>0.1</v>
      </c>
      <c r="M30">
        <v>169.681376784373</v>
      </c>
      <c r="N30">
        <v>199.390430127723</v>
      </c>
      <c r="O30">
        <v>243.95401014275</v>
      </c>
      <c r="P30">
        <v>288.517590157776</v>
      </c>
      <c r="Q30">
        <v>318.226643501127</v>
      </c>
      <c r="R30">
        <v>347.935696844478</v>
      </c>
      <c r="S30">
        <v>392.499276859504</v>
      </c>
      <c r="T30">
        <v>466.771910217881</v>
      </c>
      <c r="U30">
        <v>541.044543576258</v>
      </c>
      <c r="V30">
        <v>615.317176934635</v>
      </c>
      <c r="W30">
        <v>689.589810293013</v>
      </c>
      <c r="X30">
        <v>763.86244365139</v>
      </c>
    </row>
    <row r="31" spans="3:24">
      <c r="C31" s="20">
        <v>1563252546.71888</v>
      </c>
      <c r="L31" s="79">
        <v>0.12</v>
      </c>
      <c r="M31">
        <v>155.761932217458</v>
      </c>
      <c r="N31">
        <v>182.911450359208</v>
      </c>
      <c r="O31">
        <v>223.635727571832</v>
      </c>
      <c r="P31">
        <v>264.360004784457</v>
      </c>
      <c r="Q31">
        <v>291.509522926207</v>
      </c>
      <c r="R31">
        <v>318.659041067956</v>
      </c>
      <c r="S31">
        <v>359.383318280581</v>
      </c>
      <c r="T31">
        <v>427.257113634955</v>
      </c>
      <c r="U31">
        <v>495.130908989329</v>
      </c>
      <c r="V31">
        <v>563.004704343703</v>
      </c>
      <c r="W31">
        <v>630.878499698077</v>
      </c>
      <c r="X31">
        <v>698.752295052451</v>
      </c>
    </row>
    <row r="32" spans="12:24">
      <c r="L32" s="79">
        <v>0.15</v>
      </c>
      <c r="M32">
        <v>137.438752362949</v>
      </c>
      <c r="N32">
        <v>161.227032136106</v>
      </c>
      <c r="O32">
        <v>196.909451795841</v>
      </c>
      <c r="P32">
        <v>232.591871455577</v>
      </c>
      <c r="Q32">
        <v>256.380151228733</v>
      </c>
      <c r="R32">
        <v>280.16843100189</v>
      </c>
      <c r="S32">
        <v>315.850850661626</v>
      </c>
      <c r="T32">
        <v>375.321550094518</v>
      </c>
      <c r="U32">
        <v>434.79224952741</v>
      </c>
      <c r="V32">
        <v>494.262948960303</v>
      </c>
      <c r="W32">
        <v>553.733648393195</v>
      </c>
      <c r="X32">
        <v>613.204347826087</v>
      </c>
    </row>
    <row r="33" spans="12:24">
      <c r="L33" s="79">
        <v>0.2</v>
      </c>
      <c r="M33">
        <v>112.483426418226</v>
      </c>
      <c r="N33">
        <v>131.711953094859</v>
      </c>
      <c r="O33">
        <v>160.554743109809</v>
      </c>
      <c r="P33">
        <v>189.397533124759</v>
      </c>
      <c r="Q33">
        <v>208.626059801392</v>
      </c>
      <c r="R33">
        <v>227.854586478025</v>
      </c>
      <c r="S33">
        <v>256.697376492975</v>
      </c>
      <c r="T33">
        <v>304.768693184558</v>
      </c>
      <c r="U33">
        <v>352.840009876141</v>
      </c>
      <c r="V33">
        <v>400.911326567724</v>
      </c>
      <c r="W33">
        <v>448.982643259307</v>
      </c>
      <c r="X33">
        <v>497.053959950891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X33"/>
  <sheetViews>
    <sheetView topLeftCell="J1" workbookViewId="0">
      <selection activeCell="V33" sqref="V33"/>
    </sheetView>
  </sheetViews>
  <sheetFormatPr defaultColWidth="9" defaultRowHeight="15.75"/>
  <cols>
    <col min="2" max="2" width="13.25" customWidth="1"/>
    <col min="3" max="4" width="16.75" customWidth="1"/>
    <col min="5" max="5" width="17.875" customWidth="1"/>
    <col min="6" max="6" width="16.75" customWidth="1"/>
    <col min="7" max="7" width="17.875" customWidth="1"/>
    <col min="8" max="8" width="16.75" customWidth="1"/>
    <col min="13" max="24" width="17.75" customWidth="1"/>
  </cols>
  <sheetData>
    <row r="4" spans="2:5">
      <c r="B4" s="79" t="s">
        <v>40</v>
      </c>
      <c r="C4" t="s">
        <v>41</v>
      </c>
      <c r="D4" t="s">
        <v>42</v>
      </c>
      <c r="E4" t="s">
        <v>43</v>
      </c>
    </row>
    <row r="5" spans="2:13">
      <c r="B5" t="s">
        <v>44</v>
      </c>
      <c r="C5">
        <v>35</v>
      </c>
      <c r="K5" t="s">
        <v>45</v>
      </c>
      <c r="M5" t="s">
        <v>46</v>
      </c>
    </row>
    <row r="6" spans="2:24">
      <c r="B6" t="s">
        <v>47</v>
      </c>
      <c r="C6">
        <v>13</v>
      </c>
      <c r="L6">
        <f>E18</f>
        <v>35470903023.1434</v>
      </c>
      <c r="M6">
        <v>10</v>
      </c>
      <c r="N6">
        <v>12</v>
      </c>
      <c r="O6">
        <v>15</v>
      </c>
      <c r="P6">
        <v>18</v>
      </c>
      <c r="Q6">
        <v>20</v>
      </c>
      <c r="R6">
        <v>22</v>
      </c>
      <c r="S6">
        <v>25</v>
      </c>
      <c r="T6">
        <v>30</v>
      </c>
      <c r="U6">
        <v>35</v>
      </c>
      <c r="V6">
        <v>40</v>
      </c>
      <c r="W6">
        <v>45</v>
      </c>
      <c r="X6">
        <v>50</v>
      </c>
    </row>
    <row r="7" spans="2:24">
      <c r="B7" t="s">
        <v>38</v>
      </c>
      <c r="C7" s="79">
        <v>0.08</v>
      </c>
      <c r="K7" t="s">
        <v>38</v>
      </c>
      <c r="L7" s="79">
        <v>0</v>
      </c>
      <c r="M7" s="20">
        <v>13342385777.3296</v>
      </c>
      <c r="N7" s="20">
        <v>15845745277.5742</v>
      </c>
      <c r="O7" s="20">
        <v>19600784527.9412</v>
      </c>
      <c r="P7" s="20">
        <v>23355823778.3082</v>
      </c>
      <c r="Q7" s="20">
        <v>25859183278.5528</v>
      </c>
      <c r="R7" s="20">
        <v>28362542778.7975</v>
      </c>
      <c r="S7" s="20">
        <v>32117582029.1644</v>
      </c>
      <c r="T7" s="20">
        <v>38375980779.7761</v>
      </c>
      <c r="U7" s="20">
        <v>44634379530.3877</v>
      </c>
      <c r="V7" s="20">
        <v>50892778280.9993</v>
      </c>
      <c r="W7" s="20">
        <v>57151177031.6109</v>
      </c>
      <c r="X7" s="20">
        <v>63409575782.2225</v>
      </c>
    </row>
    <row r="8" spans="3:24">
      <c r="C8" s="79"/>
      <c r="L8" s="79">
        <v>0.06</v>
      </c>
      <c r="M8" s="20">
        <v>11233069819.1367</v>
      </c>
      <c r="N8" s="20">
        <v>13334938727.9042</v>
      </c>
      <c r="O8" s="20">
        <v>16487742091.0555</v>
      </c>
      <c r="P8" s="20">
        <v>19640545454.2067</v>
      </c>
      <c r="Q8" s="20">
        <v>21742414362.9743</v>
      </c>
      <c r="R8" s="20">
        <v>23844283271.7418</v>
      </c>
      <c r="S8" s="20">
        <v>26997086634.893</v>
      </c>
      <c r="T8" s="20">
        <v>32251758906.8118</v>
      </c>
      <c r="U8" s="20">
        <v>37506431178.7306</v>
      </c>
      <c r="V8" s="20">
        <v>42761103450.6494</v>
      </c>
      <c r="W8" s="20">
        <v>48015775722.5681</v>
      </c>
      <c r="X8" s="20">
        <v>53270447994.4869</v>
      </c>
    </row>
    <row r="9" spans="3:24">
      <c r="C9" s="79"/>
      <c r="L9" s="79">
        <v>0.07</v>
      </c>
      <c r="M9" s="20">
        <v>10926091916.1476</v>
      </c>
      <c r="N9" s="20">
        <v>12969578961.2918</v>
      </c>
      <c r="O9" s="20">
        <v>16034809529.0082</v>
      </c>
      <c r="P9" s="20">
        <v>19100040096.7246</v>
      </c>
      <c r="Q9" s="20">
        <v>21143527141.8688</v>
      </c>
      <c r="R9" s="20">
        <v>23187014187.0131</v>
      </c>
      <c r="S9" s="20">
        <v>26252244754.7294</v>
      </c>
      <c r="T9" s="20">
        <v>31360962367.59</v>
      </c>
      <c r="U9" s="20">
        <v>36469679980.4507</v>
      </c>
      <c r="V9" s="20">
        <v>41578397593.3113</v>
      </c>
      <c r="W9" s="20">
        <v>46687115206.1719</v>
      </c>
      <c r="X9" s="20">
        <v>51795832819.0325</v>
      </c>
    </row>
    <row r="10" spans="3:24"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L10" s="79">
        <v>0.08</v>
      </c>
      <c r="M10" s="20">
        <v>10630309496.1642</v>
      </c>
      <c r="N10" s="20">
        <v>12617556978.3225</v>
      </c>
      <c r="O10" s="20">
        <v>15598428201.56</v>
      </c>
      <c r="P10" s="20">
        <v>18579299424.7975</v>
      </c>
      <c r="Q10" s="20">
        <v>20566546906.9559</v>
      </c>
      <c r="R10" s="20">
        <v>22553794389.1142</v>
      </c>
      <c r="S10" s="20">
        <v>25534665612.3517</v>
      </c>
      <c r="T10" s="20">
        <v>30502784317.7476</v>
      </c>
      <c r="U10" s="20">
        <v>35470903023.1434</v>
      </c>
      <c r="V10" s="20">
        <v>40439021728.5393</v>
      </c>
      <c r="W10" s="20">
        <v>45407140433.9351</v>
      </c>
      <c r="X10" s="20">
        <v>50375259139.331</v>
      </c>
    </row>
    <row r="11" spans="2:24">
      <c r="B11" t="s">
        <v>54</v>
      </c>
      <c r="C11">
        <v>1</v>
      </c>
      <c r="D11">
        <v>2</v>
      </c>
      <c r="E11">
        <v>3</v>
      </c>
      <c r="F11">
        <v>4</v>
      </c>
      <c r="G11">
        <v>5</v>
      </c>
      <c r="L11" s="79">
        <v>0.09</v>
      </c>
      <c r="M11" s="20">
        <v>10345215384.4473</v>
      </c>
      <c r="N11" s="20">
        <v>12278268235.1901</v>
      </c>
      <c r="O11" s="20">
        <v>15177847511.3044</v>
      </c>
      <c r="P11" s="20">
        <v>18077426787.4186</v>
      </c>
      <c r="Q11" s="20">
        <v>20010479638.1614</v>
      </c>
      <c r="R11" s="20">
        <v>21943532488.9043</v>
      </c>
      <c r="S11" s="20">
        <v>24843111765.0185</v>
      </c>
      <c r="T11" s="20">
        <v>29675743891.8756</v>
      </c>
      <c r="U11" s="20">
        <v>34508376018.7327</v>
      </c>
      <c r="V11" s="20">
        <v>39341008145.5898</v>
      </c>
      <c r="W11" s="20">
        <v>44173640272.4469</v>
      </c>
      <c r="X11" s="20">
        <v>49006272399.304</v>
      </c>
    </row>
    <row r="12" spans="2:24">
      <c r="B12" t="s">
        <v>33</v>
      </c>
      <c r="C12" s="79">
        <v>0.15</v>
      </c>
      <c r="D12" s="79">
        <v>0.1</v>
      </c>
      <c r="E12" s="79">
        <v>0.15</v>
      </c>
      <c r="F12" s="79">
        <v>0.1</v>
      </c>
      <c r="G12" s="79">
        <v>0.15</v>
      </c>
      <c r="L12" s="79">
        <v>0.1</v>
      </c>
      <c r="M12" s="20">
        <v>10070329762.1738</v>
      </c>
      <c r="N12" s="20">
        <v>11951140806.6852</v>
      </c>
      <c r="O12" s="20">
        <v>14772357373.4522</v>
      </c>
      <c r="P12" s="20">
        <v>17593573940.2193</v>
      </c>
      <c r="Q12" s="20">
        <v>19474384984.7307</v>
      </c>
      <c r="R12" s="20">
        <v>21355196029.2421</v>
      </c>
      <c r="S12" s="20">
        <v>24176412596.0091</v>
      </c>
      <c r="T12" s="20">
        <v>28878440207.2876</v>
      </c>
      <c r="U12" s="20">
        <v>33580467818.566</v>
      </c>
      <c r="V12" s="20">
        <v>38282495429.8445</v>
      </c>
      <c r="W12" s="20">
        <v>42984523041.1229</v>
      </c>
      <c r="X12" s="20">
        <v>47686550652.4014</v>
      </c>
    </row>
    <row r="13" spans="2:24">
      <c r="B13" t="s">
        <v>55</v>
      </c>
      <c r="C13" s="79">
        <v>0.3</v>
      </c>
      <c r="D13" s="79">
        <v>0.3</v>
      </c>
      <c r="E13" s="79">
        <v>0.3</v>
      </c>
      <c r="F13" s="79">
        <v>0.3</v>
      </c>
      <c r="G13" s="79">
        <v>0.3</v>
      </c>
      <c r="L13" s="79">
        <v>0.12</v>
      </c>
      <c r="M13" s="20">
        <v>9549391368.07934</v>
      </c>
      <c r="N13" s="20">
        <v>11331233213.5295</v>
      </c>
      <c r="O13" s="20">
        <v>14003995981.7048</v>
      </c>
      <c r="P13" s="20">
        <v>16676758749.8801</v>
      </c>
      <c r="Q13" s="20">
        <v>18458600595.3303</v>
      </c>
      <c r="R13" s="20">
        <v>20240442440.7805</v>
      </c>
      <c r="S13" s="20">
        <v>22913205208.9558</v>
      </c>
      <c r="T13" s="20">
        <v>27367809822.5812</v>
      </c>
      <c r="U13" s="20">
        <v>31822414436.2067</v>
      </c>
      <c r="V13" s="20">
        <v>36277019049.8322</v>
      </c>
      <c r="W13" s="20">
        <v>40731623663.4577</v>
      </c>
      <c r="X13" s="20">
        <v>45186228277.0831</v>
      </c>
    </row>
    <row r="14" spans="2:24">
      <c r="B14" t="s">
        <v>56</v>
      </c>
      <c r="C14" s="50">
        <f>各营业业务分析!K286</f>
        <v>491354576.265405</v>
      </c>
      <c r="D14" s="50">
        <f>各营业业务分析!K287</f>
        <v>1008926593.96683</v>
      </c>
      <c r="E14" s="50">
        <f>各营业业务分析!K288</f>
        <v>1251679750.12232</v>
      </c>
      <c r="F14" s="50">
        <f>各营业业务分析!K289</f>
        <v>1440489725.70458</v>
      </c>
      <c r="G14" s="50">
        <f>各营业业务分析!K290</f>
        <v>1619595393.86027</v>
      </c>
      <c r="H14" s="50"/>
      <c r="L14" s="79">
        <v>0.15</v>
      </c>
      <c r="M14" s="20">
        <v>8833944952.28851</v>
      </c>
      <c r="N14" s="20">
        <v>10479944459.3122</v>
      </c>
      <c r="O14" s="20">
        <v>12948943719.8477</v>
      </c>
      <c r="P14" s="20">
        <v>15417942980.3832</v>
      </c>
      <c r="Q14" s="20">
        <v>17063942487.4069</v>
      </c>
      <c r="R14" s="20">
        <v>18709941994.4306</v>
      </c>
      <c r="S14" s="20">
        <v>21178941254.9661</v>
      </c>
      <c r="T14" s="20">
        <v>25293940022.5254</v>
      </c>
      <c r="U14" s="20">
        <v>29408938790.0846</v>
      </c>
      <c r="V14" s="20">
        <v>33523937557.6438</v>
      </c>
      <c r="W14" s="20">
        <v>37638936325.203</v>
      </c>
      <c r="X14" s="20">
        <v>41753935092.7622</v>
      </c>
    </row>
    <row r="15" spans="2:24">
      <c r="B15" t="s">
        <v>57</v>
      </c>
      <c r="C15" s="50">
        <f>C14*C13</f>
        <v>147406372.879622</v>
      </c>
      <c r="D15" s="50">
        <f>D14*D13</f>
        <v>302677978.19005</v>
      </c>
      <c r="E15" s="50">
        <f>E14*E13</f>
        <v>375503925.036697</v>
      </c>
      <c r="F15" s="50">
        <f>F14*F13</f>
        <v>432146917.711373</v>
      </c>
      <c r="G15" s="50">
        <f>G14*G13</f>
        <v>485878618.158082</v>
      </c>
      <c r="H15" s="50"/>
      <c r="L15" s="79">
        <v>0.2</v>
      </c>
      <c r="M15" s="20">
        <v>7793854269.11727</v>
      </c>
      <c r="N15" s="20">
        <v>9242557683.6107</v>
      </c>
      <c r="O15" s="20">
        <v>11415612805.3508</v>
      </c>
      <c r="P15" s="20">
        <v>13588667927.091</v>
      </c>
      <c r="Q15" s="20">
        <v>15037371341.5844</v>
      </c>
      <c r="R15" s="20">
        <v>16486074756.0778</v>
      </c>
      <c r="S15" s="20">
        <v>18659129877.818</v>
      </c>
      <c r="T15" s="20">
        <v>22280888414.0516</v>
      </c>
      <c r="U15" s="20">
        <v>25902646950.2851</v>
      </c>
      <c r="V15" s="20">
        <v>29524405486.5187</v>
      </c>
      <c r="W15" s="20">
        <v>33146164022.7523</v>
      </c>
      <c r="X15" s="20">
        <v>36767922558.9859</v>
      </c>
    </row>
    <row r="16" spans="2:8">
      <c r="B16" t="s">
        <v>58</v>
      </c>
      <c r="C16" s="50">
        <f>C15/(1+C7)</f>
        <v>136487382.295946</v>
      </c>
      <c r="D16" s="50">
        <f>D15/(1+C7)^(D11)</f>
        <v>259497580.752787</v>
      </c>
      <c r="E16" s="50">
        <f>E15/(1+C7)^(E11)</f>
        <v>298087122.323751</v>
      </c>
      <c r="F16" s="50">
        <f>F15/(1+C7)^(F11)</f>
        <v>317640885.311831</v>
      </c>
      <c r="G16" s="50">
        <f>G15/(1+C7)^(G11)</f>
        <v>330680823.316369</v>
      </c>
      <c r="H16" s="50">
        <f>SUM(C16:G16)</f>
        <v>1342393794.00068</v>
      </c>
    </row>
    <row r="17" spans="2:8">
      <c r="B17" t="s">
        <v>59</v>
      </c>
      <c r="C17" s="50"/>
      <c r="D17" s="50"/>
      <c r="E17" s="50">
        <f>E14*C5/(1+C7)^E11</f>
        <v>34776830937.7709</v>
      </c>
      <c r="F17" s="50"/>
      <c r="G17" s="50">
        <f>G14*C5/(1+C7)^G11</f>
        <v>38579429386.9098</v>
      </c>
      <c r="H17" s="50"/>
    </row>
    <row r="18" spans="2:8">
      <c r="B18" t="s">
        <v>60</v>
      </c>
      <c r="C18" s="50"/>
      <c r="D18" s="50"/>
      <c r="E18" s="50">
        <f>E17+C16+D16+E16</f>
        <v>35470903023.1434</v>
      </c>
      <c r="F18" s="50"/>
      <c r="G18" s="50">
        <f>G17+H16</f>
        <v>39921823180.9104</v>
      </c>
      <c r="H18" s="50"/>
    </row>
    <row r="19" spans="3:8">
      <c r="C19" s="50"/>
      <c r="D19" s="50"/>
      <c r="E19" s="50"/>
      <c r="F19" s="50"/>
      <c r="G19" s="50"/>
      <c r="H19" s="50"/>
    </row>
    <row r="20" spans="2:8">
      <c r="B20" t="s">
        <v>61</v>
      </c>
      <c r="C20" s="50">
        <v>2614694040</v>
      </c>
      <c r="D20" s="50"/>
      <c r="E20" s="50"/>
      <c r="F20" s="50"/>
      <c r="G20" s="50"/>
      <c r="H20" s="50"/>
    </row>
    <row r="21" spans="2:8">
      <c r="B21" t="s">
        <v>62</v>
      </c>
      <c r="C21" s="50">
        <v>467</v>
      </c>
      <c r="D21" s="50"/>
      <c r="E21" s="50"/>
      <c r="F21" s="50"/>
      <c r="G21" s="50"/>
      <c r="H21" s="50"/>
    </row>
    <row r="22" spans="2:11">
      <c r="B22" t="s">
        <v>63</v>
      </c>
      <c r="C22" s="50"/>
      <c r="D22" s="50"/>
      <c r="E22" s="50">
        <f>E18/C20</f>
        <v>13.5659861079361</v>
      </c>
      <c r="F22" s="50"/>
      <c r="G22" s="50">
        <f>G18/C20</f>
        <v>15.2682579950771</v>
      </c>
      <c r="H22" s="50"/>
      <c r="K22" t="s">
        <v>64</v>
      </c>
    </row>
    <row r="23" spans="3:13">
      <c r="C23" s="50"/>
      <c r="D23" s="50"/>
      <c r="E23" s="50"/>
      <c r="F23" s="50"/>
      <c r="G23" s="50"/>
      <c r="H23" s="50"/>
      <c r="M23" t="s">
        <v>46</v>
      </c>
    </row>
    <row r="24" spans="7:24">
      <c r="G24" t="s">
        <v>65</v>
      </c>
      <c r="L24">
        <f>G18</f>
        <v>39921823180.9104</v>
      </c>
      <c r="M24">
        <v>10</v>
      </c>
      <c r="N24">
        <v>12</v>
      </c>
      <c r="O24">
        <v>15</v>
      </c>
      <c r="P24">
        <v>18</v>
      </c>
      <c r="Q24">
        <v>20</v>
      </c>
      <c r="R24">
        <v>22</v>
      </c>
      <c r="S24">
        <v>25</v>
      </c>
      <c r="T24">
        <v>30</v>
      </c>
      <c r="U24">
        <v>35</v>
      </c>
      <c r="V24">
        <v>40</v>
      </c>
      <c r="W24">
        <v>45</v>
      </c>
      <c r="X24">
        <v>50</v>
      </c>
    </row>
    <row r="25" spans="11:24">
      <c r="K25" t="s">
        <v>38</v>
      </c>
      <c r="L25" s="79">
        <v>0</v>
      </c>
      <c r="M25" s="20">
        <v>17939567750.5785</v>
      </c>
      <c r="N25" s="20">
        <v>21178758538.2991</v>
      </c>
      <c r="O25" s="20">
        <v>26037544719.8799</v>
      </c>
      <c r="P25" s="20">
        <v>30896330901.4607</v>
      </c>
      <c r="Q25" s="20">
        <v>34135521689.1813</v>
      </c>
      <c r="R25" s="20">
        <v>37374712476.9018</v>
      </c>
      <c r="S25" s="20">
        <v>42233498658.4826</v>
      </c>
      <c r="T25" s="20">
        <v>50331475627.784</v>
      </c>
      <c r="U25" s="20">
        <v>58429452597.0854</v>
      </c>
      <c r="V25" s="20">
        <v>66527429566.3867</v>
      </c>
      <c r="W25" s="20">
        <v>74625406535.6881</v>
      </c>
      <c r="X25" s="20">
        <v>82723383504.9894</v>
      </c>
    </row>
    <row r="26" spans="12:24">
      <c r="L26" s="79">
        <v>0.04</v>
      </c>
      <c r="M26" s="20">
        <v>14836052689.5258</v>
      </c>
      <c r="N26" s="20">
        <v>17498431401.9185</v>
      </c>
      <c r="O26" s="20">
        <v>21491999470.5075</v>
      </c>
      <c r="P26" s="20">
        <v>25485567539.0965</v>
      </c>
      <c r="Q26" s="20">
        <v>28147946251.4892</v>
      </c>
      <c r="R26" s="20">
        <v>30810324963.8819</v>
      </c>
      <c r="S26" s="20">
        <v>34803893032.471</v>
      </c>
      <c r="T26" s="20">
        <v>41459839813.4527</v>
      </c>
      <c r="U26" s="20">
        <v>48115786594.4344</v>
      </c>
      <c r="V26" s="20">
        <v>54771733375.4162</v>
      </c>
      <c r="W26" s="20">
        <v>61427680156.3979</v>
      </c>
      <c r="X26" s="20">
        <v>68083626937.3796</v>
      </c>
    </row>
    <row r="27" spans="3:24">
      <c r="C27" s="20"/>
      <c r="L27" s="79">
        <v>0.05</v>
      </c>
      <c r="M27" s="20">
        <v>14165479930.8738</v>
      </c>
      <c r="N27" s="20">
        <v>16703470671.2364</v>
      </c>
      <c r="O27" s="20">
        <v>20510456781.7803</v>
      </c>
      <c r="P27" s="20">
        <v>24317442892.3243</v>
      </c>
      <c r="Q27" s="20">
        <v>26855433632.6869</v>
      </c>
      <c r="R27" s="20">
        <v>29393424373.0495</v>
      </c>
      <c r="S27" s="20">
        <v>33200410483.5935</v>
      </c>
      <c r="T27" s="20">
        <v>39545387334.5</v>
      </c>
      <c r="U27" s="20">
        <v>45890364185.4066</v>
      </c>
      <c r="V27" s="20">
        <v>52235341036.3132</v>
      </c>
      <c r="W27" s="20">
        <v>58580317887.2197</v>
      </c>
      <c r="X27" s="20">
        <v>64925294738.1263</v>
      </c>
    </row>
    <row r="28" spans="3:24">
      <c r="C28" s="20"/>
      <c r="L28" s="79">
        <v>0.06</v>
      </c>
      <c r="M28" s="20">
        <v>13531661826.8288</v>
      </c>
      <c r="N28" s="20">
        <v>15952173616.4254</v>
      </c>
      <c r="O28" s="20">
        <v>19582941300.8203</v>
      </c>
      <c r="P28" s="20">
        <v>23213708985.2152</v>
      </c>
      <c r="Q28" s="20">
        <v>25634220774.8118</v>
      </c>
      <c r="R28" s="20">
        <v>28054732564.4085</v>
      </c>
      <c r="S28" s="20">
        <v>31685500248.8034</v>
      </c>
      <c r="T28" s="20">
        <v>37736779722.7949</v>
      </c>
      <c r="U28" s="20">
        <v>43788059196.7865</v>
      </c>
      <c r="V28" s="20">
        <v>49839338670.778</v>
      </c>
      <c r="W28" s="20">
        <v>55890618144.7696</v>
      </c>
      <c r="X28" s="20">
        <v>61941897618.7611</v>
      </c>
    </row>
    <row r="29" spans="3:24">
      <c r="C29" s="20"/>
      <c r="L29" s="79">
        <v>0.07</v>
      </c>
      <c r="M29" s="20">
        <v>12932255566.2806</v>
      </c>
      <c r="N29" s="20">
        <v>15241753830.6361</v>
      </c>
      <c r="O29" s="20">
        <v>18706001227.1695</v>
      </c>
      <c r="P29" s="20">
        <v>22170248623.7028</v>
      </c>
      <c r="Q29" s="20">
        <v>24479746888.0584</v>
      </c>
      <c r="R29" s="20">
        <v>26789245152.414</v>
      </c>
      <c r="S29" s="20">
        <v>30253492548.9473</v>
      </c>
      <c r="T29" s="20">
        <v>36027238209.8362</v>
      </c>
      <c r="U29" s="20">
        <v>41800983870.7251</v>
      </c>
      <c r="V29" s="20">
        <v>47574729531.6141</v>
      </c>
      <c r="W29" s="20">
        <v>53348475192.503</v>
      </c>
      <c r="X29" s="20">
        <v>59122220853.3919</v>
      </c>
    </row>
    <row r="30" spans="3:24">
      <c r="C30" s="20"/>
      <c r="L30" s="79">
        <v>0.1</v>
      </c>
      <c r="M30" s="20">
        <v>11319542241.3035</v>
      </c>
      <c r="N30" s="20">
        <v>13330824870.856</v>
      </c>
      <c r="O30" s="20">
        <v>16347748815.1847</v>
      </c>
      <c r="P30" s="20">
        <v>19364672759.5134</v>
      </c>
      <c r="Q30" s="20">
        <v>21375955389.0658</v>
      </c>
      <c r="R30" s="20">
        <v>23387238018.6183</v>
      </c>
      <c r="S30" s="20">
        <v>26404161962.947</v>
      </c>
      <c r="T30" s="20">
        <v>31432368536.8282</v>
      </c>
      <c r="U30" s="20">
        <v>36460575110.7094</v>
      </c>
      <c r="V30" s="20">
        <v>41488781684.5905</v>
      </c>
      <c r="W30" s="20">
        <v>46516988258.4717</v>
      </c>
      <c r="X30" s="20">
        <v>51545194832.3528</v>
      </c>
    </row>
    <row r="31" spans="3:24">
      <c r="C31" s="20"/>
      <c r="L31" s="79">
        <v>0.12</v>
      </c>
      <c r="M31" s="20">
        <v>10380539114.8678</v>
      </c>
      <c r="N31" s="20">
        <v>12218542958.6168</v>
      </c>
      <c r="O31" s="20">
        <v>14975548724.2401</v>
      </c>
      <c r="P31" s="20">
        <v>17732554489.8635</v>
      </c>
      <c r="Q31" s="20">
        <v>19570558333.6124</v>
      </c>
      <c r="R31" s="20">
        <v>21408562177.3614</v>
      </c>
      <c r="S31" s="20">
        <v>24165567942.9847</v>
      </c>
      <c r="T31" s="20">
        <v>28760577552.357</v>
      </c>
      <c r="U31" s="20">
        <v>33355587161.7294</v>
      </c>
      <c r="V31" s="20">
        <v>37950596771.1017</v>
      </c>
      <c r="W31" s="20">
        <v>42545606380.474</v>
      </c>
      <c r="X31" s="20">
        <v>47140615989.8463</v>
      </c>
    </row>
    <row r="32" spans="12:24">
      <c r="L32" s="79">
        <v>0.15</v>
      </c>
      <c r="M32" s="20">
        <v>9144847869.30765</v>
      </c>
      <c r="N32" s="20">
        <v>10755298170.1548</v>
      </c>
      <c r="O32" s="20">
        <v>13170973621.4256</v>
      </c>
      <c r="P32" s="20">
        <v>15586649072.6964</v>
      </c>
      <c r="Q32" s="20">
        <v>17197099373.5436</v>
      </c>
      <c r="R32" s="20">
        <v>18807549674.3908</v>
      </c>
      <c r="S32" s="20">
        <v>21223225125.6616</v>
      </c>
      <c r="T32" s="20">
        <v>25249350877.7796</v>
      </c>
      <c r="U32" s="20">
        <v>29275476629.8976</v>
      </c>
      <c r="V32" s="20">
        <v>33301602382.0156</v>
      </c>
      <c r="W32" s="20">
        <v>37327728134.1336</v>
      </c>
      <c r="X32" s="20">
        <v>41353853886.2516</v>
      </c>
    </row>
    <row r="33" spans="12:24">
      <c r="L33" s="79">
        <v>0.2</v>
      </c>
      <c r="M33" s="20">
        <v>7462795746.1994</v>
      </c>
      <c r="N33" s="20">
        <v>8764553875.26662</v>
      </c>
      <c r="O33" s="20">
        <v>10717191068.8674</v>
      </c>
      <c r="P33" s="20">
        <v>12669828262.4683</v>
      </c>
      <c r="Q33" s="20">
        <v>13971586391.5355</v>
      </c>
      <c r="R33" s="20">
        <v>15273344520.6027</v>
      </c>
      <c r="S33" s="20">
        <v>17225981714.2035</v>
      </c>
      <c r="T33" s="20">
        <v>20480377036.8716</v>
      </c>
      <c r="U33" s="20">
        <v>23734772359.5396</v>
      </c>
      <c r="V33" s="20">
        <v>26989167682.2077</v>
      </c>
      <c r="W33" s="20">
        <v>30243563004.8757</v>
      </c>
      <c r="X33" s="20">
        <v>33497958327.5438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3"/>
  <sheetViews>
    <sheetView topLeftCell="A271" workbookViewId="0">
      <selection activeCell="A286" sqref="$A286:$XFD286"/>
    </sheetView>
  </sheetViews>
  <sheetFormatPr defaultColWidth="9" defaultRowHeight="15.75"/>
  <cols>
    <col min="1" max="1" width="17.25" customWidth="1"/>
    <col min="2" max="3" width="18.5" customWidth="1"/>
    <col min="4" max="5" width="15.5" customWidth="1"/>
    <col min="6" max="6" width="21.125" customWidth="1"/>
    <col min="7" max="7" width="15" customWidth="1"/>
    <col min="8" max="8" width="14.375" customWidth="1"/>
    <col min="9" max="10" width="16.625" customWidth="1"/>
    <col min="11" max="11" width="18.25" customWidth="1"/>
  </cols>
  <sheetData>
    <row r="1" spans="1:1">
      <c r="A1" s="101" t="str">
        <f>营业收入分析!C1</f>
        <v>杭州宋城</v>
      </c>
    </row>
    <row r="2" spans="1:2">
      <c r="A2" s="38" t="s">
        <v>66</v>
      </c>
      <c r="B2" t="s">
        <v>67</v>
      </c>
    </row>
    <row r="3" ht="31.5" spans="1:11">
      <c r="A3" s="39" t="s">
        <v>54</v>
      </c>
      <c r="B3" s="34" t="s">
        <v>68</v>
      </c>
      <c r="C3" s="34" t="s">
        <v>69</v>
      </c>
      <c r="D3" t="s">
        <v>70</v>
      </c>
      <c r="E3" t="s">
        <v>71</v>
      </c>
      <c r="F3" t="s">
        <v>72</v>
      </c>
      <c r="G3" t="s">
        <v>73</v>
      </c>
      <c r="H3" t="s">
        <v>74</v>
      </c>
      <c r="I3" s="6" t="s">
        <v>75</v>
      </c>
      <c r="J3" s="6" t="s">
        <v>76</v>
      </c>
      <c r="K3" t="s">
        <v>56</v>
      </c>
    </row>
    <row r="4" spans="1:11">
      <c r="A4" s="102">
        <v>2010</v>
      </c>
      <c r="B4" s="38">
        <f>营业收入分析!C2</f>
        <v>417437985.34</v>
      </c>
      <c r="C4" s="38"/>
      <c r="D4" s="38">
        <f>营业成本分析!C2</f>
        <v>96077216.74</v>
      </c>
      <c r="E4" s="38"/>
      <c r="F4" s="20">
        <f>B4-D4</f>
        <v>321360768.6</v>
      </c>
      <c r="G4" s="20"/>
      <c r="H4" s="17">
        <f t="shared" ref="H4:H11" si="0">F4/B4</f>
        <v>0.76984074254348</v>
      </c>
      <c r="I4" s="20">
        <f>B4-D4/0.65</f>
        <v>269626882.663077</v>
      </c>
      <c r="J4" s="17">
        <v>0.25</v>
      </c>
      <c r="K4" s="20">
        <f>I4*(1-J4)</f>
        <v>202220161.997308</v>
      </c>
    </row>
    <row r="5" spans="1:11">
      <c r="A5" s="102">
        <f>A4+1</f>
        <v>2011</v>
      </c>
      <c r="B5" s="38">
        <f>营业收入分析!C3</f>
        <v>467681460.2</v>
      </c>
      <c r="C5" s="41">
        <f>(B5-B4)/B4</f>
        <v>0.120361530633292</v>
      </c>
      <c r="D5" s="38">
        <f>营业成本分析!C3</f>
        <v>118938039.35</v>
      </c>
      <c r="E5" s="41">
        <f>(D5-D4)/D4</f>
        <v>0.237942182191486</v>
      </c>
      <c r="F5" s="20">
        <f t="shared" ref="F5:F11" si="1">B5-D5</f>
        <v>348743420.85</v>
      </c>
      <c r="G5" s="17">
        <f>(F5-F4)/F4</f>
        <v>0.0852084477184066</v>
      </c>
      <c r="H5" s="17">
        <f t="shared" si="0"/>
        <v>0.745685793704251</v>
      </c>
      <c r="I5" s="20">
        <f t="shared" ref="I5:I98" si="2">B5-D5/0.65</f>
        <v>284699861.2</v>
      </c>
      <c r="J5" s="17">
        <v>0.25</v>
      </c>
      <c r="K5" s="20">
        <f t="shared" ref="K5:K98" si="3">I5*(1-J5)</f>
        <v>213524895.9</v>
      </c>
    </row>
    <row r="6" spans="1:11">
      <c r="A6" s="102">
        <f t="shared" ref="A6:A19" si="4">A5+1</f>
        <v>2012</v>
      </c>
      <c r="B6" s="38">
        <f>营业收入分析!C4</f>
        <v>558533359.05</v>
      </c>
      <c r="C6" s="41">
        <f t="shared" ref="C6:C99" si="5">(B6-B5)/B5</f>
        <v>0.194260210381545</v>
      </c>
      <c r="D6" s="38">
        <f>营业成本分析!C4</f>
        <v>173880047.56</v>
      </c>
      <c r="E6" s="41">
        <f t="shared" ref="E6:E99" si="6">(D6-D5)/D5</f>
        <v>0.461938068848787</v>
      </c>
      <c r="F6" s="20">
        <f t="shared" si="1"/>
        <v>384653311.49</v>
      </c>
      <c r="G6" s="17">
        <f t="shared" ref="G6:G99" si="7">(F6-F5)/F5</f>
        <v>0.102969370870068</v>
      </c>
      <c r="H6" s="17">
        <f t="shared" si="0"/>
        <v>0.688684579456902</v>
      </c>
      <c r="I6" s="20">
        <f t="shared" si="2"/>
        <v>291025593.573077</v>
      </c>
      <c r="J6" s="17">
        <v>0.25</v>
      </c>
      <c r="K6" s="20">
        <f t="shared" si="3"/>
        <v>218269195.179808</v>
      </c>
    </row>
    <row r="7" spans="1:11">
      <c r="A7" s="102">
        <f t="shared" si="4"/>
        <v>2013</v>
      </c>
      <c r="B7" s="38">
        <f>营业收入分析!C5</f>
        <v>585587954.86</v>
      </c>
      <c r="C7" s="41">
        <f t="shared" si="5"/>
        <v>0.0484386391101451</v>
      </c>
      <c r="D7" s="38">
        <f>营业成本分析!C5</f>
        <v>177671579.45</v>
      </c>
      <c r="E7" s="41">
        <f t="shared" si="6"/>
        <v>0.0218054454389982</v>
      </c>
      <c r="F7" s="20">
        <f t="shared" si="1"/>
        <v>407916375.41</v>
      </c>
      <c r="G7" s="17">
        <f t="shared" si="7"/>
        <v>0.0604780024637975</v>
      </c>
      <c r="H7" s="17">
        <f t="shared" si="0"/>
        <v>0.696592838060549</v>
      </c>
      <c r="I7" s="20">
        <f t="shared" si="2"/>
        <v>312247063.398462</v>
      </c>
      <c r="J7" s="17">
        <v>0.25</v>
      </c>
      <c r="K7" s="20">
        <f t="shared" si="3"/>
        <v>234185297.548846</v>
      </c>
    </row>
    <row r="8" spans="1:11">
      <c r="A8" s="102">
        <f t="shared" si="4"/>
        <v>2014</v>
      </c>
      <c r="B8" s="38">
        <f>营业收入分析!C6</f>
        <v>609812284.9</v>
      </c>
      <c r="C8" s="41">
        <f t="shared" si="5"/>
        <v>0.0413675346956059</v>
      </c>
      <c r="D8" s="38">
        <f>营业成本分析!C6</f>
        <v>158037876.2</v>
      </c>
      <c r="E8" s="41">
        <f t="shared" si="6"/>
        <v>-0.110505593020437</v>
      </c>
      <c r="F8" s="20">
        <f t="shared" si="1"/>
        <v>451774408.7</v>
      </c>
      <c r="G8" s="17">
        <f t="shared" si="7"/>
        <v>0.107517216600873</v>
      </c>
      <c r="H8" s="17">
        <f t="shared" si="0"/>
        <v>0.740841763747157</v>
      </c>
      <c r="I8" s="20">
        <f t="shared" si="2"/>
        <v>366677090.746154</v>
      </c>
      <c r="J8" s="17">
        <v>0.25</v>
      </c>
      <c r="K8" s="20">
        <f t="shared" si="3"/>
        <v>275007818.059615</v>
      </c>
    </row>
    <row r="9" spans="1:11">
      <c r="A9" s="102">
        <f t="shared" si="4"/>
        <v>2015</v>
      </c>
      <c r="B9" s="38">
        <f>营业收入分析!C7</f>
        <v>700754733.73</v>
      </c>
      <c r="C9" s="41">
        <f t="shared" si="5"/>
        <v>0.149131873991212</v>
      </c>
      <c r="D9" s="38">
        <f>营业成本分析!C7</f>
        <v>209190073.03</v>
      </c>
      <c r="E9" s="41">
        <f t="shared" si="6"/>
        <v>0.323670490011305</v>
      </c>
      <c r="F9" s="20">
        <f t="shared" si="1"/>
        <v>491564660.7</v>
      </c>
      <c r="G9" s="17">
        <f t="shared" si="7"/>
        <v>0.0880754890798224</v>
      </c>
      <c r="H9" s="17">
        <f t="shared" si="0"/>
        <v>0.70147890130329</v>
      </c>
      <c r="I9" s="20">
        <f t="shared" si="2"/>
        <v>378923852.145385</v>
      </c>
      <c r="J9" s="17">
        <v>0.25</v>
      </c>
      <c r="K9" s="20">
        <f t="shared" si="3"/>
        <v>284192889.109038</v>
      </c>
    </row>
    <row r="10" spans="1:11">
      <c r="A10" s="102">
        <f t="shared" si="4"/>
        <v>2016</v>
      </c>
      <c r="B10" s="38">
        <f>营业收入分析!C8</f>
        <v>687874826.89</v>
      </c>
      <c r="C10" s="41">
        <f t="shared" si="5"/>
        <v>-0.0183800497093219</v>
      </c>
      <c r="D10" s="38">
        <f>营业成本分析!C8</f>
        <v>202585258.89</v>
      </c>
      <c r="E10" s="41">
        <f t="shared" si="6"/>
        <v>-0.031573267528105</v>
      </c>
      <c r="F10" s="20">
        <f t="shared" si="1"/>
        <v>485289568</v>
      </c>
      <c r="G10" s="17">
        <f t="shared" si="7"/>
        <v>-0.0127655488721752</v>
      </c>
      <c r="H10" s="17">
        <f t="shared" si="0"/>
        <v>0.705491099585774</v>
      </c>
      <c r="I10" s="20">
        <f t="shared" si="2"/>
        <v>376205197.828462</v>
      </c>
      <c r="J10" s="17">
        <v>0.25</v>
      </c>
      <c r="K10" s="20">
        <f t="shared" si="3"/>
        <v>282153898.371346</v>
      </c>
    </row>
    <row r="11" spans="1:11">
      <c r="A11" s="102">
        <f t="shared" si="4"/>
        <v>2017</v>
      </c>
      <c r="B11" s="38">
        <f>营业收入分析!C9</f>
        <v>842165471.05</v>
      </c>
      <c r="C11" s="41">
        <f t="shared" si="5"/>
        <v>0.224300465911181</v>
      </c>
      <c r="D11" s="38">
        <f>营业成本分析!C9</f>
        <v>221875843.63</v>
      </c>
      <c r="E11" s="41">
        <f t="shared" si="6"/>
        <v>0.0952220553741002</v>
      </c>
      <c r="F11" s="20">
        <f t="shared" si="1"/>
        <v>620289627.42</v>
      </c>
      <c r="G11" s="17">
        <f t="shared" si="7"/>
        <v>0.278184548611603</v>
      </c>
      <c r="H11" s="17">
        <f t="shared" si="0"/>
        <v>0.736541272164283</v>
      </c>
      <c r="I11" s="20">
        <f t="shared" si="2"/>
        <v>500818019.311538</v>
      </c>
      <c r="J11" s="17">
        <v>0.15</v>
      </c>
      <c r="K11" s="20">
        <f t="shared" si="3"/>
        <v>425695316.414808</v>
      </c>
    </row>
    <row r="12" spans="1:11">
      <c r="A12" s="102">
        <f t="shared" si="4"/>
        <v>2018</v>
      </c>
      <c r="B12" s="38">
        <f>营业收入分析!C10</f>
        <v>935878252.93</v>
      </c>
      <c r="C12" s="41">
        <f t="shared" si="5"/>
        <v>0.111275972598544</v>
      </c>
      <c r="D12" s="38">
        <f>营业成本分析!C10</f>
        <v>281971666.56</v>
      </c>
      <c r="E12" s="41">
        <f t="shared" si="6"/>
        <v>0.2708533833463</v>
      </c>
      <c r="F12" s="20">
        <f t="shared" ref="F12:F19" si="8">B12-D12</f>
        <v>653906586.37</v>
      </c>
      <c r="G12" s="17">
        <f t="shared" si="7"/>
        <v>0.0541955845526944</v>
      </c>
      <c r="H12" s="17">
        <f t="shared" ref="H12:H19" si="9">F12/B12</f>
        <v>0.698709030071788</v>
      </c>
      <c r="I12" s="20">
        <f t="shared" si="2"/>
        <v>502075688.991538</v>
      </c>
      <c r="J12" s="17">
        <v>0.15</v>
      </c>
      <c r="K12" s="20">
        <f t="shared" si="3"/>
        <v>426764335.642808</v>
      </c>
    </row>
    <row r="13" spans="1:11">
      <c r="A13" s="102">
        <f t="shared" si="4"/>
        <v>2019</v>
      </c>
      <c r="B13" s="38">
        <f>营业收入分析!C11</f>
        <v>918884614.29</v>
      </c>
      <c r="C13" s="41">
        <f t="shared" si="5"/>
        <v>-0.0181579586733607</v>
      </c>
      <c r="D13" s="38">
        <f>营业成本分析!C11</f>
        <v>288622306.16</v>
      </c>
      <c r="E13" s="41">
        <f t="shared" si="6"/>
        <v>0.0235861981493976</v>
      </c>
      <c r="F13" s="20">
        <f t="shared" si="8"/>
        <v>630262308.13</v>
      </c>
      <c r="G13" s="17">
        <f t="shared" si="7"/>
        <v>-0.0361584953154477</v>
      </c>
      <c r="H13" s="17">
        <f t="shared" si="9"/>
        <v>0.685899293914055</v>
      </c>
      <c r="I13" s="20">
        <f t="shared" si="2"/>
        <v>474850297.120769</v>
      </c>
      <c r="J13" s="17">
        <v>0.15</v>
      </c>
      <c r="K13" s="20">
        <f t="shared" si="3"/>
        <v>403622752.552654</v>
      </c>
    </row>
    <row r="14" s="1" customFormat="1" spans="1:11">
      <c r="A14" s="103">
        <f t="shared" si="4"/>
        <v>2020</v>
      </c>
      <c r="B14" s="104">
        <f>营业收入分析!C12</f>
        <v>286877405.89</v>
      </c>
      <c r="C14" s="105">
        <f t="shared" si="5"/>
        <v>-0.687798226862615</v>
      </c>
      <c r="D14" s="104">
        <f>营业成本分析!C12</f>
        <v>186752833.49</v>
      </c>
      <c r="E14" s="105">
        <f t="shared" si="6"/>
        <v>-0.3529507958873</v>
      </c>
      <c r="F14" s="106">
        <f t="shared" si="8"/>
        <v>100124572.4</v>
      </c>
      <c r="G14" s="107">
        <f t="shared" si="7"/>
        <v>-0.841138251314645</v>
      </c>
      <c r="H14" s="107">
        <f t="shared" si="9"/>
        <v>0.349015190266994</v>
      </c>
      <c r="I14" s="106">
        <f t="shared" si="2"/>
        <v>-434645.633076966</v>
      </c>
      <c r="J14" s="107">
        <v>0.15</v>
      </c>
      <c r="K14" s="106">
        <f t="shared" si="3"/>
        <v>-369448.788115421</v>
      </c>
    </row>
    <row r="15" spans="1:11">
      <c r="A15" s="102">
        <f t="shared" si="4"/>
        <v>2021</v>
      </c>
      <c r="B15" s="38">
        <f>B13*0.68</f>
        <v>624841537.7172</v>
      </c>
      <c r="C15" s="41">
        <f t="shared" si="5"/>
        <v>1.17807859694879</v>
      </c>
      <c r="D15" s="38">
        <f>B15*0.5</f>
        <v>312420768.8586</v>
      </c>
      <c r="E15" s="41">
        <f t="shared" si="6"/>
        <v>0.672910461491494</v>
      </c>
      <c r="F15" s="20">
        <f t="shared" si="8"/>
        <v>312420768.8586</v>
      </c>
      <c r="G15" s="17">
        <f t="shared" si="7"/>
        <v>2.12032063028915</v>
      </c>
      <c r="H15" s="17">
        <f t="shared" si="9"/>
        <v>0.5</v>
      </c>
      <c r="I15" s="20">
        <f t="shared" si="2"/>
        <v>144194201.011662</v>
      </c>
      <c r="J15" s="17">
        <v>0.15</v>
      </c>
      <c r="K15" s="20">
        <f t="shared" si="3"/>
        <v>122565070.859912</v>
      </c>
    </row>
    <row r="16" spans="1:11">
      <c r="A16" s="102">
        <f t="shared" si="4"/>
        <v>2022</v>
      </c>
      <c r="B16" s="38">
        <f>B13</f>
        <v>918884614.29</v>
      </c>
      <c r="C16" s="41">
        <f t="shared" si="5"/>
        <v>0.470588235294117</v>
      </c>
      <c r="D16" s="38">
        <f>B16*0.32</f>
        <v>294043076.5728</v>
      </c>
      <c r="E16" s="41">
        <f t="shared" si="6"/>
        <v>-0.0588235294117648</v>
      </c>
      <c r="F16" s="20">
        <f t="shared" si="8"/>
        <v>624841537.7172</v>
      </c>
      <c r="G16" s="17">
        <f t="shared" si="7"/>
        <v>1</v>
      </c>
      <c r="H16" s="17">
        <f t="shared" si="9"/>
        <v>0.68</v>
      </c>
      <c r="I16" s="20">
        <f t="shared" si="2"/>
        <v>466510650.331846</v>
      </c>
      <c r="J16" s="17">
        <v>0.15</v>
      </c>
      <c r="K16" s="20">
        <f t="shared" si="3"/>
        <v>396534052.782069</v>
      </c>
    </row>
    <row r="17" spans="1:11">
      <c r="A17" s="102">
        <f t="shared" si="4"/>
        <v>2023</v>
      </c>
      <c r="B17" s="38">
        <f>B16*1.05</f>
        <v>964828845.0045</v>
      </c>
      <c r="C17" s="41">
        <f t="shared" si="5"/>
        <v>0.0500000000000001</v>
      </c>
      <c r="D17" s="38">
        <f>B17*0.32</f>
        <v>308745230.40144</v>
      </c>
      <c r="E17" s="41">
        <f t="shared" si="6"/>
        <v>0.0500000000000002</v>
      </c>
      <c r="F17" s="20">
        <f t="shared" si="8"/>
        <v>656083614.60306</v>
      </c>
      <c r="G17" s="17">
        <f t="shared" si="7"/>
        <v>0.0499999999999999</v>
      </c>
      <c r="H17" s="17">
        <f t="shared" si="9"/>
        <v>0.68</v>
      </c>
      <c r="I17" s="20">
        <f t="shared" si="2"/>
        <v>489836182.848439</v>
      </c>
      <c r="J17" s="17">
        <v>0.15</v>
      </c>
      <c r="K17" s="20">
        <f t="shared" si="3"/>
        <v>416360755.421173</v>
      </c>
    </row>
    <row r="18" spans="1:11">
      <c r="A18" s="102">
        <f t="shared" si="4"/>
        <v>2024</v>
      </c>
      <c r="B18" s="38">
        <f>B17*1.05</f>
        <v>1013070287.25473</v>
      </c>
      <c r="C18" s="41">
        <f t="shared" si="5"/>
        <v>0.0500000000000001</v>
      </c>
      <c r="D18" s="38">
        <f>B18*0.32</f>
        <v>324182491.921512</v>
      </c>
      <c r="E18" s="41">
        <f t="shared" si="6"/>
        <v>0.0500000000000001</v>
      </c>
      <c r="F18" s="20">
        <f t="shared" si="8"/>
        <v>688887795.333213</v>
      </c>
      <c r="G18" s="17">
        <f t="shared" si="7"/>
        <v>0.0500000000000001</v>
      </c>
      <c r="H18" s="17">
        <f t="shared" si="9"/>
        <v>0.68</v>
      </c>
      <c r="I18" s="20">
        <f t="shared" si="2"/>
        <v>514327991.99086</v>
      </c>
      <c r="J18" s="17">
        <v>0.15</v>
      </c>
      <c r="K18" s="20">
        <f t="shared" si="3"/>
        <v>437178793.192231</v>
      </c>
    </row>
    <row r="19" spans="1:11">
      <c r="A19" s="102">
        <f t="shared" si="4"/>
        <v>2025</v>
      </c>
      <c r="B19" s="38">
        <f>B18*1.05</f>
        <v>1063723801.61746</v>
      </c>
      <c r="C19" s="41">
        <f t="shared" si="5"/>
        <v>0.0500000000000001</v>
      </c>
      <c r="D19" s="38">
        <f>B19*0.32</f>
        <v>340391616.517588</v>
      </c>
      <c r="E19" s="41">
        <f t="shared" si="6"/>
        <v>0.05</v>
      </c>
      <c r="F19" s="20">
        <f t="shared" si="8"/>
        <v>723332185.099874</v>
      </c>
      <c r="G19" s="17">
        <f t="shared" si="7"/>
        <v>0.0500000000000001</v>
      </c>
      <c r="H19" s="17">
        <f t="shared" si="9"/>
        <v>0.68</v>
      </c>
      <c r="I19" s="20">
        <f t="shared" si="2"/>
        <v>540044391.590404</v>
      </c>
      <c r="J19" s="17">
        <v>0.15</v>
      </c>
      <c r="K19" s="20">
        <f t="shared" si="3"/>
        <v>459037732.851843</v>
      </c>
    </row>
    <row r="20" spans="3:11">
      <c r="C20" s="41">
        <f>(B20-B14)/B14</f>
        <v>-1</v>
      </c>
      <c r="E20" s="41">
        <f>(D20-D14)/D14</f>
        <v>-1</v>
      </c>
      <c r="G20" s="17">
        <f>(F20-F14)/F14</f>
        <v>-1</v>
      </c>
      <c r="I20" s="20">
        <f t="shared" si="2"/>
        <v>0</v>
      </c>
      <c r="J20" s="20"/>
      <c r="K20" s="20">
        <f t="shared" si="3"/>
        <v>0</v>
      </c>
    </row>
    <row r="21" spans="3:11">
      <c r="C21" s="41" t="e">
        <f t="shared" si="5"/>
        <v>#DIV/0!</v>
      </c>
      <c r="E21" s="41" t="e">
        <f t="shared" si="6"/>
        <v>#DIV/0!</v>
      </c>
      <c r="G21" s="17" t="e">
        <f t="shared" si="7"/>
        <v>#DIV/0!</v>
      </c>
      <c r="I21" s="20">
        <f t="shared" si="2"/>
        <v>0</v>
      </c>
      <c r="J21" s="20"/>
      <c r="K21" s="20">
        <f t="shared" si="3"/>
        <v>0</v>
      </c>
    </row>
    <row r="22" spans="3:11">
      <c r="C22" s="41" t="e">
        <f t="shared" si="5"/>
        <v>#DIV/0!</v>
      </c>
      <c r="E22" s="41" t="e">
        <f t="shared" si="6"/>
        <v>#DIV/0!</v>
      </c>
      <c r="G22" s="17" t="e">
        <f t="shared" si="7"/>
        <v>#DIV/0!</v>
      </c>
      <c r="I22" s="20">
        <f t="shared" si="2"/>
        <v>0</v>
      </c>
      <c r="J22" s="20"/>
      <c r="K22" s="20">
        <f t="shared" si="3"/>
        <v>0</v>
      </c>
    </row>
    <row r="23" spans="3:11">
      <c r="C23" s="41" t="e">
        <f t="shared" si="5"/>
        <v>#DIV/0!</v>
      </c>
      <c r="E23" s="41" t="e">
        <f t="shared" si="6"/>
        <v>#DIV/0!</v>
      </c>
      <c r="G23" s="17" t="e">
        <f t="shared" si="7"/>
        <v>#DIV/0!</v>
      </c>
      <c r="I23" s="20">
        <f t="shared" si="2"/>
        <v>0</v>
      </c>
      <c r="J23" s="20"/>
      <c r="K23" s="20">
        <f t="shared" si="3"/>
        <v>0</v>
      </c>
    </row>
    <row r="24" spans="1:11">
      <c r="A24" s="101" t="str">
        <f>营业收入分析!D1</f>
        <v>三亚宋城</v>
      </c>
      <c r="C24" s="41" t="e">
        <f t="shared" si="5"/>
        <v>#DIV/0!</v>
      </c>
      <c r="E24" s="41" t="e">
        <f t="shared" si="6"/>
        <v>#DIV/0!</v>
      </c>
      <c r="G24" s="17" t="e">
        <f t="shared" si="7"/>
        <v>#DIV/0!</v>
      </c>
      <c r="I24" s="20">
        <f t="shared" si="2"/>
        <v>0</v>
      </c>
      <c r="J24" s="20"/>
      <c r="K24" s="20">
        <f t="shared" si="3"/>
        <v>0</v>
      </c>
    </row>
    <row r="25" ht="94.5" spans="1:11">
      <c r="A25" s="38" t="s">
        <v>77</v>
      </c>
      <c r="B25">
        <v>2</v>
      </c>
      <c r="C25" s="108" t="s">
        <v>78</v>
      </c>
      <c r="E25" s="41"/>
      <c r="G25" s="17"/>
      <c r="I25" s="20"/>
      <c r="J25" s="20"/>
      <c r="K25" s="20"/>
    </row>
    <row r="26" spans="1:11">
      <c r="A26" s="38" t="s">
        <v>66</v>
      </c>
      <c r="B26">
        <v>6700</v>
      </c>
      <c r="C26" s="41"/>
      <c r="E26" s="41"/>
      <c r="G26" s="17"/>
      <c r="I26" s="20"/>
      <c r="J26" s="20"/>
      <c r="K26" s="20"/>
    </row>
    <row r="27" ht="31.5" spans="1:11">
      <c r="A27" s="39" t="s">
        <v>54</v>
      </c>
      <c r="B27" s="34" t="s">
        <v>68</v>
      </c>
      <c r="C27" s="34" t="s">
        <v>69</v>
      </c>
      <c r="D27" t="s">
        <v>70</v>
      </c>
      <c r="E27" t="s">
        <v>71</v>
      </c>
      <c r="F27" t="s">
        <v>72</v>
      </c>
      <c r="G27" t="s">
        <v>73</v>
      </c>
      <c r="H27" t="s">
        <v>74</v>
      </c>
      <c r="I27" s="6" t="s">
        <v>75</v>
      </c>
      <c r="J27" s="6" t="s">
        <v>76</v>
      </c>
      <c r="K27" t="s">
        <v>56</v>
      </c>
    </row>
    <row r="28" spans="1:11">
      <c r="A28" s="40">
        <v>40543</v>
      </c>
      <c r="B28" s="38">
        <f>营业收入分析!D2</f>
        <v>0</v>
      </c>
      <c r="C28" s="41" t="e">
        <f t="shared" si="5"/>
        <v>#VALUE!</v>
      </c>
      <c r="D28" s="38">
        <f>营业成本分析!D2</f>
        <v>0</v>
      </c>
      <c r="E28" s="41" t="e">
        <f t="shared" si="6"/>
        <v>#VALUE!</v>
      </c>
      <c r="F28" s="20">
        <f t="shared" ref="F28:F35" si="10">B28-D28</f>
        <v>0</v>
      </c>
      <c r="G28" s="17" t="e">
        <f t="shared" si="7"/>
        <v>#VALUE!</v>
      </c>
      <c r="H28" s="17" t="e">
        <f t="shared" ref="H28:H35" si="11">F28/B28</f>
        <v>#DIV/0!</v>
      </c>
      <c r="I28" s="20">
        <f t="shared" si="2"/>
        <v>0</v>
      </c>
      <c r="J28" s="17">
        <v>0.25</v>
      </c>
      <c r="K28" s="20">
        <f t="shared" si="3"/>
        <v>0</v>
      </c>
    </row>
    <row r="29" spans="1:11">
      <c r="A29" s="40">
        <v>40908</v>
      </c>
      <c r="B29" s="38">
        <f>营业收入分析!D3</f>
        <v>0</v>
      </c>
      <c r="C29" s="41" t="e">
        <f t="shared" si="5"/>
        <v>#DIV/0!</v>
      </c>
      <c r="D29" s="38">
        <f>营业成本分析!D3</f>
        <v>0</v>
      </c>
      <c r="E29" s="41" t="e">
        <f t="shared" si="6"/>
        <v>#DIV/0!</v>
      </c>
      <c r="F29" s="20">
        <f t="shared" si="10"/>
        <v>0</v>
      </c>
      <c r="G29" s="17" t="e">
        <f t="shared" si="7"/>
        <v>#DIV/0!</v>
      </c>
      <c r="H29" s="17" t="e">
        <f t="shared" si="11"/>
        <v>#DIV/0!</v>
      </c>
      <c r="I29" s="20">
        <f t="shared" si="2"/>
        <v>0</v>
      </c>
      <c r="J29" s="17">
        <v>0.25</v>
      </c>
      <c r="K29" s="20">
        <f t="shared" si="3"/>
        <v>0</v>
      </c>
    </row>
    <row r="30" spans="1:11">
      <c r="A30" s="40">
        <v>41274</v>
      </c>
      <c r="B30" s="38">
        <f>营业收入分析!D4</f>
        <v>0</v>
      </c>
      <c r="C30" s="41" t="e">
        <f t="shared" si="5"/>
        <v>#DIV/0!</v>
      </c>
      <c r="D30" s="38">
        <f>营业成本分析!D4</f>
        <v>0</v>
      </c>
      <c r="E30" s="41" t="e">
        <f t="shared" si="6"/>
        <v>#DIV/0!</v>
      </c>
      <c r="F30" s="20">
        <f t="shared" si="10"/>
        <v>0</v>
      </c>
      <c r="G30" s="17" t="e">
        <f t="shared" si="7"/>
        <v>#DIV/0!</v>
      </c>
      <c r="H30" s="17" t="e">
        <f t="shared" si="11"/>
        <v>#DIV/0!</v>
      </c>
      <c r="I30" s="20">
        <f t="shared" si="2"/>
        <v>0</v>
      </c>
      <c r="J30" s="17">
        <v>0.25</v>
      </c>
      <c r="K30" s="20">
        <f t="shared" si="3"/>
        <v>0</v>
      </c>
    </row>
    <row r="31" spans="1:11">
      <c r="A31" s="40">
        <v>41639</v>
      </c>
      <c r="B31" s="38">
        <f>营业收入分析!D5</f>
        <v>33567890.96</v>
      </c>
      <c r="C31" s="41" t="e">
        <f t="shared" si="5"/>
        <v>#DIV/0!</v>
      </c>
      <c r="D31" s="38">
        <f>营业成本分析!D5</f>
        <v>15401970.11</v>
      </c>
      <c r="E31" s="41" t="e">
        <f t="shared" si="6"/>
        <v>#DIV/0!</v>
      </c>
      <c r="F31" s="20">
        <f t="shared" si="10"/>
        <v>18165920.85</v>
      </c>
      <c r="G31" s="17" t="e">
        <f t="shared" si="7"/>
        <v>#DIV/0!</v>
      </c>
      <c r="H31" s="17">
        <f t="shared" si="11"/>
        <v>0.54116956205699</v>
      </c>
      <c r="I31" s="20">
        <f t="shared" si="2"/>
        <v>9872552.32923077</v>
      </c>
      <c r="J31" s="17">
        <v>0.25</v>
      </c>
      <c r="K31" s="20">
        <f t="shared" si="3"/>
        <v>7404414.24692308</v>
      </c>
    </row>
    <row r="32" spans="1:11">
      <c r="A32" s="40">
        <v>42004</v>
      </c>
      <c r="B32" s="38">
        <f>营业收入分析!D6</f>
        <v>159582817.34</v>
      </c>
      <c r="C32" s="41">
        <f t="shared" si="5"/>
        <v>3.75403168850141</v>
      </c>
      <c r="D32" s="38">
        <f>营业成本分析!D6</f>
        <v>47703917.11</v>
      </c>
      <c r="E32" s="41">
        <f t="shared" si="6"/>
        <v>2.0972607250437</v>
      </c>
      <c r="F32" s="20">
        <f t="shared" si="10"/>
        <v>111878900.23</v>
      </c>
      <c r="G32" s="17">
        <f t="shared" si="7"/>
        <v>5.15872441335667</v>
      </c>
      <c r="H32" s="17">
        <f t="shared" si="11"/>
        <v>0.701071093334791</v>
      </c>
      <c r="I32" s="20">
        <f t="shared" si="2"/>
        <v>86192175.6323077</v>
      </c>
      <c r="J32" s="17">
        <v>0.25</v>
      </c>
      <c r="K32" s="20">
        <f t="shared" si="3"/>
        <v>64644131.7242308</v>
      </c>
    </row>
    <row r="33" spans="1:11">
      <c r="A33" s="40">
        <v>42369</v>
      </c>
      <c r="B33" s="38">
        <f>营业收入分析!D7</f>
        <v>257852071.96</v>
      </c>
      <c r="C33" s="41">
        <f t="shared" si="5"/>
        <v>0.615788443004061</v>
      </c>
      <c r="D33" s="38">
        <f>营业成本分析!D7</f>
        <v>58589891.72</v>
      </c>
      <c r="E33" s="41">
        <f t="shared" si="6"/>
        <v>0.228198757450004</v>
      </c>
      <c r="F33" s="20">
        <f t="shared" si="10"/>
        <v>199262180.24</v>
      </c>
      <c r="G33" s="17">
        <f t="shared" si="7"/>
        <v>0.781052368501638</v>
      </c>
      <c r="H33" s="17">
        <f t="shared" si="11"/>
        <v>0.772777114899085</v>
      </c>
      <c r="I33" s="20">
        <f t="shared" si="2"/>
        <v>167713777.006154</v>
      </c>
      <c r="J33" s="17">
        <v>0.25</v>
      </c>
      <c r="K33" s="20">
        <f t="shared" si="3"/>
        <v>125785332.754615</v>
      </c>
    </row>
    <row r="34" spans="1:11">
      <c r="A34" s="40">
        <v>42735</v>
      </c>
      <c r="B34" s="38">
        <f>营业收入分析!D8</f>
        <v>307467248.97</v>
      </c>
      <c r="C34" s="41">
        <f t="shared" si="5"/>
        <v>0.192417212833941</v>
      </c>
      <c r="D34" s="38">
        <f>营业成本分析!D8</f>
        <v>77045456.05</v>
      </c>
      <c r="E34" s="41">
        <f t="shared" si="6"/>
        <v>0.314995706395888</v>
      </c>
      <c r="F34" s="20">
        <f t="shared" si="10"/>
        <v>230421792.92</v>
      </c>
      <c r="G34" s="17">
        <f t="shared" si="7"/>
        <v>0.156374946025734</v>
      </c>
      <c r="H34" s="17">
        <f t="shared" si="11"/>
        <v>0.749418982645799</v>
      </c>
      <c r="I34" s="20">
        <f t="shared" si="2"/>
        <v>188935778.123846</v>
      </c>
      <c r="J34" s="17">
        <v>0.25</v>
      </c>
      <c r="K34" s="20">
        <f t="shared" si="3"/>
        <v>141701833.592885</v>
      </c>
    </row>
    <row r="35" spans="1:11">
      <c r="A35" s="40">
        <v>43100</v>
      </c>
      <c r="B35" s="38">
        <f>营业收入分析!D9</f>
        <v>339980121.21</v>
      </c>
      <c r="C35" s="41">
        <f t="shared" si="5"/>
        <v>0.105744180392925</v>
      </c>
      <c r="D35" s="38">
        <f>营业成本分析!D9</f>
        <v>80343457.27</v>
      </c>
      <c r="E35" s="41">
        <f t="shared" si="6"/>
        <v>0.0428059147039081</v>
      </c>
      <c r="F35" s="20">
        <f t="shared" si="10"/>
        <v>259636663.94</v>
      </c>
      <c r="G35" s="17">
        <f t="shared" si="7"/>
        <v>0.126788662868113</v>
      </c>
      <c r="H35" s="17">
        <f t="shared" si="11"/>
        <v>0.763681897094292</v>
      </c>
      <c r="I35" s="20">
        <f t="shared" si="2"/>
        <v>216374802.333077</v>
      </c>
      <c r="J35" s="17">
        <v>0.25</v>
      </c>
      <c r="K35" s="20">
        <f t="shared" si="3"/>
        <v>162281101.749808</v>
      </c>
    </row>
    <row r="36" spans="1:11">
      <c r="A36" s="40">
        <v>43465</v>
      </c>
      <c r="B36" s="38">
        <f>营业收入分析!D10</f>
        <v>426722284</v>
      </c>
      <c r="C36" s="41">
        <f t="shared" si="5"/>
        <v>0.255138925420939</v>
      </c>
      <c r="D36" s="38">
        <f>营业成本分析!D10</f>
        <v>80129895.18</v>
      </c>
      <c r="E36" s="41">
        <f t="shared" si="6"/>
        <v>-0.00265811426663279</v>
      </c>
      <c r="F36" s="20">
        <f t="shared" ref="F36:F43" si="12">B36-D36</f>
        <v>346592388.82</v>
      </c>
      <c r="G36" s="17">
        <f t="shared" si="7"/>
        <v>0.334913118819362</v>
      </c>
      <c r="H36" s="17">
        <f t="shared" ref="H36:H43" si="13">F36/B36</f>
        <v>0.812220035877011</v>
      </c>
      <c r="I36" s="20">
        <f t="shared" si="2"/>
        <v>303445522.184615</v>
      </c>
      <c r="J36" s="17">
        <v>0.25</v>
      </c>
      <c r="K36" s="20">
        <f t="shared" si="3"/>
        <v>227584141.638462</v>
      </c>
    </row>
    <row r="37" spans="1:11">
      <c r="A37" s="40">
        <v>43830</v>
      </c>
      <c r="B37" s="38">
        <f>营业收入分析!D11</f>
        <v>392729155.06</v>
      </c>
      <c r="C37" s="41">
        <f t="shared" si="5"/>
        <v>-0.0796610118912843</v>
      </c>
      <c r="D37" s="38">
        <f>营业成本分析!D11</f>
        <v>58930126.12</v>
      </c>
      <c r="E37" s="41">
        <f t="shared" si="6"/>
        <v>-0.264567537650934</v>
      </c>
      <c r="F37" s="20">
        <f t="shared" si="12"/>
        <v>333799028.94</v>
      </c>
      <c r="G37" s="17">
        <f t="shared" si="7"/>
        <v>-0.036911831571247</v>
      </c>
      <c r="H37" s="17">
        <f t="shared" si="13"/>
        <v>0.849947157320172</v>
      </c>
      <c r="I37" s="20">
        <f t="shared" si="2"/>
        <v>302067422.567692</v>
      </c>
      <c r="J37" s="17">
        <v>0.25</v>
      </c>
      <c r="K37" s="20">
        <f t="shared" si="3"/>
        <v>226550566.925769</v>
      </c>
    </row>
    <row r="38" s="1" customFormat="1" spans="1:11">
      <c r="A38" s="109">
        <v>43831</v>
      </c>
      <c r="B38" s="104">
        <f>营业收入分析!D12</f>
        <v>127098246.23</v>
      </c>
      <c r="C38" s="105">
        <f t="shared" si="5"/>
        <v>-0.676371757501471</v>
      </c>
      <c r="D38" s="104">
        <f>营业成本分析!D12</f>
        <v>29293691.27</v>
      </c>
      <c r="E38" s="105">
        <f t="shared" si="6"/>
        <v>-0.502908050623395</v>
      </c>
      <c r="F38" s="106">
        <f t="shared" si="12"/>
        <v>97804554.96</v>
      </c>
      <c r="G38" s="107">
        <f t="shared" si="7"/>
        <v>-0.706995687583081</v>
      </c>
      <c r="H38" s="107">
        <f t="shared" si="13"/>
        <v>0.769519311722135</v>
      </c>
      <c r="I38" s="106">
        <f t="shared" si="2"/>
        <v>82031028.8915385</v>
      </c>
      <c r="J38" s="107">
        <v>0.25</v>
      </c>
      <c r="K38" s="106">
        <f t="shared" si="3"/>
        <v>61523271.6686539</v>
      </c>
    </row>
    <row r="39" spans="1:11">
      <c r="A39" s="102">
        <f>A14+1</f>
        <v>2021</v>
      </c>
      <c r="B39" s="38">
        <f>B37*0.43</f>
        <v>168873536.6758</v>
      </c>
      <c r="C39" s="41">
        <f t="shared" si="5"/>
        <v>0.328685026622652</v>
      </c>
      <c r="D39" s="38">
        <f>B39*0.3</f>
        <v>50662061.00274</v>
      </c>
      <c r="E39" s="41">
        <f t="shared" si="6"/>
        <v>0.729452957491349</v>
      </c>
      <c r="F39" s="20">
        <f t="shared" si="12"/>
        <v>118211475.67306</v>
      </c>
      <c r="G39" s="17">
        <f t="shared" si="7"/>
        <v>0.208650003278538</v>
      </c>
      <c r="H39" s="17">
        <f t="shared" si="13"/>
        <v>0.7</v>
      </c>
      <c r="I39" s="20">
        <f t="shared" si="2"/>
        <v>90931904.3638923</v>
      </c>
      <c r="J39" s="17">
        <v>0.25</v>
      </c>
      <c r="K39" s="20">
        <f t="shared" si="3"/>
        <v>68198928.2729192</v>
      </c>
    </row>
    <row r="40" spans="1:11">
      <c r="A40" s="102">
        <f>A39+1</f>
        <v>2022</v>
      </c>
      <c r="B40" s="38">
        <f>B37*0.7</f>
        <v>274910408.542</v>
      </c>
      <c r="C40" s="41">
        <f t="shared" si="5"/>
        <v>0.627906976744186</v>
      </c>
      <c r="D40" s="38">
        <f>B40*0.2</f>
        <v>54982081.7084</v>
      </c>
      <c r="E40" s="41">
        <f t="shared" si="6"/>
        <v>0.0852713178294575</v>
      </c>
      <c r="F40" s="20">
        <f t="shared" si="12"/>
        <v>219928326.8336</v>
      </c>
      <c r="G40" s="17">
        <f t="shared" si="7"/>
        <v>0.86046511627907</v>
      </c>
      <c r="H40" s="17">
        <f t="shared" si="13"/>
        <v>0.8</v>
      </c>
      <c r="I40" s="20">
        <f t="shared" si="2"/>
        <v>190322590.529077</v>
      </c>
      <c r="J40" s="17">
        <v>0.25</v>
      </c>
      <c r="K40" s="20">
        <f t="shared" si="3"/>
        <v>142741942.896808</v>
      </c>
    </row>
    <row r="41" spans="1:11">
      <c r="A41" s="102">
        <f>A40+1</f>
        <v>2023</v>
      </c>
      <c r="B41" s="38">
        <f>B37</f>
        <v>392729155.06</v>
      </c>
      <c r="C41" s="41">
        <f t="shared" si="5"/>
        <v>0.428571428571429</v>
      </c>
      <c r="D41" s="38">
        <f>B41*0.2</f>
        <v>78545831.012</v>
      </c>
      <c r="E41" s="41">
        <f t="shared" si="6"/>
        <v>0.428571428571429</v>
      </c>
      <c r="F41" s="20">
        <f t="shared" si="12"/>
        <v>314183324.048</v>
      </c>
      <c r="G41" s="17">
        <f t="shared" si="7"/>
        <v>0.428571428571429</v>
      </c>
      <c r="H41" s="17">
        <f t="shared" si="13"/>
        <v>0.8</v>
      </c>
      <c r="I41" s="20">
        <f t="shared" si="2"/>
        <v>271889415.041538</v>
      </c>
      <c r="J41" s="17">
        <v>0.25</v>
      </c>
      <c r="K41" s="20">
        <f t="shared" si="3"/>
        <v>203917061.281154</v>
      </c>
    </row>
    <row r="42" spans="1:11">
      <c r="A42" s="102">
        <f>A41+1</f>
        <v>2024</v>
      </c>
      <c r="B42" s="38">
        <f>B41*1.05</f>
        <v>412365612.813</v>
      </c>
      <c r="C42" s="41">
        <f t="shared" si="5"/>
        <v>0.0500000000000001</v>
      </c>
      <c r="D42" s="38">
        <f>B42*0.2</f>
        <v>82473122.5626</v>
      </c>
      <c r="E42" s="41">
        <f t="shared" si="6"/>
        <v>0.0500000000000001</v>
      </c>
      <c r="F42" s="20">
        <f t="shared" si="12"/>
        <v>329892490.2504</v>
      </c>
      <c r="G42" s="17">
        <f t="shared" si="7"/>
        <v>0.0500000000000001</v>
      </c>
      <c r="H42" s="17">
        <f t="shared" si="13"/>
        <v>0.8</v>
      </c>
      <c r="I42" s="20">
        <f t="shared" si="2"/>
        <v>285483885.793615</v>
      </c>
      <c r="J42" s="17">
        <v>0.25</v>
      </c>
      <c r="K42" s="20">
        <f t="shared" si="3"/>
        <v>214112914.345212</v>
      </c>
    </row>
    <row r="43" spans="1:11">
      <c r="A43" s="102">
        <f>A42+1</f>
        <v>2025</v>
      </c>
      <c r="B43" s="38">
        <f>B42*1.05</f>
        <v>432983893.45365</v>
      </c>
      <c r="C43" s="41">
        <f t="shared" si="5"/>
        <v>0.0500000000000001</v>
      </c>
      <c r="D43" s="38">
        <f>B43*0.2</f>
        <v>86596778.69073</v>
      </c>
      <c r="E43" s="41">
        <f t="shared" si="6"/>
        <v>0.05</v>
      </c>
      <c r="F43" s="20">
        <f t="shared" si="12"/>
        <v>346387114.76292</v>
      </c>
      <c r="G43" s="17">
        <f t="shared" si="7"/>
        <v>0.05</v>
      </c>
      <c r="H43" s="17">
        <f t="shared" si="13"/>
        <v>0.8</v>
      </c>
      <c r="I43" s="20">
        <f t="shared" si="2"/>
        <v>299758080.083296</v>
      </c>
      <c r="J43" s="17">
        <v>0.25</v>
      </c>
      <c r="K43" s="20">
        <f t="shared" si="3"/>
        <v>224818560.062472</v>
      </c>
    </row>
    <row r="44" spans="3:11">
      <c r="C44" s="41">
        <f>(B44-B38)/B38</f>
        <v>-1</v>
      </c>
      <c r="E44" s="41">
        <f>(D44-D38)/D38</f>
        <v>-1</v>
      </c>
      <c r="G44" s="17">
        <f>(F44-F38)/F38</f>
        <v>-1</v>
      </c>
      <c r="I44" s="20">
        <f t="shared" si="2"/>
        <v>0</v>
      </c>
      <c r="J44" s="17">
        <v>0.25</v>
      </c>
      <c r="K44" s="20">
        <f t="shared" si="3"/>
        <v>0</v>
      </c>
    </row>
    <row r="45" spans="3:11">
      <c r="C45" s="41" t="e">
        <f t="shared" si="5"/>
        <v>#DIV/0!</v>
      </c>
      <c r="E45" s="41" t="e">
        <f t="shared" si="6"/>
        <v>#DIV/0!</v>
      </c>
      <c r="G45" s="17" t="e">
        <f t="shared" si="7"/>
        <v>#DIV/0!</v>
      </c>
      <c r="I45" s="20">
        <f t="shared" si="2"/>
        <v>0</v>
      </c>
      <c r="J45" s="17">
        <v>0.25</v>
      </c>
      <c r="K45" s="20">
        <f t="shared" si="3"/>
        <v>0</v>
      </c>
    </row>
    <row r="46" spans="3:11">
      <c r="C46" s="41" t="e">
        <f t="shared" si="5"/>
        <v>#DIV/0!</v>
      </c>
      <c r="E46" s="41" t="e">
        <f t="shared" si="6"/>
        <v>#DIV/0!</v>
      </c>
      <c r="G46" s="17" t="e">
        <f t="shared" si="7"/>
        <v>#DIV/0!</v>
      </c>
      <c r="I46" s="20">
        <f t="shared" si="2"/>
        <v>0</v>
      </c>
      <c r="J46" s="17">
        <v>0.25</v>
      </c>
      <c r="K46" s="20">
        <f t="shared" si="3"/>
        <v>0</v>
      </c>
    </row>
    <row r="47" spans="1:11">
      <c r="A47" s="101" t="str">
        <f>营业收入分析!E1</f>
        <v>丽江宋城</v>
      </c>
      <c r="C47" s="41" t="e">
        <f t="shared" si="5"/>
        <v>#DIV/0!</v>
      </c>
      <c r="E47" s="41" t="e">
        <f t="shared" si="6"/>
        <v>#DIV/0!</v>
      </c>
      <c r="G47" s="17" t="e">
        <f t="shared" si="7"/>
        <v>#DIV/0!</v>
      </c>
      <c r="I47" s="20">
        <f t="shared" si="2"/>
        <v>0</v>
      </c>
      <c r="J47" s="17">
        <v>0.25</v>
      </c>
      <c r="K47" s="20">
        <f t="shared" si="3"/>
        <v>0</v>
      </c>
    </row>
    <row r="48" spans="1:11">
      <c r="A48" s="110" t="s">
        <v>66</v>
      </c>
      <c r="B48">
        <v>4700</v>
      </c>
      <c r="C48" s="41"/>
      <c r="E48" s="41"/>
      <c r="G48" s="17"/>
      <c r="I48" s="20"/>
      <c r="J48" s="17"/>
      <c r="K48" s="20"/>
    </row>
    <row r="49" ht="31.5" spans="1:11">
      <c r="A49" s="39" t="s">
        <v>54</v>
      </c>
      <c r="B49" s="34" t="s">
        <v>68</v>
      </c>
      <c r="C49" s="34" t="s">
        <v>69</v>
      </c>
      <c r="D49" t="s">
        <v>70</v>
      </c>
      <c r="E49" t="s">
        <v>71</v>
      </c>
      <c r="F49" t="s">
        <v>72</v>
      </c>
      <c r="G49" t="s">
        <v>73</v>
      </c>
      <c r="H49" t="s">
        <v>74</v>
      </c>
      <c r="I49" s="6" t="s">
        <v>75</v>
      </c>
      <c r="J49" s="6" t="s">
        <v>76</v>
      </c>
      <c r="K49" t="s">
        <v>56</v>
      </c>
    </row>
    <row r="50" spans="1:11">
      <c r="A50" s="40">
        <v>40543</v>
      </c>
      <c r="B50" s="38">
        <f>营业收入分析!E2</f>
        <v>0</v>
      </c>
      <c r="C50" s="41" t="e">
        <f t="shared" si="5"/>
        <v>#VALUE!</v>
      </c>
      <c r="D50" s="38">
        <f>营业成本分析!E2</f>
        <v>0</v>
      </c>
      <c r="E50" s="41" t="e">
        <f t="shared" si="6"/>
        <v>#VALUE!</v>
      </c>
      <c r="F50" s="20">
        <f t="shared" ref="F50:F57" si="14">B50-D50</f>
        <v>0</v>
      </c>
      <c r="G50" s="17" t="e">
        <f t="shared" si="7"/>
        <v>#VALUE!</v>
      </c>
      <c r="H50" s="17" t="e">
        <f t="shared" ref="H50:H57" si="15">F50/B50</f>
        <v>#DIV/0!</v>
      </c>
      <c r="I50" s="20">
        <f t="shared" si="2"/>
        <v>0</v>
      </c>
      <c r="J50" s="17">
        <v>0.25</v>
      </c>
      <c r="K50" s="20">
        <f t="shared" si="3"/>
        <v>0</v>
      </c>
    </row>
    <row r="51" spans="1:11">
      <c r="A51" s="40">
        <v>40908</v>
      </c>
      <c r="B51" s="38">
        <f>营业收入分析!E3</f>
        <v>0</v>
      </c>
      <c r="C51" s="41" t="e">
        <f t="shared" si="5"/>
        <v>#DIV/0!</v>
      </c>
      <c r="D51" s="38">
        <f>营业成本分析!E3</f>
        <v>0</v>
      </c>
      <c r="E51" s="41" t="e">
        <f t="shared" si="6"/>
        <v>#DIV/0!</v>
      </c>
      <c r="F51" s="20">
        <f t="shared" si="14"/>
        <v>0</v>
      </c>
      <c r="G51" s="17" t="e">
        <f t="shared" si="7"/>
        <v>#DIV/0!</v>
      </c>
      <c r="H51" s="17" t="e">
        <f t="shared" si="15"/>
        <v>#DIV/0!</v>
      </c>
      <c r="I51" s="20">
        <f t="shared" si="2"/>
        <v>0</v>
      </c>
      <c r="J51" s="17">
        <v>0.25</v>
      </c>
      <c r="K51" s="20">
        <f t="shared" si="3"/>
        <v>0</v>
      </c>
    </row>
    <row r="52" spans="1:11">
      <c r="A52" s="40">
        <v>41274</v>
      </c>
      <c r="B52" s="38">
        <f>营业收入分析!E4</f>
        <v>0</v>
      </c>
      <c r="C52" s="41" t="e">
        <f t="shared" si="5"/>
        <v>#DIV/0!</v>
      </c>
      <c r="D52" s="38">
        <f>营业成本分析!E4</f>
        <v>0</v>
      </c>
      <c r="E52" s="41" t="e">
        <f t="shared" si="6"/>
        <v>#DIV/0!</v>
      </c>
      <c r="F52" s="20">
        <f t="shared" si="14"/>
        <v>0</v>
      </c>
      <c r="G52" s="17" t="e">
        <f t="shared" si="7"/>
        <v>#DIV/0!</v>
      </c>
      <c r="H52" s="17" t="e">
        <f t="shared" si="15"/>
        <v>#DIV/0!</v>
      </c>
      <c r="I52" s="20">
        <f t="shared" si="2"/>
        <v>0</v>
      </c>
      <c r="J52" s="17">
        <v>0.25</v>
      </c>
      <c r="K52" s="20">
        <f t="shared" si="3"/>
        <v>0</v>
      </c>
    </row>
    <row r="53" spans="1:11">
      <c r="A53" s="40">
        <v>41639</v>
      </c>
      <c r="B53" s="38">
        <f>营业收入分析!E5</f>
        <v>0</v>
      </c>
      <c r="C53" s="41" t="e">
        <f t="shared" si="5"/>
        <v>#DIV/0!</v>
      </c>
      <c r="D53" s="38">
        <f>营业成本分析!E5</f>
        <v>0</v>
      </c>
      <c r="E53" s="41" t="e">
        <f t="shared" si="6"/>
        <v>#DIV/0!</v>
      </c>
      <c r="F53" s="20">
        <f t="shared" si="14"/>
        <v>0</v>
      </c>
      <c r="G53" s="17" t="e">
        <f t="shared" si="7"/>
        <v>#DIV/0!</v>
      </c>
      <c r="H53" s="17" t="e">
        <f t="shared" si="15"/>
        <v>#DIV/0!</v>
      </c>
      <c r="I53" s="20">
        <f t="shared" si="2"/>
        <v>0</v>
      </c>
      <c r="J53" s="17">
        <v>0.25</v>
      </c>
      <c r="K53" s="20">
        <f t="shared" si="3"/>
        <v>0</v>
      </c>
    </row>
    <row r="54" spans="1:11">
      <c r="A54" s="40">
        <v>42004</v>
      </c>
      <c r="B54" s="38">
        <f>营业收入分析!E6</f>
        <v>73933364.82</v>
      </c>
      <c r="C54" s="41" t="e">
        <f t="shared" si="5"/>
        <v>#DIV/0!</v>
      </c>
      <c r="D54" s="38">
        <f>营业成本分析!E6</f>
        <v>0</v>
      </c>
      <c r="E54" s="41" t="e">
        <f t="shared" si="6"/>
        <v>#DIV/0!</v>
      </c>
      <c r="F54" s="20">
        <f t="shared" si="14"/>
        <v>73933364.82</v>
      </c>
      <c r="G54" s="17" t="e">
        <f t="shared" si="7"/>
        <v>#DIV/0!</v>
      </c>
      <c r="H54" s="17">
        <f t="shared" si="15"/>
        <v>1</v>
      </c>
      <c r="I54" s="20">
        <f t="shared" si="2"/>
        <v>73933364.82</v>
      </c>
      <c r="J54" s="17">
        <v>0.25</v>
      </c>
      <c r="K54" s="20">
        <f t="shared" si="3"/>
        <v>55450023.615</v>
      </c>
    </row>
    <row r="55" spans="1:11">
      <c r="A55" s="40">
        <v>42369</v>
      </c>
      <c r="B55" s="38">
        <f>营业收入分析!E7</f>
        <v>171198719.31</v>
      </c>
      <c r="C55" s="41">
        <f t="shared" si="5"/>
        <v>1.31558133092961</v>
      </c>
      <c r="D55" s="38">
        <f>营业成本分析!E7</f>
        <v>63474018.02</v>
      </c>
      <c r="E55" s="41" t="e">
        <f t="shared" si="6"/>
        <v>#DIV/0!</v>
      </c>
      <c r="F55" s="20">
        <f t="shared" si="14"/>
        <v>107724701.29</v>
      </c>
      <c r="G55" s="17">
        <f t="shared" si="7"/>
        <v>0.457051245432549</v>
      </c>
      <c r="H55" s="17">
        <f t="shared" si="15"/>
        <v>0.629237775400272</v>
      </c>
      <c r="I55" s="20">
        <f t="shared" si="2"/>
        <v>73546383.8946154</v>
      </c>
      <c r="J55" s="17">
        <v>0.25</v>
      </c>
      <c r="K55" s="20">
        <f t="shared" si="3"/>
        <v>55159787.9209615</v>
      </c>
    </row>
    <row r="56" spans="1:11">
      <c r="A56" s="40">
        <v>42735</v>
      </c>
      <c r="B56" s="38">
        <f>营业收入分析!E8</f>
        <v>222559993.77</v>
      </c>
      <c r="C56" s="41">
        <f t="shared" si="5"/>
        <v>0.300009688547944</v>
      </c>
      <c r="D56" s="38">
        <f>营业成本分析!E8</f>
        <v>60375909.05</v>
      </c>
      <c r="E56" s="41">
        <f t="shared" si="6"/>
        <v>-0.0488090886104583</v>
      </c>
      <c r="F56" s="20">
        <f t="shared" si="14"/>
        <v>162184084.72</v>
      </c>
      <c r="G56" s="17">
        <f t="shared" si="7"/>
        <v>0.505542208777101</v>
      </c>
      <c r="H56" s="17">
        <f t="shared" si="15"/>
        <v>0.72872074613556</v>
      </c>
      <c r="I56" s="20">
        <f t="shared" si="2"/>
        <v>129673979.846923</v>
      </c>
      <c r="J56" s="17">
        <v>0.25</v>
      </c>
      <c r="K56" s="20">
        <f t="shared" si="3"/>
        <v>97255484.8851923</v>
      </c>
    </row>
    <row r="57" spans="1:11">
      <c r="A57" s="40">
        <v>43100</v>
      </c>
      <c r="B57" s="38">
        <f>营业收入分析!E9</f>
        <v>227236394.38</v>
      </c>
      <c r="C57" s="41">
        <f t="shared" si="5"/>
        <v>0.0210118652988134</v>
      </c>
      <c r="D57" s="38">
        <f>营业成本分析!E9</f>
        <v>66945157.68</v>
      </c>
      <c r="E57" s="41">
        <f t="shared" si="6"/>
        <v>0.108805792465331</v>
      </c>
      <c r="F57" s="20">
        <f t="shared" si="14"/>
        <v>160291236.7</v>
      </c>
      <c r="G57" s="17">
        <f t="shared" si="7"/>
        <v>-0.0116709849999642</v>
      </c>
      <c r="H57" s="17">
        <f t="shared" si="15"/>
        <v>0.705394209133376</v>
      </c>
      <c r="I57" s="20">
        <f t="shared" si="2"/>
        <v>124243844.103077</v>
      </c>
      <c r="J57" s="17">
        <v>0.25</v>
      </c>
      <c r="K57" s="20">
        <f t="shared" si="3"/>
        <v>93182883.0773077</v>
      </c>
    </row>
    <row r="58" spans="1:11">
      <c r="A58" s="40">
        <v>43465</v>
      </c>
      <c r="B58" s="38">
        <f>营业收入分析!E10</f>
        <v>266958976.73</v>
      </c>
      <c r="C58" s="41">
        <f t="shared" si="5"/>
        <v>0.174807307862724</v>
      </c>
      <c r="D58" s="38">
        <f>营业成本分析!E10</f>
        <v>70876733.72</v>
      </c>
      <c r="E58" s="41">
        <f t="shared" si="6"/>
        <v>0.0587283109973847</v>
      </c>
      <c r="F58" s="20">
        <f t="shared" ref="F58:F65" si="16">B58-D58</f>
        <v>196082243.01</v>
      </c>
      <c r="G58" s="17">
        <f t="shared" si="7"/>
        <v>0.223287355234436</v>
      </c>
      <c r="H58" s="17">
        <f t="shared" ref="H58:H65" si="17">F58/B58</f>
        <v>0.734503276165596</v>
      </c>
      <c r="I58" s="20">
        <f t="shared" si="2"/>
        <v>157917847.93</v>
      </c>
      <c r="J58" s="17">
        <v>0.25</v>
      </c>
      <c r="K58" s="20">
        <f t="shared" si="3"/>
        <v>118438385.9475</v>
      </c>
    </row>
    <row r="59" spans="1:11">
      <c r="A59" s="40">
        <v>43830</v>
      </c>
      <c r="B59" s="38">
        <f>营业收入分析!E11</f>
        <v>333433832.57</v>
      </c>
      <c r="C59" s="41">
        <f t="shared" si="5"/>
        <v>0.249007756376112</v>
      </c>
      <c r="D59" s="38">
        <f>营业成本分析!E11</f>
        <v>59356832.69</v>
      </c>
      <c r="E59" s="41">
        <f t="shared" si="6"/>
        <v>-0.162534310278879</v>
      </c>
      <c r="F59" s="20">
        <f t="shared" si="16"/>
        <v>274076999.88</v>
      </c>
      <c r="G59" s="17">
        <f t="shared" si="7"/>
        <v>0.397765527733291</v>
      </c>
      <c r="H59" s="17">
        <f t="shared" si="17"/>
        <v>0.821983173595502</v>
      </c>
      <c r="I59" s="20">
        <f t="shared" si="2"/>
        <v>242115628.431538</v>
      </c>
      <c r="J59" s="17">
        <v>0.25</v>
      </c>
      <c r="K59" s="20">
        <f t="shared" si="3"/>
        <v>181586721.323654</v>
      </c>
    </row>
    <row r="60" s="1" customFormat="1" spans="1:11">
      <c r="A60" s="109">
        <v>43831</v>
      </c>
      <c r="B60" s="104">
        <f>营业收入分析!E12</f>
        <v>136520949.23</v>
      </c>
      <c r="C60" s="105">
        <f t="shared" si="5"/>
        <v>-0.590560597352282</v>
      </c>
      <c r="D60" s="104">
        <f>营业成本分析!E12</f>
        <v>34341329.43</v>
      </c>
      <c r="E60" s="105">
        <f t="shared" si="6"/>
        <v>-0.421442690357945</v>
      </c>
      <c r="F60" s="106">
        <f t="shared" si="16"/>
        <v>102179619.8</v>
      </c>
      <c r="G60" s="107">
        <f t="shared" si="7"/>
        <v>-0.627186448170632</v>
      </c>
      <c r="H60" s="107">
        <f t="shared" si="17"/>
        <v>0.748453774869787</v>
      </c>
      <c r="I60" s="106">
        <f t="shared" si="2"/>
        <v>83688134.7223077</v>
      </c>
      <c r="J60" s="107">
        <v>0.25</v>
      </c>
      <c r="K60" s="106">
        <f t="shared" si="3"/>
        <v>62766101.0417308</v>
      </c>
    </row>
    <row r="61" spans="1:11">
      <c r="A61" s="102">
        <f>A14+1</f>
        <v>2021</v>
      </c>
      <c r="B61" s="38">
        <f>B59*0.484</f>
        <v>161381974.96388</v>
      </c>
      <c r="C61" s="41">
        <f t="shared" si="5"/>
        <v>0.182104108373844</v>
      </c>
      <c r="D61" s="38">
        <f>B61*0.25</f>
        <v>40345493.74097</v>
      </c>
      <c r="E61" s="41">
        <f t="shared" si="6"/>
        <v>0.174837853124139</v>
      </c>
      <c r="F61" s="20">
        <f t="shared" si="16"/>
        <v>121036481.22291</v>
      </c>
      <c r="G61" s="17">
        <f t="shared" si="7"/>
        <v>0.184546208527877</v>
      </c>
      <c r="H61" s="17">
        <f t="shared" si="17"/>
        <v>0.75</v>
      </c>
      <c r="I61" s="20">
        <f t="shared" si="2"/>
        <v>99311984.5931569</v>
      </c>
      <c r="J61" s="17">
        <v>0.25</v>
      </c>
      <c r="K61" s="20">
        <f t="shared" si="3"/>
        <v>74483988.4448677</v>
      </c>
    </row>
    <row r="62" spans="1:11">
      <c r="A62" s="102">
        <f>A61+1</f>
        <v>2022</v>
      </c>
      <c r="B62" s="38">
        <f>B59*0.8</f>
        <v>266747066.056</v>
      </c>
      <c r="C62" s="41">
        <f t="shared" si="5"/>
        <v>0.652892561983471</v>
      </c>
      <c r="D62" s="38">
        <f>B62*0.2</f>
        <v>53349413.2112</v>
      </c>
      <c r="E62" s="41">
        <f t="shared" si="6"/>
        <v>0.322314049586777</v>
      </c>
      <c r="F62" s="20">
        <f t="shared" si="16"/>
        <v>213397652.8448</v>
      </c>
      <c r="G62" s="17">
        <f t="shared" si="7"/>
        <v>0.763085399449036</v>
      </c>
      <c r="H62" s="17">
        <f t="shared" si="17"/>
        <v>0.8</v>
      </c>
      <c r="I62" s="20">
        <f t="shared" si="2"/>
        <v>184671045.731077</v>
      </c>
      <c r="J62" s="17">
        <v>0.25</v>
      </c>
      <c r="K62" s="20">
        <f t="shared" si="3"/>
        <v>138503284.298308</v>
      </c>
    </row>
    <row r="63" spans="1:11">
      <c r="A63" s="102">
        <f>A62+1</f>
        <v>2023</v>
      </c>
      <c r="B63" s="38">
        <f>B59*1.05</f>
        <v>350105524.1985</v>
      </c>
      <c r="C63" s="41">
        <f t="shared" si="5"/>
        <v>0.3125</v>
      </c>
      <c r="D63" s="38">
        <f>B63*0.2</f>
        <v>70021104.8397</v>
      </c>
      <c r="E63" s="41">
        <f t="shared" si="6"/>
        <v>0.3125</v>
      </c>
      <c r="F63" s="20">
        <f t="shared" si="16"/>
        <v>280084419.3588</v>
      </c>
      <c r="G63" s="17">
        <f t="shared" si="7"/>
        <v>0.3125</v>
      </c>
      <c r="H63" s="17">
        <f t="shared" si="17"/>
        <v>0.8</v>
      </c>
      <c r="I63" s="20">
        <f t="shared" si="2"/>
        <v>242380747.522038</v>
      </c>
      <c r="J63" s="17">
        <v>0.25</v>
      </c>
      <c r="K63" s="20">
        <f t="shared" si="3"/>
        <v>181785560.641529</v>
      </c>
    </row>
    <row r="64" spans="1:11">
      <c r="A64" s="102">
        <f>A63+1</f>
        <v>2024</v>
      </c>
      <c r="B64" s="38">
        <f>B63*1.1</f>
        <v>385116076.61835</v>
      </c>
      <c r="C64" s="41">
        <f t="shared" si="5"/>
        <v>0.1</v>
      </c>
      <c r="D64" s="38">
        <f>B64*0.2</f>
        <v>77023215.32367</v>
      </c>
      <c r="E64" s="41">
        <f t="shared" si="6"/>
        <v>0.1</v>
      </c>
      <c r="F64" s="20">
        <f t="shared" si="16"/>
        <v>308092861.29468</v>
      </c>
      <c r="G64" s="17">
        <f t="shared" si="7"/>
        <v>0.1</v>
      </c>
      <c r="H64" s="17">
        <f t="shared" si="17"/>
        <v>0.8</v>
      </c>
      <c r="I64" s="20">
        <f t="shared" si="2"/>
        <v>266618822.274242</v>
      </c>
      <c r="J64" s="17">
        <v>0.25</v>
      </c>
      <c r="K64" s="20">
        <f t="shared" si="3"/>
        <v>199964116.705682</v>
      </c>
    </row>
    <row r="65" spans="1:11">
      <c r="A65" s="102">
        <f>A64+1</f>
        <v>2025</v>
      </c>
      <c r="B65" s="38">
        <f>B64*1.11</f>
        <v>427478845.046369</v>
      </c>
      <c r="C65" s="41">
        <f t="shared" si="5"/>
        <v>0.11</v>
      </c>
      <c r="D65" s="38">
        <f>B65*0.2</f>
        <v>85495769.0092737</v>
      </c>
      <c r="E65" s="41">
        <f t="shared" si="6"/>
        <v>0.11</v>
      </c>
      <c r="F65" s="20">
        <f t="shared" si="16"/>
        <v>341983076.037095</v>
      </c>
      <c r="G65" s="17">
        <f t="shared" si="7"/>
        <v>0.11</v>
      </c>
      <c r="H65" s="17">
        <f t="shared" si="17"/>
        <v>0.8</v>
      </c>
      <c r="I65" s="20">
        <f t="shared" si="2"/>
        <v>295946892.724409</v>
      </c>
      <c r="J65" s="17">
        <v>0.25</v>
      </c>
      <c r="K65" s="20">
        <f t="shared" si="3"/>
        <v>221960169.543307</v>
      </c>
    </row>
    <row r="66" spans="3:11">
      <c r="C66" s="41">
        <f>(B66-B60)/B60</f>
        <v>-1</v>
      </c>
      <c r="E66" s="41">
        <f>(D66-D60)/D60</f>
        <v>-1</v>
      </c>
      <c r="G66" s="17">
        <f>(F66-F60)/F60</f>
        <v>-1</v>
      </c>
      <c r="I66" s="20">
        <f t="shared" si="2"/>
        <v>0</v>
      </c>
      <c r="J66" s="17">
        <v>0.25</v>
      </c>
      <c r="K66" s="20">
        <f t="shared" si="3"/>
        <v>0</v>
      </c>
    </row>
    <row r="67" spans="3:11">
      <c r="C67" s="41" t="e">
        <f t="shared" si="5"/>
        <v>#DIV/0!</v>
      </c>
      <c r="E67" s="41" t="e">
        <f t="shared" si="6"/>
        <v>#DIV/0!</v>
      </c>
      <c r="G67" s="17" t="e">
        <f t="shared" si="7"/>
        <v>#DIV/0!</v>
      </c>
      <c r="I67" s="20">
        <f t="shared" si="2"/>
        <v>0</v>
      </c>
      <c r="J67" s="17">
        <v>0.25</v>
      </c>
      <c r="K67" s="20">
        <f t="shared" si="3"/>
        <v>0</v>
      </c>
    </row>
    <row r="68" spans="1:11">
      <c r="A68" s="38" t="str">
        <f>营业收入分析!F1</f>
        <v>九寨沟宋城</v>
      </c>
      <c r="C68" s="41" t="e">
        <f t="shared" si="5"/>
        <v>#DIV/0!</v>
      </c>
      <c r="E68" s="41" t="e">
        <f t="shared" si="6"/>
        <v>#DIV/0!</v>
      </c>
      <c r="G68" s="17" t="e">
        <f t="shared" si="7"/>
        <v>#DIV/0!</v>
      </c>
      <c r="I68" s="20">
        <f t="shared" si="2"/>
        <v>0</v>
      </c>
      <c r="J68" s="17">
        <v>0.25</v>
      </c>
      <c r="K68" s="20">
        <f t="shared" si="3"/>
        <v>0</v>
      </c>
    </row>
    <row r="69" spans="1:11">
      <c r="A69" s="38"/>
      <c r="C69" s="41"/>
      <c r="E69" s="41"/>
      <c r="G69" s="17"/>
      <c r="I69" s="20"/>
      <c r="J69" s="17"/>
      <c r="K69" s="20"/>
    </row>
    <row r="70" ht="31.5" spans="1:11">
      <c r="A70" s="39" t="s">
        <v>54</v>
      </c>
      <c r="B70" s="34" t="s">
        <v>68</v>
      </c>
      <c r="C70" s="34" t="s">
        <v>69</v>
      </c>
      <c r="D70" t="s">
        <v>70</v>
      </c>
      <c r="E70" t="s">
        <v>71</v>
      </c>
      <c r="F70" t="s">
        <v>72</v>
      </c>
      <c r="G70" t="s">
        <v>73</v>
      </c>
      <c r="H70" t="s">
        <v>74</v>
      </c>
      <c r="I70" s="6" t="s">
        <v>75</v>
      </c>
      <c r="J70" s="6" t="s">
        <v>76</v>
      </c>
      <c r="K70" t="s">
        <v>56</v>
      </c>
    </row>
    <row r="71" spans="1:11">
      <c r="A71" s="40">
        <v>40543</v>
      </c>
      <c r="B71" s="38">
        <f>营业收入分析!F2</f>
        <v>0</v>
      </c>
      <c r="C71" s="41" t="e">
        <f>(B71-B70)/B70</f>
        <v>#VALUE!</v>
      </c>
      <c r="D71" s="38">
        <f>营业成本分析!F2</f>
        <v>0</v>
      </c>
      <c r="E71" s="41" t="e">
        <f t="shared" si="6"/>
        <v>#VALUE!</v>
      </c>
      <c r="F71" s="20">
        <f t="shared" ref="F71:F78" si="18">B71-D71</f>
        <v>0</v>
      </c>
      <c r="G71" s="17" t="e">
        <f t="shared" si="7"/>
        <v>#VALUE!</v>
      </c>
      <c r="H71" s="17" t="e">
        <f t="shared" ref="H71:H78" si="19">F71/B71</f>
        <v>#DIV/0!</v>
      </c>
      <c r="I71" s="20">
        <f t="shared" si="2"/>
        <v>0</v>
      </c>
      <c r="J71" s="17">
        <v>0.15</v>
      </c>
      <c r="K71" s="20">
        <f t="shared" si="3"/>
        <v>0</v>
      </c>
    </row>
    <row r="72" spans="1:11">
      <c r="A72" s="40">
        <v>40908</v>
      </c>
      <c r="B72" s="38">
        <f>营业收入分析!F3</f>
        <v>0</v>
      </c>
      <c r="C72" s="41" t="e">
        <f t="shared" si="5"/>
        <v>#DIV/0!</v>
      </c>
      <c r="D72" s="38">
        <f>营业成本分析!F3</f>
        <v>0</v>
      </c>
      <c r="E72" s="41" t="e">
        <f t="shared" si="6"/>
        <v>#DIV/0!</v>
      </c>
      <c r="F72" s="20">
        <f t="shared" si="18"/>
        <v>0</v>
      </c>
      <c r="G72" s="17" t="e">
        <f t="shared" si="7"/>
        <v>#DIV/0!</v>
      </c>
      <c r="H72" s="17" t="e">
        <f t="shared" si="19"/>
        <v>#DIV/0!</v>
      </c>
      <c r="I72" s="20">
        <f t="shared" si="2"/>
        <v>0</v>
      </c>
      <c r="J72" s="17">
        <v>0.15</v>
      </c>
      <c r="K72" s="20">
        <f t="shared" si="3"/>
        <v>0</v>
      </c>
    </row>
    <row r="73" spans="1:11">
      <c r="A73" s="40">
        <v>41274</v>
      </c>
      <c r="B73" s="38">
        <f>营业收入分析!F4</f>
        <v>0</v>
      </c>
      <c r="C73" s="41" t="e">
        <f t="shared" si="5"/>
        <v>#DIV/0!</v>
      </c>
      <c r="D73" s="38">
        <f>营业成本分析!F4</f>
        <v>0</v>
      </c>
      <c r="E73" s="41" t="e">
        <f t="shared" si="6"/>
        <v>#DIV/0!</v>
      </c>
      <c r="F73" s="20">
        <f t="shared" si="18"/>
        <v>0</v>
      </c>
      <c r="G73" s="17" t="e">
        <f t="shared" si="7"/>
        <v>#DIV/0!</v>
      </c>
      <c r="H73" s="17" t="e">
        <f t="shared" si="19"/>
        <v>#DIV/0!</v>
      </c>
      <c r="I73" s="20">
        <f t="shared" si="2"/>
        <v>0</v>
      </c>
      <c r="J73" s="17">
        <v>0.15</v>
      </c>
      <c r="K73" s="20">
        <f t="shared" si="3"/>
        <v>0</v>
      </c>
    </row>
    <row r="74" spans="1:11">
      <c r="A74" s="40">
        <v>41639</v>
      </c>
      <c r="B74" s="38">
        <f>营业收入分析!F5</f>
        <v>0</v>
      </c>
      <c r="C74" s="41" t="e">
        <f t="shared" si="5"/>
        <v>#DIV/0!</v>
      </c>
      <c r="D74" s="38">
        <f>营业成本分析!F5</f>
        <v>0</v>
      </c>
      <c r="E74" s="41" t="e">
        <f t="shared" si="6"/>
        <v>#DIV/0!</v>
      </c>
      <c r="F74" s="20">
        <f t="shared" si="18"/>
        <v>0</v>
      </c>
      <c r="G74" s="17" t="e">
        <f t="shared" si="7"/>
        <v>#DIV/0!</v>
      </c>
      <c r="H74" s="17" t="e">
        <f t="shared" si="19"/>
        <v>#DIV/0!</v>
      </c>
      <c r="I74" s="20">
        <f t="shared" si="2"/>
        <v>0</v>
      </c>
      <c r="J74" s="17">
        <v>0.15</v>
      </c>
      <c r="K74" s="20">
        <f t="shared" si="3"/>
        <v>0</v>
      </c>
    </row>
    <row r="75" spans="1:11">
      <c r="A75" s="40">
        <v>42004</v>
      </c>
      <c r="B75" s="38">
        <f>营业收入分析!F6</f>
        <v>63465841.31</v>
      </c>
      <c r="C75" s="41" t="e">
        <f t="shared" si="5"/>
        <v>#DIV/0!</v>
      </c>
      <c r="D75" s="38">
        <f>营业成本分析!F6</f>
        <v>0</v>
      </c>
      <c r="E75" s="41" t="e">
        <f t="shared" si="6"/>
        <v>#DIV/0!</v>
      </c>
      <c r="F75" s="20">
        <f t="shared" si="18"/>
        <v>63465841.31</v>
      </c>
      <c r="G75" s="17" t="e">
        <f t="shared" si="7"/>
        <v>#DIV/0!</v>
      </c>
      <c r="H75" s="17">
        <f t="shared" si="19"/>
        <v>1</v>
      </c>
      <c r="I75" s="20">
        <f t="shared" si="2"/>
        <v>63465841.31</v>
      </c>
      <c r="J75" s="17">
        <v>0.15</v>
      </c>
      <c r="K75" s="20">
        <f t="shared" si="3"/>
        <v>53945965.1135</v>
      </c>
    </row>
    <row r="76" spans="1:11">
      <c r="A76" s="40">
        <v>42369</v>
      </c>
      <c r="B76" s="38">
        <f>营业收入分析!F7</f>
        <v>131115944.74</v>
      </c>
      <c r="C76" s="41">
        <f t="shared" si="5"/>
        <v>1.06592935717281</v>
      </c>
      <c r="D76" s="38">
        <f>营业成本分析!F7</f>
        <v>42894905.31</v>
      </c>
      <c r="E76" s="41" t="e">
        <f t="shared" si="6"/>
        <v>#DIV/0!</v>
      </c>
      <c r="F76" s="20">
        <f t="shared" si="18"/>
        <v>88221039.43</v>
      </c>
      <c r="G76" s="17">
        <f t="shared" si="7"/>
        <v>0.390055463049529</v>
      </c>
      <c r="H76" s="17">
        <f t="shared" si="19"/>
        <v>0.672847528993826</v>
      </c>
      <c r="I76" s="20">
        <f t="shared" si="2"/>
        <v>65123782.7246154</v>
      </c>
      <c r="J76" s="17">
        <v>0.15</v>
      </c>
      <c r="K76" s="20">
        <f t="shared" si="3"/>
        <v>55355215.3159231</v>
      </c>
    </row>
    <row r="77" spans="1:11">
      <c r="A77" s="40">
        <v>42735</v>
      </c>
      <c r="B77" s="38">
        <f>营业收入分析!F8</f>
        <v>149279367.16</v>
      </c>
      <c r="C77" s="41">
        <f t="shared" si="5"/>
        <v>0.138529470660625</v>
      </c>
      <c r="D77" s="38">
        <f>营业成本分析!F8</f>
        <v>45675188.01</v>
      </c>
      <c r="E77" s="41">
        <f t="shared" si="6"/>
        <v>0.06481615193942</v>
      </c>
      <c r="F77" s="20">
        <f t="shared" si="18"/>
        <v>103604179.15</v>
      </c>
      <c r="G77" s="17">
        <f t="shared" si="7"/>
        <v>0.174370420246589</v>
      </c>
      <c r="H77" s="17">
        <f t="shared" si="19"/>
        <v>0.694028793938786</v>
      </c>
      <c r="I77" s="20">
        <f t="shared" si="2"/>
        <v>79009847.1446154</v>
      </c>
      <c r="J77" s="17">
        <v>0.15</v>
      </c>
      <c r="K77" s="20">
        <f t="shared" si="3"/>
        <v>67158370.0729231</v>
      </c>
    </row>
    <row r="78" spans="1:11">
      <c r="A78" s="40">
        <v>43100</v>
      </c>
      <c r="B78" s="38">
        <f>营业收入分析!F9</f>
        <v>90585086.01</v>
      </c>
      <c r="C78" s="41">
        <f t="shared" si="5"/>
        <v>-0.393184150406335</v>
      </c>
      <c r="D78" s="38">
        <f>营业成本分析!F9</f>
        <v>23151926.16</v>
      </c>
      <c r="E78" s="41">
        <f t="shared" si="6"/>
        <v>-0.493118098278409</v>
      </c>
      <c r="F78" s="20">
        <f t="shared" si="18"/>
        <v>67433159.85</v>
      </c>
      <c r="G78" s="17">
        <f t="shared" si="7"/>
        <v>-0.349127029399373</v>
      </c>
      <c r="H78" s="17">
        <f t="shared" si="19"/>
        <v>0.744417903876095</v>
      </c>
      <c r="I78" s="20">
        <f t="shared" si="2"/>
        <v>54966738.0715385</v>
      </c>
      <c r="J78" s="17">
        <v>0.15</v>
      </c>
      <c r="K78" s="20">
        <f t="shared" si="3"/>
        <v>46721727.3608077</v>
      </c>
    </row>
    <row r="79" spans="1:11">
      <c r="A79" s="40">
        <v>43465</v>
      </c>
      <c r="B79" s="38">
        <f>营业收入分析!F10</f>
        <v>1778339.57</v>
      </c>
      <c r="C79" s="41">
        <f t="shared" si="5"/>
        <v>-0.980368296279989</v>
      </c>
      <c r="D79" s="38">
        <f>营业成本分析!F10</f>
        <v>1746370.39</v>
      </c>
      <c r="E79" s="41">
        <f t="shared" si="6"/>
        <v>-0.924569110235967</v>
      </c>
      <c r="F79" s="20">
        <f t="shared" ref="F79:F86" si="20">B79-D79</f>
        <v>31969.1800000002</v>
      </c>
      <c r="G79" s="17">
        <f t="shared" si="7"/>
        <v>-0.999525913066048</v>
      </c>
      <c r="H79" s="17">
        <f t="shared" ref="H79:H86" si="21">F79/B79</f>
        <v>0.0179769828773479</v>
      </c>
      <c r="I79" s="20">
        <f t="shared" si="2"/>
        <v>-908384.106923077</v>
      </c>
      <c r="J79" s="17">
        <v>0.15</v>
      </c>
      <c r="K79" s="20">
        <f t="shared" si="3"/>
        <v>-772126.490884615</v>
      </c>
    </row>
    <row r="80" spans="1:11">
      <c r="A80" s="40">
        <v>43830</v>
      </c>
      <c r="B80" s="38">
        <f>营业收入分析!F11</f>
        <v>0</v>
      </c>
      <c r="C80" s="41">
        <f t="shared" si="5"/>
        <v>-1</v>
      </c>
      <c r="D80" s="38">
        <f>营业成本分析!F11</f>
        <v>0</v>
      </c>
      <c r="E80" s="41">
        <f t="shared" si="6"/>
        <v>-1</v>
      </c>
      <c r="F80" s="20">
        <f t="shared" si="20"/>
        <v>0</v>
      </c>
      <c r="G80" s="17">
        <f t="shared" si="7"/>
        <v>-1</v>
      </c>
      <c r="H80" s="17" t="e">
        <f t="shared" si="21"/>
        <v>#DIV/0!</v>
      </c>
      <c r="I80" s="20">
        <f t="shared" si="2"/>
        <v>0</v>
      </c>
      <c r="J80" s="17">
        <v>0.15</v>
      </c>
      <c r="K80" s="20">
        <f t="shared" si="3"/>
        <v>0</v>
      </c>
    </row>
    <row r="81" s="1" customFormat="1" spans="1:11">
      <c r="A81" s="109">
        <v>43831</v>
      </c>
      <c r="B81" s="104">
        <f>营业收入分析!F12</f>
        <v>25667095.21</v>
      </c>
      <c r="C81" s="105" t="e">
        <f t="shared" si="5"/>
        <v>#DIV/0!</v>
      </c>
      <c r="D81" s="104">
        <f>营业成本分析!F12</f>
        <v>0</v>
      </c>
      <c r="E81" s="105" t="e">
        <f t="shared" si="6"/>
        <v>#DIV/0!</v>
      </c>
      <c r="F81" s="106">
        <f t="shared" si="20"/>
        <v>25667095.21</v>
      </c>
      <c r="G81" s="107" t="e">
        <f t="shared" si="7"/>
        <v>#DIV/0!</v>
      </c>
      <c r="H81" s="107">
        <f t="shared" si="21"/>
        <v>1</v>
      </c>
      <c r="I81" s="106">
        <f t="shared" si="2"/>
        <v>25667095.21</v>
      </c>
      <c r="J81" s="107">
        <v>0.15</v>
      </c>
      <c r="K81" s="106">
        <f t="shared" si="3"/>
        <v>21817030.9285</v>
      </c>
    </row>
    <row r="82" spans="1:11">
      <c r="A82" s="102">
        <f>A14+1</f>
        <v>2021</v>
      </c>
      <c r="B82" s="38">
        <f>B77*0.27</f>
        <v>40305429.1332</v>
      </c>
      <c r="C82" s="41">
        <f t="shared" si="5"/>
        <v>0.57031517604286</v>
      </c>
      <c r="D82" s="38">
        <f>B82*0.4</f>
        <v>16122171.65328</v>
      </c>
      <c r="E82" s="41" t="e">
        <f t="shared" si="6"/>
        <v>#DIV/0!</v>
      </c>
      <c r="F82" s="20">
        <f t="shared" si="20"/>
        <v>24183257.47992</v>
      </c>
      <c r="G82" s="17">
        <f t="shared" si="7"/>
        <v>-0.057810894374284</v>
      </c>
      <c r="H82" s="17">
        <f t="shared" si="21"/>
        <v>0.6</v>
      </c>
      <c r="I82" s="20">
        <f t="shared" si="2"/>
        <v>15502088.1281538</v>
      </c>
      <c r="J82" s="17">
        <v>0.15</v>
      </c>
      <c r="K82" s="20">
        <f t="shared" si="3"/>
        <v>13176774.9089308</v>
      </c>
    </row>
    <row r="83" spans="1:11">
      <c r="A83" s="102">
        <f>A82+1</f>
        <v>2022</v>
      </c>
      <c r="B83" s="38">
        <f>B77*0.6</f>
        <v>89567620.296</v>
      </c>
      <c r="C83" s="41">
        <f t="shared" si="5"/>
        <v>1.22222222222222</v>
      </c>
      <c r="D83" s="38">
        <f>B83*0.3</f>
        <v>26870286.0888</v>
      </c>
      <c r="E83" s="41">
        <f t="shared" si="6"/>
        <v>0.666666666666666</v>
      </c>
      <c r="F83" s="20">
        <f t="shared" si="20"/>
        <v>62697334.2072</v>
      </c>
      <c r="G83" s="17">
        <f t="shared" si="7"/>
        <v>1.59259259259259</v>
      </c>
      <c r="H83" s="17">
        <f t="shared" si="21"/>
        <v>0.7</v>
      </c>
      <c r="I83" s="20">
        <f t="shared" si="2"/>
        <v>48228718.6209231</v>
      </c>
      <c r="J83" s="17">
        <v>0.15</v>
      </c>
      <c r="K83" s="20">
        <f t="shared" si="3"/>
        <v>40994410.8277846</v>
      </c>
    </row>
    <row r="84" spans="1:11">
      <c r="A84" s="102">
        <f>A83+1</f>
        <v>2023</v>
      </c>
      <c r="B84" s="38">
        <f>B77</f>
        <v>149279367.16</v>
      </c>
      <c r="C84" s="41">
        <f t="shared" si="5"/>
        <v>0.666666666666667</v>
      </c>
      <c r="D84" s="38">
        <f>B84*0.3</f>
        <v>44783810.148</v>
      </c>
      <c r="E84" s="41">
        <f t="shared" si="6"/>
        <v>0.666666666666667</v>
      </c>
      <c r="F84" s="20">
        <f t="shared" si="20"/>
        <v>104495557.012</v>
      </c>
      <c r="G84" s="17">
        <f t="shared" si="7"/>
        <v>0.666666666666667</v>
      </c>
      <c r="H84" s="17">
        <f t="shared" si="21"/>
        <v>0.7</v>
      </c>
      <c r="I84" s="20">
        <f t="shared" si="2"/>
        <v>80381197.7015385</v>
      </c>
      <c r="J84" s="17">
        <v>0.15</v>
      </c>
      <c r="K84" s="20">
        <f t="shared" si="3"/>
        <v>68324018.0463077</v>
      </c>
    </row>
    <row r="85" spans="1:11">
      <c r="A85" s="102">
        <f>A84+1</f>
        <v>2024</v>
      </c>
      <c r="B85" s="38">
        <f>B84*1.5</f>
        <v>223919050.74</v>
      </c>
      <c r="C85" s="41">
        <f t="shared" si="5"/>
        <v>0.5</v>
      </c>
      <c r="D85" s="38">
        <f>B85*0.3</f>
        <v>67175715.222</v>
      </c>
      <c r="E85" s="41">
        <f t="shared" si="6"/>
        <v>0.5</v>
      </c>
      <c r="F85" s="20">
        <f t="shared" si="20"/>
        <v>156743335.518</v>
      </c>
      <c r="G85" s="17">
        <f t="shared" si="7"/>
        <v>0.5</v>
      </c>
      <c r="H85" s="17">
        <f t="shared" si="21"/>
        <v>0.7</v>
      </c>
      <c r="I85" s="20">
        <f t="shared" si="2"/>
        <v>120571796.552308</v>
      </c>
      <c r="J85" s="17">
        <v>0.15</v>
      </c>
      <c r="K85" s="20">
        <f t="shared" si="3"/>
        <v>102486027.069462</v>
      </c>
    </row>
    <row r="86" spans="1:11">
      <c r="A86" s="102">
        <f>A85+1</f>
        <v>2025</v>
      </c>
      <c r="B86" s="38">
        <f>B85*1.3</f>
        <v>291094765.962</v>
      </c>
      <c r="C86" s="41">
        <f t="shared" si="5"/>
        <v>0.3</v>
      </c>
      <c r="D86" s="38">
        <f>B86*0.3</f>
        <v>87328429.7886</v>
      </c>
      <c r="E86" s="41">
        <f t="shared" si="6"/>
        <v>0.3</v>
      </c>
      <c r="F86" s="20">
        <f t="shared" si="20"/>
        <v>203766336.1734</v>
      </c>
      <c r="G86" s="17">
        <f t="shared" si="7"/>
        <v>0.3</v>
      </c>
      <c r="H86" s="17">
        <f t="shared" si="21"/>
        <v>0.7</v>
      </c>
      <c r="I86" s="20">
        <f t="shared" si="2"/>
        <v>156743335.518</v>
      </c>
      <c r="J86" s="17">
        <v>0.15</v>
      </c>
      <c r="K86" s="20">
        <f t="shared" si="3"/>
        <v>133231835.1903</v>
      </c>
    </row>
    <row r="87" spans="3:11">
      <c r="C87" s="41">
        <f>(B87-B81)/B81</f>
        <v>-1</v>
      </c>
      <c r="E87" s="41" t="e">
        <f>(D87-D81)/D81</f>
        <v>#DIV/0!</v>
      </c>
      <c r="G87" s="17">
        <f>(F87-F81)/F81</f>
        <v>-1</v>
      </c>
      <c r="I87" s="20">
        <f t="shared" si="2"/>
        <v>0</v>
      </c>
      <c r="J87" s="17">
        <v>0.25</v>
      </c>
      <c r="K87" s="20">
        <f t="shared" si="3"/>
        <v>0</v>
      </c>
    </row>
    <row r="88" spans="1:11">
      <c r="A88" s="101" t="str">
        <f>营业收入分析!G1</f>
        <v>桂林宋城</v>
      </c>
      <c r="C88" s="41" t="e">
        <f t="shared" si="5"/>
        <v>#DIV/0!</v>
      </c>
      <c r="E88" s="41" t="e">
        <f t="shared" si="6"/>
        <v>#DIV/0!</v>
      </c>
      <c r="G88" s="17" t="e">
        <f t="shared" si="7"/>
        <v>#DIV/0!</v>
      </c>
      <c r="I88" s="20">
        <f t="shared" si="2"/>
        <v>0</v>
      </c>
      <c r="J88" s="17">
        <v>0.25</v>
      </c>
      <c r="K88" s="20">
        <f t="shared" si="3"/>
        <v>0</v>
      </c>
    </row>
    <row r="89" spans="1:11">
      <c r="A89" s="38" t="s">
        <v>79</v>
      </c>
      <c r="B89" s="49">
        <v>43308</v>
      </c>
      <c r="C89" s="41"/>
      <c r="E89" s="41"/>
      <c r="G89" s="17"/>
      <c r="I89" s="20"/>
      <c r="J89" s="17"/>
      <c r="K89" s="20"/>
    </row>
    <row r="90" spans="1:11">
      <c r="A90" s="38" t="s">
        <v>80</v>
      </c>
      <c r="B90" s="47">
        <v>161</v>
      </c>
      <c r="C90" s="41"/>
      <c r="E90" s="41"/>
      <c r="G90" s="17"/>
      <c r="I90" s="20"/>
      <c r="J90" s="17"/>
      <c r="K90" s="20"/>
    </row>
    <row r="91" spans="1:11">
      <c r="A91" s="38" t="s">
        <v>81</v>
      </c>
      <c r="B91" s="47" t="s">
        <v>82</v>
      </c>
      <c r="C91" s="41"/>
      <c r="E91" s="41"/>
      <c r="G91" s="17"/>
      <c r="I91" s="20"/>
      <c r="J91" s="17"/>
      <c r="K91" s="20"/>
    </row>
    <row r="92" spans="1:11">
      <c r="A92" s="38" t="s">
        <v>83</v>
      </c>
      <c r="B92" s="20">
        <v>800000000</v>
      </c>
      <c r="C92" s="41"/>
      <c r="E92" s="41"/>
      <c r="G92" s="17"/>
      <c r="I92" s="20"/>
      <c r="J92" s="17"/>
      <c r="K92" s="20"/>
    </row>
    <row r="93" spans="1:11">
      <c r="A93" s="38" t="s">
        <v>84</v>
      </c>
      <c r="B93" s="17">
        <v>0.7</v>
      </c>
      <c r="C93" s="41"/>
      <c r="E93" s="41"/>
      <c r="G93" s="17"/>
      <c r="I93" s="20"/>
      <c r="J93" s="17"/>
      <c r="K93" s="20"/>
    </row>
    <row r="94" spans="1:11">
      <c r="A94" s="38" t="s">
        <v>66</v>
      </c>
      <c r="B94" s="47">
        <v>3200</v>
      </c>
      <c r="C94" s="41"/>
      <c r="E94" s="41"/>
      <c r="G94" s="17"/>
      <c r="I94" s="20"/>
      <c r="J94" s="17"/>
      <c r="K94" s="20"/>
    </row>
    <row r="95" ht="31.5" spans="1:11">
      <c r="A95" s="39" t="s">
        <v>54</v>
      </c>
      <c r="B95" s="34" t="s">
        <v>68</v>
      </c>
      <c r="C95" s="34" t="s">
        <v>69</v>
      </c>
      <c r="D95" t="s">
        <v>70</v>
      </c>
      <c r="E95" t="s">
        <v>71</v>
      </c>
      <c r="F95" t="s">
        <v>72</v>
      </c>
      <c r="G95" t="s">
        <v>73</v>
      </c>
      <c r="H95" t="s">
        <v>74</v>
      </c>
      <c r="I95" s="6" t="s">
        <v>75</v>
      </c>
      <c r="J95" s="6" t="s">
        <v>76</v>
      </c>
      <c r="K95" t="s">
        <v>56</v>
      </c>
    </row>
    <row r="96" spans="1:11">
      <c r="A96" s="40">
        <v>40543</v>
      </c>
      <c r="B96" s="38">
        <f>营业收入分析!G2</f>
        <v>0</v>
      </c>
      <c r="C96" s="41" t="e">
        <f>(B96-B95)/B95</f>
        <v>#VALUE!</v>
      </c>
      <c r="D96" s="38">
        <f>营业成本分析!G2</f>
        <v>0</v>
      </c>
      <c r="E96" s="41" t="e">
        <f t="shared" si="6"/>
        <v>#VALUE!</v>
      </c>
      <c r="F96" s="20">
        <f t="shared" ref="F96:F103" si="22">B96-D96</f>
        <v>0</v>
      </c>
      <c r="G96" s="17" t="e">
        <f t="shared" si="7"/>
        <v>#VALUE!</v>
      </c>
      <c r="H96" s="17" t="e">
        <f t="shared" ref="H96:H103" si="23">F96/B96</f>
        <v>#DIV/0!</v>
      </c>
      <c r="I96" s="20">
        <f t="shared" si="2"/>
        <v>0</v>
      </c>
      <c r="J96" s="17">
        <v>0.25</v>
      </c>
      <c r="K96" s="20">
        <f t="shared" si="3"/>
        <v>0</v>
      </c>
    </row>
    <row r="97" spans="1:11">
      <c r="A97" s="40">
        <v>40908</v>
      </c>
      <c r="B97" s="38">
        <f>营业收入分析!G3</f>
        <v>0</v>
      </c>
      <c r="C97" s="41" t="e">
        <f t="shared" si="5"/>
        <v>#DIV/0!</v>
      </c>
      <c r="D97" s="38">
        <f>营业成本分析!G3</f>
        <v>0</v>
      </c>
      <c r="E97" s="41" t="e">
        <f t="shared" si="6"/>
        <v>#DIV/0!</v>
      </c>
      <c r="F97" s="20">
        <f t="shared" si="22"/>
        <v>0</v>
      </c>
      <c r="G97" s="17" t="e">
        <f t="shared" si="7"/>
        <v>#DIV/0!</v>
      </c>
      <c r="H97" s="17" t="e">
        <f t="shared" si="23"/>
        <v>#DIV/0!</v>
      </c>
      <c r="I97" s="20">
        <f t="shared" si="2"/>
        <v>0</v>
      </c>
      <c r="J97" s="17">
        <v>0.25</v>
      </c>
      <c r="K97" s="20">
        <f t="shared" si="3"/>
        <v>0</v>
      </c>
    </row>
    <row r="98" spans="1:11">
      <c r="A98" s="40">
        <v>41274</v>
      </c>
      <c r="B98" s="38">
        <f>营业收入分析!G4</f>
        <v>0</v>
      </c>
      <c r="C98" s="41" t="e">
        <f t="shared" si="5"/>
        <v>#DIV/0!</v>
      </c>
      <c r="D98" s="38">
        <f>营业成本分析!G4</f>
        <v>0</v>
      </c>
      <c r="E98" s="41" t="e">
        <f t="shared" si="6"/>
        <v>#DIV/0!</v>
      </c>
      <c r="F98" s="20">
        <f t="shared" si="22"/>
        <v>0</v>
      </c>
      <c r="G98" s="17" t="e">
        <f t="shared" si="7"/>
        <v>#DIV/0!</v>
      </c>
      <c r="H98" s="17" t="e">
        <f t="shared" si="23"/>
        <v>#DIV/0!</v>
      </c>
      <c r="I98" s="20">
        <f t="shared" si="2"/>
        <v>0</v>
      </c>
      <c r="J98" s="17">
        <v>0.25</v>
      </c>
      <c r="K98" s="20">
        <f t="shared" si="3"/>
        <v>0</v>
      </c>
    </row>
    <row r="99" spans="1:11">
      <c r="A99" s="40">
        <v>41639</v>
      </c>
      <c r="B99" s="38">
        <f>营业收入分析!G5</f>
        <v>0</v>
      </c>
      <c r="C99" s="41" t="e">
        <f t="shared" si="5"/>
        <v>#DIV/0!</v>
      </c>
      <c r="D99" s="38">
        <f>营业成本分析!G5</f>
        <v>0</v>
      </c>
      <c r="E99" s="41" t="e">
        <f t="shared" si="6"/>
        <v>#DIV/0!</v>
      </c>
      <c r="F99" s="20">
        <f t="shared" si="22"/>
        <v>0</v>
      </c>
      <c r="G99" s="17" t="e">
        <f t="shared" si="7"/>
        <v>#DIV/0!</v>
      </c>
      <c r="H99" s="17" t="e">
        <f t="shared" si="23"/>
        <v>#DIV/0!</v>
      </c>
      <c r="I99" s="20">
        <f>B99-D99/0.65</f>
        <v>0</v>
      </c>
      <c r="J99" s="17">
        <v>0.25</v>
      </c>
      <c r="K99" s="20">
        <f t="shared" ref="K99:K223" si="24">I99*(1-J99)</f>
        <v>0</v>
      </c>
    </row>
    <row r="100" spans="1:11">
      <c r="A100" s="40">
        <v>42004</v>
      </c>
      <c r="B100" s="38">
        <f>营业收入分析!G6</f>
        <v>0</v>
      </c>
      <c r="C100" s="41" t="e">
        <f t="shared" ref="C100:C125" si="25">(B100-B99)/B99</f>
        <v>#DIV/0!</v>
      </c>
      <c r="D100" s="38">
        <f>营业成本分析!G6</f>
        <v>0</v>
      </c>
      <c r="E100" s="41" t="e">
        <f t="shared" ref="E100:E223" si="26">(D100-D99)/D99</f>
        <v>#DIV/0!</v>
      </c>
      <c r="F100" s="20">
        <f t="shared" si="22"/>
        <v>0</v>
      </c>
      <c r="G100" s="17" t="e">
        <f t="shared" ref="G100:G223" si="27">(F100-F99)/F99</f>
        <v>#DIV/0!</v>
      </c>
      <c r="H100" s="17" t="e">
        <f t="shared" si="23"/>
        <v>#DIV/0!</v>
      </c>
      <c r="I100" s="20">
        <f>B100-D100/0.65</f>
        <v>0</v>
      </c>
      <c r="J100" s="17">
        <v>0.25</v>
      </c>
      <c r="K100" s="20">
        <f t="shared" si="24"/>
        <v>0</v>
      </c>
    </row>
    <row r="101" spans="1:11">
      <c r="A101" s="40">
        <v>42369</v>
      </c>
      <c r="B101" s="38">
        <f>营业收入分析!G7</f>
        <v>0</v>
      </c>
      <c r="C101" s="41" t="e">
        <f t="shared" si="25"/>
        <v>#DIV/0!</v>
      </c>
      <c r="D101" s="38">
        <f>营业成本分析!G7</f>
        <v>0</v>
      </c>
      <c r="E101" s="41" t="e">
        <f t="shared" si="26"/>
        <v>#DIV/0!</v>
      </c>
      <c r="F101" s="20">
        <f t="shared" si="22"/>
        <v>0</v>
      </c>
      <c r="G101" s="17" t="e">
        <f t="shared" si="27"/>
        <v>#DIV/0!</v>
      </c>
      <c r="H101" s="17" t="e">
        <f t="shared" si="23"/>
        <v>#DIV/0!</v>
      </c>
      <c r="I101" s="20">
        <f>B101-D101/0.65</f>
        <v>0</v>
      </c>
      <c r="J101" s="17">
        <v>0.25</v>
      </c>
      <c r="K101" s="20">
        <f t="shared" si="24"/>
        <v>0</v>
      </c>
    </row>
    <row r="102" spans="1:11">
      <c r="A102" s="40">
        <v>42735</v>
      </c>
      <c r="B102" s="38">
        <f>营业收入分析!G8</f>
        <v>0</v>
      </c>
      <c r="C102" s="41" t="e">
        <f t="shared" si="25"/>
        <v>#DIV/0!</v>
      </c>
      <c r="D102" s="38">
        <f>营业成本分析!G8</f>
        <v>0</v>
      </c>
      <c r="E102" s="41" t="e">
        <f t="shared" si="26"/>
        <v>#DIV/0!</v>
      </c>
      <c r="F102" s="20">
        <f t="shared" si="22"/>
        <v>0</v>
      </c>
      <c r="G102" s="17" t="e">
        <f t="shared" si="27"/>
        <v>#DIV/0!</v>
      </c>
      <c r="H102" s="17" t="e">
        <f t="shared" si="23"/>
        <v>#DIV/0!</v>
      </c>
      <c r="I102" s="20">
        <f t="shared" ref="I102:I129" si="28">B102-D102/0.65</f>
        <v>0</v>
      </c>
      <c r="J102" s="17">
        <v>0.25</v>
      </c>
      <c r="K102" s="20">
        <f t="shared" si="24"/>
        <v>0</v>
      </c>
    </row>
    <row r="103" spans="1:11">
      <c r="A103" s="40">
        <v>43100</v>
      </c>
      <c r="B103" s="38">
        <f>营业收入分析!G9</f>
        <v>0</v>
      </c>
      <c r="C103" s="41" t="e">
        <f t="shared" si="25"/>
        <v>#DIV/0!</v>
      </c>
      <c r="D103" s="38">
        <f>营业成本分析!G9</f>
        <v>0</v>
      </c>
      <c r="E103" s="41" t="e">
        <f t="shared" si="26"/>
        <v>#DIV/0!</v>
      </c>
      <c r="F103" s="20">
        <f t="shared" si="22"/>
        <v>0</v>
      </c>
      <c r="G103" s="17" t="e">
        <f t="shared" si="27"/>
        <v>#DIV/0!</v>
      </c>
      <c r="H103" s="17" t="e">
        <f t="shared" si="23"/>
        <v>#DIV/0!</v>
      </c>
      <c r="I103" s="20">
        <f t="shared" si="28"/>
        <v>0</v>
      </c>
      <c r="J103" s="17">
        <v>0.25</v>
      </c>
      <c r="K103" s="20">
        <f t="shared" si="24"/>
        <v>0</v>
      </c>
    </row>
    <row r="104" spans="1:11">
      <c r="A104" s="40">
        <v>43465</v>
      </c>
      <c r="B104" s="38">
        <f>营业收入分析!G10</f>
        <v>42659643.26</v>
      </c>
      <c r="C104" s="41" t="e">
        <f t="shared" si="25"/>
        <v>#DIV/0!</v>
      </c>
      <c r="D104" s="38">
        <f>营业成本分析!G10</f>
        <v>31384154.07</v>
      </c>
      <c r="E104" s="41" t="e">
        <f t="shared" si="26"/>
        <v>#DIV/0!</v>
      </c>
      <c r="F104" s="20">
        <f t="shared" ref="F104:F111" si="29">B104-D104</f>
        <v>11275489.19</v>
      </c>
      <c r="G104" s="17" t="e">
        <f t="shared" si="27"/>
        <v>#DIV/0!</v>
      </c>
      <c r="H104" s="17">
        <f t="shared" ref="H104:H111" si="30">F104/B104</f>
        <v>0.264312786707537</v>
      </c>
      <c r="I104" s="20">
        <f t="shared" si="28"/>
        <v>-5623670.69384615</v>
      </c>
      <c r="J104" s="17">
        <v>0.25</v>
      </c>
      <c r="K104" s="20">
        <f t="shared" si="24"/>
        <v>-4217753.02038461</v>
      </c>
    </row>
    <row r="105" spans="1:11">
      <c r="A105" s="40">
        <v>43830</v>
      </c>
      <c r="B105" s="38">
        <f>营业收入分析!G11</f>
        <v>160649726.51</v>
      </c>
      <c r="C105" s="41">
        <f t="shared" si="25"/>
        <v>2.76584786541415</v>
      </c>
      <c r="D105" s="38">
        <f>营业成本分析!G11</f>
        <v>46124530.28</v>
      </c>
      <c r="E105" s="41">
        <f t="shared" si="26"/>
        <v>0.469675753474913</v>
      </c>
      <c r="F105" s="20">
        <f t="shared" si="29"/>
        <v>114525196.23</v>
      </c>
      <c r="G105" s="17">
        <f t="shared" si="27"/>
        <v>9.15700465852693</v>
      </c>
      <c r="H105" s="17">
        <f t="shared" si="30"/>
        <v>0.712887589154228</v>
      </c>
      <c r="I105" s="20">
        <f t="shared" si="28"/>
        <v>89688910.6946154</v>
      </c>
      <c r="J105" s="17">
        <v>0.25</v>
      </c>
      <c r="K105" s="20">
        <f t="shared" si="24"/>
        <v>67266683.0209615</v>
      </c>
    </row>
    <row r="106" s="1" customFormat="1" spans="1:11">
      <c r="A106" s="109">
        <v>43831</v>
      </c>
      <c r="B106" s="104">
        <f>营业收入分析!G12</f>
        <v>56586027.07</v>
      </c>
      <c r="C106" s="105">
        <f t="shared" si="25"/>
        <v>-0.647767672567574</v>
      </c>
      <c r="D106" s="104">
        <f>营业成本分析!G12</f>
        <v>0</v>
      </c>
      <c r="E106" s="105">
        <f t="shared" si="26"/>
        <v>-1</v>
      </c>
      <c r="F106" s="106">
        <f t="shared" si="29"/>
        <v>56586027.07</v>
      </c>
      <c r="G106" s="107">
        <f t="shared" si="27"/>
        <v>-0.505907617426311</v>
      </c>
      <c r="H106" s="107">
        <f t="shared" si="30"/>
        <v>1</v>
      </c>
      <c r="I106" s="106">
        <f t="shared" si="28"/>
        <v>56586027.07</v>
      </c>
      <c r="J106" s="107">
        <v>0.25</v>
      </c>
      <c r="K106" s="106">
        <f t="shared" si="24"/>
        <v>42439520.3025</v>
      </c>
    </row>
    <row r="107" spans="1:11">
      <c r="A107" s="102">
        <f>A14+1</f>
        <v>2021</v>
      </c>
      <c r="B107" s="38">
        <f>B105*0.73</f>
        <v>117274300.3523</v>
      </c>
      <c r="C107" s="41">
        <f t="shared" si="25"/>
        <v>1.07249574541124</v>
      </c>
      <c r="D107" s="38">
        <f>B107*0.3</f>
        <v>35182290.10569</v>
      </c>
      <c r="E107" s="41" t="e">
        <f t="shared" si="26"/>
        <v>#DIV/0!</v>
      </c>
      <c r="F107" s="20">
        <f t="shared" si="29"/>
        <v>82092010.24661</v>
      </c>
      <c r="G107" s="17">
        <f t="shared" si="27"/>
        <v>0.450747021787865</v>
      </c>
      <c r="H107" s="17">
        <f t="shared" si="30"/>
        <v>0.7</v>
      </c>
      <c r="I107" s="20">
        <f t="shared" si="28"/>
        <v>63147700.1897</v>
      </c>
      <c r="J107" s="17">
        <v>0.25</v>
      </c>
      <c r="K107" s="20">
        <f t="shared" si="24"/>
        <v>47360775.142275</v>
      </c>
    </row>
    <row r="108" spans="1:11">
      <c r="A108" s="102">
        <f>A107+1</f>
        <v>2022</v>
      </c>
      <c r="B108" s="38">
        <f>B105</f>
        <v>160649726.51</v>
      </c>
      <c r="C108" s="41">
        <f t="shared" si="25"/>
        <v>0.36986301369863</v>
      </c>
      <c r="D108" s="38">
        <f>B108*0.3</f>
        <v>48194917.953</v>
      </c>
      <c r="E108" s="41">
        <f t="shared" si="26"/>
        <v>0.36986301369863</v>
      </c>
      <c r="F108" s="20">
        <f t="shared" si="29"/>
        <v>112454808.557</v>
      </c>
      <c r="G108" s="17">
        <f t="shared" si="27"/>
        <v>0.36986301369863</v>
      </c>
      <c r="H108" s="17">
        <f t="shared" si="30"/>
        <v>0.7</v>
      </c>
      <c r="I108" s="20">
        <f t="shared" si="28"/>
        <v>86503698.89</v>
      </c>
      <c r="J108" s="17">
        <v>0.25</v>
      </c>
      <c r="K108" s="20">
        <f t="shared" si="24"/>
        <v>64877774.1675</v>
      </c>
    </row>
    <row r="109" spans="1:11">
      <c r="A109" s="102">
        <f>A108+1</f>
        <v>2023</v>
      </c>
      <c r="B109" s="38">
        <f>B108*1.3</f>
        <v>208844644.463</v>
      </c>
      <c r="C109" s="41">
        <f t="shared" si="25"/>
        <v>0.3</v>
      </c>
      <c r="D109" s="38">
        <f>B109*0.3</f>
        <v>62653393.3389</v>
      </c>
      <c r="E109" s="41">
        <f t="shared" si="26"/>
        <v>0.3</v>
      </c>
      <c r="F109" s="20">
        <f t="shared" si="29"/>
        <v>146191251.1241</v>
      </c>
      <c r="G109" s="17">
        <f t="shared" si="27"/>
        <v>0.3</v>
      </c>
      <c r="H109" s="17">
        <f t="shared" si="30"/>
        <v>0.7</v>
      </c>
      <c r="I109" s="20">
        <f t="shared" si="28"/>
        <v>112454808.557</v>
      </c>
      <c r="J109" s="17">
        <v>0.25</v>
      </c>
      <c r="K109" s="20">
        <f t="shared" si="24"/>
        <v>84341106.41775</v>
      </c>
    </row>
    <row r="110" spans="1:11">
      <c r="A110" s="102">
        <f>A109+1</f>
        <v>2024</v>
      </c>
      <c r="B110" s="38">
        <f>B109*1.3</f>
        <v>271498037.8019</v>
      </c>
      <c r="C110" s="41">
        <f t="shared" si="25"/>
        <v>0.3</v>
      </c>
      <c r="D110" s="38">
        <f>B110*0.3</f>
        <v>81449411.34057</v>
      </c>
      <c r="E110" s="41">
        <f t="shared" si="26"/>
        <v>0.3</v>
      </c>
      <c r="F110" s="20">
        <f t="shared" si="29"/>
        <v>190048626.46133</v>
      </c>
      <c r="G110" s="17">
        <f t="shared" si="27"/>
        <v>0.3</v>
      </c>
      <c r="H110" s="17">
        <f t="shared" si="30"/>
        <v>0.7</v>
      </c>
      <c r="I110" s="20">
        <f t="shared" si="28"/>
        <v>146191251.1241</v>
      </c>
      <c r="J110" s="17">
        <v>0.25</v>
      </c>
      <c r="K110" s="20">
        <f t="shared" si="24"/>
        <v>109643438.343075</v>
      </c>
    </row>
    <row r="111" spans="1:11">
      <c r="A111" s="102">
        <f>A110+1</f>
        <v>2025</v>
      </c>
      <c r="B111" s="38">
        <f>B110*1.15</f>
        <v>312222743.472185</v>
      </c>
      <c r="C111" s="41">
        <f t="shared" si="25"/>
        <v>0.15</v>
      </c>
      <c r="D111" s="38">
        <f>B111*0.3</f>
        <v>93666823.0416555</v>
      </c>
      <c r="E111" s="41">
        <f t="shared" si="26"/>
        <v>0.15</v>
      </c>
      <c r="F111" s="20">
        <f t="shared" si="29"/>
        <v>218555920.43053</v>
      </c>
      <c r="G111" s="17">
        <f t="shared" si="27"/>
        <v>0.15</v>
      </c>
      <c r="H111" s="17">
        <f t="shared" si="30"/>
        <v>0.7</v>
      </c>
      <c r="I111" s="20">
        <f t="shared" si="28"/>
        <v>168119938.792715</v>
      </c>
      <c r="J111" s="17">
        <v>0.25</v>
      </c>
      <c r="K111" s="20">
        <f t="shared" si="24"/>
        <v>126089954.094536</v>
      </c>
    </row>
    <row r="112" spans="3:11">
      <c r="C112" s="41">
        <f>(B112-B106)/B106</f>
        <v>-1</v>
      </c>
      <c r="E112" s="41" t="e">
        <f>(D112-D106)/D106</f>
        <v>#DIV/0!</v>
      </c>
      <c r="G112" s="17">
        <f>(F112-F106)/F106</f>
        <v>-1</v>
      </c>
      <c r="I112" s="20">
        <f t="shared" si="28"/>
        <v>0</v>
      </c>
      <c r="J112" s="17">
        <v>0.25</v>
      </c>
      <c r="K112" s="20">
        <f t="shared" si="24"/>
        <v>0</v>
      </c>
    </row>
    <row r="113" spans="1:11">
      <c r="A113" s="101" t="str">
        <f>营业收入分析!H1</f>
        <v>张家界宋城</v>
      </c>
      <c r="C113" s="41" t="e">
        <f t="shared" si="25"/>
        <v>#DIV/0!</v>
      </c>
      <c r="E113" s="41" t="e">
        <f t="shared" si="26"/>
        <v>#DIV/0!</v>
      </c>
      <c r="G113" s="17" t="e">
        <f t="shared" si="27"/>
        <v>#DIV/0!</v>
      </c>
      <c r="I113" s="20">
        <f t="shared" si="28"/>
        <v>0</v>
      </c>
      <c r="J113" s="17">
        <v>0.25</v>
      </c>
      <c r="K113" s="20">
        <f t="shared" si="24"/>
        <v>0</v>
      </c>
    </row>
    <row r="114" spans="1:11">
      <c r="A114" s="38" t="s">
        <v>79</v>
      </c>
      <c r="B114" s="49">
        <v>43644</v>
      </c>
      <c r="C114" s="41"/>
      <c r="E114" s="41"/>
      <c r="G114" s="17"/>
      <c r="I114" s="20"/>
      <c r="J114" s="17"/>
      <c r="K114" s="20"/>
    </row>
    <row r="115" spans="1:11">
      <c r="A115" s="38" t="s">
        <v>80</v>
      </c>
      <c r="B115" s="47">
        <v>170</v>
      </c>
      <c r="C115" s="41"/>
      <c r="E115" s="41"/>
      <c r="G115" s="17"/>
      <c r="I115" s="20"/>
      <c r="J115" s="17"/>
      <c r="K115" s="20"/>
    </row>
    <row r="116" ht="45" customHeight="1" spans="1:11">
      <c r="A116" s="38" t="s">
        <v>81</v>
      </c>
      <c r="B116" s="111" t="s">
        <v>85</v>
      </c>
      <c r="C116" s="6"/>
      <c r="D116" s="6"/>
      <c r="E116" s="6"/>
      <c r="F116" s="6"/>
      <c r="G116" s="6"/>
      <c r="H116" s="6"/>
      <c r="I116" s="20"/>
      <c r="J116" s="17"/>
      <c r="K116" s="20"/>
    </row>
    <row r="117" spans="1:11">
      <c r="A117" s="38" t="s">
        <v>83</v>
      </c>
      <c r="B117" s="20"/>
      <c r="C117" s="41"/>
      <c r="E117" s="41"/>
      <c r="G117" s="17"/>
      <c r="I117" s="20"/>
      <c r="J117" s="17"/>
      <c r="K117" s="20"/>
    </row>
    <row r="118" spans="1:11">
      <c r="A118" s="38" t="s">
        <v>84</v>
      </c>
      <c r="B118" s="17"/>
      <c r="C118" s="41"/>
      <c r="E118" s="41"/>
      <c r="G118" s="17"/>
      <c r="I118" s="20"/>
      <c r="J118" s="17"/>
      <c r="K118" s="20"/>
    </row>
    <row r="119" spans="1:11">
      <c r="A119" s="38" t="s">
        <v>66</v>
      </c>
      <c r="B119" s="47"/>
      <c r="C119" s="41"/>
      <c r="E119" s="41"/>
      <c r="G119" s="17"/>
      <c r="I119" s="20"/>
      <c r="J119" s="17"/>
      <c r="K119" s="20"/>
    </row>
    <row r="120" ht="31.5" spans="1:11">
      <c r="A120" s="39" t="s">
        <v>54</v>
      </c>
      <c r="B120" s="34" t="s">
        <v>68</v>
      </c>
      <c r="C120" s="34" t="s">
        <v>69</v>
      </c>
      <c r="D120" t="s">
        <v>70</v>
      </c>
      <c r="E120" t="s">
        <v>71</v>
      </c>
      <c r="F120" t="s">
        <v>72</v>
      </c>
      <c r="G120" t="s">
        <v>73</v>
      </c>
      <c r="H120" t="s">
        <v>74</v>
      </c>
      <c r="I120" s="6" t="s">
        <v>75</v>
      </c>
      <c r="J120" s="6" t="s">
        <v>76</v>
      </c>
      <c r="K120" t="s">
        <v>56</v>
      </c>
    </row>
    <row r="121" spans="1:11">
      <c r="A121" s="40">
        <v>40543</v>
      </c>
      <c r="B121" s="38">
        <f>营业收入分析!H2</f>
        <v>0</v>
      </c>
      <c r="C121" s="41" t="e">
        <f t="shared" si="25"/>
        <v>#VALUE!</v>
      </c>
      <c r="D121" s="38">
        <f>营业成本分析!H2</f>
        <v>0</v>
      </c>
      <c r="E121" s="41" t="e">
        <f t="shared" si="26"/>
        <v>#VALUE!</v>
      </c>
      <c r="F121" s="20">
        <f t="shared" ref="F121:F128" si="31">B121-D121</f>
        <v>0</v>
      </c>
      <c r="G121" s="17" t="e">
        <f t="shared" si="27"/>
        <v>#VALUE!</v>
      </c>
      <c r="H121" s="17" t="e">
        <f t="shared" ref="H121:H128" si="32">F121/B121</f>
        <v>#DIV/0!</v>
      </c>
      <c r="I121" s="20">
        <f t="shared" si="28"/>
        <v>0</v>
      </c>
      <c r="J121" s="17">
        <v>0.25</v>
      </c>
      <c r="K121" s="20">
        <f t="shared" si="24"/>
        <v>0</v>
      </c>
    </row>
    <row r="122" spans="1:11">
      <c r="A122" s="40">
        <v>40908</v>
      </c>
      <c r="B122" s="38">
        <f>营业收入分析!H3</f>
        <v>0</v>
      </c>
      <c r="C122" s="41" t="e">
        <f t="shared" si="25"/>
        <v>#DIV/0!</v>
      </c>
      <c r="D122" s="38">
        <f>营业成本分析!H3</f>
        <v>0</v>
      </c>
      <c r="E122" s="41" t="e">
        <f t="shared" si="26"/>
        <v>#DIV/0!</v>
      </c>
      <c r="F122" s="20">
        <f t="shared" si="31"/>
        <v>0</v>
      </c>
      <c r="G122" s="17" t="e">
        <f t="shared" si="27"/>
        <v>#DIV/0!</v>
      </c>
      <c r="H122" s="17" t="e">
        <f t="shared" si="32"/>
        <v>#DIV/0!</v>
      </c>
      <c r="I122" s="20">
        <f t="shared" si="28"/>
        <v>0</v>
      </c>
      <c r="J122" s="17">
        <v>0.25</v>
      </c>
      <c r="K122" s="20">
        <f t="shared" si="24"/>
        <v>0</v>
      </c>
    </row>
    <row r="123" spans="1:11">
      <c r="A123" s="40">
        <v>41274</v>
      </c>
      <c r="B123" s="38">
        <f>营业收入分析!H4</f>
        <v>0</v>
      </c>
      <c r="C123" s="41" t="e">
        <f t="shared" si="25"/>
        <v>#DIV/0!</v>
      </c>
      <c r="D123" s="38">
        <f>营业成本分析!H4</f>
        <v>0</v>
      </c>
      <c r="E123" s="41" t="e">
        <f t="shared" si="26"/>
        <v>#DIV/0!</v>
      </c>
      <c r="F123" s="20">
        <f t="shared" si="31"/>
        <v>0</v>
      </c>
      <c r="G123" s="17" t="e">
        <f t="shared" si="27"/>
        <v>#DIV/0!</v>
      </c>
      <c r="H123" s="17" t="e">
        <f t="shared" si="32"/>
        <v>#DIV/0!</v>
      </c>
      <c r="I123" s="20">
        <f t="shared" si="28"/>
        <v>0</v>
      </c>
      <c r="J123" s="17">
        <v>0.25</v>
      </c>
      <c r="K123" s="20">
        <f t="shared" si="24"/>
        <v>0</v>
      </c>
    </row>
    <row r="124" spans="1:11">
      <c r="A124" s="40">
        <v>41639</v>
      </c>
      <c r="B124" s="38">
        <f>营业收入分析!H5</f>
        <v>0</v>
      </c>
      <c r="C124" s="41" t="e">
        <f t="shared" si="25"/>
        <v>#DIV/0!</v>
      </c>
      <c r="D124" s="38">
        <f>营业成本分析!H5</f>
        <v>0</v>
      </c>
      <c r="E124" s="41" t="e">
        <f t="shared" si="26"/>
        <v>#DIV/0!</v>
      </c>
      <c r="F124" s="20">
        <f t="shared" si="31"/>
        <v>0</v>
      </c>
      <c r="G124" s="17" t="e">
        <f t="shared" si="27"/>
        <v>#DIV/0!</v>
      </c>
      <c r="H124" s="17" t="e">
        <f t="shared" si="32"/>
        <v>#DIV/0!</v>
      </c>
      <c r="I124" s="20">
        <f t="shared" si="28"/>
        <v>0</v>
      </c>
      <c r="J124" s="17">
        <v>0.25</v>
      </c>
      <c r="K124" s="20">
        <f t="shared" si="24"/>
        <v>0</v>
      </c>
    </row>
    <row r="125" spans="1:11">
      <c r="A125" s="40">
        <v>42004</v>
      </c>
      <c r="B125" s="38">
        <f>营业收入分析!H6</f>
        <v>0</v>
      </c>
      <c r="C125" s="41" t="e">
        <f t="shared" si="25"/>
        <v>#DIV/0!</v>
      </c>
      <c r="D125" s="38">
        <f>营业成本分析!H6</f>
        <v>0</v>
      </c>
      <c r="E125" s="41" t="e">
        <f t="shared" si="26"/>
        <v>#DIV/0!</v>
      </c>
      <c r="F125" s="20">
        <f t="shared" si="31"/>
        <v>0</v>
      </c>
      <c r="G125" s="17" t="e">
        <f t="shared" si="27"/>
        <v>#DIV/0!</v>
      </c>
      <c r="H125" s="17" t="e">
        <f t="shared" si="32"/>
        <v>#DIV/0!</v>
      </c>
      <c r="I125" s="20">
        <f t="shared" si="28"/>
        <v>0</v>
      </c>
      <c r="J125" s="17">
        <v>0.25</v>
      </c>
      <c r="K125" s="20">
        <f t="shared" si="24"/>
        <v>0</v>
      </c>
    </row>
    <row r="126" spans="1:11">
      <c r="A126" s="40">
        <v>42369</v>
      </c>
      <c r="B126" s="38">
        <f>营业收入分析!H7</f>
        <v>0</v>
      </c>
      <c r="C126" s="41" t="e">
        <f t="shared" ref="C126:C150" si="33">(B126-B125)/B125</f>
        <v>#DIV/0!</v>
      </c>
      <c r="D126" s="38">
        <f>营业成本分析!H7</f>
        <v>0</v>
      </c>
      <c r="E126" s="41" t="e">
        <f t="shared" si="26"/>
        <v>#DIV/0!</v>
      </c>
      <c r="F126" s="20">
        <f t="shared" si="31"/>
        <v>0</v>
      </c>
      <c r="G126" s="17" t="e">
        <f t="shared" si="27"/>
        <v>#DIV/0!</v>
      </c>
      <c r="H126" s="17" t="e">
        <f t="shared" si="32"/>
        <v>#DIV/0!</v>
      </c>
      <c r="I126" s="20">
        <f t="shared" si="28"/>
        <v>0</v>
      </c>
      <c r="J126" s="17">
        <v>0.25</v>
      </c>
      <c r="K126" s="20">
        <f t="shared" si="24"/>
        <v>0</v>
      </c>
    </row>
    <row r="127" spans="1:11">
      <c r="A127" s="40">
        <v>42735</v>
      </c>
      <c r="B127" s="38">
        <f>营业收入分析!H8</f>
        <v>0</v>
      </c>
      <c r="C127" s="41" t="e">
        <f t="shared" si="33"/>
        <v>#DIV/0!</v>
      </c>
      <c r="D127" s="38">
        <f>营业成本分析!H8</f>
        <v>0</v>
      </c>
      <c r="E127" s="41" t="e">
        <f t="shared" si="26"/>
        <v>#DIV/0!</v>
      </c>
      <c r="F127" s="20">
        <f t="shared" si="31"/>
        <v>0</v>
      </c>
      <c r="G127" s="17" t="e">
        <f t="shared" si="27"/>
        <v>#DIV/0!</v>
      </c>
      <c r="H127" s="17" t="e">
        <f t="shared" si="32"/>
        <v>#DIV/0!</v>
      </c>
      <c r="I127" s="20">
        <f t="shared" si="28"/>
        <v>0</v>
      </c>
      <c r="J127" s="17">
        <v>0.25</v>
      </c>
      <c r="K127" s="20">
        <f t="shared" si="24"/>
        <v>0</v>
      </c>
    </row>
    <row r="128" spans="1:11">
      <c r="A128" s="40">
        <v>43100</v>
      </c>
      <c r="B128" s="38">
        <f>营业收入分析!H9</f>
        <v>0</v>
      </c>
      <c r="C128" s="41" t="e">
        <f t="shared" si="33"/>
        <v>#DIV/0!</v>
      </c>
      <c r="D128" s="38">
        <f>营业成本分析!H9</f>
        <v>0</v>
      </c>
      <c r="E128" s="41" t="e">
        <f t="shared" si="26"/>
        <v>#DIV/0!</v>
      </c>
      <c r="F128" s="20">
        <f t="shared" si="31"/>
        <v>0</v>
      </c>
      <c r="G128" s="17" t="e">
        <f t="shared" si="27"/>
        <v>#DIV/0!</v>
      </c>
      <c r="H128" s="17" t="e">
        <f t="shared" si="32"/>
        <v>#DIV/0!</v>
      </c>
      <c r="I128" s="20">
        <f t="shared" si="28"/>
        <v>0</v>
      </c>
      <c r="J128" s="17">
        <v>0.25</v>
      </c>
      <c r="K128" s="20">
        <f t="shared" si="24"/>
        <v>0</v>
      </c>
    </row>
    <row r="129" spans="1:11">
      <c r="A129" s="40">
        <v>43465</v>
      </c>
      <c r="B129" s="38">
        <f>营业收入分析!H10</f>
        <v>0</v>
      </c>
      <c r="C129" s="41" t="e">
        <f t="shared" si="33"/>
        <v>#DIV/0!</v>
      </c>
      <c r="D129" s="38">
        <f>营业成本分析!H10</f>
        <v>0</v>
      </c>
      <c r="E129" s="41" t="e">
        <f t="shared" si="26"/>
        <v>#DIV/0!</v>
      </c>
      <c r="F129" s="20">
        <f t="shared" ref="F129:F136" si="34">B129-D129</f>
        <v>0</v>
      </c>
      <c r="G129" s="17" t="e">
        <f t="shared" si="27"/>
        <v>#DIV/0!</v>
      </c>
      <c r="H129" s="17" t="e">
        <f t="shared" ref="H129:H136" si="35">F129/B129</f>
        <v>#DIV/0!</v>
      </c>
      <c r="I129" s="20">
        <f t="shared" si="28"/>
        <v>0</v>
      </c>
      <c r="J129" s="17">
        <v>0.25</v>
      </c>
      <c r="K129" s="20">
        <f t="shared" si="24"/>
        <v>0</v>
      </c>
    </row>
    <row r="130" spans="1:11">
      <c r="A130" s="40">
        <v>43830</v>
      </c>
      <c r="B130" s="38">
        <f>营业收入分析!H11</f>
        <v>65470605.66</v>
      </c>
      <c r="C130" s="41" t="e">
        <f t="shared" si="33"/>
        <v>#DIV/0!</v>
      </c>
      <c r="D130" s="38">
        <f>营业成本分析!H11</f>
        <v>21941624.47</v>
      </c>
      <c r="E130" s="41" t="e">
        <f t="shared" si="26"/>
        <v>#DIV/0!</v>
      </c>
      <c r="F130" s="20">
        <f t="shared" si="34"/>
        <v>43528981.19</v>
      </c>
      <c r="G130" s="17" t="e">
        <f t="shared" si="27"/>
        <v>#DIV/0!</v>
      </c>
      <c r="H130" s="17">
        <f t="shared" si="35"/>
        <v>0.664862967910415</v>
      </c>
      <c r="I130" s="20">
        <f t="shared" ref="I130:I138" si="36">B130-D130/0.65</f>
        <v>31714260.3215385</v>
      </c>
      <c r="J130" s="17">
        <v>0.25</v>
      </c>
      <c r="K130" s="20">
        <f t="shared" si="24"/>
        <v>23785695.2411538</v>
      </c>
    </row>
    <row r="131" s="1" customFormat="1" spans="1:11">
      <c r="A131" s="109">
        <v>43831</v>
      </c>
      <c r="B131" s="104">
        <f>营业收入分析!H12</f>
        <v>18120963.58</v>
      </c>
      <c r="C131" s="105">
        <f t="shared" si="33"/>
        <v>-0.723219857257694</v>
      </c>
      <c r="D131" s="104">
        <f>营业成本分析!H12</f>
        <v>0</v>
      </c>
      <c r="E131" s="105">
        <f t="shared" si="26"/>
        <v>-1</v>
      </c>
      <c r="F131" s="106">
        <f t="shared" si="34"/>
        <v>18120963.58</v>
      </c>
      <c r="G131" s="107">
        <f t="shared" si="27"/>
        <v>-0.583703475601608</v>
      </c>
      <c r="H131" s="107">
        <f t="shared" si="35"/>
        <v>1</v>
      </c>
      <c r="I131" s="106">
        <f t="shared" si="36"/>
        <v>18120963.58</v>
      </c>
      <c r="J131" s="107">
        <v>0.25</v>
      </c>
      <c r="K131" s="106">
        <f t="shared" si="24"/>
        <v>13590722.685</v>
      </c>
    </row>
    <row r="132" spans="1:11">
      <c r="A132" s="102">
        <f>A14+1</f>
        <v>2021</v>
      </c>
      <c r="B132" s="38">
        <f>B130*0.8</f>
        <v>52376484.528</v>
      </c>
      <c r="C132" s="41">
        <f t="shared" si="33"/>
        <v>1.89038076241197</v>
      </c>
      <c r="D132" s="38">
        <f>B132*0.3</f>
        <v>15712945.3584</v>
      </c>
      <c r="E132" s="41" t="e">
        <f t="shared" si="26"/>
        <v>#DIV/0!</v>
      </c>
      <c r="F132" s="20">
        <f t="shared" si="34"/>
        <v>36663539.1696</v>
      </c>
      <c r="G132" s="17">
        <f t="shared" si="27"/>
        <v>1.02326653368838</v>
      </c>
      <c r="H132" s="17">
        <f t="shared" si="35"/>
        <v>0.7</v>
      </c>
      <c r="I132" s="20">
        <f t="shared" si="36"/>
        <v>28202722.4381538</v>
      </c>
      <c r="J132" s="17">
        <v>0.25</v>
      </c>
      <c r="K132" s="20">
        <f t="shared" si="24"/>
        <v>21152041.8286154</v>
      </c>
    </row>
    <row r="133" spans="1:11">
      <c r="A133" s="102">
        <f>A132+1</f>
        <v>2022</v>
      </c>
      <c r="B133" s="38">
        <f>B132*2</f>
        <v>104752969.056</v>
      </c>
      <c r="C133" s="41">
        <f t="shared" si="33"/>
        <v>1</v>
      </c>
      <c r="D133" s="38">
        <f>B133*0.3</f>
        <v>31425890.7168</v>
      </c>
      <c r="E133" s="41">
        <f t="shared" si="26"/>
        <v>1</v>
      </c>
      <c r="F133" s="20">
        <f t="shared" si="34"/>
        <v>73327078.3392</v>
      </c>
      <c r="G133" s="17">
        <f t="shared" si="27"/>
        <v>1</v>
      </c>
      <c r="H133" s="17">
        <f t="shared" si="35"/>
        <v>0.7</v>
      </c>
      <c r="I133" s="20">
        <f t="shared" si="36"/>
        <v>56405444.8763077</v>
      </c>
      <c r="J133" s="17">
        <v>0.25</v>
      </c>
      <c r="K133" s="20">
        <f t="shared" si="24"/>
        <v>42304083.6572308</v>
      </c>
    </row>
    <row r="134" spans="1:11">
      <c r="A134" s="102">
        <f>A133+1</f>
        <v>2023</v>
      </c>
      <c r="B134" s="38">
        <f>B133*1.6</f>
        <v>167604750.4896</v>
      </c>
      <c r="C134" s="41">
        <f t="shared" si="33"/>
        <v>0.6</v>
      </c>
      <c r="D134" s="38">
        <f>B134*0.3</f>
        <v>50281425.14688</v>
      </c>
      <c r="E134" s="41">
        <f t="shared" si="26"/>
        <v>0.6</v>
      </c>
      <c r="F134" s="20">
        <f t="shared" si="34"/>
        <v>117323325.34272</v>
      </c>
      <c r="G134" s="17">
        <f t="shared" si="27"/>
        <v>0.6</v>
      </c>
      <c r="H134" s="17">
        <f t="shared" si="35"/>
        <v>0.7</v>
      </c>
      <c r="I134" s="20">
        <f t="shared" si="36"/>
        <v>90248711.8020923</v>
      </c>
      <c r="J134" s="17">
        <v>0.25</v>
      </c>
      <c r="K134" s="20">
        <f t="shared" si="24"/>
        <v>67686533.8515692</v>
      </c>
    </row>
    <row r="135" spans="1:11">
      <c r="A135" s="102">
        <f>A134+1</f>
        <v>2024</v>
      </c>
      <c r="B135" s="38">
        <f>B134*1.5</f>
        <v>251407125.7344</v>
      </c>
      <c r="C135" s="41">
        <f t="shared" si="33"/>
        <v>0.5</v>
      </c>
      <c r="D135" s="38">
        <f>B135*0.3</f>
        <v>75422137.72032</v>
      </c>
      <c r="E135" s="41">
        <f t="shared" si="26"/>
        <v>0.5</v>
      </c>
      <c r="F135" s="20">
        <f t="shared" si="34"/>
        <v>175984988.01408</v>
      </c>
      <c r="G135" s="17">
        <f t="shared" si="27"/>
        <v>0.5</v>
      </c>
      <c r="H135" s="17">
        <f t="shared" si="35"/>
        <v>0.7</v>
      </c>
      <c r="I135" s="20">
        <f t="shared" si="36"/>
        <v>135373067.703138</v>
      </c>
      <c r="J135" s="17">
        <v>0.25</v>
      </c>
      <c r="K135" s="20">
        <f t="shared" si="24"/>
        <v>101529800.777354</v>
      </c>
    </row>
    <row r="136" spans="1:11">
      <c r="A136" s="102">
        <f>A135+1</f>
        <v>2025</v>
      </c>
      <c r="B136" s="38">
        <f>B135*1.3</f>
        <v>326829263.45472</v>
      </c>
      <c r="C136" s="41">
        <f t="shared" si="33"/>
        <v>0.3</v>
      </c>
      <c r="D136" s="38">
        <f>B136*0.3</f>
        <v>98048779.036416</v>
      </c>
      <c r="E136" s="41">
        <f t="shared" si="26"/>
        <v>0.3</v>
      </c>
      <c r="F136" s="20">
        <f t="shared" si="34"/>
        <v>228780484.418304</v>
      </c>
      <c r="G136" s="17">
        <f t="shared" si="27"/>
        <v>0.3</v>
      </c>
      <c r="H136" s="17">
        <f t="shared" si="35"/>
        <v>0.7</v>
      </c>
      <c r="I136" s="20">
        <f t="shared" si="36"/>
        <v>175984988.01408</v>
      </c>
      <c r="J136" s="17">
        <v>0.25</v>
      </c>
      <c r="K136" s="20">
        <f t="shared" si="24"/>
        <v>131988741.01056</v>
      </c>
    </row>
    <row r="137" spans="3:11">
      <c r="C137" s="41">
        <f>(B137-B131)/B131</f>
        <v>-1</v>
      </c>
      <c r="E137" s="41" t="e">
        <f>(D137-D131)/D131</f>
        <v>#DIV/0!</v>
      </c>
      <c r="G137" s="17">
        <f>(F137-F131)/F131</f>
        <v>-1</v>
      </c>
      <c r="I137" s="20">
        <f t="shared" si="36"/>
        <v>0</v>
      </c>
      <c r="J137" s="17">
        <v>0.25</v>
      </c>
      <c r="K137" s="20">
        <f t="shared" si="24"/>
        <v>0</v>
      </c>
    </row>
    <row r="138" spans="1:11">
      <c r="A138" s="38" t="str">
        <f>营业收入分析!I1</f>
        <v>西安宋城</v>
      </c>
      <c r="C138" s="41" t="e">
        <f t="shared" si="33"/>
        <v>#DIV/0!</v>
      </c>
      <c r="E138" s="41" t="e">
        <f t="shared" si="26"/>
        <v>#DIV/0!</v>
      </c>
      <c r="G138" s="17" t="e">
        <f t="shared" si="27"/>
        <v>#DIV/0!</v>
      </c>
      <c r="I138" s="20">
        <f t="shared" si="36"/>
        <v>0</v>
      </c>
      <c r="J138" s="17">
        <v>0.25</v>
      </c>
      <c r="K138" s="20">
        <f t="shared" si="24"/>
        <v>0</v>
      </c>
    </row>
    <row r="139" spans="1:11">
      <c r="A139" s="38" t="s">
        <v>79</v>
      </c>
      <c r="B139" s="49">
        <v>44004</v>
      </c>
      <c r="C139" s="41"/>
      <c r="E139" s="41"/>
      <c r="G139" s="17"/>
      <c r="I139" s="20"/>
      <c r="J139" s="17"/>
      <c r="K139" s="20"/>
    </row>
    <row r="140" spans="1:11">
      <c r="A140" s="38" t="s">
        <v>80</v>
      </c>
      <c r="B140" s="47">
        <v>100</v>
      </c>
      <c r="C140" s="41"/>
      <c r="E140" s="41"/>
      <c r="G140" s="17"/>
      <c r="I140" s="20"/>
      <c r="J140" s="17"/>
      <c r="K140" s="20"/>
    </row>
    <row r="141" ht="45" customHeight="1" spans="1:11">
      <c r="A141" s="38" t="s">
        <v>81</v>
      </c>
      <c r="B141" s="111" t="s">
        <v>86</v>
      </c>
      <c r="C141" s="6"/>
      <c r="D141" s="6"/>
      <c r="E141" s="6"/>
      <c r="F141" s="6"/>
      <c r="G141" s="6"/>
      <c r="H141" s="6"/>
      <c r="I141" s="20"/>
      <c r="J141" s="17"/>
      <c r="K141" s="20"/>
    </row>
    <row r="142" spans="1:11">
      <c r="A142" s="38" t="s">
        <v>83</v>
      </c>
      <c r="B142" s="20"/>
      <c r="C142" s="41"/>
      <c r="E142" s="41"/>
      <c r="G142" s="17"/>
      <c r="I142" s="20"/>
      <c r="J142" s="17"/>
      <c r="K142" s="20"/>
    </row>
    <row r="143" spans="1:11">
      <c r="A143" s="38" t="s">
        <v>84</v>
      </c>
      <c r="B143" s="17"/>
      <c r="C143" s="41"/>
      <c r="E143" s="41"/>
      <c r="G143" s="17"/>
      <c r="I143" s="20"/>
      <c r="J143" s="17"/>
      <c r="K143" s="20"/>
    </row>
    <row r="144" spans="1:11">
      <c r="A144" s="38" t="s">
        <v>87</v>
      </c>
      <c r="B144" s="47">
        <v>6</v>
      </c>
      <c r="C144" s="41"/>
      <c r="E144" s="41"/>
      <c r="G144" s="17"/>
      <c r="I144" s="20"/>
      <c r="J144" s="17"/>
      <c r="K144" s="20"/>
    </row>
    <row r="145" spans="1:11">
      <c r="A145" s="38" t="s">
        <v>66</v>
      </c>
      <c r="B145" s="47"/>
      <c r="C145" s="41"/>
      <c r="E145" s="41"/>
      <c r="G145" s="17"/>
      <c r="I145" s="20"/>
      <c r="J145" s="17"/>
      <c r="K145" s="20"/>
    </row>
    <row r="146" ht="31.5" spans="1:11">
      <c r="A146" s="39" t="s">
        <v>54</v>
      </c>
      <c r="B146" s="34" t="s">
        <v>68</v>
      </c>
      <c r="C146" s="34" t="s">
        <v>69</v>
      </c>
      <c r="D146" t="s">
        <v>70</v>
      </c>
      <c r="E146" t="s">
        <v>71</v>
      </c>
      <c r="F146" t="s">
        <v>72</v>
      </c>
      <c r="G146" t="s">
        <v>73</v>
      </c>
      <c r="H146" t="s">
        <v>74</v>
      </c>
      <c r="I146" s="6" t="s">
        <v>75</v>
      </c>
      <c r="J146" s="6" t="s">
        <v>76</v>
      </c>
      <c r="K146" t="s">
        <v>56</v>
      </c>
    </row>
    <row r="147" spans="1:11">
      <c r="A147" s="40">
        <v>40543</v>
      </c>
      <c r="B147" s="38">
        <f>营业收入分析!I2</f>
        <v>0</v>
      </c>
      <c r="C147" s="41" t="e">
        <f t="shared" si="33"/>
        <v>#VALUE!</v>
      </c>
      <c r="D147" s="38">
        <f>营业成本分析!I2</f>
        <v>0</v>
      </c>
      <c r="E147" s="41" t="e">
        <f t="shared" si="26"/>
        <v>#VALUE!</v>
      </c>
      <c r="F147" s="20">
        <f t="shared" ref="F147:F154" si="37">B147-D147</f>
        <v>0</v>
      </c>
      <c r="G147" s="17" t="e">
        <f t="shared" si="27"/>
        <v>#VALUE!</v>
      </c>
      <c r="H147" s="17" t="e">
        <f t="shared" ref="H147:H154" si="38">F147/B147</f>
        <v>#DIV/0!</v>
      </c>
      <c r="I147" s="20">
        <f t="shared" ref="I147:I165" si="39">B147-D147/0.65</f>
        <v>0</v>
      </c>
      <c r="J147" s="17">
        <v>0.25</v>
      </c>
      <c r="K147" s="20">
        <f t="shared" si="24"/>
        <v>0</v>
      </c>
    </row>
    <row r="148" spans="1:11">
      <c r="A148" s="40">
        <v>40908</v>
      </c>
      <c r="B148" s="38">
        <f>营业收入分析!I3</f>
        <v>0</v>
      </c>
      <c r="C148" s="41" t="e">
        <f t="shared" si="33"/>
        <v>#DIV/0!</v>
      </c>
      <c r="D148" s="38">
        <f>营业成本分析!I3</f>
        <v>0</v>
      </c>
      <c r="E148" s="41" t="e">
        <f t="shared" si="26"/>
        <v>#DIV/0!</v>
      </c>
      <c r="F148" s="20">
        <f t="shared" si="37"/>
        <v>0</v>
      </c>
      <c r="G148" s="17" t="e">
        <f t="shared" si="27"/>
        <v>#DIV/0!</v>
      </c>
      <c r="H148" s="17" t="e">
        <f t="shared" si="38"/>
        <v>#DIV/0!</v>
      </c>
      <c r="I148" s="20">
        <f t="shared" si="39"/>
        <v>0</v>
      </c>
      <c r="J148" s="17">
        <v>0.25</v>
      </c>
      <c r="K148" s="20">
        <f t="shared" si="24"/>
        <v>0</v>
      </c>
    </row>
    <row r="149" spans="1:11">
      <c r="A149" s="40">
        <v>41274</v>
      </c>
      <c r="B149" s="38">
        <f>营业收入分析!I4</f>
        <v>0</v>
      </c>
      <c r="C149" s="41" t="e">
        <f t="shared" si="33"/>
        <v>#DIV/0!</v>
      </c>
      <c r="D149" s="38">
        <f>营业成本分析!I4</f>
        <v>0</v>
      </c>
      <c r="E149" s="41" t="e">
        <f t="shared" si="26"/>
        <v>#DIV/0!</v>
      </c>
      <c r="F149" s="20">
        <f t="shared" si="37"/>
        <v>0</v>
      </c>
      <c r="G149" s="17" t="e">
        <f t="shared" si="27"/>
        <v>#DIV/0!</v>
      </c>
      <c r="H149" s="17" t="e">
        <f t="shared" si="38"/>
        <v>#DIV/0!</v>
      </c>
      <c r="I149" s="20">
        <f t="shared" si="39"/>
        <v>0</v>
      </c>
      <c r="J149" s="17">
        <v>0.25</v>
      </c>
      <c r="K149" s="20">
        <f t="shared" si="24"/>
        <v>0</v>
      </c>
    </row>
    <row r="150" spans="1:11">
      <c r="A150" s="40">
        <v>41639</v>
      </c>
      <c r="B150" s="38">
        <f>营业收入分析!I5</f>
        <v>0</v>
      </c>
      <c r="C150" s="41" t="e">
        <f t="shared" si="33"/>
        <v>#DIV/0!</v>
      </c>
      <c r="D150" s="38">
        <f>营业成本分析!I5</f>
        <v>0</v>
      </c>
      <c r="E150" s="41" t="e">
        <f t="shared" si="26"/>
        <v>#DIV/0!</v>
      </c>
      <c r="F150" s="20">
        <f t="shared" si="37"/>
        <v>0</v>
      </c>
      <c r="G150" s="17" t="e">
        <f t="shared" si="27"/>
        <v>#DIV/0!</v>
      </c>
      <c r="H150" s="17" t="e">
        <f t="shared" si="38"/>
        <v>#DIV/0!</v>
      </c>
      <c r="I150" s="20">
        <f t="shared" si="39"/>
        <v>0</v>
      </c>
      <c r="J150" s="17">
        <v>0.25</v>
      </c>
      <c r="K150" s="20">
        <f t="shared" si="24"/>
        <v>0</v>
      </c>
    </row>
    <row r="151" spans="1:11">
      <c r="A151" s="40">
        <v>42004</v>
      </c>
      <c r="B151" s="38">
        <f>营业收入分析!I6</f>
        <v>0</v>
      </c>
      <c r="C151" s="41" t="e">
        <f t="shared" ref="C151:C162" si="40">(B151-B150)/B150</f>
        <v>#DIV/0!</v>
      </c>
      <c r="D151" s="38">
        <f>营业成本分析!I6</f>
        <v>0</v>
      </c>
      <c r="E151" s="41" t="e">
        <f t="shared" si="26"/>
        <v>#DIV/0!</v>
      </c>
      <c r="F151" s="20">
        <f t="shared" si="37"/>
        <v>0</v>
      </c>
      <c r="G151" s="17" t="e">
        <f t="shared" si="27"/>
        <v>#DIV/0!</v>
      </c>
      <c r="H151" s="17" t="e">
        <f t="shared" si="38"/>
        <v>#DIV/0!</v>
      </c>
      <c r="I151" s="20">
        <f t="shared" si="39"/>
        <v>0</v>
      </c>
      <c r="J151" s="17">
        <v>0.25</v>
      </c>
      <c r="K151" s="20">
        <f t="shared" si="24"/>
        <v>0</v>
      </c>
    </row>
    <row r="152" spans="1:11">
      <c r="A152" s="40">
        <v>42369</v>
      </c>
      <c r="B152" s="38">
        <f>营业收入分析!I7</f>
        <v>0</v>
      </c>
      <c r="C152" s="41" t="e">
        <f t="shared" si="40"/>
        <v>#DIV/0!</v>
      </c>
      <c r="D152" s="38">
        <f>营业成本分析!I7</f>
        <v>0</v>
      </c>
      <c r="E152" s="41" t="e">
        <f t="shared" si="26"/>
        <v>#DIV/0!</v>
      </c>
      <c r="F152" s="20">
        <f t="shared" si="37"/>
        <v>0</v>
      </c>
      <c r="G152" s="17" t="e">
        <f t="shared" si="27"/>
        <v>#DIV/0!</v>
      </c>
      <c r="H152" s="17" t="e">
        <f t="shared" si="38"/>
        <v>#DIV/0!</v>
      </c>
      <c r="I152" s="20">
        <f t="shared" si="39"/>
        <v>0</v>
      </c>
      <c r="J152" s="17">
        <v>0.25</v>
      </c>
      <c r="K152" s="20">
        <f t="shared" si="24"/>
        <v>0</v>
      </c>
    </row>
    <row r="153" spans="1:11">
      <c r="A153" s="40">
        <v>42735</v>
      </c>
      <c r="B153" s="38">
        <f>营业收入分析!I8</f>
        <v>0</v>
      </c>
      <c r="C153" s="41" t="e">
        <f t="shared" si="40"/>
        <v>#DIV/0!</v>
      </c>
      <c r="D153" s="38">
        <f>营业成本分析!I8</f>
        <v>0</v>
      </c>
      <c r="E153" s="41" t="e">
        <f t="shared" si="26"/>
        <v>#DIV/0!</v>
      </c>
      <c r="F153" s="20">
        <f t="shared" si="37"/>
        <v>0</v>
      </c>
      <c r="G153" s="17" t="e">
        <f t="shared" si="27"/>
        <v>#DIV/0!</v>
      </c>
      <c r="H153" s="17" t="e">
        <f t="shared" si="38"/>
        <v>#DIV/0!</v>
      </c>
      <c r="I153" s="20">
        <f t="shared" si="39"/>
        <v>0</v>
      </c>
      <c r="J153" s="17">
        <v>0.25</v>
      </c>
      <c r="K153" s="20">
        <f t="shared" si="24"/>
        <v>0</v>
      </c>
    </row>
    <row r="154" spans="1:11">
      <c r="A154" s="40">
        <v>43100</v>
      </c>
      <c r="B154" s="38">
        <f>营业收入分析!I9</f>
        <v>0</v>
      </c>
      <c r="C154" s="41" t="e">
        <f t="shared" si="40"/>
        <v>#DIV/0!</v>
      </c>
      <c r="D154" s="38">
        <f>营业成本分析!I9</f>
        <v>0</v>
      </c>
      <c r="E154" s="41" t="e">
        <f t="shared" si="26"/>
        <v>#DIV/0!</v>
      </c>
      <c r="F154" s="20">
        <f t="shared" si="37"/>
        <v>0</v>
      </c>
      <c r="G154" s="17" t="e">
        <f t="shared" si="27"/>
        <v>#DIV/0!</v>
      </c>
      <c r="H154" s="17" t="e">
        <f t="shared" si="38"/>
        <v>#DIV/0!</v>
      </c>
      <c r="I154" s="20">
        <f t="shared" si="39"/>
        <v>0</v>
      </c>
      <c r="J154" s="17">
        <v>0.25</v>
      </c>
      <c r="K154" s="20">
        <f t="shared" si="24"/>
        <v>0</v>
      </c>
    </row>
    <row r="155" spans="1:11">
      <c r="A155" s="40">
        <v>43465</v>
      </c>
      <c r="B155" s="38">
        <f>营业收入分析!I10</f>
        <v>0</v>
      </c>
      <c r="C155" s="41" t="e">
        <f t="shared" si="40"/>
        <v>#DIV/0!</v>
      </c>
      <c r="D155" s="38">
        <f>营业成本分析!I10</f>
        <v>0</v>
      </c>
      <c r="E155" s="41" t="e">
        <f t="shared" si="26"/>
        <v>#DIV/0!</v>
      </c>
      <c r="F155" s="20">
        <f t="shared" ref="F155:F162" si="41">B155-D155</f>
        <v>0</v>
      </c>
      <c r="G155" s="17" t="e">
        <f t="shared" si="27"/>
        <v>#DIV/0!</v>
      </c>
      <c r="H155" s="17" t="e">
        <f t="shared" ref="H155:H162" si="42">F155/B155</f>
        <v>#DIV/0!</v>
      </c>
      <c r="I155" s="20">
        <f t="shared" si="39"/>
        <v>0</v>
      </c>
      <c r="J155" s="17">
        <v>0.25</v>
      </c>
      <c r="K155" s="20">
        <f t="shared" si="24"/>
        <v>0</v>
      </c>
    </row>
    <row r="156" spans="1:11">
      <c r="A156" s="40">
        <v>43830</v>
      </c>
      <c r="B156" s="38">
        <f>营业收入分析!I11</f>
        <v>0</v>
      </c>
      <c r="C156" s="41" t="e">
        <f t="shared" si="40"/>
        <v>#DIV/0!</v>
      </c>
      <c r="D156" s="38">
        <f>营业成本分析!I11</f>
        <v>0</v>
      </c>
      <c r="E156" s="41" t="e">
        <f t="shared" si="26"/>
        <v>#DIV/0!</v>
      </c>
      <c r="F156" s="20">
        <f t="shared" si="41"/>
        <v>0</v>
      </c>
      <c r="G156" s="17" t="e">
        <f t="shared" si="27"/>
        <v>#DIV/0!</v>
      </c>
      <c r="H156" s="17" t="e">
        <f t="shared" si="42"/>
        <v>#DIV/0!</v>
      </c>
      <c r="I156" s="20">
        <f t="shared" si="39"/>
        <v>0</v>
      </c>
      <c r="J156" s="17">
        <v>0.25</v>
      </c>
      <c r="K156" s="20">
        <f t="shared" si="24"/>
        <v>0</v>
      </c>
    </row>
    <row r="157" s="1" customFormat="1" spans="1:11">
      <c r="A157" s="109">
        <v>43831</v>
      </c>
      <c r="B157" s="104">
        <f>营业收入分析!I12</f>
        <v>25002178.14</v>
      </c>
      <c r="C157" s="105" t="e">
        <f t="shared" si="40"/>
        <v>#DIV/0!</v>
      </c>
      <c r="D157" s="104">
        <f>营业成本分析!I12</f>
        <v>0</v>
      </c>
      <c r="E157" s="105" t="e">
        <f t="shared" si="26"/>
        <v>#DIV/0!</v>
      </c>
      <c r="F157" s="106">
        <f t="shared" si="41"/>
        <v>25002178.14</v>
      </c>
      <c r="G157" s="107" t="e">
        <f t="shared" si="27"/>
        <v>#DIV/0!</v>
      </c>
      <c r="H157" s="107">
        <f t="shared" si="42"/>
        <v>1</v>
      </c>
      <c r="I157" s="106">
        <f t="shared" si="39"/>
        <v>25002178.14</v>
      </c>
      <c r="J157" s="107">
        <v>0.25</v>
      </c>
      <c r="K157" s="106">
        <f t="shared" si="24"/>
        <v>18751633.605</v>
      </c>
    </row>
    <row r="158" spans="1:11">
      <c r="A158" s="102">
        <f>A14+1</f>
        <v>2021</v>
      </c>
      <c r="B158" s="38">
        <f>B157</f>
        <v>25002178.14</v>
      </c>
      <c r="C158" s="41">
        <f t="shared" si="40"/>
        <v>0</v>
      </c>
      <c r="D158" s="38">
        <f>B158*0.4</f>
        <v>10000871.256</v>
      </c>
      <c r="E158" s="41" t="e">
        <f t="shared" si="26"/>
        <v>#DIV/0!</v>
      </c>
      <c r="F158" s="20">
        <f t="shared" si="41"/>
        <v>15001306.884</v>
      </c>
      <c r="G158" s="17">
        <f t="shared" si="27"/>
        <v>-0.4</v>
      </c>
      <c r="H158" s="17">
        <f t="shared" si="42"/>
        <v>0.6</v>
      </c>
      <c r="I158" s="20">
        <f t="shared" si="39"/>
        <v>9616222.36153846</v>
      </c>
      <c r="J158" s="17">
        <v>0.25</v>
      </c>
      <c r="K158" s="20">
        <f t="shared" si="24"/>
        <v>7212166.77115384</v>
      </c>
    </row>
    <row r="159" spans="1:11">
      <c r="A159" s="102">
        <f>A158+1</f>
        <v>2022</v>
      </c>
      <c r="B159" s="38">
        <f>B158*3</f>
        <v>75006534.42</v>
      </c>
      <c r="C159" s="41">
        <f t="shared" si="40"/>
        <v>2</v>
      </c>
      <c r="D159" s="38">
        <f>B159*0.4</f>
        <v>30002613.768</v>
      </c>
      <c r="E159" s="41">
        <f t="shared" si="26"/>
        <v>2</v>
      </c>
      <c r="F159" s="20">
        <f t="shared" si="41"/>
        <v>45003920.652</v>
      </c>
      <c r="G159" s="17">
        <f t="shared" si="27"/>
        <v>2</v>
      </c>
      <c r="H159" s="17">
        <f t="shared" si="42"/>
        <v>0.6</v>
      </c>
      <c r="I159" s="20">
        <f t="shared" si="39"/>
        <v>28848667.0846154</v>
      </c>
      <c r="J159" s="17">
        <v>0.25</v>
      </c>
      <c r="K159" s="20">
        <f t="shared" si="24"/>
        <v>21636500.3134615</v>
      </c>
    </row>
    <row r="160" spans="1:11">
      <c r="A160" s="102">
        <f>A159+1</f>
        <v>2023</v>
      </c>
      <c r="B160" s="38">
        <f>B159*1.6</f>
        <v>120010455.072</v>
      </c>
      <c r="C160" s="41">
        <f t="shared" si="40"/>
        <v>0.6</v>
      </c>
      <c r="D160" s="38">
        <f>B160*0.3</f>
        <v>36003136.5216</v>
      </c>
      <c r="E160" s="41">
        <f t="shared" si="26"/>
        <v>0.2</v>
      </c>
      <c r="F160" s="20">
        <f t="shared" si="41"/>
        <v>84007318.5504</v>
      </c>
      <c r="G160" s="17">
        <f t="shared" si="27"/>
        <v>0.866666666666667</v>
      </c>
      <c r="H160" s="17">
        <f t="shared" si="42"/>
        <v>0.7</v>
      </c>
      <c r="I160" s="20">
        <f t="shared" si="39"/>
        <v>64621014.2695385</v>
      </c>
      <c r="J160" s="17">
        <v>0.25</v>
      </c>
      <c r="K160" s="20">
        <f t="shared" si="24"/>
        <v>48465760.7021539</v>
      </c>
    </row>
    <row r="161" spans="1:11">
      <c r="A161" s="102">
        <f>A160+1</f>
        <v>2024</v>
      </c>
      <c r="B161" s="38">
        <f>B160*1.5</f>
        <v>180015682.608</v>
      </c>
      <c r="C161" s="41">
        <f t="shared" si="40"/>
        <v>0.5</v>
      </c>
      <c r="D161" s="38">
        <f>B161*0.3</f>
        <v>54004704.7824</v>
      </c>
      <c r="E161" s="41">
        <f t="shared" si="26"/>
        <v>0.5</v>
      </c>
      <c r="F161" s="20">
        <f t="shared" si="41"/>
        <v>126010977.8256</v>
      </c>
      <c r="G161" s="17">
        <f t="shared" si="27"/>
        <v>0.5</v>
      </c>
      <c r="H161" s="17">
        <f t="shared" si="42"/>
        <v>0.7</v>
      </c>
      <c r="I161" s="20">
        <f t="shared" si="39"/>
        <v>96931521.4043077</v>
      </c>
      <c r="J161" s="17">
        <v>0.25</v>
      </c>
      <c r="K161" s="20">
        <f t="shared" si="24"/>
        <v>72698641.0532308</v>
      </c>
    </row>
    <row r="162" spans="1:11">
      <c r="A162" s="102">
        <f>A161+1</f>
        <v>2025</v>
      </c>
      <c r="B162" s="38">
        <f>B161*1.3</f>
        <v>234020387.3904</v>
      </c>
      <c r="C162" s="41">
        <f t="shared" si="40"/>
        <v>0.3</v>
      </c>
      <c r="D162" s="38">
        <f>B162*0.3</f>
        <v>70206116.21712</v>
      </c>
      <c r="E162" s="41">
        <f t="shared" si="26"/>
        <v>0.3</v>
      </c>
      <c r="F162" s="20">
        <f t="shared" si="41"/>
        <v>163814271.17328</v>
      </c>
      <c r="G162" s="17">
        <f t="shared" si="27"/>
        <v>0.3</v>
      </c>
      <c r="H162" s="17">
        <f t="shared" si="42"/>
        <v>0.7</v>
      </c>
      <c r="I162" s="20">
        <f t="shared" si="39"/>
        <v>126010977.8256</v>
      </c>
      <c r="J162" s="17">
        <v>0.25</v>
      </c>
      <c r="K162" s="20">
        <f t="shared" si="24"/>
        <v>94508233.3692</v>
      </c>
    </row>
    <row r="163" spans="3:11">
      <c r="C163" s="41">
        <f>(B163-B157)/B157</f>
        <v>-1</v>
      </c>
      <c r="E163" s="41" t="e">
        <f>(D163-D157)/D157</f>
        <v>#DIV/0!</v>
      </c>
      <c r="G163" s="17">
        <f>(F163-F157)/F157</f>
        <v>-1</v>
      </c>
      <c r="I163" s="20">
        <f t="shared" si="39"/>
        <v>0</v>
      </c>
      <c r="J163" s="17">
        <v>0.25</v>
      </c>
      <c r="K163" s="20">
        <f t="shared" si="24"/>
        <v>0</v>
      </c>
    </row>
    <row r="164" spans="3:11">
      <c r="C164" s="41">
        <f>(B164-B158)/B158</f>
        <v>-1</v>
      </c>
      <c r="E164" s="41">
        <f>(D164-D158)/D158</f>
        <v>-1</v>
      </c>
      <c r="G164" s="17">
        <f>(F164-F158)/F158</f>
        <v>-1</v>
      </c>
      <c r="I164" s="20">
        <f t="shared" si="39"/>
        <v>0</v>
      </c>
      <c r="J164" s="17">
        <v>0.25</v>
      </c>
      <c r="K164" s="20">
        <f t="shared" si="24"/>
        <v>0</v>
      </c>
    </row>
    <row r="165" spans="1:11">
      <c r="A165" s="101" t="s">
        <v>88</v>
      </c>
      <c r="C165" s="41" t="e">
        <f>(B165-B164)/B164</f>
        <v>#DIV/0!</v>
      </c>
      <c r="E165" s="41" t="e">
        <f>(D165-D164)/D164</f>
        <v>#DIV/0!</v>
      </c>
      <c r="G165" s="17" t="e">
        <f>(F165-F164)/F164</f>
        <v>#DIV/0!</v>
      </c>
      <c r="I165" s="20">
        <f t="shared" si="39"/>
        <v>0</v>
      </c>
      <c r="J165" s="17">
        <v>0.25</v>
      </c>
      <c r="K165" s="20">
        <f t="shared" si="24"/>
        <v>0</v>
      </c>
    </row>
    <row r="166" spans="1:11">
      <c r="A166" s="38" t="s">
        <v>79</v>
      </c>
      <c r="B166" s="49">
        <v>44287</v>
      </c>
      <c r="C166" s="41"/>
      <c r="E166" s="41"/>
      <c r="G166" s="17"/>
      <c r="I166" s="20"/>
      <c r="J166" s="17"/>
      <c r="K166" s="20"/>
    </row>
    <row r="167" spans="1:11">
      <c r="A167" s="38" t="s">
        <v>80</v>
      </c>
      <c r="B167" s="47">
        <v>100</v>
      </c>
      <c r="C167" s="41"/>
      <c r="E167" s="41"/>
      <c r="G167" s="17"/>
      <c r="I167" s="20"/>
      <c r="J167" s="17"/>
      <c r="K167" s="20"/>
    </row>
    <row r="168" ht="45" customHeight="1" spans="1:11">
      <c r="A168" s="38" t="s">
        <v>81</v>
      </c>
      <c r="B168" s="111"/>
      <c r="C168" s="6"/>
      <c r="D168" s="6"/>
      <c r="E168" s="6"/>
      <c r="F168" s="6"/>
      <c r="G168" s="6"/>
      <c r="H168" s="6"/>
      <c r="I168" s="20"/>
      <c r="J168" s="17"/>
      <c r="K168" s="20"/>
    </row>
    <row r="169" spans="1:11">
      <c r="A169" s="38" t="s">
        <v>83</v>
      </c>
      <c r="B169" s="20"/>
      <c r="C169" s="41"/>
      <c r="E169" s="41"/>
      <c r="G169" s="17"/>
      <c r="I169" s="20"/>
      <c r="J169" s="17"/>
      <c r="K169" s="20"/>
    </row>
    <row r="170" spans="1:11">
      <c r="A170" s="38" t="s">
        <v>84</v>
      </c>
      <c r="B170" s="17"/>
      <c r="C170" s="41"/>
      <c r="E170" s="41"/>
      <c r="G170" s="17"/>
      <c r="I170" s="20"/>
      <c r="J170" s="17"/>
      <c r="K170" s="20"/>
    </row>
    <row r="171" spans="1:11">
      <c r="A171" s="38" t="s">
        <v>87</v>
      </c>
      <c r="B171" s="47"/>
      <c r="C171" s="41"/>
      <c r="E171" s="41"/>
      <c r="G171" s="17"/>
      <c r="I171" s="20"/>
      <c r="J171" s="17"/>
      <c r="K171" s="20"/>
    </row>
    <row r="172" spans="1:11">
      <c r="A172" s="38" t="s">
        <v>66</v>
      </c>
      <c r="B172" s="47"/>
      <c r="C172" s="41"/>
      <c r="E172" s="41"/>
      <c r="G172" s="17"/>
      <c r="I172" s="20"/>
      <c r="J172" s="17"/>
      <c r="K172" s="20"/>
    </row>
    <row r="173" ht="31.5" spans="1:11">
      <c r="A173" s="39" t="s">
        <v>54</v>
      </c>
      <c r="B173" s="34" t="s">
        <v>68</v>
      </c>
      <c r="C173" s="34" t="s">
        <v>69</v>
      </c>
      <c r="D173" t="s">
        <v>70</v>
      </c>
      <c r="E173" t="s">
        <v>71</v>
      </c>
      <c r="F173" t="s">
        <v>72</v>
      </c>
      <c r="G173" t="s">
        <v>73</v>
      </c>
      <c r="H173" t="s">
        <v>74</v>
      </c>
      <c r="I173" s="6" t="s">
        <v>75</v>
      </c>
      <c r="J173" s="6" t="s">
        <v>76</v>
      </c>
      <c r="K173" t="s">
        <v>56</v>
      </c>
    </row>
    <row r="174" spans="1:11">
      <c r="A174" s="40">
        <v>40543</v>
      </c>
      <c r="B174" s="38">
        <f>营业收入分析!I29</f>
        <v>0</v>
      </c>
      <c r="C174" s="41" t="e">
        <f>(B174-B173)/B173</f>
        <v>#VALUE!</v>
      </c>
      <c r="D174" s="38">
        <f>营业成本分析!I29</f>
        <v>0</v>
      </c>
      <c r="E174" s="41" t="e">
        <f t="shared" ref="E174:E189" si="43">(D174-D173)/D173</f>
        <v>#VALUE!</v>
      </c>
      <c r="F174" s="20">
        <f t="shared" ref="F174:F181" si="44">B174-D174</f>
        <v>0</v>
      </c>
      <c r="G174" s="17" t="e">
        <f t="shared" ref="G174:G189" si="45">(F174-F173)/F173</f>
        <v>#VALUE!</v>
      </c>
      <c r="H174" s="17" t="e">
        <f t="shared" ref="H174:H181" si="46">F174/B174</f>
        <v>#DIV/0!</v>
      </c>
      <c r="I174" s="20">
        <f t="shared" ref="I174:I191" si="47">B174-D174/0.65</f>
        <v>0</v>
      </c>
      <c r="J174" s="17">
        <v>0.25</v>
      </c>
      <c r="K174" s="20">
        <f t="shared" ref="K174:K190" si="48">I174*(1-J174)</f>
        <v>0</v>
      </c>
    </row>
    <row r="175" spans="1:11">
      <c r="A175" s="40">
        <v>40908</v>
      </c>
      <c r="B175" s="38">
        <f>营业收入分析!I30</f>
        <v>0</v>
      </c>
      <c r="C175" s="41" t="e">
        <f>(B175-B174)/B174</f>
        <v>#DIV/0!</v>
      </c>
      <c r="D175" s="38">
        <f>营业成本分析!I30</f>
        <v>0</v>
      </c>
      <c r="E175" s="41" t="e">
        <f t="shared" si="43"/>
        <v>#DIV/0!</v>
      </c>
      <c r="F175" s="20">
        <f t="shared" si="44"/>
        <v>0</v>
      </c>
      <c r="G175" s="17" t="e">
        <f t="shared" si="45"/>
        <v>#DIV/0!</v>
      </c>
      <c r="H175" s="17" t="e">
        <f t="shared" si="46"/>
        <v>#DIV/0!</v>
      </c>
      <c r="I175" s="20">
        <f t="shared" si="47"/>
        <v>0</v>
      </c>
      <c r="J175" s="17">
        <v>0.25</v>
      </c>
      <c r="K175" s="20">
        <f t="shared" si="48"/>
        <v>0</v>
      </c>
    </row>
    <row r="176" spans="1:11">
      <c r="A176" s="40">
        <v>41274</v>
      </c>
      <c r="B176" s="38">
        <f>营业收入分析!I31</f>
        <v>0</v>
      </c>
      <c r="C176" s="41" t="e">
        <f>(B176-B175)/B175</f>
        <v>#DIV/0!</v>
      </c>
      <c r="D176" s="38">
        <f>营业成本分析!I31</f>
        <v>0</v>
      </c>
      <c r="E176" s="41" t="e">
        <f t="shared" si="43"/>
        <v>#DIV/0!</v>
      </c>
      <c r="F176" s="20">
        <f t="shared" si="44"/>
        <v>0</v>
      </c>
      <c r="G176" s="17" t="e">
        <f t="shared" si="45"/>
        <v>#DIV/0!</v>
      </c>
      <c r="H176" s="17" t="e">
        <f t="shared" si="46"/>
        <v>#DIV/0!</v>
      </c>
      <c r="I176" s="20">
        <f t="shared" si="47"/>
        <v>0</v>
      </c>
      <c r="J176" s="17">
        <v>0.25</v>
      </c>
      <c r="K176" s="20">
        <f t="shared" si="48"/>
        <v>0</v>
      </c>
    </row>
    <row r="177" spans="1:11">
      <c r="A177" s="40">
        <v>41639</v>
      </c>
      <c r="B177" s="38">
        <f>营业收入分析!I32</f>
        <v>0</v>
      </c>
      <c r="C177" s="41" t="e">
        <f>(B177-B176)/B176</f>
        <v>#DIV/0!</v>
      </c>
      <c r="D177" s="38">
        <f>营业成本分析!I32</f>
        <v>0</v>
      </c>
      <c r="E177" s="41" t="e">
        <f t="shared" si="43"/>
        <v>#DIV/0!</v>
      </c>
      <c r="F177" s="20">
        <f t="shared" si="44"/>
        <v>0</v>
      </c>
      <c r="G177" s="17" t="e">
        <f t="shared" si="45"/>
        <v>#DIV/0!</v>
      </c>
      <c r="H177" s="17" t="e">
        <f t="shared" si="46"/>
        <v>#DIV/0!</v>
      </c>
      <c r="I177" s="20">
        <f t="shared" si="47"/>
        <v>0</v>
      </c>
      <c r="J177" s="17">
        <v>0.25</v>
      </c>
      <c r="K177" s="20">
        <f t="shared" si="48"/>
        <v>0</v>
      </c>
    </row>
    <row r="178" spans="1:11">
      <c r="A178" s="40">
        <v>42004</v>
      </c>
      <c r="B178" s="38">
        <f>营业收入分析!I33</f>
        <v>0</v>
      </c>
      <c r="C178" s="41" t="e">
        <f>(B178-B177)/B177</f>
        <v>#DIV/0!</v>
      </c>
      <c r="D178" s="38">
        <f>营业成本分析!I33</f>
        <v>0</v>
      </c>
      <c r="E178" s="41" t="e">
        <f t="shared" si="43"/>
        <v>#DIV/0!</v>
      </c>
      <c r="F178" s="20">
        <f t="shared" si="44"/>
        <v>0</v>
      </c>
      <c r="G178" s="17" t="e">
        <f t="shared" si="45"/>
        <v>#DIV/0!</v>
      </c>
      <c r="H178" s="17" t="e">
        <f t="shared" si="46"/>
        <v>#DIV/0!</v>
      </c>
      <c r="I178" s="20">
        <f t="shared" si="47"/>
        <v>0</v>
      </c>
      <c r="J178" s="17">
        <v>0.25</v>
      </c>
      <c r="K178" s="20">
        <f t="shared" si="48"/>
        <v>0</v>
      </c>
    </row>
    <row r="179" spans="1:11">
      <c r="A179" s="40">
        <v>42369</v>
      </c>
      <c r="B179" s="38">
        <f>营业收入分析!I34</f>
        <v>0</v>
      </c>
      <c r="C179" s="41" t="e">
        <f t="shared" ref="C179:C189" si="49">(B179-B178)/B178</f>
        <v>#DIV/0!</v>
      </c>
      <c r="D179" s="38">
        <f>营业成本分析!I34</f>
        <v>0</v>
      </c>
      <c r="E179" s="41" t="e">
        <f t="shared" si="43"/>
        <v>#DIV/0!</v>
      </c>
      <c r="F179" s="20">
        <f t="shared" si="44"/>
        <v>0</v>
      </c>
      <c r="G179" s="17" t="e">
        <f t="shared" si="45"/>
        <v>#DIV/0!</v>
      </c>
      <c r="H179" s="17" t="e">
        <f t="shared" si="46"/>
        <v>#DIV/0!</v>
      </c>
      <c r="I179" s="20">
        <f t="shared" si="47"/>
        <v>0</v>
      </c>
      <c r="J179" s="17">
        <v>0.25</v>
      </c>
      <c r="K179" s="20">
        <f t="shared" si="48"/>
        <v>0</v>
      </c>
    </row>
    <row r="180" spans="1:11">
      <c r="A180" s="40">
        <v>42735</v>
      </c>
      <c r="B180" s="38">
        <f>营业收入分析!I35</f>
        <v>0</v>
      </c>
      <c r="C180" s="41" t="e">
        <f t="shared" si="49"/>
        <v>#DIV/0!</v>
      </c>
      <c r="D180" s="38">
        <f>营业成本分析!I35</f>
        <v>0</v>
      </c>
      <c r="E180" s="41" t="e">
        <f t="shared" si="43"/>
        <v>#DIV/0!</v>
      </c>
      <c r="F180" s="20">
        <f t="shared" si="44"/>
        <v>0</v>
      </c>
      <c r="G180" s="17" t="e">
        <f t="shared" si="45"/>
        <v>#DIV/0!</v>
      </c>
      <c r="H180" s="17" t="e">
        <f t="shared" si="46"/>
        <v>#DIV/0!</v>
      </c>
      <c r="I180" s="20">
        <f t="shared" si="47"/>
        <v>0</v>
      </c>
      <c r="J180" s="17">
        <v>0.25</v>
      </c>
      <c r="K180" s="20">
        <f t="shared" si="48"/>
        <v>0</v>
      </c>
    </row>
    <row r="181" spans="1:11">
      <c r="A181" s="40">
        <v>43100</v>
      </c>
      <c r="B181" s="38">
        <f>营业收入分析!I36</f>
        <v>0</v>
      </c>
      <c r="C181" s="41" t="e">
        <f t="shared" si="49"/>
        <v>#DIV/0!</v>
      </c>
      <c r="D181" s="38">
        <f>营业成本分析!I36</f>
        <v>0</v>
      </c>
      <c r="E181" s="41" t="e">
        <f t="shared" si="43"/>
        <v>#DIV/0!</v>
      </c>
      <c r="F181" s="20">
        <f t="shared" si="44"/>
        <v>0</v>
      </c>
      <c r="G181" s="17" t="e">
        <f t="shared" si="45"/>
        <v>#DIV/0!</v>
      </c>
      <c r="H181" s="17" t="e">
        <f t="shared" si="46"/>
        <v>#DIV/0!</v>
      </c>
      <c r="I181" s="20">
        <f t="shared" si="47"/>
        <v>0</v>
      </c>
      <c r="J181" s="17">
        <v>0.25</v>
      </c>
      <c r="K181" s="20">
        <f t="shared" si="48"/>
        <v>0</v>
      </c>
    </row>
    <row r="182" spans="1:11">
      <c r="A182" s="40">
        <v>43465</v>
      </c>
      <c r="B182" s="38">
        <f>营业收入分析!I37</f>
        <v>0</v>
      </c>
      <c r="C182" s="41" t="e">
        <f t="shared" si="49"/>
        <v>#DIV/0!</v>
      </c>
      <c r="D182" s="38">
        <f>营业成本分析!I37</f>
        <v>0</v>
      </c>
      <c r="E182" s="41" t="e">
        <f t="shared" si="43"/>
        <v>#DIV/0!</v>
      </c>
      <c r="F182" s="20">
        <f t="shared" ref="F182:F189" si="50">B182-D182</f>
        <v>0</v>
      </c>
      <c r="G182" s="17" t="e">
        <f t="shared" si="45"/>
        <v>#DIV/0!</v>
      </c>
      <c r="H182" s="17" t="e">
        <f t="shared" ref="H182:H189" si="51">F182/B182</f>
        <v>#DIV/0!</v>
      </c>
      <c r="I182" s="20">
        <f t="shared" si="47"/>
        <v>0</v>
      </c>
      <c r="J182" s="17">
        <v>0.25</v>
      </c>
      <c r="K182" s="20">
        <f t="shared" si="48"/>
        <v>0</v>
      </c>
    </row>
    <row r="183" spans="1:11">
      <c r="A183" s="40">
        <v>43830</v>
      </c>
      <c r="B183" s="38">
        <f>营业收入分析!I38</f>
        <v>0</v>
      </c>
      <c r="C183" s="41" t="e">
        <f t="shared" si="49"/>
        <v>#DIV/0!</v>
      </c>
      <c r="D183" s="38">
        <f>营业成本分析!I38</f>
        <v>0</v>
      </c>
      <c r="E183" s="41" t="e">
        <f t="shared" si="43"/>
        <v>#DIV/0!</v>
      </c>
      <c r="F183" s="20">
        <f t="shared" si="50"/>
        <v>0</v>
      </c>
      <c r="G183" s="17" t="e">
        <f t="shared" si="45"/>
        <v>#DIV/0!</v>
      </c>
      <c r="H183" s="17" t="e">
        <f t="shared" si="51"/>
        <v>#DIV/0!</v>
      </c>
      <c r="I183" s="20">
        <f t="shared" si="47"/>
        <v>0</v>
      </c>
      <c r="J183" s="17">
        <v>0.25</v>
      </c>
      <c r="K183" s="20">
        <f t="shared" si="48"/>
        <v>0</v>
      </c>
    </row>
    <row r="184" s="1" customFormat="1" spans="1:11">
      <c r="A184" s="103">
        <v>2020</v>
      </c>
      <c r="B184" s="104">
        <f>营业收入分析!I39</f>
        <v>0</v>
      </c>
      <c r="C184" s="105" t="e">
        <f t="shared" si="49"/>
        <v>#DIV/0!</v>
      </c>
      <c r="D184" s="104">
        <f>营业成本分析!I39</f>
        <v>0</v>
      </c>
      <c r="E184" s="105" t="e">
        <f t="shared" si="43"/>
        <v>#DIV/0!</v>
      </c>
      <c r="F184" s="106">
        <f t="shared" si="50"/>
        <v>0</v>
      </c>
      <c r="G184" s="107" t="e">
        <f t="shared" si="45"/>
        <v>#DIV/0!</v>
      </c>
      <c r="H184" s="107" t="e">
        <f t="shared" si="51"/>
        <v>#DIV/0!</v>
      </c>
      <c r="I184" s="106">
        <f t="shared" si="47"/>
        <v>0</v>
      </c>
      <c r="J184" s="107">
        <v>0.25</v>
      </c>
      <c r="K184" s="106">
        <f t="shared" si="48"/>
        <v>0</v>
      </c>
    </row>
    <row r="185" spans="1:11">
      <c r="A185" s="102">
        <f>A184+1</f>
        <v>2021</v>
      </c>
      <c r="B185" s="38">
        <f>100000000</f>
        <v>100000000</v>
      </c>
      <c r="C185" s="41" t="e">
        <f t="shared" si="49"/>
        <v>#DIV/0!</v>
      </c>
      <c r="D185" s="38">
        <f>B185*0.4</f>
        <v>40000000</v>
      </c>
      <c r="E185" s="41" t="e">
        <f t="shared" si="43"/>
        <v>#DIV/0!</v>
      </c>
      <c r="F185" s="20">
        <f t="shared" si="50"/>
        <v>60000000</v>
      </c>
      <c r="G185" s="17" t="e">
        <f t="shared" si="45"/>
        <v>#DIV/0!</v>
      </c>
      <c r="H185" s="17">
        <f t="shared" si="51"/>
        <v>0.6</v>
      </c>
      <c r="I185" s="20">
        <f t="shared" si="47"/>
        <v>38461538.4615385</v>
      </c>
      <c r="J185" s="17">
        <v>0.25</v>
      </c>
      <c r="K185" s="20">
        <f t="shared" si="48"/>
        <v>28846153.8461538</v>
      </c>
    </row>
    <row r="186" spans="1:11">
      <c r="A186" s="102">
        <f>A185+1</f>
        <v>2022</v>
      </c>
      <c r="B186" s="38">
        <f>B185*4</f>
        <v>400000000</v>
      </c>
      <c r="C186" s="41">
        <f t="shared" si="49"/>
        <v>3</v>
      </c>
      <c r="D186" s="38">
        <f>B186*0.4</f>
        <v>160000000</v>
      </c>
      <c r="E186" s="41">
        <f t="shared" si="43"/>
        <v>3</v>
      </c>
      <c r="F186" s="20">
        <f t="shared" si="50"/>
        <v>240000000</v>
      </c>
      <c r="G186" s="17">
        <f t="shared" si="45"/>
        <v>3</v>
      </c>
      <c r="H186" s="17">
        <f t="shared" si="51"/>
        <v>0.6</v>
      </c>
      <c r="I186" s="20">
        <f t="shared" si="47"/>
        <v>153846153.846154</v>
      </c>
      <c r="J186" s="17">
        <v>0.25</v>
      </c>
      <c r="K186" s="20">
        <f t="shared" si="48"/>
        <v>115384615.384615</v>
      </c>
    </row>
    <row r="187" spans="1:11">
      <c r="A187" s="102">
        <f>A186+1</f>
        <v>2023</v>
      </c>
      <c r="B187" s="38">
        <f>B186*1.8</f>
        <v>720000000</v>
      </c>
      <c r="C187" s="41">
        <f t="shared" si="49"/>
        <v>0.8</v>
      </c>
      <c r="D187" s="38">
        <f>B187*0.3</f>
        <v>216000000</v>
      </c>
      <c r="E187" s="41">
        <f t="shared" si="43"/>
        <v>0.35</v>
      </c>
      <c r="F187" s="20">
        <f t="shared" si="50"/>
        <v>504000000</v>
      </c>
      <c r="G187" s="17">
        <f t="shared" si="45"/>
        <v>1.1</v>
      </c>
      <c r="H187" s="17">
        <f t="shared" si="51"/>
        <v>0.7</v>
      </c>
      <c r="I187" s="20">
        <f t="shared" si="47"/>
        <v>387692307.692308</v>
      </c>
      <c r="J187" s="17">
        <v>0.25</v>
      </c>
      <c r="K187" s="20">
        <f t="shared" si="48"/>
        <v>290769230.769231</v>
      </c>
    </row>
    <row r="188" spans="1:11">
      <c r="A188" s="102">
        <f>A187+1</f>
        <v>2024</v>
      </c>
      <c r="B188" s="38">
        <f>B187*1.4</f>
        <v>1008000000</v>
      </c>
      <c r="C188" s="41">
        <f t="shared" si="49"/>
        <v>0.4</v>
      </c>
      <c r="D188" s="38">
        <f>B188*0.3</f>
        <v>302400000</v>
      </c>
      <c r="E188" s="41">
        <f t="shared" si="43"/>
        <v>0.4</v>
      </c>
      <c r="F188" s="20">
        <f t="shared" si="50"/>
        <v>705600000</v>
      </c>
      <c r="G188" s="17">
        <f t="shared" si="45"/>
        <v>0.4</v>
      </c>
      <c r="H188" s="17">
        <f t="shared" si="51"/>
        <v>0.7</v>
      </c>
      <c r="I188" s="20">
        <f t="shared" si="47"/>
        <v>542769230.769231</v>
      </c>
      <c r="J188" s="17">
        <v>0.25</v>
      </c>
      <c r="K188" s="20">
        <f t="shared" si="48"/>
        <v>407076923.076923</v>
      </c>
    </row>
    <row r="189" spans="1:11">
      <c r="A189" s="102">
        <f>A188+1</f>
        <v>2025</v>
      </c>
      <c r="B189" s="38">
        <f>B188*1.3</f>
        <v>1310400000</v>
      </c>
      <c r="C189" s="41">
        <f t="shared" si="49"/>
        <v>0.3</v>
      </c>
      <c r="D189" s="38">
        <f>B189*0.3</f>
        <v>393120000</v>
      </c>
      <c r="E189" s="41">
        <f t="shared" si="43"/>
        <v>0.3</v>
      </c>
      <c r="F189" s="20">
        <f t="shared" si="50"/>
        <v>917280000</v>
      </c>
      <c r="G189" s="17">
        <f t="shared" si="45"/>
        <v>0.3</v>
      </c>
      <c r="H189" s="17">
        <f t="shared" si="51"/>
        <v>0.7</v>
      </c>
      <c r="I189" s="20">
        <f t="shared" si="47"/>
        <v>705600000</v>
      </c>
      <c r="J189" s="17">
        <v>0.25</v>
      </c>
      <c r="K189" s="20">
        <f t="shared" si="48"/>
        <v>529200000</v>
      </c>
    </row>
    <row r="190" spans="3:11">
      <c r="C190" s="41" t="e">
        <f>(B190-B184)/B184</f>
        <v>#DIV/0!</v>
      </c>
      <c r="E190" s="41" t="e">
        <f>(D190-D184)/D184</f>
        <v>#DIV/0!</v>
      </c>
      <c r="G190" s="17" t="e">
        <f>(F190-F184)/F184</f>
        <v>#DIV/0!</v>
      </c>
      <c r="I190" s="20">
        <f t="shared" si="47"/>
        <v>0</v>
      </c>
      <c r="J190" s="17">
        <v>0.25</v>
      </c>
      <c r="K190" s="20">
        <f t="shared" si="48"/>
        <v>0</v>
      </c>
    </row>
    <row r="191" spans="1:11">
      <c r="A191" s="38" t="str">
        <f>营业收入分析!J1</f>
        <v>数字娱乐平台</v>
      </c>
      <c r="C191" s="41" t="e">
        <f>(B191-B163)/B163</f>
        <v>#DIV/0!</v>
      </c>
      <c r="E191" s="41" t="e">
        <f>(D191-D163)/D163</f>
        <v>#DIV/0!</v>
      </c>
      <c r="G191" s="17" t="e">
        <f>(F191-F163)/F163</f>
        <v>#DIV/0!</v>
      </c>
      <c r="I191" s="20">
        <f t="shared" si="47"/>
        <v>0</v>
      </c>
      <c r="J191" s="17">
        <v>0.25</v>
      </c>
      <c r="K191" s="20">
        <f t="shared" si="24"/>
        <v>0</v>
      </c>
    </row>
    <row r="192" ht="31.5" spans="1:11">
      <c r="A192" s="39" t="s">
        <v>54</v>
      </c>
      <c r="B192" s="34" t="s">
        <v>68</v>
      </c>
      <c r="C192" s="34" t="s">
        <v>69</v>
      </c>
      <c r="D192" t="s">
        <v>70</v>
      </c>
      <c r="E192" t="s">
        <v>71</v>
      </c>
      <c r="F192" t="s">
        <v>72</v>
      </c>
      <c r="G192" t="s">
        <v>73</v>
      </c>
      <c r="H192" t="s">
        <v>74</v>
      </c>
      <c r="I192" s="6" t="s">
        <v>75</v>
      </c>
      <c r="J192" s="6" t="s">
        <v>76</v>
      </c>
      <c r="K192" t="s">
        <v>56</v>
      </c>
    </row>
    <row r="193" spans="1:11">
      <c r="A193" s="40">
        <v>40543</v>
      </c>
      <c r="B193" s="38">
        <f>营业收入分析!J2</f>
        <v>0</v>
      </c>
      <c r="C193" s="41" t="e">
        <f t="shared" ref="C193:C202" si="52">(B193-B192)/B192</f>
        <v>#VALUE!</v>
      </c>
      <c r="D193" s="38">
        <f>营业成本分析!J2</f>
        <v>0</v>
      </c>
      <c r="E193" s="41" t="e">
        <f t="shared" si="26"/>
        <v>#VALUE!</v>
      </c>
      <c r="F193" s="20">
        <f t="shared" ref="F193:F200" si="53">B193-D193</f>
        <v>0</v>
      </c>
      <c r="G193" s="17" t="e">
        <f t="shared" si="27"/>
        <v>#VALUE!</v>
      </c>
      <c r="H193" s="17" t="e">
        <f t="shared" ref="H193:H200" si="54">F193/B193</f>
        <v>#DIV/0!</v>
      </c>
      <c r="I193" s="20">
        <f>B193-D193/0.65</f>
        <v>0</v>
      </c>
      <c r="J193" s="17">
        <v>0.15</v>
      </c>
      <c r="K193" s="20">
        <f t="shared" si="24"/>
        <v>0</v>
      </c>
    </row>
    <row r="194" spans="1:11">
      <c r="A194" s="40">
        <v>40908</v>
      </c>
      <c r="B194" s="38">
        <f>营业收入分析!J3</f>
        <v>0</v>
      </c>
      <c r="C194" s="41" t="e">
        <f t="shared" si="52"/>
        <v>#DIV/0!</v>
      </c>
      <c r="D194" s="38">
        <f>营业成本分析!J3</f>
        <v>0</v>
      </c>
      <c r="E194" s="41" t="e">
        <f t="shared" si="26"/>
        <v>#DIV/0!</v>
      </c>
      <c r="F194" s="20">
        <f t="shared" si="53"/>
        <v>0</v>
      </c>
      <c r="G194" s="17" t="e">
        <f t="shared" si="27"/>
        <v>#DIV/0!</v>
      </c>
      <c r="H194" s="17" t="e">
        <f t="shared" si="54"/>
        <v>#DIV/0!</v>
      </c>
      <c r="I194" s="20">
        <f>B194-D194/0.65</f>
        <v>0</v>
      </c>
      <c r="J194" s="17">
        <v>0.15</v>
      </c>
      <c r="K194" s="20">
        <f t="shared" si="24"/>
        <v>0</v>
      </c>
    </row>
    <row r="195" spans="1:11">
      <c r="A195" s="40">
        <v>41274</v>
      </c>
      <c r="B195" s="38">
        <f>营业收入分析!J4</f>
        <v>0</v>
      </c>
      <c r="C195" s="41" t="e">
        <f t="shared" si="52"/>
        <v>#DIV/0!</v>
      </c>
      <c r="D195" s="38">
        <f>营业成本分析!J4</f>
        <v>0</v>
      </c>
      <c r="E195" s="41" t="e">
        <f t="shared" si="26"/>
        <v>#DIV/0!</v>
      </c>
      <c r="F195" s="20">
        <f t="shared" si="53"/>
        <v>0</v>
      </c>
      <c r="G195" s="17" t="e">
        <f t="shared" si="27"/>
        <v>#DIV/0!</v>
      </c>
      <c r="H195" s="17" t="e">
        <f t="shared" si="54"/>
        <v>#DIV/0!</v>
      </c>
      <c r="I195" s="20">
        <f t="shared" ref="I195:I220" si="55">B195-D195/0.65</f>
        <v>0</v>
      </c>
      <c r="J195" s="17">
        <v>0.15</v>
      </c>
      <c r="K195" s="20">
        <f t="shared" si="24"/>
        <v>0</v>
      </c>
    </row>
    <row r="196" spans="1:11">
      <c r="A196" s="40">
        <v>41639</v>
      </c>
      <c r="B196" s="38">
        <f>营业收入分析!J5</f>
        <v>0</v>
      </c>
      <c r="C196" s="41" t="e">
        <f t="shared" si="52"/>
        <v>#DIV/0!</v>
      </c>
      <c r="D196" s="38">
        <f>营业成本分析!J5</f>
        <v>0</v>
      </c>
      <c r="E196" s="41" t="e">
        <f t="shared" si="26"/>
        <v>#DIV/0!</v>
      </c>
      <c r="F196" s="20">
        <f t="shared" si="53"/>
        <v>0</v>
      </c>
      <c r="G196" s="17" t="e">
        <f t="shared" si="27"/>
        <v>#DIV/0!</v>
      </c>
      <c r="H196" s="17" t="e">
        <f t="shared" si="54"/>
        <v>#DIV/0!</v>
      </c>
      <c r="I196" s="20">
        <f t="shared" si="55"/>
        <v>0</v>
      </c>
      <c r="J196" s="17">
        <v>0.15</v>
      </c>
      <c r="K196" s="20">
        <f t="shared" si="24"/>
        <v>0</v>
      </c>
    </row>
    <row r="197" spans="1:11">
      <c r="A197" s="40">
        <v>42004</v>
      </c>
      <c r="B197" s="38">
        <f>营业收入分析!J6</f>
        <v>0</v>
      </c>
      <c r="C197" s="41" t="e">
        <f t="shared" si="52"/>
        <v>#DIV/0!</v>
      </c>
      <c r="D197" s="38">
        <f>营业成本分析!J6</f>
        <v>0</v>
      </c>
      <c r="E197" s="41" t="e">
        <f t="shared" si="26"/>
        <v>#DIV/0!</v>
      </c>
      <c r="F197" s="20">
        <f t="shared" si="53"/>
        <v>0</v>
      </c>
      <c r="G197" s="17" t="e">
        <f t="shared" si="27"/>
        <v>#DIV/0!</v>
      </c>
      <c r="H197" s="17" t="e">
        <f t="shared" si="54"/>
        <v>#DIV/0!</v>
      </c>
      <c r="I197" s="20">
        <f t="shared" si="55"/>
        <v>0</v>
      </c>
      <c r="J197" s="17">
        <v>0.15</v>
      </c>
      <c r="K197" s="20">
        <f t="shared" si="24"/>
        <v>0</v>
      </c>
    </row>
    <row r="198" spans="1:11">
      <c r="A198" s="40">
        <v>42369</v>
      </c>
      <c r="B198" s="38">
        <f>营业收入分析!J7</f>
        <v>369099362.92</v>
      </c>
      <c r="C198" s="41" t="e">
        <f t="shared" si="52"/>
        <v>#DIV/0!</v>
      </c>
      <c r="D198" s="38">
        <f>营业成本分析!J7</f>
        <v>179637611.21</v>
      </c>
      <c r="E198" s="41" t="e">
        <f t="shared" si="26"/>
        <v>#DIV/0!</v>
      </c>
      <c r="F198" s="20">
        <f t="shared" si="53"/>
        <v>189461751.71</v>
      </c>
      <c r="G198" s="17" t="e">
        <f t="shared" si="27"/>
        <v>#DIV/0!</v>
      </c>
      <c r="H198" s="17">
        <f t="shared" si="54"/>
        <v>0.513308259898202</v>
      </c>
      <c r="I198" s="20">
        <f t="shared" si="55"/>
        <v>92733807.2123077</v>
      </c>
      <c r="J198" s="17">
        <v>0.15</v>
      </c>
      <c r="K198" s="20">
        <f t="shared" si="24"/>
        <v>78823736.1304615</v>
      </c>
    </row>
    <row r="199" spans="1:11">
      <c r="A199" s="40">
        <v>42735</v>
      </c>
      <c r="B199" s="38">
        <f>营业收入分析!J8</f>
        <v>1090212510.98</v>
      </c>
      <c r="C199" s="41">
        <f t="shared" si="52"/>
        <v>1.95371008596484</v>
      </c>
      <c r="D199" s="38">
        <f>营业成本分析!J8</f>
        <v>545134015.62</v>
      </c>
      <c r="E199" s="41">
        <f t="shared" si="26"/>
        <v>2.03463184545873</v>
      </c>
      <c r="F199" s="20">
        <f t="shared" si="53"/>
        <v>545078495.36</v>
      </c>
      <c r="G199" s="17">
        <f t="shared" si="27"/>
        <v>1.87698435404696</v>
      </c>
      <c r="H199" s="17">
        <f t="shared" si="54"/>
        <v>0.499974536955208</v>
      </c>
      <c r="I199" s="20">
        <f t="shared" si="55"/>
        <v>251544794.641539</v>
      </c>
      <c r="J199" s="17">
        <v>0.15</v>
      </c>
      <c r="K199" s="20">
        <f t="shared" si="24"/>
        <v>213813075.445308</v>
      </c>
    </row>
    <row r="200" spans="1:11">
      <c r="A200" s="40">
        <v>43100</v>
      </c>
      <c r="B200" s="38">
        <f>营业收入分析!J9</f>
        <v>1240133995.36</v>
      </c>
      <c r="C200" s="41">
        <f t="shared" si="52"/>
        <v>0.137515835555065</v>
      </c>
      <c r="D200" s="38">
        <f>营业成本分析!J9</f>
        <v>606234968.12</v>
      </c>
      <c r="E200" s="41">
        <f t="shared" si="26"/>
        <v>0.112084277900926</v>
      </c>
      <c r="F200" s="20">
        <f t="shared" si="53"/>
        <v>633899027.24</v>
      </c>
      <c r="G200" s="17">
        <f t="shared" si="27"/>
        <v>0.162949983600688</v>
      </c>
      <c r="H200" s="17">
        <f t="shared" si="54"/>
        <v>0.511153657275547</v>
      </c>
      <c r="I200" s="20">
        <f t="shared" si="55"/>
        <v>307464813.636923</v>
      </c>
      <c r="J200" s="17">
        <v>0.15</v>
      </c>
      <c r="K200" s="20">
        <f t="shared" si="24"/>
        <v>261345091.591385</v>
      </c>
    </row>
    <row r="201" spans="1:11">
      <c r="A201" s="40">
        <v>43465</v>
      </c>
      <c r="B201" s="38">
        <f>营业收入分析!J10</f>
        <v>1233596141.03</v>
      </c>
      <c r="C201" s="41">
        <f t="shared" si="52"/>
        <v>-0.00527189348446338</v>
      </c>
      <c r="D201" s="38">
        <f>营业成本分析!J10</f>
        <v>521449699.55</v>
      </c>
      <c r="E201" s="41">
        <f t="shared" si="26"/>
        <v>-0.139855457089399</v>
      </c>
      <c r="F201" s="20">
        <f t="shared" ref="F201:F208" si="56">B201-D201</f>
        <v>712146441.48</v>
      </c>
      <c r="G201" s="17">
        <f t="shared" si="27"/>
        <v>0.123438293604409</v>
      </c>
      <c r="H201" s="17">
        <f t="shared" ref="H201:H208" si="57">F201/B201</f>
        <v>0.57729301980905</v>
      </c>
      <c r="I201" s="20">
        <f t="shared" si="55"/>
        <v>431365834.03</v>
      </c>
      <c r="J201" s="17">
        <v>0.15</v>
      </c>
      <c r="K201" s="20">
        <f t="shared" si="24"/>
        <v>366660958.9255</v>
      </c>
    </row>
    <row r="202" spans="1:11">
      <c r="A202" s="40">
        <v>43830</v>
      </c>
      <c r="B202" s="38">
        <f>营业收入分析!J11</f>
        <v>383412284.25</v>
      </c>
      <c r="C202" s="41">
        <f t="shared" si="52"/>
        <v>-0.689191404303626</v>
      </c>
      <c r="D202" s="38">
        <f>营业成本分析!J11</f>
        <v>170265034.42</v>
      </c>
      <c r="E202" s="41">
        <f t="shared" si="26"/>
        <v>-0.673477548137557</v>
      </c>
      <c r="F202" s="20">
        <f t="shared" si="56"/>
        <v>213147249.83</v>
      </c>
      <c r="G202" s="17">
        <f t="shared" si="27"/>
        <v>-0.700697444493253</v>
      </c>
      <c r="H202" s="17">
        <f t="shared" si="57"/>
        <v>0.555921806853271</v>
      </c>
      <c r="I202" s="20">
        <f t="shared" si="55"/>
        <v>121466077.45</v>
      </c>
      <c r="J202" s="17">
        <v>0.15</v>
      </c>
      <c r="K202" s="20">
        <f t="shared" si="24"/>
        <v>103246165.8325</v>
      </c>
    </row>
    <row r="203" s="1" customFormat="1" spans="1:11">
      <c r="A203" s="109">
        <v>43831</v>
      </c>
      <c r="B203" s="104">
        <f>营业收入分析!J12</f>
        <v>0</v>
      </c>
      <c r="C203" s="105">
        <f t="shared" ref="C203:C227" si="58">(B203-B202)/B202</f>
        <v>-1</v>
      </c>
      <c r="D203" s="104">
        <f>营业成本分析!J12</f>
        <v>0</v>
      </c>
      <c r="E203" s="105">
        <f t="shared" si="26"/>
        <v>-1</v>
      </c>
      <c r="F203" s="106">
        <f t="shared" si="56"/>
        <v>0</v>
      </c>
      <c r="G203" s="107">
        <f t="shared" si="27"/>
        <v>-1</v>
      </c>
      <c r="H203" s="107" t="e">
        <f t="shared" si="57"/>
        <v>#DIV/0!</v>
      </c>
      <c r="I203" s="106">
        <f t="shared" si="55"/>
        <v>0</v>
      </c>
      <c r="J203" s="107">
        <v>0.15</v>
      </c>
      <c r="K203" s="106">
        <f t="shared" si="24"/>
        <v>0</v>
      </c>
    </row>
    <row r="204" spans="1:11">
      <c r="A204" s="102">
        <f>A14+1</f>
        <v>2021</v>
      </c>
      <c r="B204" s="38">
        <f>0</f>
        <v>0</v>
      </c>
      <c r="C204" s="41" t="e">
        <f t="shared" si="58"/>
        <v>#DIV/0!</v>
      </c>
      <c r="D204" s="38">
        <f>0</f>
        <v>0</v>
      </c>
      <c r="E204" s="41" t="e">
        <f t="shared" si="26"/>
        <v>#DIV/0!</v>
      </c>
      <c r="F204" s="20">
        <f t="shared" si="56"/>
        <v>0</v>
      </c>
      <c r="G204" s="17" t="e">
        <f t="shared" si="27"/>
        <v>#DIV/0!</v>
      </c>
      <c r="H204" s="17" t="e">
        <f t="shared" si="57"/>
        <v>#DIV/0!</v>
      </c>
      <c r="I204" s="20">
        <f t="shared" si="55"/>
        <v>0</v>
      </c>
      <c r="J204" s="17">
        <v>0.15</v>
      </c>
      <c r="K204" s="20">
        <f t="shared" si="24"/>
        <v>0</v>
      </c>
    </row>
    <row r="205" spans="1:11">
      <c r="A205" s="102">
        <f>A204+1</f>
        <v>2022</v>
      </c>
      <c r="B205" s="38">
        <f>0</f>
        <v>0</v>
      </c>
      <c r="C205" s="41" t="e">
        <f t="shared" si="58"/>
        <v>#DIV/0!</v>
      </c>
      <c r="D205" s="38">
        <f>0</f>
        <v>0</v>
      </c>
      <c r="E205" s="41" t="e">
        <f t="shared" si="26"/>
        <v>#DIV/0!</v>
      </c>
      <c r="F205" s="20">
        <f t="shared" si="56"/>
        <v>0</v>
      </c>
      <c r="G205" s="17" t="e">
        <f t="shared" si="27"/>
        <v>#DIV/0!</v>
      </c>
      <c r="H205" s="17" t="e">
        <f t="shared" si="57"/>
        <v>#DIV/0!</v>
      </c>
      <c r="I205" s="20">
        <f t="shared" si="55"/>
        <v>0</v>
      </c>
      <c r="J205" s="17">
        <v>0.15</v>
      </c>
      <c r="K205" s="20">
        <f t="shared" si="24"/>
        <v>0</v>
      </c>
    </row>
    <row r="206" spans="1:11">
      <c r="A206" s="102">
        <f>A205+1</f>
        <v>2023</v>
      </c>
      <c r="B206" s="38">
        <f>0</f>
        <v>0</v>
      </c>
      <c r="C206" s="41" t="e">
        <f t="shared" si="58"/>
        <v>#DIV/0!</v>
      </c>
      <c r="D206" s="38">
        <f>0</f>
        <v>0</v>
      </c>
      <c r="E206" s="41" t="e">
        <f t="shared" si="26"/>
        <v>#DIV/0!</v>
      </c>
      <c r="F206" s="20">
        <f t="shared" si="56"/>
        <v>0</v>
      </c>
      <c r="G206" s="17" t="e">
        <f t="shared" si="27"/>
        <v>#DIV/0!</v>
      </c>
      <c r="H206" s="17" t="e">
        <f t="shared" si="57"/>
        <v>#DIV/0!</v>
      </c>
      <c r="I206" s="20">
        <f t="shared" si="55"/>
        <v>0</v>
      </c>
      <c r="J206" s="17">
        <v>0.15</v>
      </c>
      <c r="K206" s="20">
        <f t="shared" si="24"/>
        <v>0</v>
      </c>
    </row>
    <row r="207" spans="1:11">
      <c r="A207" s="102">
        <f>A206+1</f>
        <v>2024</v>
      </c>
      <c r="B207" s="38">
        <f>0</f>
        <v>0</v>
      </c>
      <c r="C207" s="41" t="e">
        <f t="shared" si="58"/>
        <v>#DIV/0!</v>
      </c>
      <c r="D207" s="38">
        <f>0</f>
        <v>0</v>
      </c>
      <c r="E207" s="41" t="e">
        <f t="shared" si="26"/>
        <v>#DIV/0!</v>
      </c>
      <c r="F207" s="20">
        <f t="shared" si="56"/>
        <v>0</v>
      </c>
      <c r="G207" s="17" t="e">
        <f t="shared" si="27"/>
        <v>#DIV/0!</v>
      </c>
      <c r="H207" s="17" t="e">
        <f t="shared" si="57"/>
        <v>#DIV/0!</v>
      </c>
      <c r="I207" s="20">
        <f t="shared" si="55"/>
        <v>0</v>
      </c>
      <c r="J207" s="17">
        <v>0.15</v>
      </c>
      <c r="K207" s="20">
        <f t="shared" si="24"/>
        <v>0</v>
      </c>
    </row>
    <row r="208" spans="1:11">
      <c r="A208" s="102">
        <f>A207+1</f>
        <v>2025</v>
      </c>
      <c r="B208" s="38">
        <f>0</f>
        <v>0</v>
      </c>
      <c r="C208" s="41" t="e">
        <f t="shared" si="58"/>
        <v>#DIV/0!</v>
      </c>
      <c r="D208" s="38">
        <f>0</f>
        <v>0</v>
      </c>
      <c r="E208" s="41" t="e">
        <f t="shared" si="26"/>
        <v>#DIV/0!</v>
      </c>
      <c r="F208" s="20">
        <f t="shared" si="56"/>
        <v>0</v>
      </c>
      <c r="G208" s="17" t="e">
        <f t="shared" si="27"/>
        <v>#DIV/0!</v>
      </c>
      <c r="H208" s="17" t="e">
        <f t="shared" si="57"/>
        <v>#DIV/0!</v>
      </c>
      <c r="I208" s="20">
        <f t="shared" si="55"/>
        <v>0</v>
      </c>
      <c r="J208" s="17">
        <v>0.15</v>
      </c>
      <c r="K208" s="20">
        <f t="shared" si="24"/>
        <v>0</v>
      </c>
    </row>
    <row r="209" spans="3:11">
      <c r="C209" s="41" t="e">
        <f>(B209-B203)/B203</f>
        <v>#DIV/0!</v>
      </c>
      <c r="E209" s="41" t="e">
        <f>(D209-D203)/D203</f>
        <v>#DIV/0!</v>
      </c>
      <c r="G209" s="17" t="e">
        <f>(F209-F203)/F203</f>
        <v>#DIV/0!</v>
      </c>
      <c r="I209" s="20">
        <f t="shared" si="55"/>
        <v>0</v>
      </c>
      <c r="J209" s="17">
        <v>0.25</v>
      </c>
      <c r="K209" s="20">
        <f t="shared" si="24"/>
        <v>0</v>
      </c>
    </row>
    <row r="210" spans="1:11">
      <c r="A210" s="38" t="str">
        <f>营业收入分析!K1</f>
        <v>电子商务手续费</v>
      </c>
      <c r="C210" s="41" t="e">
        <f t="shared" si="58"/>
        <v>#DIV/0!</v>
      </c>
      <c r="E210" s="41" t="e">
        <f t="shared" si="26"/>
        <v>#DIV/0!</v>
      </c>
      <c r="G210" s="17" t="e">
        <f t="shared" si="27"/>
        <v>#DIV/0!</v>
      </c>
      <c r="I210" s="20">
        <f t="shared" si="55"/>
        <v>0</v>
      </c>
      <c r="J210" s="17">
        <v>0.25</v>
      </c>
      <c r="K210" s="20">
        <f t="shared" si="24"/>
        <v>0</v>
      </c>
    </row>
    <row r="211" ht="31.5" spans="1:11">
      <c r="A211" s="39" t="s">
        <v>54</v>
      </c>
      <c r="B211" s="34" t="s">
        <v>68</v>
      </c>
      <c r="C211" s="34" t="s">
        <v>69</v>
      </c>
      <c r="D211" t="s">
        <v>70</v>
      </c>
      <c r="E211" t="s">
        <v>71</v>
      </c>
      <c r="F211" t="s">
        <v>72</v>
      </c>
      <c r="G211" t="s">
        <v>73</v>
      </c>
      <c r="H211" t="s">
        <v>74</v>
      </c>
      <c r="I211" s="6" t="s">
        <v>75</v>
      </c>
      <c r="J211" s="6" t="s">
        <v>76</v>
      </c>
      <c r="K211" t="s">
        <v>56</v>
      </c>
    </row>
    <row r="212" spans="1:11">
      <c r="A212" s="40">
        <v>40543</v>
      </c>
      <c r="B212" s="38">
        <f>营业收入分析!K2</f>
        <v>0</v>
      </c>
      <c r="C212" s="41" t="e">
        <f t="shared" si="58"/>
        <v>#VALUE!</v>
      </c>
      <c r="D212" s="38">
        <f>营业成本分析!K2</f>
        <v>0</v>
      </c>
      <c r="E212" s="41" t="e">
        <f t="shared" si="26"/>
        <v>#VALUE!</v>
      </c>
      <c r="F212" s="20">
        <f t="shared" ref="F212:F219" si="59">B212-D212</f>
        <v>0</v>
      </c>
      <c r="G212" s="17" t="e">
        <f t="shared" si="27"/>
        <v>#VALUE!</v>
      </c>
      <c r="H212" s="17" t="e">
        <f t="shared" ref="H212:H219" si="60">F212/B212</f>
        <v>#DIV/0!</v>
      </c>
      <c r="I212" s="20">
        <f t="shared" si="55"/>
        <v>0</v>
      </c>
      <c r="J212" s="17">
        <v>0.25</v>
      </c>
      <c r="K212" s="20">
        <f t="shared" si="24"/>
        <v>0</v>
      </c>
    </row>
    <row r="213" spans="1:11">
      <c r="A213" s="40">
        <v>40908</v>
      </c>
      <c r="B213" s="38">
        <f>营业收入分析!K3</f>
        <v>0</v>
      </c>
      <c r="C213" s="41" t="e">
        <f t="shared" si="58"/>
        <v>#DIV/0!</v>
      </c>
      <c r="D213" s="38">
        <f>营业成本分析!K3</f>
        <v>0</v>
      </c>
      <c r="E213" s="41" t="e">
        <f t="shared" si="26"/>
        <v>#DIV/0!</v>
      </c>
      <c r="F213" s="20">
        <f t="shared" si="59"/>
        <v>0</v>
      </c>
      <c r="G213" s="17" t="e">
        <f t="shared" si="27"/>
        <v>#DIV/0!</v>
      </c>
      <c r="H213" s="17" t="e">
        <f t="shared" si="60"/>
        <v>#DIV/0!</v>
      </c>
      <c r="I213" s="20">
        <f t="shared" si="55"/>
        <v>0</v>
      </c>
      <c r="J213" s="17">
        <v>0.25</v>
      </c>
      <c r="K213" s="20">
        <f t="shared" si="24"/>
        <v>0</v>
      </c>
    </row>
    <row r="214" spans="1:11">
      <c r="A214" s="40">
        <v>41274</v>
      </c>
      <c r="B214" s="38">
        <f>营业收入分析!K4</f>
        <v>0</v>
      </c>
      <c r="C214" s="41" t="e">
        <f t="shared" si="58"/>
        <v>#DIV/0!</v>
      </c>
      <c r="D214" s="38">
        <f>营业成本分析!K4</f>
        <v>0</v>
      </c>
      <c r="E214" s="41" t="e">
        <f t="shared" si="26"/>
        <v>#DIV/0!</v>
      </c>
      <c r="F214" s="20">
        <f t="shared" si="59"/>
        <v>0</v>
      </c>
      <c r="G214" s="17" t="e">
        <f t="shared" si="27"/>
        <v>#DIV/0!</v>
      </c>
      <c r="H214" s="17" t="e">
        <f t="shared" si="60"/>
        <v>#DIV/0!</v>
      </c>
      <c r="I214" s="20">
        <f t="shared" si="55"/>
        <v>0</v>
      </c>
      <c r="J214" s="17">
        <v>0.25</v>
      </c>
      <c r="K214" s="20">
        <f t="shared" si="24"/>
        <v>0</v>
      </c>
    </row>
    <row r="215" spans="1:11">
      <c r="A215" s="40">
        <v>41639</v>
      </c>
      <c r="B215" s="38">
        <f>营业收入分析!K5</f>
        <v>3818769.58</v>
      </c>
      <c r="C215" s="41" t="e">
        <f t="shared" si="58"/>
        <v>#DIV/0!</v>
      </c>
      <c r="D215" s="38">
        <f>营业成本分析!K5</f>
        <v>0</v>
      </c>
      <c r="E215" s="41" t="e">
        <f t="shared" si="26"/>
        <v>#DIV/0!</v>
      </c>
      <c r="F215" s="20">
        <f t="shared" si="59"/>
        <v>3818769.58</v>
      </c>
      <c r="G215" s="17" t="e">
        <f t="shared" si="27"/>
        <v>#DIV/0!</v>
      </c>
      <c r="H215" s="17">
        <f t="shared" si="60"/>
        <v>1</v>
      </c>
      <c r="I215" s="20">
        <f t="shared" si="55"/>
        <v>3818769.58</v>
      </c>
      <c r="J215" s="17">
        <v>0.25</v>
      </c>
      <c r="K215" s="20">
        <f t="shared" si="24"/>
        <v>2864077.185</v>
      </c>
    </row>
    <row r="216" spans="1:11">
      <c r="A216" s="40">
        <v>42004</v>
      </c>
      <c r="B216" s="38">
        <f>营业收入分析!K6</f>
        <v>17516318.47</v>
      </c>
      <c r="C216" s="41">
        <f t="shared" si="58"/>
        <v>3.58690112169585</v>
      </c>
      <c r="D216" s="38">
        <f>营业成本分析!K6</f>
        <v>17516318.47</v>
      </c>
      <c r="E216" s="41" t="e">
        <f t="shared" si="26"/>
        <v>#DIV/0!</v>
      </c>
      <c r="F216" s="20">
        <f t="shared" si="59"/>
        <v>0</v>
      </c>
      <c r="G216" s="17">
        <f t="shared" si="27"/>
        <v>-1</v>
      </c>
      <c r="H216" s="17">
        <f t="shared" si="60"/>
        <v>0</v>
      </c>
      <c r="I216" s="20">
        <f t="shared" si="55"/>
        <v>-9431863.79153846</v>
      </c>
      <c r="J216" s="17">
        <v>0.25</v>
      </c>
      <c r="K216" s="20">
        <f t="shared" si="24"/>
        <v>-7073897.84365384</v>
      </c>
    </row>
    <row r="217" spans="1:11">
      <c r="A217" s="40">
        <v>42369</v>
      </c>
      <c r="B217" s="38">
        <f>营业收入分析!K7</f>
        <v>43827382.16</v>
      </c>
      <c r="C217" s="41">
        <f t="shared" si="58"/>
        <v>1.50208868005355</v>
      </c>
      <c r="D217" s="38">
        <f>营业成本分析!K7</f>
        <v>43827382.16</v>
      </c>
      <c r="E217" s="41">
        <f t="shared" si="26"/>
        <v>1.50208868005355</v>
      </c>
      <c r="F217" s="20">
        <f t="shared" si="59"/>
        <v>0</v>
      </c>
      <c r="G217" s="17" t="e">
        <f t="shared" si="27"/>
        <v>#DIV/0!</v>
      </c>
      <c r="H217" s="17">
        <f t="shared" si="60"/>
        <v>0</v>
      </c>
      <c r="I217" s="20">
        <f t="shared" si="55"/>
        <v>-23599359.6246154</v>
      </c>
      <c r="J217" s="17">
        <v>0.25</v>
      </c>
      <c r="K217" s="20">
        <f t="shared" si="24"/>
        <v>-17699519.7184615</v>
      </c>
    </row>
    <row r="218" spans="1:11">
      <c r="A218" s="40">
        <v>42735</v>
      </c>
      <c r="B218" s="38">
        <f>营业收入分析!K8</f>
        <v>60018274.36</v>
      </c>
      <c r="C218" s="41">
        <f t="shared" si="58"/>
        <v>0.369424122592861</v>
      </c>
      <c r="D218" s="38">
        <f>营业成本分析!K8</f>
        <v>16081067.25</v>
      </c>
      <c r="E218" s="41">
        <f t="shared" si="26"/>
        <v>-0.633081729789539</v>
      </c>
      <c r="F218" s="20">
        <f t="shared" si="59"/>
        <v>43937207.11</v>
      </c>
      <c r="G218" s="17" t="e">
        <f t="shared" si="27"/>
        <v>#DIV/0!</v>
      </c>
      <c r="H218" s="17">
        <f t="shared" si="60"/>
        <v>0.732063818537285</v>
      </c>
      <c r="I218" s="20">
        <f t="shared" si="55"/>
        <v>35278170.8984615</v>
      </c>
      <c r="J218" s="17">
        <v>0.25</v>
      </c>
      <c r="K218" s="20">
        <f t="shared" si="24"/>
        <v>26458628.1738462</v>
      </c>
    </row>
    <row r="219" spans="1:11">
      <c r="A219" s="40">
        <v>43100</v>
      </c>
      <c r="B219" s="38">
        <f>营业收入分析!K9</f>
        <v>120577904.1</v>
      </c>
      <c r="C219" s="41">
        <f t="shared" si="58"/>
        <v>1.00901984246919</v>
      </c>
      <c r="D219" s="38">
        <f>营业成本分析!K9</f>
        <v>42274369.79</v>
      </c>
      <c r="E219" s="41">
        <f t="shared" si="26"/>
        <v>1.6288286177026</v>
      </c>
      <c r="F219" s="20">
        <f t="shared" si="59"/>
        <v>78303534.31</v>
      </c>
      <c r="G219" s="17">
        <f t="shared" si="27"/>
        <v>0.782169133189586</v>
      </c>
      <c r="H219" s="17">
        <f t="shared" si="60"/>
        <v>0.649402018507966</v>
      </c>
      <c r="I219" s="20">
        <f t="shared" si="55"/>
        <v>55540412.1153846</v>
      </c>
      <c r="J219" s="17">
        <v>0.25</v>
      </c>
      <c r="K219" s="20">
        <f t="shared" si="24"/>
        <v>41655309.0865385</v>
      </c>
    </row>
    <row r="220" spans="1:11">
      <c r="A220" s="40">
        <v>43465</v>
      </c>
      <c r="B220" s="38">
        <f>营业收入分析!K10</f>
        <v>173487760.9</v>
      </c>
      <c r="C220" s="41">
        <f t="shared" si="58"/>
        <v>0.438802259791477</v>
      </c>
      <c r="D220" s="38">
        <f>营业成本分析!K10</f>
        <v>76622522.4</v>
      </c>
      <c r="E220" s="41">
        <f t="shared" si="26"/>
        <v>0.812505373365142</v>
      </c>
      <c r="F220" s="20">
        <f t="shared" ref="F220:F227" si="61">B220-D220</f>
        <v>96865238.5</v>
      </c>
      <c r="G220" s="17">
        <f t="shared" si="27"/>
        <v>0.237048102024553</v>
      </c>
      <c r="H220" s="17">
        <f t="shared" ref="H220:H227" si="62">F220/B220</f>
        <v>0.558340473111726</v>
      </c>
      <c r="I220" s="20">
        <f t="shared" si="55"/>
        <v>55606957.2076923</v>
      </c>
      <c r="J220" s="17">
        <v>0.25</v>
      </c>
      <c r="K220" s="20">
        <f t="shared" si="24"/>
        <v>41705217.9057692</v>
      </c>
    </row>
    <row r="221" spans="1:11">
      <c r="A221" s="40">
        <v>43830</v>
      </c>
      <c r="B221" s="38">
        <f>营业收入分析!K11</f>
        <v>180426687.71</v>
      </c>
      <c r="C221" s="41">
        <f t="shared" si="58"/>
        <v>0.0399966359240734</v>
      </c>
      <c r="D221" s="38">
        <f>营业成本分析!K11</f>
        <v>83721855.22</v>
      </c>
      <c r="E221" s="41">
        <f t="shared" si="26"/>
        <v>0.0926533426156171</v>
      </c>
      <c r="F221" s="20">
        <f t="shared" si="61"/>
        <v>96704832.49</v>
      </c>
      <c r="G221" s="17">
        <f t="shared" si="27"/>
        <v>-0.00165597083622512</v>
      </c>
      <c r="H221" s="17">
        <f t="shared" si="62"/>
        <v>0.535978539080836</v>
      </c>
      <c r="I221" s="20">
        <f t="shared" ref="I221:I240" si="63">B221-D221/0.65</f>
        <v>51623833.5253846</v>
      </c>
      <c r="J221" s="17">
        <v>0.25</v>
      </c>
      <c r="K221" s="20">
        <f t="shared" si="24"/>
        <v>38717875.1440385</v>
      </c>
    </row>
    <row r="222" s="1" customFormat="1" spans="1:11">
      <c r="A222" s="109">
        <v>43831</v>
      </c>
      <c r="B222" s="104">
        <f>营业收入分析!K12</f>
        <v>43316562.23</v>
      </c>
      <c r="C222" s="105">
        <f t="shared" si="58"/>
        <v>-0.759921535002501</v>
      </c>
      <c r="D222" s="104">
        <f>营业成本分析!K12</f>
        <v>0</v>
      </c>
      <c r="E222" s="105">
        <f t="shared" si="26"/>
        <v>-1</v>
      </c>
      <c r="F222" s="106">
        <f t="shared" si="61"/>
        <v>43316562.23</v>
      </c>
      <c r="G222" s="107">
        <f t="shared" si="27"/>
        <v>-0.552074481546936</v>
      </c>
      <c r="H222" s="107">
        <f t="shared" si="62"/>
        <v>1</v>
      </c>
      <c r="I222" s="106">
        <f t="shared" si="63"/>
        <v>43316562.23</v>
      </c>
      <c r="J222" s="107">
        <v>0.25</v>
      </c>
      <c r="K222" s="106">
        <f t="shared" si="24"/>
        <v>32487421.6725</v>
      </c>
    </row>
    <row r="223" spans="1:11">
      <c r="A223" s="102">
        <f>A14+1</f>
        <v>2021</v>
      </c>
      <c r="B223" s="38">
        <f>B221*0.5</f>
        <v>90213343.855</v>
      </c>
      <c r="C223" s="41">
        <f t="shared" si="58"/>
        <v>1.08265243617418</v>
      </c>
      <c r="D223" s="38">
        <f>B223*0.45</f>
        <v>40596004.73475</v>
      </c>
      <c r="E223" s="41" t="e">
        <f t="shared" si="26"/>
        <v>#DIV/0!</v>
      </c>
      <c r="F223" s="20">
        <f t="shared" si="61"/>
        <v>49617339.12025</v>
      </c>
      <c r="G223" s="17">
        <f t="shared" si="27"/>
        <v>0.145458839895799</v>
      </c>
      <c r="H223" s="17">
        <f t="shared" si="62"/>
        <v>0.55</v>
      </c>
      <c r="I223" s="20">
        <f t="shared" si="63"/>
        <v>27757951.9553846</v>
      </c>
      <c r="J223" s="17">
        <v>0.25</v>
      </c>
      <c r="K223" s="20">
        <f t="shared" si="24"/>
        <v>20818463.9665385</v>
      </c>
    </row>
    <row r="224" spans="1:11">
      <c r="A224" s="102">
        <f>A223+1</f>
        <v>2022</v>
      </c>
      <c r="B224" s="38">
        <f>B221*0.8</f>
        <v>144341350.168</v>
      </c>
      <c r="C224" s="41">
        <f t="shared" si="58"/>
        <v>0.6</v>
      </c>
      <c r="D224" s="38">
        <f>B224*0.45</f>
        <v>64953607.5756</v>
      </c>
      <c r="E224" s="41">
        <f>(D224-D223)/D223</f>
        <v>0.6</v>
      </c>
      <c r="F224" s="20">
        <f t="shared" si="61"/>
        <v>79387742.5924</v>
      </c>
      <c r="G224" s="17">
        <f>(F224-F223)/F223</f>
        <v>0.6</v>
      </c>
      <c r="H224" s="17">
        <f t="shared" si="62"/>
        <v>0.55</v>
      </c>
      <c r="I224" s="20">
        <f t="shared" si="63"/>
        <v>44412723.1286154</v>
      </c>
      <c r="J224" s="17">
        <v>0.25</v>
      </c>
      <c r="K224" s="20">
        <f>I224*(1-J224)</f>
        <v>33309542.3464615</v>
      </c>
    </row>
    <row r="225" spans="1:11">
      <c r="A225" s="102">
        <f>A224+1</f>
        <v>2023</v>
      </c>
      <c r="B225" s="38">
        <f>B224*1.2</f>
        <v>173209620.2016</v>
      </c>
      <c r="C225" s="41">
        <f t="shared" si="58"/>
        <v>0.2</v>
      </c>
      <c r="D225" s="38">
        <f>B225*0.45</f>
        <v>77944329.09072</v>
      </c>
      <c r="E225" s="41">
        <f>(D225-D224)/D224</f>
        <v>0.2</v>
      </c>
      <c r="F225" s="20">
        <f t="shared" si="61"/>
        <v>95265291.11088</v>
      </c>
      <c r="G225" s="17">
        <f>(F225-F224)/F224</f>
        <v>0.2</v>
      </c>
      <c r="H225" s="17">
        <f t="shared" si="62"/>
        <v>0.55</v>
      </c>
      <c r="I225" s="20">
        <f t="shared" si="63"/>
        <v>53295267.7543385</v>
      </c>
      <c r="J225" s="17">
        <v>0.25</v>
      </c>
      <c r="K225" s="20">
        <f>I225*(1-J225)</f>
        <v>39971450.8157538</v>
      </c>
    </row>
    <row r="226" spans="1:11">
      <c r="A226" s="102">
        <f>A225+1</f>
        <v>2024</v>
      </c>
      <c r="B226" s="38">
        <f>B225*1.2</f>
        <v>207851544.24192</v>
      </c>
      <c r="C226" s="41">
        <f t="shared" si="58"/>
        <v>0.2</v>
      </c>
      <c r="D226" s="38">
        <f>B226*0.45</f>
        <v>93533194.908864</v>
      </c>
      <c r="E226" s="41">
        <f>(D226-D225)/D225</f>
        <v>0.2</v>
      </c>
      <c r="F226" s="20">
        <f t="shared" si="61"/>
        <v>114318349.333056</v>
      </c>
      <c r="G226" s="17">
        <f>(F226-F225)/F225</f>
        <v>0.2</v>
      </c>
      <c r="H226" s="17">
        <f t="shared" si="62"/>
        <v>0.55</v>
      </c>
      <c r="I226" s="20">
        <f t="shared" si="63"/>
        <v>63954321.3052062</v>
      </c>
      <c r="J226" s="17">
        <v>0.25</v>
      </c>
      <c r="K226" s="20">
        <f>I226*(1-J226)</f>
        <v>47965740.9789046</v>
      </c>
    </row>
    <row r="227" spans="1:11">
      <c r="A227" s="102">
        <f>A226+1</f>
        <v>2025</v>
      </c>
      <c r="B227" s="38">
        <f>B226*1.2</f>
        <v>249421853.090304</v>
      </c>
      <c r="C227" s="41">
        <f t="shared" si="58"/>
        <v>0.2</v>
      </c>
      <c r="D227" s="38">
        <f>B227*0.45</f>
        <v>112239833.890637</v>
      </c>
      <c r="E227" s="41">
        <f>(D227-D226)/D226</f>
        <v>0.2</v>
      </c>
      <c r="F227" s="20">
        <f t="shared" si="61"/>
        <v>137182019.199667</v>
      </c>
      <c r="G227" s="17">
        <f>(F227-F226)/F226</f>
        <v>0.2</v>
      </c>
      <c r="H227" s="17">
        <f t="shared" si="62"/>
        <v>0.55</v>
      </c>
      <c r="I227" s="20">
        <f t="shared" si="63"/>
        <v>76745185.5662474</v>
      </c>
      <c r="J227" s="17">
        <v>0.25</v>
      </c>
      <c r="K227" s="20">
        <f>I227*(1-J227)</f>
        <v>57558889.1746855</v>
      </c>
    </row>
    <row r="228" spans="3:11">
      <c r="C228" s="41">
        <f>(B228-B222)/B222</f>
        <v>-1</v>
      </c>
      <c r="E228" s="41" t="e">
        <f>(D228-D222)/D222</f>
        <v>#DIV/0!</v>
      </c>
      <c r="G228" s="17">
        <f>(F228-F222)/F222</f>
        <v>-1</v>
      </c>
      <c r="I228" s="20">
        <f t="shared" si="63"/>
        <v>0</v>
      </c>
      <c r="J228" s="17">
        <v>0.25</v>
      </c>
      <c r="K228" s="20">
        <f t="shared" ref="K228:K270" si="64">I228*(1-J228)</f>
        <v>0</v>
      </c>
    </row>
    <row r="229" spans="1:11">
      <c r="A229" s="38" t="str">
        <f>营业收入分析!L1</f>
        <v>设计策划费</v>
      </c>
      <c r="C229" s="41" t="e">
        <f>(B229-B228)/B228</f>
        <v>#DIV/0!</v>
      </c>
      <c r="E229" s="41" t="e">
        <f t="shared" ref="E229:E290" si="65">(D229-D228)/D228</f>
        <v>#DIV/0!</v>
      </c>
      <c r="G229" s="17" t="e">
        <f t="shared" ref="G229:G290" si="66">(F229-F228)/F228</f>
        <v>#DIV/0!</v>
      </c>
      <c r="I229" s="20">
        <f t="shared" si="63"/>
        <v>0</v>
      </c>
      <c r="J229" s="17">
        <v>0.25</v>
      </c>
      <c r="K229" s="20">
        <f t="shared" si="64"/>
        <v>0</v>
      </c>
    </row>
    <row r="230" ht="31.5" spans="1:11">
      <c r="A230" s="39" t="s">
        <v>54</v>
      </c>
      <c r="B230" s="34" t="s">
        <v>68</v>
      </c>
      <c r="C230" s="34" t="s">
        <v>69</v>
      </c>
      <c r="D230" t="s">
        <v>70</v>
      </c>
      <c r="E230" t="s">
        <v>71</v>
      </c>
      <c r="F230" t="s">
        <v>72</v>
      </c>
      <c r="G230" t="s">
        <v>73</v>
      </c>
      <c r="H230" t="s">
        <v>74</v>
      </c>
      <c r="I230" s="6" t="s">
        <v>75</v>
      </c>
      <c r="J230" s="6" t="s">
        <v>76</v>
      </c>
      <c r="K230" t="s">
        <v>56</v>
      </c>
    </row>
    <row r="231" spans="1:11">
      <c r="A231" s="40">
        <v>40543</v>
      </c>
      <c r="B231" s="38">
        <f>营业收入分析!L2</f>
        <v>0</v>
      </c>
      <c r="C231" s="41" t="e">
        <f t="shared" ref="C231:C256" si="67">(B231-B230)/B230</f>
        <v>#VALUE!</v>
      </c>
      <c r="D231" s="38">
        <f>营业成本分析!L2</f>
        <v>0</v>
      </c>
      <c r="E231" s="41" t="e">
        <f t="shared" si="65"/>
        <v>#VALUE!</v>
      </c>
      <c r="F231" s="20">
        <f t="shared" ref="F231:F238" si="68">B231-D231</f>
        <v>0</v>
      </c>
      <c r="G231" s="17" t="e">
        <f t="shared" si="66"/>
        <v>#VALUE!</v>
      </c>
      <c r="H231" s="17" t="e">
        <f t="shared" ref="H231:H238" si="69">F231/B231</f>
        <v>#DIV/0!</v>
      </c>
      <c r="I231" s="20">
        <f t="shared" si="63"/>
        <v>0</v>
      </c>
      <c r="J231" s="17">
        <v>0.25</v>
      </c>
      <c r="K231" s="20">
        <f t="shared" si="64"/>
        <v>0</v>
      </c>
    </row>
    <row r="232" spans="1:11">
      <c r="A232" s="40">
        <v>40908</v>
      </c>
      <c r="B232" s="38">
        <f>营业收入分析!L3</f>
        <v>0</v>
      </c>
      <c r="C232" s="41" t="e">
        <f t="shared" si="67"/>
        <v>#DIV/0!</v>
      </c>
      <c r="D232" s="38">
        <f>营业成本分析!L3</f>
        <v>0</v>
      </c>
      <c r="E232" s="41" t="e">
        <f t="shared" si="65"/>
        <v>#DIV/0!</v>
      </c>
      <c r="F232" s="20">
        <f t="shared" si="68"/>
        <v>0</v>
      </c>
      <c r="G232" s="17" t="e">
        <f t="shared" si="66"/>
        <v>#DIV/0!</v>
      </c>
      <c r="H232" s="17" t="e">
        <f t="shared" si="69"/>
        <v>#DIV/0!</v>
      </c>
      <c r="I232" s="20">
        <f t="shared" si="63"/>
        <v>0</v>
      </c>
      <c r="J232" s="17">
        <v>0.25</v>
      </c>
      <c r="K232" s="20">
        <f t="shared" si="64"/>
        <v>0</v>
      </c>
    </row>
    <row r="233" spans="1:11">
      <c r="A233" s="40">
        <v>41274</v>
      </c>
      <c r="B233" s="38">
        <f>营业收入分析!L4</f>
        <v>0</v>
      </c>
      <c r="C233" s="41" t="e">
        <f t="shared" si="67"/>
        <v>#DIV/0!</v>
      </c>
      <c r="D233" s="38">
        <f>营业成本分析!L4</f>
        <v>0</v>
      </c>
      <c r="E233" s="41" t="e">
        <f t="shared" si="65"/>
        <v>#DIV/0!</v>
      </c>
      <c r="F233" s="20">
        <f t="shared" si="68"/>
        <v>0</v>
      </c>
      <c r="G233" s="17" t="e">
        <f t="shared" si="66"/>
        <v>#DIV/0!</v>
      </c>
      <c r="H233" s="17" t="e">
        <f t="shared" si="69"/>
        <v>#DIV/0!</v>
      </c>
      <c r="I233" s="20">
        <f t="shared" si="63"/>
        <v>0</v>
      </c>
      <c r="J233" s="17">
        <v>0.25</v>
      </c>
      <c r="K233" s="20">
        <f t="shared" si="64"/>
        <v>0</v>
      </c>
    </row>
    <row r="234" spans="1:11">
      <c r="A234" s="40">
        <v>41639</v>
      </c>
      <c r="B234" s="38">
        <f>营业收入分析!L5</f>
        <v>12264150.6</v>
      </c>
      <c r="C234" s="41" t="e">
        <f t="shared" si="67"/>
        <v>#DIV/0!</v>
      </c>
      <c r="D234" s="38">
        <f>营业成本分析!L5</f>
        <v>0</v>
      </c>
      <c r="E234" s="41" t="e">
        <f t="shared" si="65"/>
        <v>#DIV/0!</v>
      </c>
      <c r="F234" s="20">
        <f t="shared" si="68"/>
        <v>12264150.6</v>
      </c>
      <c r="G234" s="17" t="e">
        <f t="shared" si="66"/>
        <v>#DIV/0!</v>
      </c>
      <c r="H234" s="17">
        <f t="shared" si="69"/>
        <v>1</v>
      </c>
      <c r="I234" s="20">
        <f t="shared" si="63"/>
        <v>12264150.6</v>
      </c>
      <c r="J234" s="17">
        <v>0.25</v>
      </c>
      <c r="K234" s="20">
        <f t="shared" si="64"/>
        <v>9198112.95</v>
      </c>
    </row>
    <row r="235" spans="1:11">
      <c r="A235" s="40">
        <v>42004</v>
      </c>
      <c r="B235" s="38">
        <f>营业收入分析!L6</f>
        <v>10808503.36</v>
      </c>
      <c r="C235" s="41">
        <f t="shared" si="67"/>
        <v>-0.118691239815662</v>
      </c>
      <c r="D235" s="38">
        <f>营业成本分析!L6</f>
        <v>10808503.36</v>
      </c>
      <c r="E235" s="41" t="e">
        <f t="shared" si="65"/>
        <v>#DIV/0!</v>
      </c>
      <c r="F235" s="20">
        <f t="shared" si="68"/>
        <v>0</v>
      </c>
      <c r="G235" s="17">
        <f t="shared" si="66"/>
        <v>-1</v>
      </c>
      <c r="H235" s="17">
        <f t="shared" si="69"/>
        <v>0</v>
      </c>
      <c r="I235" s="20">
        <f t="shared" si="63"/>
        <v>-5819963.34769231</v>
      </c>
      <c r="J235" s="17">
        <v>0.25</v>
      </c>
      <c r="K235" s="20">
        <f t="shared" si="64"/>
        <v>-4364972.51076923</v>
      </c>
    </row>
    <row r="236" spans="1:11">
      <c r="A236" s="40">
        <v>42369</v>
      </c>
      <c r="B236" s="38">
        <f>营业收入分析!L7</f>
        <v>17063305.18</v>
      </c>
      <c r="C236" s="41">
        <f t="shared" si="67"/>
        <v>0.57869268405353</v>
      </c>
      <c r="D236" s="38">
        <f>营业成本分析!L7</f>
        <v>17063305.18</v>
      </c>
      <c r="E236" s="41">
        <f t="shared" si="65"/>
        <v>0.57869268405353</v>
      </c>
      <c r="F236" s="20">
        <f t="shared" si="68"/>
        <v>0</v>
      </c>
      <c r="G236" s="17" t="e">
        <f t="shared" si="66"/>
        <v>#DIV/0!</v>
      </c>
      <c r="H236" s="17">
        <f t="shared" si="69"/>
        <v>0</v>
      </c>
      <c r="I236" s="20">
        <f t="shared" si="63"/>
        <v>-9187933.55846154</v>
      </c>
      <c r="J236" s="17">
        <v>0.25</v>
      </c>
      <c r="K236" s="20">
        <f t="shared" si="64"/>
        <v>-6890950.16884615</v>
      </c>
    </row>
    <row r="237" spans="1:11">
      <c r="A237" s="40">
        <v>42735</v>
      </c>
      <c r="B237" s="38">
        <f>营业收入分析!L8</f>
        <v>123204706.74</v>
      </c>
      <c r="C237" s="41">
        <f t="shared" si="67"/>
        <v>6.22044794020381</v>
      </c>
      <c r="D237" s="38">
        <f>营业成本分析!L8</f>
        <v>60553179.46</v>
      </c>
      <c r="E237" s="41">
        <f t="shared" si="65"/>
        <v>2.54873682567518</v>
      </c>
      <c r="F237" s="20">
        <f t="shared" si="68"/>
        <v>62651527.28</v>
      </c>
      <c r="G237" s="17" t="e">
        <f t="shared" si="66"/>
        <v>#DIV/0!</v>
      </c>
      <c r="H237" s="17">
        <f t="shared" si="69"/>
        <v>0.50851569666258</v>
      </c>
      <c r="I237" s="20">
        <f t="shared" si="63"/>
        <v>30045969.1092308</v>
      </c>
      <c r="J237" s="17">
        <v>0.25</v>
      </c>
      <c r="K237" s="20">
        <f t="shared" si="64"/>
        <v>22534476.8319231</v>
      </c>
    </row>
    <row r="238" spans="1:11">
      <c r="A238" s="40">
        <v>43100</v>
      </c>
      <c r="B238" s="38">
        <f>营业收入分析!L9</f>
        <v>163152259.15</v>
      </c>
      <c r="C238" s="41">
        <f t="shared" si="67"/>
        <v>0.324237226539581</v>
      </c>
      <c r="D238" s="38">
        <f>营业成本分析!L9</f>
        <v>71633764.2</v>
      </c>
      <c r="E238" s="41">
        <f t="shared" si="65"/>
        <v>0.182989313506148</v>
      </c>
      <c r="F238" s="20">
        <f t="shared" si="68"/>
        <v>91518494.95</v>
      </c>
      <c r="G238" s="17">
        <f t="shared" si="66"/>
        <v>0.460754412913013</v>
      </c>
      <c r="H238" s="17">
        <f t="shared" si="69"/>
        <v>0.560939182986483</v>
      </c>
      <c r="I238" s="20">
        <f t="shared" si="63"/>
        <v>52946468.0730769</v>
      </c>
      <c r="J238" s="17">
        <v>0.25</v>
      </c>
      <c r="K238" s="20">
        <f t="shared" si="64"/>
        <v>39709851.0548077</v>
      </c>
    </row>
    <row r="239" spans="1:11">
      <c r="A239" s="40">
        <v>43465</v>
      </c>
      <c r="B239" s="38">
        <f>营业收入分析!L10</f>
        <v>126677207.77</v>
      </c>
      <c r="C239" s="41">
        <f t="shared" si="67"/>
        <v>-0.22356448859507</v>
      </c>
      <c r="D239" s="38">
        <f>营业成本分析!L10</f>
        <v>3971181.71</v>
      </c>
      <c r="E239" s="41">
        <f t="shared" si="65"/>
        <v>-0.944562710694463</v>
      </c>
      <c r="F239" s="20">
        <f t="shared" ref="F239:F246" si="70">B239-D239</f>
        <v>122706026.06</v>
      </c>
      <c r="G239" s="17">
        <f t="shared" si="66"/>
        <v>0.340778452782019</v>
      </c>
      <c r="H239" s="17">
        <f t="shared" ref="H239:H246" si="71">F239/B239</f>
        <v>0.968651174272721</v>
      </c>
      <c r="I239" s="20">
        <f t="shared" si="63"/>
        <v>120567697.446923</v>
      </c>
      <c r="J239" s="17">
        <v>0.25</v>
      </c>
      <c r="K239" s="20">
        <f t="shared" si="64"/>
        <v>90425773.0851923</v>
      </c>
    </row>
    <row r="240" spans="1:11">
      <c r="A240" s="40">
        <v>43830</v>
      </c>
      <c r="B240" s="38">
        <f>营业收入分析!L11</f>
        <v>173281416.46</v>
      </c>
      <c r="C240" s="41">
        <f t="shared" si="67"/>
        <v>0.367897347205635</v>
      </c>
      <c r="D240" s="38">
        <f>营业成本分析!L11</f>
        <v>2204769.83</v>
      </c>
      <c r="E240" s="41">
        <f t="shared" si="65"/>
        <v>-0.444807618737748</v>
      </c>
      <c r="F240" s="20">
        <f t="shared" si="70"/>
        <v>171076646.63</v>
      </c>
      <c r="G240" s="17">
        <f t="shared" si="66"/>
        <v>0.394199226583608</v>
      </c>
      <c r="H240" s="17">
        <f t="shared" si="71"/>
        <v>0.987276363068575</v>
      </c>
      <c r="I240" s="20">
        <f t="shared" si="63"/>
        <v>169889462.875385</v>
      </c>
      <c r="J240" s="17">
        <v>0.25</v>
      </c>
      <c r="K240" s="20">
        <f t="shared" si="64"/>
        <v>127417097.156538</v>
      </c>
    </row>
    <row r="241" s="1" customFormat="1" spans="1:11">
      <c r="A241" s="109">
        <v>43831</v>
      </c>
      <c r="B241" s="104">
        <f>营业收入分析!L12</f>
        <v>183396698.05</v>
      </c>
      <c r="C241" s="105">
        <f t="shared" si="67"/>
        <v>0.0583748782566941</v>
      </c>
      <c r="D241" s="104">
        <f>营业成本分析!L12</f>
        <v>8113082.55</v>
      </c>
      <c r="E241" s="105">
        <f t="shared" si="65"/>
        <v>2.67978663332852</v>
      </c>
      <c r="F241" s="106">
        <f t="shared" si="70"/>
        <v>175283615.5</v>
      </c>
      <c r="G241" s="107">
        <f t="shared" si="66"/>
        <v>0.024591134750839</v>
      </c>
      <c r="H241" s="107">
        <f t="shared" si="71"/>
        <v>0.955762112206687</v>
      </c>
      <c r="I241" s="106">
        <f t="shared" ref="I241:I260" si="72">B241-D241/0.65</f>
        <v>170915032.588462</v>
      </c>
      <c r="J241" s="107">
        <v>0.25</v>
      </c>
      <c r="K241" s="106">
        <f t="shared" si="64"/>
        <v>128186274.441346</v>
      </c>
    </row>
    <row r="242" spans="1:11">
      <c r="A242" s="102">
        <f>A14+1</f>
        <v>2021</v>
      </c>
      <c r="B242" s="38">
        <f>B241</f>
        <v>183396698.05</v>
      </c>
      <c r="C242" s="41">
        <f t="shared" si="67"/>
        <v>0</v>
      </c>
      <c r="D242" s="38">
        <f>B242*0.1</f>
        <v>18339669.805</v>
      </c>
      <c r="E242" s="41">
        <f t="shared" si="65"/>
        <v>1.26050575622456</v>
      </c>
      <c r="F242" s="20">
        <f t="shared" si="70"/>
        <v>165057028.245</v>
      </c>
      <c r="G242" s="17">
        <f t="shared" si="66"/>
        <v>-0.0583430871495231</v>
      </c>
      <c r="H242" s="17">
        <f t="shared" si="71"/>
        <v>0.9</v>
      </c>
      <c r="I242" s="20">
        <f t="shared" si="72"/>
        <v>155181821.426923</v>
      </c>
      <c r="J242" s="17">
        <v>0.25</v>
      </c>
      <c r="K242" s="20">
        <f t="shared" si="64"/>
        <v>116386366.070192</v>
      </c>
    </row>
    <row r="243" spans="1:11">
      <c r="A243" s="102">
        <f>A242+1</f>
        <v>2022</v>
      </c>
      <c r="B243" s="38">
        <f>B242*1.1</f>
        <v>201736367.855</v>
      </c>
      <c r="C243" s="41">
        <f t="shared" si="67"/>
        <v>0.1</v>
      </c>
      <c r="D243" s="38">
        <f>B243*0.1</f>
        <v>20173636.7855</v>
      </c>
      <c r="E243" s="41">
        <f t="shared" si="65"/>
        <v>0.1</v>
      </c>
      <c r="F243" s="20">
        <f t="shared" si="70"/>
        <v>181562731.0695</v>
      </c>
      <c r="G243" s="17">
        <f t="shared" si="66"/>
        <v>0.1</v>
      </c>
      <c r="H243" s="17">
        <f t="shared" si="71"/>
        <v>0.9</v>
      </c>
      <c r="I243" s="20">
        <f t="shared" si="72"/>
        <v>170700003.569615</v>
      </c>
      <c r="J243" s="17">
        <v>0.25</v>
      </c>
      <c r="K243" s="20">
        <f t="shared" si="64"/>
        <v>128025002.677212</v>
      </c>
    </row>
    <row r="244" spans="1:11">
      <c r="A244" s="102">
        <f>A243+1</f>
        <v>2023</v>
      </c>
      <c r="B244" s="38">
        <f>B243*1.1</f>
        <v>221910004.6405</v>
      </c>
      <c r="C244" s="41">
        <f t="shared" si="67"/>
        <v>0.1</v>
      </c>
      <c r="D244" s="38">
        <f>B244*0.1</f>
        <v>22191000.46405</v>
      </c>
      <c r="E244" s="41">
        <f t="shared" si="65"/>
        <v>0.1</v>
      </c>
      <c r="F244" s="20">
        <f t="shared" si="70"/>
        <v>199719004.17645</v>
      </c>
      <c r="G244" s="17">
        <f t="shared" si="66"/>
        <v>0.1</v>
      </c>
      <c r="H244" s="17">
        <f t="shared" si="71"/>
        <v>0.9</v>
      </c>
      <c r="I244" s="20">
        <f t="shared" si="72"/>
        <v>187770003.926577</v>
      </c>
      <c r="J244" s="17">
        <v>0.25</v>
      </c>
      <c r="K244" s="20">
        <f t="shared" si="64"/>
        <v>140827502.944933</v>
      </c>
    </row>
    <row r="245" spans="1:11">
      <c r="A245" s="102">
        <f>A244+1</f>
        <v>2024</v>
      </c>
      <c r="B245" s="38">
        <f>B244*1.1</f>
        <v>244101005.10455</v>
      </c>
      <c r="C245" s="41">
        <f t="shared" si="67"/>
        <v>0.1</v>
      </c>
      <c r="D245" s="38">
        <f>B245*0.1</f>
        <v>24410100.510455</v>
      </c>
      <c r="E245" s="41">
        <f t="shared" si="65"/>
        <v>0.1</v>
      </c>
      <c r="F245" s="20">
        <f t="shared" si="70"/>
        <v>219690904.594095</v>
      </c>
      <c r="G245" s="17">
        <f t="shared" si="66"/>
        <v>0.1</v>
      </c>
      <c r="H245" s="17">
        <f t="shared" si="71"/>
        <v>0.9</v>
      </c>
      <c r="I245" s="20">
        <f t="shared" si="72"/>
        <v>206547004.319235</v>
      </c>
      <c r="J245" s="17">
        <v>0.25</v>
      </c>
      <c r="K245" s="20">
        <f t="shared" si="64"/>
        <v>154910253.239426</v>
      </c>
    </row>
    <row r="246" spans="1:11">
      <c r="A246" s="102">
        <f>A245+1</f>
        <v>2025</v>
      </c>
      <c r="B246" s="38">
        <f>B245*1.1</f>
        <v>268511105.615005</v>
      </c>
      <c r="C246" s="41">
        <f t="shared" si="67"/>
        <v>0.1</v>
      </c>
      <c r="D246" s="38">
        <f>B246*0.1</f>
        <v>26851110.5615005</v>
      </c>
      <c r="E246" s="41">
        <f t="shared" si="65"/>
        <v>0.0999999999999999</v>
      </c>
      <c r="F246" s="20">
        <f t="shared" si="70"/>
        <v>241659995.053505</v>
      </c>
      <c r="G246" s="17">
        <f t="shared" si="66"/>
        <v>0.1</v>
      </c>
      <c r="H246" s="17">
        <f t="shared" si="71"/>
        <v>0.9</v>
      </c>
      <c r="I246" s="20">
        <f t="shared" si="72"/>
        <v>227201704.751158</v>
      </c>
      <c r="J246" s="17">
        <v>0.25</v>
      </c>
      <c r="K246" s="20">
        <f t="shared" si="64"/>
        <v>170401278.563369</v>
      </c>
    </row>
    <row r="247" spans="3:11">
      <c r="C247" s="41">
        <f>(B247-B241)/B241</f>
        <v>-1</v>
      </c>
      <c r="E247" s="41">
        <f>(D247-D241)/D241</f>
        <v>-1</v>
      </c>
      <c r="G247" s="17">
        <f>(F247-F241)/F241</f>
        <v>-1</v>
      </c>
      <c r="I247" s="20">
        <f t="shared" si="72"/>
        <v>0</v>
      </c>
      <c r="J247" s="17">
        <v>0.25</v>
      </c>
      <c r="K247" s="20">
        <f t="shared" si="64"/>
        <v>0</v>
      </c>
    </row>
    <row r="248" spans="3:11">
      <c r="C248" s="41" t="e">
        <f t="shared" si="67"/>
        <v>#DIV/0!</v>
      </c>
      <c r="E248" s="41" t="e">
        <f t="shared" si="65"/>
        <v>#DIV/0!</v>
      </c>
      <c r="G248" s="17" t="e">
        <f t="shared" si="66"/>
        <v>#DIV/0!</v>
      </c>
      <c r="I248" s="20">
        <f t="shared" si="72"/>
        <v>0</v>
      </c>
      <c r="J248" s="17">
        <v>0.25</v>
      </c>
      <c r="K248" s="20">
        <f t="shared" si="64"/>
        <v>0</v>
      </c>
    </row>
    <row r="249" spans="3:11">
      <c r="C249" s="41" t="e">
        <f t="shared" si="67"/>
        <v>#DIV/0!</v>
      </c>
      <c r="E249" s="41" t="e">
        <f t="shared" si="65"/>
        <v>#DIV/0!</v>
      </c>
      <c r="G249" s="17" t="e">
        <f t="shared" si="66"/>
        <v>#DIV/0!</v>
      </c>
      <c r="I249" s="20">
        <f t="shared" si="72"/>
        <v>0</v>
      </c>
      <c r="J249" s="17">
        <v>0.25</v>
      </c>
      <c r="K249" s="20">
        <f t="shared" si="64"/>
        <v>0</v>
      </c>
    </row>
    <row r="250" spans="3:11">
      <c r="C250" s="41" t="e">
        <f t="shared" si="67"/>
        <v>#DIV/0!</v>
      </c>
      <c r="E250" s="41" t="e">
        <f t="shared" si="65"/>
        <v>#DIV/0!</v>
      </c>
      <c r="G250" s="17" t="e">
        <f t="shared" si="66"/>
        <v>#DIV/0!</v>
      </c>
      <c r="I250" s="20">
        <f t="shared" si="72"/>
        <v>0</v>
      </c>
      <c r="J250" s="17">
        <v>0.25</v>
      </c>
      <c r="K250" s="20">
        <f t="shared" si="64"/>
        <v>0</v>
      </c>
    </row>
    <row r="251" spans="3:11">
      <c r="C251" s="41" t="e">
        <f t="shared" si="67"/>
        <v>#DIV/0!</v>
      </c>
      <c r="E251" s="41" t="e">
        <f t="shared" si="65"/>
        <v>#DIV/0!</v>
      </c>
      <c r="G251" s="17" t="e">
        <f t="shared" si="66"/>
        <v>#DIV/0!</v>
      </c>
      <c r="I251" s="20">
        <f t="shared" si="72"/>
        <v>0</v>
      </c>
      <c r="J251" s="17">
        <v>0.25</v>
      </c>
      <c r="K251" s="20">
        <f t="shared" si="64"/>
        <v>0</v>
      </c>
    </row>
    <row r="252" spans="3:11">
      <c r="C252" s="41" t="e">
        <f t="shared" si="67"/>
        <v>#DIV/0!</v>
      </c>
      <c r="E252" s="41" t="e">
        <f t="shared" si="65"/>
        <v>#DIV/0!</v>
      </c>
      <c r="G252" s="17" t="e">
        <f t="shared" si="66"/>
        <v>#DIV/0!</v>
      </c>
      <c r="I252" s="20">
        <f t="shared" si="72"/>
        <v>0</v>
      </c>
      <c r="J252" s="17">
        <v>0.25</v>
      </c>
      <c r="K252" s="20">
        <f t="shared" si="64"/>
        <v>0</v>
      </c>
    </row>
    <row r="253" spans="1:11">
      <c r="A253" s="38" t="str">
        <f>营业收入分析!M1</f>
        <v>其他</v>
      </c>
      <c r="C253" s="41" t="e">
        <f t="shared" si="67"/>
        <v>#DIV/0!</v>
      </c>
      <c r="E253" s="41" t="e">
        <f t="shared" si="65"/>
        <v>#DIV/0!</v>
      </c>
      <c r="G253" s="17" t="e">
        <f t="shared" si="66"/>
        <v>#DIV/0!</v>
      </c>
      <c r="I253" s="20">
        <f t="shared" si="72"/>
        <v>0</v>
      </c>
      <c r="J253" s="17">
        <v>0.25</v>
      </c>
      <c r="K253" s="20">
        <f t="shared" si="64"/>
        <v>0</v>
      </c>
    </row>
    <row r="254" ht="31.5" spans="1:11">
      <c r="A254" s="39" t="s">
        <v>54</v>
      </c>
      <c r="B254" s="34" t="s">
        <v>68</v>
      </c>
      <c r="C254" s="34" t="s">
        <v>69</v>
      </c>
      <c r="D254" t="s">
        <v>70</v>
      </c>
      <c r="E254" t="s">
        <v>71</v>
      </c>
      <c r="F254" t="s">
        <v>72</v>
      </c>
      <c r="G254" t="s">
        <v>73</v>
      </c>
      <c r="H254" t="s">
        <v>74</v>
      </c>
      <c r="I254" s="6" t="s">
        <v>75</v>
      </c>
      <c r="J254" s="6" t="s">
        <v>76</v>
      </c>
      <c r="K254" t="s">
        <v>56</v>
      </c>
    </row>
    <row r="255" spans="1:11">
      <c r="A255" s="40">
        <v>40543</v>
      </c>
      <c r="B255" s="38">
        <f>营业收入分析!M2</f>
        <v>27318676.61</v>
      </c>
      <c r="C255" s="41" t="e">
        <f t="shared" si="67"/>
        <v>#VALUE!</v>
      </c>
      <c r="D255">
        <f>营业成本分析!M2</f>
        <v>9411629.58</v>
      </c>
      <c r="E255" s="41" t="e">
        <f t="shared" si="65"/>
        <v>#VALUE!</v>
      </c>
      <c r="F255" s="20">
        <f t="shared" ref="F255:F262" si="73">B255-D255</f>
        <v>17907047.03</v>
      </c>
      <c r="G255" s="17" t="e">
        <f t="shared" si="66"/>
        <v>#VALUE!</v>
      </c>
      <c r="H255" s="17">
        <f t="shared" ref="H255:H262" si="74">F255/B255</f>
        <v>0.655487353419057</v>
      </c>
      <c r="I255" s="20">
        <f t="shared" si="72"/>
        <v>12839246.4869231</v>
      </c>
      <c r="J255" s="17">
        <v>0.25</v>
      </c>
      <c r="K255" s="20">
        <f t="shared" si="64"/>
        <v>9629434.86519231</v>
      </c>
    </row>
    <row r="256" spans="1:11">
      <c r="A256" s="40">
        <v>40908</v>
      </c>
      <c r="B256" s="38">
        <f>营业收入分析!M3</f>
        <v>36850714.94</v>
      </c>
      <c r="C256" s="41">
        <f t="shared" si="67"/>
        <v>0.348920208181343</v>
      </c>
      <c r="D256">
        <f>营业成本分析!M3</f>
        <v>6340001.49</v>
      </c>
      <c r="E256" s="41">
        <f t="shared" si="65"/>
        <v>-0.326365170228045</v>
      </c>
      <c r="F256" s="20">
        <f t="shared" si="73"/>
        <v>30510713.45</v>
      </c>
      <c r="G256" s="17">
        <f t="shared" si="66"/>
        <v>0.70383834916415</v>
      </c>
      <c r="H256" s="17">
        <f t="shared" si="74"/>
        <v>0.82795445080719</v>
      </c>
      <c r="I256" s="20">
        <f t="shared" si="72"/>
        <v>27096866.4938462</v>
      </c>
      <c r="J256" s="17">
        <v>0.25</v>
      </c>
      <c r="K256" s="20">
        <f t="shared" si="64"/>
        <v>20322649.8703846</v>
      </c>
    </row>
    <row r="257" spans="1:11">
      <c r="A257" s="40">
        <v>41274</v>
      </c>
      <c r="B257" s="38">
        <f>营业收入分析!M4</f>
        <v>27623703.75</v>
      </c>
      <c r="C257" s="41">
        <f t="shared" ref="C257:C270" si="75">(B257-B256)/B256</f>
        <v>-0.250388932888367</v>
      </c>
      <c r="D257">
        <f>营业成本分析!M4</f>
        <v>3999108.72</v>
      </c>
      <c r="E257" s="41">
        <f t="shared" si="65"/>
        <v>-0.36922590218508</v>
      </c>
      <c r="F257" s="20">
        <f t="shared" si="73"/>
        <v>23624595.03</v>
      </c>
      <c r="G257" s="17">
        <f t="shared" si="66"/>
        <v>-0.225695096618594</v>
      </c>
      <c r="H257" s="17">
        <f t="shared" si="74"/>
        <v>0.855229090342384</v>
      </c>
      <c r="I257" s="20">
        <f t="shared" si="72"/>
        <v>21471228.7961538</v>
      </c>
      <c r="J257" s="17">
        <v>0.25</v>
      </c>
      <c r="K257" s="20">
        <f t="shared" si="64"/>
        <v>16103421.5971154</v>
      </c>
    </row>
    <row r="258" spans="1:11">
      <c r="A258" s="40">
        <v>41639</v>
      </c>
      <c r="B258" s="38">
        <f>营业收入分析!M5</f>
        <v>43477134</v>
      </c>
      <c r="C258" s="41">
        <f t="shared" si="75"/>
        <v>0.573906757525229</v>
      </c>
      <c r="D258">
        <f>营业成本分析!M5</f>
        <v>0</v>
      </c>
      <c r="E258" s="41">
        <f t="shared" si="65"/>
        <v>-1</v>
      </c>
      <c r="F258" s="20">
        <f t="shared" si="73"/>
        <v>43477134</v>
      </c>
      <c r="G258" s="17">
        <f t="shared" si="66"/>
        <v>0.840333514491571</v>
      </c>
      <c r="H258" s="17">
        <f t="shared" si="74"/>
        <v>1</v>
      </c>
      <c r="I258" s="20">
        <f t="shared" si="72"/>
        <v>43477134</v>
      </c>
      <c r="J258" s="17">
        <v>0.25</v>
      </c>
      <c r="K258" s="20">
        <f t="shared" si="64"/>
        <v>32607850.5</v>
      </c>
    </row>
    <row r="259" spans="1:11">
      <c r="A259" s="40">
        <v>42004</v>
      </c>
      <c r="B259" s="38">
        <f>营业收入分析!M6</f>
        <v>0</v>
      </c>
      <c r="C259" s="41">
        <f t="shared" si="75"/>
        <v>-1</v>
      </c>
      <c r="D259">
        <f>营业成本分析!M6</f>
        <v>0</v>
      </c>
      <c r="E259" s="41" t="e">
        <f t="shared" si="65"/>
        <v>#DIV/0!</v>
      </c>
      <c r="F259" s="20">
        <f t="shared" si="73"/>
        <v>0</v>
      </c>
      <c r="G259" s="17">
        <f t="shared" si="66"/>
        <v>-1</v>
      </c>
      <c r="H259" s="17" t="e">
        <f t="shared" si="74"/>
        <v>#DIV/0!</v>
      </c>
      <c r="I259" s="20">
        <f t="shared" si="72"/>
        <v>0</v>
      </c>
      <c r="J259" s="17">
        <v>0.25</v>
      </c>
      <c r="K259" s="20">
        <f t="shared" si="64"/>
        <v>0</v>
      </c>
    </row>
    <row r="260" spans="1:11">
      <c r="A260" s="40">
        <v>42369</v>
      </c>
      <c r="B260" s="38">
        <f>营业收入分析!M7</f>
        <v>0</v>
      </c>
      <c r="C260" s="41" t="e">
        <f t="shared" si="75"/>
        <v>#DIV/0!</v>
      </c>
      <c r="D260">
        <f>营业成本分析!M7</f>
        <v>122526.35</v>
      </c>
      <c r="E260" s="41" t="e">
        <f t="shared" si="65"/>
        <v>#DIV/0!</v>
      </c>
      <c r="F260" s="20">
        <f t="shared" si="73"/>
        <v>-122526.35</v>
      </c>
      <c r="G260" s="17" t="e">
        <f t="shared" si="66"/>
        <v>#DIV/0!</v>
      </c>
      <c r="H260" s="17" t="e">
        <f t="shared" si="74"/>
        <v>#DIV/0!</v>
      </c>
      <c r="I260" s="20">
        <f t="shared" si="72"/>
        <v>-188502.076923077</v>
      </c>
      <c r="J260" s="17">
        <v>0.25</v>
      </c>
      <c r="K260" s="20">
        <f t="shared" si="64"/>
        <v>-141376.557692308</v>
      </c>
    </row>
    <row r="261" spans="1:11">
      <c r="A261" s="40">
        <v>42735</v>
      </c>
      <c r="B261" s="38">
        <f>营业收入分析!M8</f>
        <v>3611972.78</v>
      </c>
      <c r="C261" s="41" t="e">
        <f t="shared" si="75"/>
        <v>#DIV/0!</v>
      </c>
      <c r="D261">
        <f>营业成本分析!M8</f>
        <v>6737145.76</v>
      </c>
      <c r="E261" s="41">
        <f t="shared" si="65"/>
        <v>53.9852807987833</v>
      </c>
      <c r="F261" s="20">
        <f t="shared" si="73"/>
        <v>-3125172.98</v>
      </c>
      <c r="G261" s="17">
        <f t="shared" si="66"/>
        <v>24.5061297427043</v>
      </c>
      <c r="H261" s="17">
        <f t="shared" si="74"/>
        <v>-0.865226060756748</v>
      </c>
      <c r="I261" s="20">
        <f t="shared" ref="I261:I278" si="76">B261-D261/0.65</f>
        <v>-6752866.85076923</v>
      </c>
      <c r="J261" s="17">
        <v>0.25</v>
      </c>
      <c r="K261" s="20">
        <f t="shared" si="64"/>
        <v>-5064650.13807692</v>
      </c>
    </row>
    <row r="262" spans="1:11">
      <c r="A262" s="40">
        <v>43100</v>
      </c>
      <c r="B262" s="38">
        <f>营业收入分析!M9</f>
        <v>0</v>
      </c>
      <c r="C262" s="41">
        <f t="shared" si="75"/>
        <v>-1</v>
      </c>
      <c r="D262">
        <f>营业成本分析!M9</f>
        <v>563292.52</v>
      </c>
      <c r="E262" s="41">
        <f t="shared" si="65"/>
        <v>-0.916390035177152</v>
      </c>
      <c r="F262" s="20">
        <f t="shared" si="73"/>
        <v>-563292.52</v>
      </c>
      <c r="G262" s="17">
        <f t="shared" si="66"/>
        <v>-0.819756370733757</v>
      </c>
      <c r="H262" s="17" t="e">
        <f t="shared" si="74"/>
        <v>#DIV/0!</v>
      </c>
      <c r="I262" s="20">
        <f t="shared" si="76"/>
        <v>-866603.876923077</v>
      </c>
      <c r="J262" s="17">
        <v>0.25</v>
      </c>
      <c r="K262" s="20">
        <f t="shared" si="64"/>
        <v>-649952.907692308</v>
      </c>
    </row>
    <row r="263" spans="1:11">
      <c r="A263" s="40">
        <v>43465</v>
      </c>
      <c r="B263" s="38">
        <f>营业收入分析!M10</f>
        <v>3434208.29</v>
      </c>
      <c r="C263" s="41" t="e">
        <f t="shared" si="75"/>
        <v>#DIV/0!</v>
      </c>
      <c r="D263">
        <f>营业成本分析!M10</f>
        <v>9940988.68</v>
      </c>
      <c r="E263" s="41">
        <f t="shared" si="65"/>
        <v>16.6480040601285</v>
      </c>
      <c r="F263" s="20">
        <f t="shared" ref="F263:F270" si="77">B263-D263</f>
        <v>-6506780.39</v>
      </c>
      <c r="G263" s="17">
        <f t="shared" si="66"/>
        <v>10.5513346245038</v>
      </c>
      <c r="H263" s="17">
        <f t="shared" ref="H263:H270" si="78">F263/B263</f>
        <v>-1.89469590675294</v>
      </c>
      <c r="I263" s="20">
        <f t="shared" si="76"/>
        <v>-11859620.4484615</v>
      </c>
      <c r="J263" s="17">
        <v>0.25</v>
      </c>
      <c r="K263" s="20">
        <f t="shared" si="64"/>
        <v>-8894715.33634615</v>
      </c>
    </row>
    <row r="264" spans="1:11">
      <c r="A264" s="40">
        <v>43830</v>
      </c>
      <c r="B264" s="38">
        <f>营业收入分析!M11</f>
        <v>3464886.35</v>
      </c>
      <c r="C264" s="41">
        <f t="shared" si="75"/>
        <v>0.00893308075964142</v>
      </c>
      <c r="D264">
        <f>营业成本分析!M11</f>
        <v>16022222.05</v>
      </c>
      <c r="E264" s="41">
        <f t="shared" si="65"/>
        <v>0.61173325569062</v>
      </c>
      <c r="F264" s="20">
        <f t="shared" si="77"/>
        <v>-12557335.7</v>
      </c>
      <c r="G264" s="17">
        <f t="shared" si="66"/>
        <v>0.929884666047566</v>
      </c>
      <c r="H264" s="17">
        <f t="shared" si="78"/>
        <v>-3.62416957774098</v>
      </c>
      <c r="I264" s="20">
        <f t="shared" si="76"/>
        <v>-21184686.0346154</v>
      </c>
      <c r="J264" s="17">
        <v>0.25</v>
      </c>
      <c r="K264" s="20">
        <f t="shared" si="64"/>
        <v>-15888514.5259615</v>
      </c>
    </row>
    <row r="265" s="1" customFormat="1" spans="1:11">
      <c r="A265" s="109">
        <v>43831</v>
      </c>
      <c r="B265" s="104">
        <f>营业收入分析!M12</f>
        <v>0</v>
      </c>
      <c r="C265" s="105">
        <f t="shared" si="75"/>
        <v>-1</v>
      </c>
      <c r="D265" s="1">
        <f>营业成本分析!M12</f>
        <v>2609078.88</v>
      </c>
      <c r="E265" s="105">
        <f t="shared" si="65"/>
        <v>-0.837158736668489</v>
      </c>
      <c r="F265" s="106">
        <f t="shared" si="77"/>
        <v>-2609078.88</v>
      </c>
      <c r="G265" s="107">
        <f t="shared" si="66"/>
        <v>-0.792226715735568</v>
      </c>
      <c r="H265" s="107" t="e">
        <f t="shared" si="78"/>
        <v>#DIV/0!</v>
      </c>
      <c r="I265" s="106">
        <f t="shared" si="76"/>
        <v>-4013967.50769231</v>
      </c>
      <c r="J265" s="107">
        <v>0.25</v>
      </c>
      <c r="K265" s="106">
        <f t="shared" si="64"/>
        <v>-3010475.63076923</v>
      </c>
    </row>
    <row r="266" spans="1:11">
      <c r="A266" s="102">
        <f>A14+1</f>
        <v>2021</v>
      </c>
      <c r="B266" s="38">
        <f>0</f>
        <v>0</v>
      </c>
      <c r="C266" s="41" t="e">
        <f t="shared" si="75"/>
        <v>#DIV/0!</v>
      </c>
      <c r="D266">
        <f>0</f>
        <v>0</v>
      </c>
      <c r="E266" s="41">
        <f t="shared" si="65"/>
        <v>-1</v>
      </c>
      <c r="F266" s="20">
        <f t="shared" si="77"/>
        <v>0</v>
      </c>
      <c r="G266" s="17">
        <f t="shared" si="66"/>
        <v>-1</v>
      </c>
      <c r="H266" s="17" t="e">
        <f t="shared" si="78"/>
        <v>#DIV/0!</v>
      </c>
      <c r="I266" s="20">
        <f t="shared" si="76"/>
        <v>0</v>
      </c>
      <c r="J266" s="17">
        <v>0.25</v>
      </c>
      <c r="K266" s="20">
        <f t="shared" si="64"/>
        <v>0</v>
      </c>
    </row>
    <row r="267" spans="1:11">
      <c r="A267" s="102">
        <f>A266+1</f>
        <v>2022</v>
      </c>
      <c r="B267" s="38">
        <f>0</f>
        <v>0</v>
      </c>
      <c r="C267" s="41" t="e">
        <f t="shared" si="75"/>
        <v>#DIV/0!</v>
      </c>
      <c r="D267">
        <f>0</f>
        <v>0</v>
      </c>
      <c r="E267" s="41" t="e">
        <f t="shared" si="65"/>
        <v>#DIV/0!</v>
      </c>
      <c r="F267" s="20">
        <f t="shared" si="77"/>
        <v>0</v>
      </c>
      <c r="G267" s="17" t="e">
        <f t="shared" si="66"/>
        <v>#DIV/0!</v>
      </c>
      <c r="H267" s="17" t="e">
        <f t="shared" si="78"/>
        <v>#DIV/0!</v>
      </c>
      <c r="I267" s="20">
        <f t="shared" si="76"/>
        <v>0</v>
      </c>
      <c r="J267" s="17">
        <v>0.25</v>
      </c>
      <c r="K267" s="20">
        <f t="shared" si="64"/>
        <v>0</v>
      </c>
    </row>
    <row r="268" spans="1:11">
      <c r="A268" s="102">
        <f>A267+1</f>
        <v>2023</v>
      </c>
      <c r="B268" s="38">
        <f>0</f>
        <v>0</v>
      </c>
      <c r="C268" s="41" t="e">
        <f t="shared" si="75"/>
        <v>#DIV/0!</v>
      </c>
      <c r="D268">
        <f>0</f>
        <v>0</v>
      </c>
      <c r="E268" s="41" t="e">
        <f t="shared" si="65"/>
        <v>#DIV/0!</v>
      </c>
      <c r="F268" s="20">
        <f t="shared" si="77"/>
        <v>0</v>
      </c>
      <c r="G268" s="17" t="e">
        <f t="shared" si="66"/>
        <v>#DIV/0!</v>
      </c>
      <c r="H268" s="17" t="e">
        <f t="shared" si="78"/>
        <v>#DIV/0!</v>
      </c>
      <c r="I268" s="20">
        <f t="shared" si="76"/>
        <v>0</v>
      </c>
      <c r="J268" s="17">
        <v>0.25</v>
      </c>
      <c r="K268" s="20">
        <f t="shared" si="64"/>
        <v>0</v>
      </c>
    </row>
    <row r="269" spans="1:11">
      <c r="A269" s="102">
        <f>A268+1</f>
        <v>2024</v>
      </c>
      <c r="B269" s="38">
        <f>0</f>
        <v>0</v>
      </c>
      <c r="C269" s="41" t="e">
        <f t="shared" si="75"/>
        <v>#DIV/0!</v>
      </c>
      <c r="D269">
        <f>0</f>
        <v>0</v>
      </c>
      <c r="E269" s="41" t="e">
        <f t="shared" si="65"/>
        <v>#DIV/0!</v>
      </c>
      <c r="F269" s="20">
        <f t="shared" si="77"/>
        <v>0</v>
      </c>
      <c r="G269" s="17" t="e">
        <f t="shared" si="66"/>
        <v>#DIV/0!</v>
      </c>
      <c r="H269" s="17" t="e">
        <f t="shared" si="78"/>
        <v>#DIV/0!</v>
      </c>
      <c r="I269" s="20">
        <f t="shared" si="76"/>
        <v>0</v>
      </c>
      <c r="J269" s="17">
        <v>0.25</v>
      </c>
      <c r="K269" s="20">
        <f t="shared" si="64"/>
        <v>0</v>
      </c>
    </row>
    <row r="270" spans="1:11">
      <c r="A270" s="102">
        <f>A269+1</f>
        <v>2025</v>
      </c>
      <c r="B270" s="38">
        <f>0</f>
        <v>0</v>
      </c>
      <c r="C270" s="41" t="e">
        <f t="shared" si="75"/>
        <v>#DIV/0!</v>
      </c>
      <c r="D270">
        <f>0</f>
        <v>0</v>
      </c>
      <c r="E270" s="41" t="e">
        <f t="shared" si="65"/>
        <v>#DIV/0!</v>
      </c>
      <c r="F270" s="20">
        <f t="shared" si="77"/>
        <v>0</v>
      </c>
      <c r="G270" s="17" t="e">
        <f t="shared" si="66"/>
        <v>#DIV/0!</v>
      </c>
      <c r="H270" s="17" t="e">
        <f t="shared" si="78"/>
        <v>#DIV/0!</v>
      </c>
      <c r="I270" s="20">
        <f t="shared" si="76"/>
        <v>0</v>
      </c>
      <c r="J270" s="17">
        <v>0.25</v>
      </c>
      <c r="K270" s="20">
        <f t="shared" si="64"/>
        <v>0</v>
      </c>
    </row>
    <row r="271" s="100" customFormat="1" spans="5:11">
      <c r="E271" s="112">
        <f>(D271-D265)/D265</f>
        <v>-1</v>
      </c>
      <c r="G271" s="100">
        <f>(F271-F265)/F265</f>
        <v>-1</v>
      </c>
      <c r="I271" s="100">
        <f t="shared" si="76"/>
        <v>0</v>
      </c>
      <c r="K271" s="100">
        <f>F271*0.75</f>
        <v>0</v>
      </c>
    </row>
    <row r="272" spans="5:11">
      <c r="E272" s="41" t="e">
        <f t="shared" si="65"/>
        <v>#DIV/0!</v>
      </c>
      <c r="G272" s="17" t="e">
        <f t="shared" si="66"/>
        <v>#DIV/0!</v>
      </c>
      <c r="I272" s="20">
        <f t="shared" si="76"/>
        <v>0</v>
      </c>
      <c r="J272" s="20"/>
      <c r="K272" s="20">
        <f>F272*0.75</f>
        <v>0</v>
      </c>
    </row>
    <row r="273" spans="1:11">
      <c r="A273" s="38" t="s">
        <v>89</v>
      </c>
      <c r="C273" s="41" t="e">
        <f>(B273-B272)/B272</f>
        <v>#DIV/0!</v>
      </c>
      <c r="E273" s="41" t="e">
        <f t="shared" si="65"/>
        <v>#DIV/0!</v>
      </c>
      <c r="G273" s="17" t="e">
        <f t="shared" si="66"/>
        <v>#DIV/0!</v>
      </c>
      <c r="I273" s="20">
        <f t="shared" si="76"/>
        <v>0</v>
      </c>
      <c r="J273" s="20"/>
      <c r="K273" s="20">
        <f>F273*0.75</f>
        <v>0</v>
      </c>
    </row>
    <row r="274" ht="31.5" spans="1:11">
      <c r="A274" s="39" t="s">
        <v>54</v>
      </c>
      <c r="B274" s="34" t="s">
        <v>68</v>
      </c>
      <c r="C274" s="34" t="s">
        <v>69</v>
      </c>
      <c r="D274" t="s">
        <v>70</v>
      </c>
      <c r="E274" t="s">
        <v>71</v>
      </c>
      <c r="F274" t="s">
        <v>72</v>
      </c>
      <c r="G274" t="s">
        <v>73</v>
      </c>
      <c r="H274" t="s">
        <v>74</v>
      </c>
      <c r="I274" s="6" t="s">
        <v>75</v>
      </c>
      <c r="J274" s="6" t="s">
        <v>76</v>
      </c>
      <c r="K274" t="s">
        <v>56</v>
      </c>
    </row>
    <row r="275" spans="1:11">
      <c r="A275" s="40">
        <v>40543</v>
      </c>
      <c r="B275" s="38">
        <f>营业收入分析!O2</f>
        <v>444756700</v>
      </c>
      <c r="C275" s="41" t="e">
        <f>(B275-B274)/B274</f>
        <v>#VALUE!</v>
      </c>
      <c r="D275" s="20">
        <f>营业成本分析!O2</f>
        <v>105488846.32</v>
      </c>
      <c r="E275" s="41" t="e">
        <f t="shared" si="65"/>
        <v>#VALUE!</v>
      </c>
      <c r="F275" s="20">
        <f>B275-D275</f>
        <v>339267853.68</v>
      </c>
      <c r="G275" s="17" t="e">
        <f t="shared" si="66"/>
        <v>#VALUE!</v>
      </c>
      <c r="H275" s="17">
        <f t="shared" ref="H275:H282" si="79">F275/B275</f>
        <v>0.762816734812539</v>
      </c>
      <c r="I275" s="20">
        <f t="shared" si="76"/>
        <v>282466167.2</v>
      </c>
      <c r="J275" s="20">
        <f>I275*0.75</f>
        <v>211849625.4</v>
      </c>
      <c r="K275" s="20">
        <f t="shared" ref="K275:K290" si="80">K4+K28+K50+K71+K96+K121+K147+K193+K212+K231+K255</f>
        <v>211849596.8625</v>
      </c>
    </row>
    <row r="276" spans="1:11">
      <c r="A276" s="40">
        <v>40908</v>
      </c>
      <c r="B276" s="38">
        <f>营业收入分析!O3</f>
        <v>504532200</v>
      </c>
      <c r="C276" s="41">
        <f>(B276-B275)/B275</f>
        <v>0.134400448604821</v>
      </c>
      <c r="D276" s="20">
        <f>营业成本分析!O3</f>
        <v>125278040.84</v>
      </c>
      <c r="E276" s="41">
        <f t="shared" si="65"/>
        <v>0.187595136456129</v>
      </c>
      <c r="F276" s="20">
        <f t="shared" ref="F276:F290" si="81">B276-D276</f>
        <v>379254159.16</v>
      </c>
      <c r="G276" s="17">
        <f t="shared" si="66"/>
        <v>0.117860578437577</v>
      </c>
      <c r="H276" s="17">
        <f t="shared" si="79"/>
        <v>0.751694657268654</v>
      </c>
      <c r="I276" s="20">
        <f t="shared" si="76"/>
        <v>311796752.553846</v>
      </c>
      <c r="J276" s="20">
        <f t="shared" ref="J276:J281" si="82">I276*0.75</f>
        <v>233847564.415385</v>
      </c>
      <c r="K276" s="20">
        <f t="shared" si="80"/>
        <v>233847545.770385</v>
      </c>
    </row>
    <row r="277" spans="1:11">
      <c r="A277" s="40">
        <v>41274</v>
      </c>
      <c r="B277" s="38">
        <f>营业收入分析!O4</f>
        <v>586157100</v>
      </c>
      <c r="C277" s="41">
        <f t="shared" ref="C277:C290" si="83">(B277-B276)/B276</f>
        <v>0.161783331172916</v>
      </c>
      <c r="D277" s="20">
        <f>营业成本分析!O4</f>
        <v>177879156.28</v>
      </c>
      <c r="E277" s="41">
        <f t="shared" si="65"/>
        <v>0.419874984373199</v>
      </c>
      <c r="F277" s="20">
        <f t="shared" si="81"/>
        <v>408277943.72</v>
      </c>
      <c r="G277" s="17">
        <f t="shared" si="66"/>
        <v>0.0765285860655664</v>
      </c>
      <c r="H277" s="17">
        <f t="shared" si="79"/>
        <v>0.696533307742924</v>
      </c>
      <c r="I277" s="20">
        <f t="shared" si="76"/>
        <v>312496859.569231</v>
      </c>
      <c r="J277" s="20">
        <f t="shared" si="82"/>
        <v>234372644.676923</v>
      </c>
      <c r="K277" s="20">
        <f t="shared" si="80"/>
        <v>234372616.776923</v>
      </c>
    </row>
    <row r="278" spans="1:11">
      <c r="A278" s="40">
        <v>41639</v>
      </c>
      <c r="B278" s="38">
        <f>营业收入分析!O5</f>
        <v>678715900</v>
      </c>
      <c r="C278" s="41">
        <f t="shared" si="83"/>
        <v>0.157907837335759</v>
      </c>
      <c r="D278" s="20">
        <f>营业成本分析!O5</f>
        <v>198128917.91</v>
      </c>
      <c r="E278" s="41">
        <f t="shared" si="65"/>
        <v>0.113839991449728</v>
      </c>
      <c r="F278" s="20">
        <f t="shared" si="81"/>
        <v>480586982.09</v>
      </c>
      <c r="G278" s="17">
        <f t="shared" si="66"/>
        <v>0.177107383541615</v>
      </c>
      <c r="H278" s="17">
        <f t="shared" si="79"/>
        <v>0.708082692758487</v>
      </c>
      <c r="I278" s="20">
        <f t="shared" si="76"/>
        <v>373902180.138462</v>
      </c>
      <c r="J278" s="20">
        <f t="shared" si="82"/>
        <v>280426635.103846</v>
      </c>
      <c r="K278" s="20">
        <f t="shared" si="80"/>
        <v>286259752.430769</v>
      </c>
    </row>
    <row r="279" spans="1:11">
      <c r="A279" s="40">
        <v>42004</v>
      </c>
      <c r="B279" s="38">
        <f>营业收入分析!O6</f>
        <v>935119100</v>
      </c>
      <c r="C279" s="41">
        <f t="shared" si="83"/>
        <v>0.377776916674561</v>
      </c>
      <c r="D279" s="20">
        <f>营业成本分析!O6</f>
        <v>306886789.69</v>
      </c>
      <c r="E279" s="41">
        <f t="shared" si="65"/>
        <v>0.548924775480797</v>
      </c>
      <c r="F279" s="20">
        <f t="shared" si="81"/>
        <v>628232310.31</v>
      </c>
      <c r="G279" s="17">
        <f t="shared" si="66"/>
        <v>0.307218742334453</v>
      </c>
      <c r="H279" s="17">
        <f t="shared" si="79"/>
        <v>0.671820637937991</v>
      </c>
      <c r="I279" s="20">
        <f t="shared" ref="I279:I291" si="84">B279-D279/0.65</f>
        <v>462985577.4</v>
      </c>
      <c r="J279" s="20">
        <f t="shared" si="82"/>
        <v>347239183.05</v>
      </c>
      <c r="K279" s="20">
        <f t="shared" si="80"/>
        <v>437609068.157923</v>
      </c>
    </row>
    <row r="280" spans="1:11">
      <c r="A280" s="40">
        <v>42369</v>
      </c>
      <c r="B280" s="38">
        <f>营业收入分析!O7</f>
        <v>1694514000</v>
      </c>
      <c r="C280" s="41">
        <f t="shared" si="83"/>
        <v>0.812083615873101</v>
      </c>
      <c r="D280" s="20">
        <f>营业成本分析!O7</f>
        <v>582067363.27</v>
      </c>
      <c r="E280" s="41">
        <f t="shared" si="65"/>
        <v>0.89668432407264</v>
      </c>
      <c r="F280" s="20">
        <f t="shared" si="81"/>
        <v>1112446636.73</v>
      </c>
      <c r="G280" s="17">
        <f t="shared" si="66"/>
        <v>0.770756802019727</v>
      </c>
      <c r="H280" s="17">
        <f t="shared" si="79"/>
        <v>0.656498935228626</v>
      </c>
      <c r="I280" s="20">
        <f t="shared" si="84"/>
        <v>799025748.815385</v>
      </c>
      <c r="J280" s="20">
        <f t="shared" si="82"/>
        <v>599269311.611538</v>
      </c>
      <c r="K280" s="20">
        <f t="shared" si="80"/>
        <v>574585114.786</v>
      </c>
    </row>
    <row r="281" spans="1:11">
      <c r="A281" s="40">
        <v>42735</v>
      </c>
      <c r="B281" s="38">
        <f>营业收入分析!O8</f>
        <v>2644229000</v>
      </c>
      <c r="C281" s="41">
        <f t="shared" si="83"/>
        <v>0.560464534373868</v>
      </c>
      <c r="D281" s="20">
        <f>营业成本分析!O8</f>
        <v>1014187220.09</v>
      </c>
      <c r="E281" s="41">
        <f t="shared" si="65"/>
        <v>0.742388053493312</v>
      </c>
      <c r="F281" s="20">
        <f t="shared" si="81"/>
        <v>1630041779.91</v>
      </c>
      <c r="G281" s="17">
        <f t="shared" si="66"/>
        <v>0.465276379190155</v>
      </c>
      <c r="H281" s="17">
        <f t="shared" si="79"/>
        <v>0.616452576501506</v>
      </c>
      <c r="I281" s="20">
        <f t="shared" si="84"/>
        <v>1083940969.09231</v>
      </c>
      <c r="J281" s="20">
        <f t="shared" si="82"/>
        <v>812955726.819231</v>
      </c>
      <c r="K281" s="20">
        <f t="shared" si="80"/>
        <v>846011117.235346</v>
      </c>
    </row>
    <row r="282" spans="1:11">
      <c r="A282" s="40">
        <v>43100</v>
      </c>
      <c r="B282" s="38">
        <f>营业收入分析!O9</f>
        <v>3023831000</v>
      </c>
      <c r="C282" s="41">
        <f t="shared" si="83"/>
        <v>0.143558670599256</v>
      </c>
      <c r="D282" s="20">
        <f>营业成本分析!O9</f>
        <v>1113022779.37</v>
      </c>
      <c r="E282" s="41">
        <f t="shared" si="65"/>
        <v>0.0974529725105677</v>
      </c>
      <c r="F282" s="20">
        <f t="shared" si="81"/>
        <v>1910808220.63</v>
      </c>
      <c r="G282" s="17">
        <f t="shared" si="66"/>
        <v>0.172244935179209</v>
      </c>
      <c r="H282" s="17">
        <f t="shared" si="79"/>
        <v>0.631916340771029</v>
      </c>
      <c r="I282" s="20">
        <f t="shared" si="84"/>
        <v>1311488262.50769</v>
      </c>
      <c r="J282" s="20">
        <f>I282*0.84</f>
        <v>1101650140.50646</v>
      </c>
      <c r="K282" s="20">
        <f t="shared" si="80"/>
        <v>1069941327.42777</v>
      </c>
    </row>
    <row r="283" spans="1:11">
      <c r="A283" s="40">
        <v>43465</v>
      </c>
      <c r="B283" s="38">
        <f>营业收入分析!O10</f>
        <v>3211193000</v>
      </c>
      <c r="C283" s="41">
        <f t="shared" si="83"/>
        <v>0.0619617961453534</v>
      </c>
      <c r="D283" s="20">
        <f>营业成本分析!O10</f>
        <v>1078093212.26</v>
      </c>
      <c r="E283" s="41">
        <f t="shared" si="65"/>
        <v>-0.0313826165622333</v>
      </c>
      <c r="F283" s="20">
        <f t="shared" si="81"/>
        <v>2133099787.74</v>
      </c>
      <c r="G283" s="17">
        <f t="shared" si="66"/>
        <v>0.11633379253346</v>
      </c>
      <c r="H283" s="17">
        <f t="shared" ref="H283:H290" si="85">F283/B283</f>
        <v>0.664270191090975</v>
      </c>
      <c r="I283" s="20">
        <f t="shared" si="84"/>
        <v>1552588058.06154</v>
      </c>
      <c r="J283" s="20">
        <f t="shared" ref="J283:J290" si="86">I283*0.84</f>
        <v>1304173968.77169</v>
      </c>
      <c r="K283" s="20">
        <f t="shared" si="80"/>
        <v>1257694218.29762</v>
      </c>
    </row>
    <row r="284" spans="1:11">
      <c r="A284" s="40">
        <v>43830</v>
      </c>
      <c r="B284" s="38">
        <f>营业收入分析!O11</f>
        <v>2611753000</v>
      </c>
      <c r="C284" s="41">
        <f t="shared" si="83"/>
        <v>-0.186672056148603</v>
      </c>
      <c r="D284" s="20">
        <f>营业成本分析!O11</f>
        <v>747189301.24</v>
      </c>
      <c r="E284" s="41">
        <f t="shared" si="65"/>
        <v>-0.306934416483644</v>
      </c>
      <c r="F284" s="20">
        <f t="shared" si="81"/>
        <v>1864563698.76</v>
      </c>
      <c r="G284" s="17">
        <f t="shared" si="66"/>
        <v>-0.125890073461829</v>
      </c>
      <c r="H284" s="17">
        <f t="shared" si="85"/>
        <v>0.713912724043966</v>
      </c>
      <c r="I284" s="20">
        <f t="shared" si="84"/>
        <v>1462230998.09231</v>
      </c>
      <c r="J284" s="20">
        <f t="shared" si="86"/>
        <v>1228274038.39754</v>
      </c>
      <c r="K284" s="20">
        <f t="shared" si="80"/>
        <v>1156305042.67131</v>
      </c>
    </row>
    <row r="285" spans="1:11">
      <c r="A285" s="40">
        <v>43831</v>
      </c>
      <c r="B285" s="38">
        <f>营业收入分析!O12</f>
        <v>902586125.63</v>
      </c>
      <c r="C285" s="41">
        <f t="shared" si="83"/>
        <v>-0.654413673257004</v>
      </c>
      <c r="D285" s="20">
        <f>营业成本分析!O12</f>
        <v>352670473.42</v>
      </c>
      <c r="E285" s="41">
        <f t="shared" si="65"/>
        <v>-0.528003850115727</v>
      </c>
      <c r="F285" s="20">
        <f t="shared" si="81"/>
        <v>549915652.21</v>
      </c>
      <c r="G285" s="17">
        <f t="shared" si="66"/>
        <v>-0.705070064071443</v>
      </c>
      <c r="H285" s="17">
        <f t="shared" si="85"/>
        <v>0.609266680036946</v>
      </c>
      <c r="I285" s="20">
        <f t="shared" si="84"/>
        <v>360016166.522308</v>
      </c>
      <c r="J285" s="20">
        <f t="shared" si="86"/>
        <v>302413579.878738</v>
      </c>
      <c r="K285" s="20">
        <f t="shared" si="80"/>
        <v>378182051.926346</v>
      </c>
    </row>
    <row r="286" spans="1:11">
      <c r="A286" s="102">
        <f>A14+1</f>
        <v>2021</v>
      </c>
      <c r="B286" s="38">
        <f>B266+B242+B223+B204+B158+B132+B107+B82+B61+B39+B15+B185</f>
        <v>1563665483.41538</v>
      </c>
      <c r="C286" s="41">
        <f t="shared" si="83"/>
        <v>0.73242800771389</v>
      </c>
      <c r="D286" s="20">
        <f>D266+D242+D223+D204+D158+D132+D107+D82+D61+D39+D15+D185</f>
        <v>579382276.51543</v>
      </c>
      <c r="E286" s="41">
        <f t="shared" si="65"/>
        <v>0.642843164319673</v>
      </c>
      <c r="F286" s="20">
        <f t="shared" si="81"/>
        <v>984283206.89995</v>
      </c>
      <c r="G286" s="17">
        <f t="shared" si="66"/>
        <v>0.789880326090582</v>
      </c>
      <c r="H286" s="17">
        <f t="shared" si="85"/>
        <v>0.62947172354925</v>
      </c>
      <c r="I286" s="20">
        <f t="shared" si="84"/>
        <v>672308134.930103</v>
      </c>
      <c r="J286" s="20">
        <f t="shared" si="86"/>
        <v>564738833.341287</v>
      </c>
      <c r="K286" s="20">
        <f t="shared" si="80"/>
        <v>491354576.265405</v>
      </c>
    </row>
    <row r="287" spans="1:11">
      <c r="A287" s="102">
        <f>A286+1</f>
        <v>2022</v>
      </c>
      <c r="B287" s="38">
        <f>B267+B243+B224+B205+B159+B133+B108+B83+B62+B40+B16+B186</f>
        <v>2636596657.193</v>
      </c>
      <c r="C287" s="41">
        <f t="shared" si="83"/>
        <v>0.686164134949189</v>
      </c>
      <c r="D287" s="20">
        <f>D267+D243+D224+D205+D159+D133+D108+D83+D62+D40+D16</f>
        <v>623995524.3801</v>
      </c>
      <c r="E287" s="41">
        <f t="shared" si="65"/>
        <v>0.0770014024815996</v>
      </c>
      <c r="F287" s="20">
        <f t="shared" si="81"/>
        <v>2012601132.8129</v>
      </c>
      <c r="G287" s="17">
        <f t="shared" si="66"/>
        <v>1.04473785461777</v>
      </c>
      <c r="H287" s="17">
        <f t="shared" si="85"/>
        <v>0.763332960816075</v>
      </c>
      <c r="I287" s="20">
        <f t="shared" si="84"/>
        <v>1676603542.76208</v>
      </c>
      <c r="J287" s="20">
        <f t="shared" si="86"/>
        <v>1408346975.92014</v>
      </c>
      <c r="K287" s="20">
        <f t="shared" si="80"/>
        <v>1008926593.96683</v>
      </c>
    </row>
    <row r="288" spans="1:11">
      <c r="A288" s="102">
        <f>A287+1</f>
        <v>2023</v>
      </c>
      <c r="B288" s="38">
        <f>B268+B244+B225+B206+B160+B134+B109+B84+B63+B41+B17+B187</f>
        <v>3468522366.2897</v>
      </c>
      <c r="C288" s="41">
        <f t="shared" si="83"/>
        <v>0.315530138759409</v>
      </c>
      <c r="D288" s="20">
        <f>D268+D244+D225+D206+D160+D134+D109+D84+D63+D41+D17</f>
        <v>751169260.96329</v>
      </c>
      <c r="E288" s="41">
        <f t="shared" si="65"/>
        <v>0.20380552682574</v>
      </c>
      <c r="F288" s="20">
        <f t="shared" si="81"/>
        <v>2717353105.32641</v>
      </c>
      <c r="G288" s="17">
        <f t="shared" si="66"/>
        <v>0.350169718690617</v>
      </c>
      <c r="H288" s="17">
        <f t="shared" si="85"/>
        <v>0.783432487486935</v>
      </c>
      <c r="I288" s="20">
        <f t="shared" si="84"/>
        <v>2312877349.4231</v>
      </c>
      <c r="J288" s="20">
        <f t="shared" si="86"/>
        <v>1942816973.5154</v>
      </c>
      <c r="K288" s="20">
        <f t="shared" si="80"/>
        <v>1251679750.12232</v>
      </c>
    </row>
    <row r="289" spans="1:11">
      <c r="A289" s="102">
        <f>A288+1</f>
        <v>2024</v>
      </c>
      <c r="B289" s="38">
        <f>B269+B245+B226+B207+B161+B135+B110+B85+B64+B42+B18+B188</f>
        <v>4197344422.91685</v>
      </c>
      <c r="C289" s="41">
        <f t="shared" si="83"/>
        <v>0.210124652419863</v>
      </c>
      <c r="D289" s="20">
        <f>D269+D245+D226+D207+D161+D135+D110+D85+D64+D42+D18</f>
        <v>879674094.292391</v>
      </c>
      <c r="E289" s="41">
        <f t="shared" si="65"/>
        <v>0.17107307235164</v>
      </c>
      <c r="F289" s="20">
        <f t="shared" si="81"/>
        <v>3317670328.62445</v>
      </c>
      <c r="G289" s="17">
        <f t="shared" si="66"/>
        <v>0.220919843696918</v>
      </c>
      <c r="H289" s="17">
        <f t="shared" si="85"/>
        <v>0.790421274582684</v>
      </c>
      <c r="I289" s="20">
        <f t="shared" si="84"/>
        <v>2843999662.46701</v>
      </c>
      <c r="J289" s="20">
        <f t="shared" si="86"/>
        <v>2388959716.47229</v>
      </c>
      <c r="K289" s="20">
        <f t="shared" si="80"/>
        <v>1440489725.70458</v>
      </c>
    </row>
    <row r="290" spans="1:11">
      <c r="A290" s="102">
        <f>A289+1</f>
        <v>2025</v>
      </c>
      <c r="B290" s="38">
        <f>B270+B246+B227+B208+B162+B136+B111+B86+B65+B43+B19+B189</f>
        <v>4916686659.10209</v>
      </c>
      <c r="C290" s="41">
        <f t="shared" si="83"/>
        <v>0.171380321390294</v>
      </c>
      <c r="D290" s="20">
        <f>D270+D246+D227+D208+D162+D136+D111+D86+D65+D43+D19</f>
        <v>1000825256.75352</v>
      </c>
      <c r="E290" s="41">
        <f t="shared" si="65"/>
        <v>0.137722780797112</v>
      </c>
      <c r="F290" s="20">
        <f t="shared" si="81"/>
        <v>3915861402.34857</v>
      </c>
      <c r="G290" s="17">
        <f t="shared" si="66"/>
        <v>0.180304555447538</v>
      </c>
      <c r="H290" s="17">
        <f t="shared" si="85"/>
        <v>0.796443148374988</v>
      </c>
      <c r="I290" s="20">
        <f t="shared" si="84"/>
        <v>3376955494.86591</v>
      </c>
      <c r="J290" s="20">
        <f t="shared" si="86"/>
        <v>2836642615.68736</v>
      </c>
      <c r="K290" s="20">
        <f t="shared" si="80"/>
        <v>1619595393.86027</v>
      </c>
    </row>
    <row r="291" spans="9:11">
      <c r="I291" s="20">
        <f t="shared" si="84"/>
        <v>0</v>
      </c>
      <c r="J291" s="20"/>
      <c r="K291" s="20">
        <f>F291*0.75</f>
        <v>0</v>
      </c>
    </row>
    <row r="293" spans="1:1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</row>
  </sheetData>
  <mergeCells count="3">
    <mergeCell ref="B116:H116"/>
    <mergeCell ref="B141:H141"/>
    <mergeCell ref="B168:H168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8"/>
  <sheetViews>
    <sheetView tabSelected="1" workbookViewId="0">
      <pane ySplit="1" topLeftCell="A67" activePane="bottomLeft" state="frozen"/>
      <selection/>
      <selection pane="bottomLeft" activeCell="O79" sqref="O79"/>
    </sheetView>
  </sheetViews>
  <sheetFormatPr defaultColWidth="9" defaultRowHeight="15.75"/>
  <cols>
    <col min="1" max="1" width="21.375" customWidth="1"/>
    <col min="2" max="2" width="24.25" style="6" customWidth="1"/>
    <col min="3" max="3" width="11.125" style="47" customWidth="1"/>
    <col min="4" max="5" width="11.125" hidden="1" customWidth="1"/>
    <col min="6" max="6" width="18" customWidth="1"/>
    <col min="7" max="7" width="16.625" style="48" customWidth="1"/>
    <col min="8" max="8" width="16.875" customWidth="1"/>
    <col min="9" max="9" width="17" customWidth="1"/>
    <col min="10" max="10" width="14.375" customWidth="1"/>
    <col min="11" max="11" width="16.5" style="48" customWidth="1"/>
    <col min="12" max="13" width="16.75" customWidth="1"/>
    <col min="14" max="14" width="10" customWidth="1"/>
    <col min="16" max="16" width="11.625" customWidth="1"/>
  </cols>
  <sheetData>
    <row r="1" ht="47.25" spans="1:16">
      <c r="A1" t="s">
        <v>90</v>
      </c>
      <c r="B1" s="6" t="s">
        <v>91</v>
      </c>
      <c r="C1" s="47" t="s">
        <v>54</v>
      </c>
      <c r="D1" t="s">
        <v>92</v>
      </c>
      <c r="E1" t="s">
        <v>93</v>
      </c>
      <c r="F1" t="s">
        <v>94</v>
      </c>
      <c r="G1" s="48" t="s">
        <v>95</v>
      </c>
      <c r="H1" t="s">
        <v>96</v>
      </c>
      <c r="I1" t="s">
        <v>97</v>
      </c>
      <c r="J1" t="s">
        <v>98</v>
      </c>
      <c r="K1" s="48" t="s">
        <v>99</v>
      </c>
      <c r="L1" t="s">
        <v>100</v>
      </c>
      <c r="M1" t="s">
        <v>101</v>
      </c>
      <c r="N1" s="6" t="s">
        <v>102</v>
      </c>
      <c r="O1" s="6" t="s">
        <v>103</v>
      </c>
      <c r="P1" t="s">
        <v>104</v>
      </c>
    </row>
    <row r="2" spans="1:16">
      <c r="A2" s="43" t="s">
        <v>105</v>
      </c>
      <c r="B2" s="6" t="s">
        <v>106</v>
      </c>
      <c r="C2" s="47">
        <v>2016</v>
      </c>
      <c r="D2">
        <v>2010</v>
      </c>
      <c r="E2" s="49">
        <v>40543</v>
      </c>
      <c r="F2" s="50">
        <v>77293456696.99</v>
      </c>
      <c r="G2" s="51">
        <v>1591507697.66</v>
      </c>
      <c r="H2" s="22">
        <v>680865364.64</v>
      </c>
      <c r="I2" s="22">
        <v>2486253.96</v>
      </c>
      <c r="J2" s="22">
        <v>162724.01</v>
      </c>
      <c r="K2" s="78">
        <v>2269724084.33</v>
      </c>
      <c r="L2" s="22">
        <f>H2+G2</f>
        <v>2272373062.3</v>
      </c>
      <c r="M2" s="22">
        <f>I2</f>
        <v>2486253.96</v>
      </c>
      <c r="N2" s="17">
        <f t="shared" ref="N2:N7" si="0">L2/F2</f>
        <v>0.0293992940593701</v>
      </c>
      <c r="O2" s="79">
        <v>0.03</v>
      </c>
      <c r="P2" s="17">
        <f t="shared" ref="P2:P7" si="1">M2/L2</f>
        <v>0.00109412226418646</v>
      </c>
    </row>
    <row r="3" spans="3:16">
      <c r="C3" s="52">
        <v>2017</v>
      </c>
      <c r="D3" s="53">
        <v>2010</v>
      </c>
      <c r="E3" s="54">
        <v>40543</v>
      </c>
      <c r="F3" s="55">
        <v>77293456696.99</v>
      </c>
      <c r="G3" s="56">
        <v>2269724084.33</v>
      </c>
      <c r="H3" s="57">
        <v>900864832.14</v>
      </c>
      <c r="I3" s="57">
        <v>3466102.3</v>
      </c>
      <c r="J3" s="57"/>
      <c r="K3" s="80">
        <v>3167122814.17</v>
      </c>
      <c r="L3" s="57">
        <f>H3+G3+M2</f>
        <v>3173075170.43</v>
      </c>
      <c r="M3" s="57">
        <f>I3+M2</f>
        <v>5952356.26</v>
      </c>
      <c r="N3" s="81">
        <f t="shared" si="0"/>
        <v>0.0410523129127121</v>
      </c>
      <c r="O3" s="82">
        <v>0.04</v>
      </c>
      <c r="P3" s="81">
        <f t="shared" si="1"/>
        <v>0.00187589513021003</v>
      </c>
    </row>
    <row r="4" spans="3:16">
      <c r="C4" s="52">
        <v>2018</v>
      </c>
      <c r="D4" s="53">
        <v>2010</v>
      </c>
      <c r="E4" s="54">
        <v>40543</v>
      </c>
      <c r="F4" s="55">
        <v>40313470000</v>
      </c>
      <c r="G4" s="56">
        <v>3167122814.17</v>
      </c>
      <c r="H4" s="57">
        <v>921147575.53</v>
      </c>
      <c r="I4" s="57">
        <v>2460685.05</v>
      </c>
      <c r="J4" s="57"/>
      <c r="K4" s="80">
        <v>4085809704.65</v>
      </c>
      <c r="L4" s="57">
        <f>H4+G4+M3</f>
        <v>4094222745.96</v>
      </c>
      <c r="M4" s="57">
        <f>I4+M3</f>
        <v>8413041.31</v>
      </c>
      <c r="N4" s="81">
        <f t="shared" si="0"/>
        <v>0.101559670898089</v>
      </c>
      <c r="O4" s="82">
        <v>0.1</v>
      </c>
      <c r="P4" s="81">
        <f t="shared" si="1"/>
        <v>0.00205485676574427</v>
      </c>
    </row>
    <row r="5" spans="3:16">
      <c r="C5" s="52">
        <v>2019</v>
      </c>
      <c r="D5" s="53">
        <v>2010</v>
      </c>
      <c r="E5" s="54">
        <v>40543</v>
      </c>
      <c r="F5" s="55">
        <v>40313470000</v>
      </c>
      <c r="G5" s="56">
        <v>4088665003.27</v>
      </c>
      <c r="H5" s="57">
        <v>2346467765.77</v>
      </c>
      <c r="I5" s="57"/>
      <c r="J5" s="57"/>
      <c r="K5" s="80">
        <v>6435132769.04</v>
      </c>
      <c r="L5" s="57">
        <f>H5+G5+M4</f>
        <v>6443545810.35</v>
      </c>
      <c r="M5" s="57">
        <f>I5+M4</f>
        <v>8413041.31</v>
      </c>
      <c r="N5" s="81">
        <f t="shared" si="0"/>
        <v>0.159836050093182</v>
      </c>
      <c r="O5" s="82">
        <v>0.15</v>
      </c>
      <c r="P5" s="81">
        <f t="shared" si="1"/>
        <v>0.00130565399201267</v>
      </c>
    </row>
    <row r="6" spans="3:16">
      <c r="C6" s="52">
        <v>2020</v>
      </c>
      <c r="D6" s="53">
        <v>2010</v>
      </c>
      <c r="E6" s="54">
        <v>40543</v>
      </c>
      <c r="F6" s="55">
        <v>40313470000</v>
      </c>
      <c r="G6" s="56">
        <v>6414038722.96</v>
      </c>
      <c r="H6" s="57">
        <v>3551181152.67</v>
      </c>
      <c r="I6" s="57">
        <v>267492864.28</v>
      </c>
      <c r="J6" s="57"/>
      <c r="K6" s="80">
        <v>9697727011.35</v>
      </c>
      <c r="L6" s="57">
        <f>H6+G6+M5</f>
        <v>9973632916.94</v>
      </c>
      <c r="M6" s="57">
        <f>I6+M5</f>
        <v>275905905.59</v>
      </c>
      <c r="N6" s="81">
        <f t="shared" si="0"/>
        <v>0.247401995336546</v>
      </c>
      <c r="O6" s="82">
        <v>0.25</v>
      </c>
      <c r="P6" s="81">
        <f t="shared" si="1"/>
        <v>0.0276635312215451</v>
      </c>
    </row>
    <row r="7" spans="3:16">
      <c r="C7" s="52">
        <v>2021</v>
      </c>
      <c r="D7" s="53">
        <v>2010</v>
      </c>
      <c r="E7" s="54">
        <v>40543</v>
      </c>
      <c r="F7" s="55">
        <v>40313470000</v>
      </c>
      <c r="G7" s="56">
        <v>9697727011.35</v>
      </c>
      <c r="H7" s="57">
        <v>6809194226.44</v>
      </c>
      <c r="I7" s="57"/>
      <c r="J7" s="57"/>
      <c r="K7" s="80">
        <v>16506921237.79</v>
      </c>
      <c r="L7" s="57">
        <f>H7+G7+M6</f>
        <v>16782827143.38</v>
      </c>
      <c r="M7" s="57">
        <f>I7+M6</f>
        <v>275905905.59</v>
      </c>
      <c r="N7" s="81">
        <f t="shared" si="0"/>
        <v>0.416308175490227</v>
      </c>
      <c r="O7" s="82">
        <v>0.41</v>
      </c>
      <c r="P7" s="81">
        <f t="shared" si="1"/>
        <v>0.0164397752078875</v>
      </c>
    </row>
    <row r="8" spans="3:16">
      <c r="C8" s="47">
        <v>2015</v>
      </c>
      <c r="E8" s="49"/>
      <c r="F8" s="50">
        <v>336900000</v>
      </c>
      <c r="G8" s="51">
        <v>53407131.87</v>
      </c>
      <c r="H8" s="22">
        <v>40155676.71</v>
      </c>
      <c r="I8" s="22">
        <v>52468941.9</v>
      </c>
      <c r="J8" s="22">
        <v>15962675.38</v>
      </c>
      <c r="K8" s="51">
        <v>25131191.3</v>
      </c>
      <c r="L8" s="22">
        <f>H8+L7</f>
        <v>16822982820.09</v>
      </c>
      <c r="M8" s="22"/>
      <c r="N8" s="17">
        <f t="shared" ref="N4:N35" si="2">L8/F8</f>
        <v>49.9346477295637</v>
      </c>
      <c r="O8" s="79">
        <v>0.9</v>
      </c>
      <c r="P8" s="17">
        <f>(I7+I8)/L8</f>
        <v>0.00311888459146149</v>
      </c>
    </row>
    <row r="9" spans="2:16">
      <c r="B9" s="6" t="s">
        <v>107</v>
      </c>
      <c r="C9" s="47">
        <v>2016</v>
      </c>
      <c r="E9" s="49"/>
      <c r="F9" s="50">
        <v>80000000</v>
      </c>
      <c r="G9" s="51">
        <v>25131191.3</v>
      </c>
      <c r="H9" s="22">
        <v>31186532.4</v>
      </c>
      <c r="I9" s="22">
        <v>27026862.4</v>
      </c>
      <c r="J9" s="22">
        <v>1500000</v>
      </c>
      <c r="K9" s="51">
        <v>27790861.3</v>
      </c>
      <c r="L9" s="22">
        <f>G9+H9</f>
        <v>56317723.7</v>
      </c>
      <c r="M9" s="22">
        <f>I9</f>
        <v>27026862.4</v>
      </c>
      <c r="N9" s="17">
        <f t="shared" si="2"/>
        <v>0.70397154625</v>
      </c>
      <c r="O9" s="79">
        <v>0.85</v>
      </c>
      <c r="P9" s="17">
        <f>M9/L9</f>
        <v>0.479899765551071</v>
      </c>
    </row>
    <row r="10" spans="2:16">
      <c r="B10" s="6" t="s">
        <v>108</v>
      </c>
      <c r="C10" s="47">
        <v>2017</v>
      </c>
      <c r="E10" s="49"/>
      <c r="F10" s="50">
        <v>50000000</v>
      </c>
      <c r="G10" s="51">
        <v>27790861.3</v>
      </c>
      <c r="H10" s="22">
        <v>6889880.6</v>
      </c>
      <c r="I10" s="22">
        <v>9658145.6</v>
      </c>
      <c r="J10" s="22">
        <v>454005</v>
      </c>
      <c r="K10" s="51">
        <v>24568591.3</v>
      </c>
      <c r="L10" s="22">
        <f>G10+H10</f>
        <v>34680741.9</v>
      </c>
      <c r="M10" s="22">
        <f>I10</f>
        <v>9658145.6</v>
      </c>
      <c r="N10" s="17">
        <f t="shared" si="2"/>
        <v>0.693614838</v>
      </c>
      <c r="O10" s="79">
        <v>0.7</v>
      </c>
      <c r="P10" s="17">
        <f>M10/L10</f>
        <v>0.278487283456874</v>
      </c>
    </row>
    <row r="11" spans="3:16">
      <c r="C11" s="47">
        <v>2018</v>
      </c>
      <c r="E11" s="49"/>
      <c r="F11" s="50">
        <v>50000000</v>
      </c>
      <c r="G11" s="51">
        <v>24568591.3</v>
      </c>
      <c r="H11" s="22"/>
      <c r="I11" s="22">
        <v>24568591.3</v>
      </c>
      <c r="J11" s="22"/>
      <c r="K11" s="51"/>
      <c r="L11" s="22">
        <f>H11+L10</f>
        <v>34680741.9</v>
      </c>
      <c r="M11" s="22">
        <f>I11</f>
        <v>24568591.3</v>
      </c>
      <c r="N11" s="17">
        <f t="shared" si="2"/>
        <v>0.693614838</v>
      </c>
      <c r="O11" s="79">
        <v>1</v>
      </c>
      <c r="P11" s="17">
        <f>M11/L11</f>
        <v>0.708421733619257</v>
      </c>
    </row>
    <row r="12" ht="31.5" spans="2:16">
      <c r="B12" s="6" t="s">
        <v>109</v>
      </c>
      <c r="C12" s="47">
        <v>2011</v>
      </c>
      <c r="D12">
        <v>2011</v>
      </c>
      <c r="E12" s="49"/>
      <c r="F12" s="50">
        <v>70000000</v>
      </c>
      <c r="G12" s="51"/>
      <c r="H12" s="22">
        <v>22085315.85</v>
      </c>
      <c r="I12" s="22"/>
      <c r="J12" s="22"/>
      <c r="K12" s="51">
        <v>22085315.85</v>
      </c>
      <c r="L12" s="22">
        <f>H12+G12</f>
        <v>22085315.85</v>
      </c>
      <c r="M12" s="22"/>
      <c r="N12" s="17">
        <f t="shared" si="2"/>
        <v>0.315504512142857</v>
      </c>
      <c r="O12" s="79">
        <v>0.6</v>
      </c>
      <c r="P12" s="17">
        <f>I12/L12</f>
        <v>0</v>
      </c>
    </row>
    <row r="13" spans="3:16">
      <c r="C13" s="47">
        <v>2012</v>
      </c>
      <c r="E13" s="49"/>
      <c r="F13" s="50">
        <v>70000000</v>
      </c>
      <c r="G13" s="51">
        <v>22085315.85</v>
      </c>
      <c r="H13" s="22">
        <v>31551314.25</v>
      </c>
      <c r="I13" s="22">
        <v>24637405.5</v>
      </c>
      <c r="J13" s="22">
        <v>2038000</v>
      </c>
      <c r="K13" s="51">
        <v>26961224.6</v>
      </c>
      <c r="L13" s="22">
        <f>H12+H13</f>
        <v>53636630.1</v>
      </c>
      <c r="M13" s="22"/>
      <c r="N13" s="17">
        <f t="shared" si="2"/>
        <v>0.766237572857143</v>
      </c>
      <c r="O13" s="79">
        <v>0.85</v>
      </c>
      <c r="P13" s="17">
        <f>I13/L13</f>
        <v>0.459339176493118</v>
      </c>
    </row>
    <row r="14" spans="3:16">
      <c r="C14" s="47">
        <v>2013</v>
      </c>
      <c r="E14" s="49"/>
      <c r="F14" s="50">
        <v>70000000</v>
      </c>
      <c r="G14" s="51">
        <v>26961224.6</v>
      </c>
      <c r="H14" s="22">
        <v>12293380.51</v>
      </c>
      <c r="I14" s="22">
        <v>38487626.6</v>
      </c>
      <c r="J14" s="22">
        <v>466978.51</v>
      </c>
      <c r="K14" s="51"/>
      <c r="L14" s="22">
        <f>L13+H14</f>
        <v>65930010.61</v>
      </c>
      <c r="M14" s="22"/>
      <c r="N14" s="17">
        <f t="shared" si="2"/>
        <v>0.941857294428571</v>
      </c>
      <c r="O14" s="79">
        <v>0.95</v>
      </c>
      <c r="P14" s="17">
        <f>I14/L14</f>
        <v>0.583764908330871</v>
      </c>
    </row>
    <row r="15" spans="3:16">
      <c r="C15" s="47">
        <v>2014</v>
      </c>
      <c r="E15" s="49"/>
      <c r="F15" s="50">
        <v>70000000</v>
      </c>
      <c r="G15" s="51">
        <v>300000</v>
      </c>
      <c r="H15" s="22">
        <v>2884055.49</v>
      </c>
      <c r="I15" s="22">
        <v>3184055.49</v>
      </c>
      <c r="L15" s="22">
        <f>L14+H15</f>
        <v>68814066.1</v>
      </c>
      <c r="M15" s="22"/>
      <c r="N15" s="17">
        <f t="shared" si="2"/>
        <v>0.983058087142857</v>
      </c>
      <c r="O15" s="79">
        <v>0.96</v>
      </c>
      <c r="P15" s="17">
        <f>I15/L15</f>
        <v>0.0462704163618665</v>
      </c>
    </row>
    <row r="16" spans="3:16">
      <c r="C16" s="47">
        <v>2015</v>
      </c>
      <c r="E16" s="49"/>
      <c r="F16" s="50">
        <v>70000000</v>
      </c>
      <c r="G16" s="51"/>
      <c r="H16" s="22">
        <v>-2958311</v>
      </c>
      <c r="I16" s="22">
        <v>-2958311</v>
      </c>
      <c r="L16" s="22">
        <f>L15+H16</f>
        <v>65855755.1</v>
      </c>
      <c r="M16" s="22"/>
      <c r="N16" s="17">
        <f t="shared" si="2"/>
        <v>0.940796501428571</v>
      </c>
      <c r="O16" s="79">
        <v>0.96</v>
      </c>
      <c r="P16" s="17">
        <f>I16/L16</f>
        <v>-0.0449210702315674</v>
      </c>
    </row>
    <row r="17" spans="2:16">
      <c r="B17" s="6" t="s">
        <v>110</v>
      </c>
      <c r="C17" s="47">
        <v>2020</v>
      </c>
      <c r="E17" s="49"/>
      <c r="F17" s="50">
        <v>188344300</v>
      </c>
      <c r="G17" s="51"/>
      <c r="H17" s="58">
        <v>125023727.11</v>
      </c>
      <c r="I17" s="22">
        <v>60896475.2</v>
      </c>
      <c r="J17" s="22">
        <v>32672076.61</v>
      </c>
      <c r="K17" s="51">
        <v>31455175.3</v>
      </c>
      <c r="L17" s="22">
        <f>H17</f>
        <v>125023727.11</v>
      </c>
      <c r="M17" s="22">
        <f>I17</f>
        <v>60896475.2</v>
      </c>
      <c r="N17" s="17">
        <f t="shared" si="2"/>
        <v>0.663804145440027</v>
      </c>
      <c r="O17" s="79">
        <v>0.8</v>
      </c>
      <c r="P17" s="17">
        <f>M17/L17</f>
        <v>0.487079345718283</v>
      </c>
    </row>
    <row r="18" ht="31.5" spans="2:16">
      <c r="B18" s="6" t="s">
        <v>111</v>
      </c>
      <c r="C18" s="47">
        <v>2017</v>
      </c>
      <c r="E18" s="49"/>
      <c r="F18" s="50">
        <v>13766600</v>
      </c>
      <c r="G18" s="51"/>
      <c r="H18" s="22">
        <v>6632053</v>
      </c>
      <c r="I18" s="22"/>
      <c r="K18" s="51">
        <v>6632053</v>
      </c>
      <c r="L18" s="22">
        <f>H18</f>
        <v>6632053</v>
      </c>
      <c r="M18" s="22"/>
      <c r="N18" s="17">
        <f t="shared" si="2"/>
        <v>0.481749524210771</v>
      </c>
      <c r="O18" s="79">
        <v>0.4</v>
      </c>
      <c r="P18" s="17">
        <f>I18/L18</f>
        <v>0</v>
      </c>
    </row>
    <row r="19" spans="3:16">
      <c r="C19" s="47">
        <v>2018</v>
      </c>
      <c r="E19" s="49"/>
      <c r="F19" s="50">
        <v>35000000</v>
      </c>
      <c r="G19" s="51">
        <v>6632053</v>
      </c>
      <c r="H19" s="22">
        <v>25365145.1</v>
      </c>
      <c r="I19" s="22">
        <v>31747198.1</v>
      </c>
      <c r="J19" s="22">
        <v>250000</v>
      </c>
      <c r="K19" s="51"/>
      <c r="L19" s="22">
        <f>H19+K18</f>
        <v>31997198.1</v>
      </c>
      <c r="M19" s="22"/>
      <c r="N19" s="17">
        <f t="shared" si="2"/>
        <v>0.91420566</v>
      </c>
      <c r="O19" s="79">
        <v>1</v>
      </c>
      <c r="P19" s="17">
        <f>I19/L19</f>
        <v>0.992186815882482</v>
      </c>
    </row>
    <row r="20" ht="47.25" spans="2:16">
      <c r="B20" s="6" t="s">
        <v>112</v>
      </c>
      <c r="C20" s="47">
        <v>2018</v>
      </c>
      <c r="E20" s="49"/>
      <c r="F20" s="50">
        <v>75000000</v>
      </c>
      <c r="G20" s="51"/>
      <c r="H20" s="22">
        <v>72663604.59</v>
      </c>
      <c r="I20" s="22">
        <v>47438897.39</v>
      </c>
      <c r="J20" s="22">
        <v>22099707.2</v>
      </c>
      <c r="K20" s="51">
        <v>3125000</v>
      </c>
      <c r="L20" s="22">
        <f>H20+K19</f>
        <v>72663604.59</v>
      </c>
      <c r="M20" s="22">
        <f>I20</f>
        <v>47438897.39</v>
      </c>
      <c r="N20" s="17">
        <f t="shared" si="2"/>
        <v>0.9688480612</v>
      </c>
      <c r="O20" s="79">
        <v>0.95</v>
      </c>
      <c r="P20" s="17">
        <f>I20/L20</f>
        <v>0.652856373664245</v>
      </c>
    </row>
    <row r="21" spans="3:16">
      <c r="C21" s="47">
        <v>2019</v>
      </c>
      <c r="E21" s="49"/>
      <c r="F21" s="50">
        <v>75000000</v>
      </c>
      <c r="G21" s="51">
        <v>3125000</v>
      </c>
      <c r="H21" s="22">
        <v>6995274.44</v>
      </c>
      <c r="I21" s="22">
        <v>4398004.44</v>
      </c>
      <c r="J21" s="22">
        <v>5722270</v>
      </c>
      <c r="K21" s="51"/>
      <c r="L21" s="22">
        <f>H21+L20</f>
        <v>79658879.03</v>
      </c>
      <c r="M21" s="22">
        <f>I21+M20</f>
        <v>51836901.83</v>
      </c>
      <c r="N21" s="17">
        <f t="shared" si="2"/>
        <v>1.06211838706667</v>
      </c>
      <c r="O21" s="83">
        <v>1</v>
      </c>
      <c r="P21" s="17">
        <f>M21/L21</f>
        <v>0.650736019150833</v>
      </c>
    </row>
    <row r="22" ht="31.5" spans="2:16">
      <c r="B22" s="6" t="s">
        <v>113</v>
      </c>
      <c r="C22" s="47">
        <v>2019</v>
      </c>
      <c r="E22" s="49"/>
      <c r="F22" s="50">
        <v>159840000</v>
      </c>
      <c r="G22" s="51"/>
      <c r="H22" s="22">
        <v>58199776.6</v>
      </c>
      <c r="I22" s="22"/>
      <c r="J22" s="22">
        <v>58199776.6</v>
      </c>
      <c r="K22" s="51"/>
      <c r="L22" s="22">
        <f>H22</f>
        <v>58199776.6</v>
      </c>
      <c r="M22" s="22">
        <f t="shared" ref="M22:M27" si="3">I22</f>
        <v>0</v>
      </c>
      <c r="N22" s="17">
        <f t="shared" si="2"/>
        <v>0.364112716466466</v>
      </c>
      <c r="O22" s="79">
        <v>0.5</v>
      </c>
      <c r="P22" s="17">
        <f>M22/L22</f>
        <v>0</v>
      </c>
    </row>
    <row r="23" spans="3:16">
      <c r="C23" s="47">
        <v>2020</v>
      </c>
      <c r="E23" s="49"/>
      <c r="F23" s="50">
        <v>160790000</v>
      </c>
      <c r="G23" s="51">
        <v>58199776.6</v>
      </c>
      <c r="H23" s="22">
        <v>112842927.4</v>
      </c>
      <c r="I23" s="22">
        <v>170294743</v>
      </c>
      <c r="J23" s="22">
        <v>747961</v>
      </c>
      <c r="K23" s="51"/>
      <c r="L23" s="22">
        <f>H23+L22</f>
        <v>171042704</v>
      </c>
      <c r="M23" s="22">
        <f t="shared" si="3"/>
        <v>170294743</v>
      </c>
      <c r="N23" s="17">
        <f t="shared" si="2"/>
        <v>1.06376456247279</v>
      </c>
      <c r="O23" s="83">
        <v>1</v>
      </c>
      <c r="P23" s="17">
        <f>M23/L23</f>
        <v>0.995627051125197</v>
      </c>
    </row>
    <row r="24" ht="31.5" spans="2:16">
      <c r="B24" s="6" t="s">
        <v>114</v>
      </c>
      <c r="C24" s="47">
        <v>2019</v>
      </c>
      <c r="E24" s="49"/>
      <c r="F24" s="50">
        <v>58821929.1</v>
      </c>
      <c r="G24" s="51"/>
      <c r="H24" s="22">
        <v>55495841.66</v>
      </c>
      <c r="I24" s="22">
        <v>27413276.71</v>
      </c>
      <c r="J24" s="22">
        <v>28082564.95</v>
      </c>
      <c r="K24" s="51"/>
      <c r="L24" s="22">
        <f>H24</f>
        <v>55495841.66</v>
      </c>
      <c r="M24" s="22">
        <f t="shared" si="3"/>
        <v>27413276.71</v>
      </c>
      <c r="N24" s="17">
        <f t="shared" si="2"/>
        <v>0.943454975195637</v>
      </c>
      <c r="O24" s="83">
        <v>1</v>
      </c>
      <c r="P24" s="17">
        <f>M24/L24</f>
        <v>0.493969924412531</v>
      </c>
    </row>
    <row r="26" ht="31.5" spans="1:16">
      <c r="A26" s="43" t="s">
        <v>115</v>
      </c>
      <c r="B26" s="6" t="s">
        <v>116</v>
      </c>
      <c r="C26" s="59">
        <v>2015</v>
      </c>
      <c r="D26" s="60">
        <v>40179</v>
      </c>
      <c r="E26" s="61"/>
      <c r="F26" s="62">
        <v>22792000000</v>
      </c>
      <c r="G26" s="63">
        <v>15040591464.83</v>
      </c>
      <c r="H26" s="63">
        <v>3138409438.66</v>
      </c>
      <c r="I26" s="63"/>
      <c r="J26" s="63"/>
      <c r="K26" s="63">
        <v>18179000903.49</v>
      </c>
      <c r="L26" s="63">
        <f t="shared" ref="L26:L35" si="4">H26+G26</f>
        <v>18179000903.49</v>
      </c>
      <c r="M26" s="84">
        <f t="shared" si="3"/>
        <v>0</v>
      </c>
      <c r="N26" s="85">
        <f t="shared" si="2"/>
        <v>0.797604462245086</v>
      </c>
      <c r="O26" s="86">
        <v>0.68</v>
      </c>
      <c r="P26" s="85">
        <f t="shared" ref="P26:P35" si="5">I26/L26</f>
        <v>0</v>
      </c>
    </row>
    <row r="27" spans="2:16">
      <c r="B27" s="64"/>
      <c r="C27" s="59">
        <v>2016</v>
      </c>
      <c r="D27" s="60">
        <v>40179</v>
      </c>
      <c r="E27" s="61"/>
      <c r="F27" s="62">
        <v>22791640000</v>
      </c>
      <c r="G27" s="63">
        <v>18179000903.49</v>
      </c>
      <c r="H27" s="63">
        <v>2025344455.12</v>
      </c>
      <c r="I27" s="63">
        <v>12880664273.27</v>
      </c>
      <c r="J27" s="63">
        <v>51794589.94</v>
      </c>
      <c r="K27" s="63">
        <v>7271886495.4</v>
      </c>
      <c r="L27" s="63">
        <f t="shared" si="4"/>
        <v>20204345358.61</v>
      </c>
      <c r="M27" s="84">
        <f t="shared" si="3"/>
        <v>12880664273.27</v>
      </c>
      <c r="N27" s="85">
        <f t="shared" si="2"/>
        <v>0.886480541049701</v>
      </c>
      <c r="O27" s="86">
        <v>0.915</v>
      </c>
      <c r="P27" s="85">
        <f t="shared" si="5"/>
        <v>0.637519506059173</v>
      </c>
    </row>
    <row r="28" spans="2:16">
      <c r="B28" s="64"/>
      <c r="C28" s="65">
        <v>2017</v>
      </c>
      <c r="D28" s="66">
        <v>40179</v>
      </c>
      <c r="E28" s="43"/>
      <c r="F28" s="67">
        <v>24521390000</v>
      </c>
      <c r="G28" s="68">
        <v>7271886495.4</v>
      </c>
      <c r="H28" s="68">
        <v>2679089231.33</v>
      </c>
      <c r="I28" s="68">
        <v>9950975726.73</v>
      </c>
      <c r="J28" s="43"/>
      <c r="K28" s="68">
        <v>0</v>
      </c>
      <c r="L28" s="68">
        <f>H28+G28+M27</f>
        <v>22831640000</v>
      </c>
      <c r="M28" s="68">
        <f>M27+I28</f>
        <v>22831640000</v>
      </c>
      <c r="N28" s="87">
        <f t="shared" ref="N28:N35" si="6">L28/F28</f>
        <v>0.931090774217938</v>
      </c>
      <c r="O28" s="83">
        <v>1</v>
      </c>
      <c r="P28" s="87">
        <f t="shared" si="5"/>
        <v>0.43584147817371</v>
      </c>
    </row>
    <row r="29" ht="31.5" spans="2:16">
      <c r="B29" s="64" t="s">
        <v>117</v>
      </c>
      <c r="C29" s="52">
        <v>2015</v>
      </c>
      <c r="D29" s="54">
        <v>40179</v>
      </c>
      <c r="E29" s="53"/>
      <c r="F29" s="55">
        <v>36951140000</v>
      </c>
      <c r="G29" s="56">
        <v>1834002799.39</v>
      </c>
      <c r="H29" s="57">
        <v>2602084962.86</v>
      </c>
      <c r="I29" s="57"/>
      <c r="J29" s="53"/>
      <c r="K29" s="56">
        <v>4436087762.25</v>
      </c>
      <c r="L29" s="57">
        <f t="shared" si="4"/>
        <v>4436087762.25</v>
      </c>
      <c r="M29" s="57" t="s">
        <v>118</v>
      </c>
      <c r="N29" s="81">
        <f t="shared" si="6"/>
        <v>0.120052798431929</v>
      </c>
      <c r="O29" s="82">
        <v>0.11</v>
      </c>
      <c r="P29" s="81">
        <f t="shared" si="5"/>
        <v>0</v>
      </c>
    </row>
    <row r="30" spans="2:16">
      <c r="B30" s="64"/>
      <c r="C30" s="52">
        <v>2016</v>
      </c>
      <c r="D30" s="54">
        <v>40179</v>
      </c>
      <c r="E30" s="53"/>
      <c r="F30" s="55">
        <v>36555540000</v>
      </c>
      <c r="G30" s="56">
        <v>4436087762.25</v>
      </c>
      <c r="H30" s="57">
        <v>3619476998.47</v>
      </c>
      <c r="I30" s="57"/>
      <c r="J30" s="53"/>
      <c r="K30" s="56">
        <v>8055564760.72</v>
      </c>
      <c r="L30" s="57">
        <f t="shared" si="4"/>
        <v>8055564760.72</v>
      </c>
      <c r="M30" s="57" t="s">
        <v>118</v>
      </c>
      <c r="N30" s="81">
        <f t="shared" si="6"/>
        <v>0.220365087226724</v>
      </c>
      <c r="O30" s="82">
        <v>0.291</v>
      </c>
      <c r="P30" s="81">
        <f t="shared" si="5"/>
        <v>0</v>
      </c>
    </row>
    <row r="31" spans="2:16">
      <c r="B31" s="64"/>
      <c r="C31" s="52">
        <v>2017</v>
      </c>
      <c r="D31" s="54">
        <v>40179</v>
      </c>
      <c r="E31" s="53"/>
      <c r="F31" s="55">
        <v>36951140000</v>
      </c>
      <c r="G31" s="56">
        <v>8055564760.72</v>
      </c>
      <c r="H31" s="57">
        <v>5070319156.64</v>
      </c>
      <c r="I31" s="57"/>
      <c r="J31" s="53"/>
      <c r="K31" s="56">
        <v>13125883917.36</v>
      </c>
      <c r="L31" s="57">
        <f t="shared" si="4"/>
        <v>13125883917.36</v>
      </c>
      <c r="M31" s="57" t="s">
        <v>118</v>
      </c>
      <c r="N31" s="81">
        <f t="shared" si="6"/>
        <v>0.355222705371472</v>
      </c>
      <c r="O31" s="82">
        <v>0.42</v>
      </c>
      <c r="P31" s="81">
        <f t="shared" si="5"/>
        <v>0</v>
      </c>
    </row>
    <row r="32" spans="2:16">
      <c r="B32" s="64"/>
      <c r="C32" s="52">
        <v>2018</v>
      </c>
      <c r="D32" s="54">
        <v>40179</v>
      </c>
      <c r="E32" s="53"/>
      <c r="F32" s="55">
        <v>36951140000</v>
      </c>
      <c r="G32" s="56">
        <v>13125883917.36</v>
      </c>
      <c r="H32" s="57">
        <v>6474234771.91</v>
      </c>
      <c r="I32" s="57"/>
      <c r="J32" s="53"/>
      <c r="K32" s="56">
        <v>19600118689.27</v>
      </c>
      <c r="L32" s="57">
        <f t="shared" si="4"/>
        <v>19600118689.27</v>
      </c>
      <c r="M32" s="57" t="s">
        <v>118</v>
      </c>
      <c r="N32" s="81">
        <f t="shared" si="6"/>
        <v>0.530433396351777</v>
      </c>
      <c r="O32" s="82">
        <v>0.53</v>
      </c>
      <c r="P32" s="81">
        <f t="shared" si="5"/>
        <v>0</v>
      </c>
    </row>
    <row r="33" spans="2:16">
      <c r="B33" s="64"/>
      <c r="C33" s="52">
        <v>2019</v>
      </c>
      <c r="D33" s="54">
        <v>40179</v>
      </c>
      <c r="E33" s="53"/>
      <c r="F33" s="55">
        <v>38954590000</v>
      </c>
      <c r="G33" s="56">
        <v>19600118689.27</v>
      </c>
      <c r="H33" s="57">
        <v>7490787785.83</v>
      </c>
      <c r="I33" s="57"/>
      <c r="J33" s="53"/>
      <c r="K33" s="56">
        <v>27090906475.1</v>
      </c>
      <c r="L33" s="57">
        <f t="shared" si="4"/>
        <v>27090906475.1</v>
      </c>
      <c r="M33" s="57" t="s">
        <v>118</v>
      </c>
      <c r="N33" s="81">
        <f t="shared" si="6"/>
        <v>0.695448379128108</v>
      </c>
      <c r="O33" s="82">
        <v>0.7</v>
      </c>
      <c r="P33" s="81">
        <f t="shared" si="5"/>
        <v>0</v>
      </c>
    </row>
    <row r="34" spans="2:16">
      <c r="B34" s="64"/>
      <c r="C34" s="52">
        <v>2020</v>
      </c>
      <c r="D34" s="54">
        <v>40179</v>
      </c>
      <c r="E34" s="53"/>
      <c r="F34" s="55">
        <v>38954590000</v>
      </c>
      <c r="G34" s="56">
        <v>27090906475.1</v>
      </c>
      <c r="H34" s="57">
        <v>3045297154.28</v>
      </c>
      <c r="I34" s="57"/>
      <c r="J34" s="53"/>
      <c r="K34" s="56">
        <v>30136203629.38</v>
      </c>
      <c r="L34" s="57">
        <f t="shared" si="4"/>
        <v>30136203629.38</v>
      </c>
      <c r="M34" s="57" t="s">
        <v>118</v>
      </c>
      <c r="N34" s="81">
        <f t="shared" si="6"/>
        <v>0.77362394596837</v>
      </c>
      <c r="O34" s="82">
        <v>0.8</v>
      </c>
      <c r="P34" s="81">
        <f t="shared" si="5"/>
        <v>0</v>
      </c>
    </row>
    <row r="35" spans="3:16">
      <c r="C35" s="52">
        <v>2021</v>
      </c>
      <c r="D35" s="54">
        <v>40179</v>
      </c>
      <c r="E35" s="53"/>
      <c r="F35" s="55">
        <v>38954590000</v>
      </c>
      <c r="G35" s="56">
        <v>30136203629.38</v>
      </c>
      <c r="H35" s="57">
        <v>2503200368.51</v>
      </c>
      <c r="I35" s="57">
        <v>18876657688.94</v>
      </c>
      <c r="J35" s="53"/>
      <c r="K35" s="56">
        <v>13762746308.95</v>
      </c>
      <c r="L35" s="57">
        <f t="shared" si="4"/>
        <v>32639403997.89</v>
      </c>
      <c r="M35" s="57" t="s">
        <v>118</v>
      </c>
      <c r="N35" s="81">
        <f t="shared" si="6"/>
        <v>0.837883391864476</v>
      </c>
      <c r="O35" s="82">
        <v>0.84</v>
      </c>
      <c r="P35" s="81">
        <f t="shared" si="5"/>
        <v>0.578339533716985</v>
      </c>
    </row>
    <row r="36" spans="1:16">
      <c r="A36" t="s">
        <v>119</v>
      </c>
      <c r="B36" s="6" t="s">
        <v>120</v>
      </c>
      <c r="C36" s="47">
        <v>2019</v>
      </c>
      <c r="F36" s="50">
        <v>33000000000</v>
      </c>
      <c r="G36" s="51">
        <v>484653142.75</v>
      </c>
      <c r="H36" s="22">
        <v>20411015.83</v>
      </c>
      <c r="I36" s="22"/>
      <c r="J36" s="22"/>
      <c r="K36" s="51">
        <v>505064158.58</v>
      </c>
      <c r="L36" s="22">
        <f>H36+G36</f>
        <v>505064158.58</v>
      </c>
      <c r="M36" s="22"/>
      <c r="N36" s="17">
        <f>L36/F36</f>
        <v>0.0153049745024242</v>
      </c>
      <c r="O36" s="83">
        <v>0.01</v>
      </c>
      <c r="P36" s="17">
        <f>I36/L36</f>
        <v>0</v>
      </c>
    </row>
    <row r="37" spans="2:16">
      <c r="B37" s="6"/>
      <c r="C37" s="47">
        <v>2020</v>
      </c>
      <c r="F37" s="50">
        <v>33000000000</v>
      </c>
      <c r="G37" s="51">
        <v>505064158.58</v>
      </c>
      <c r="H37" s="22">
        <v>20901316.89</v>
      </c>
      <c r="I37" s="22"/>
      <c r="J37" s="22"/>
      <c r="K37" s="51">
        <v>525965475.47</v>
      </c>
      <c r="L37" s="22">
        <f>H37+G37</f>
        <v>525965475.47</v>
      </c>
      <c r="M37" s="22"/>
      <c r="N37" s="17">
        <f>L37/F37</f>
        <v>0.0159383477415151</v>
      </c>
      <c r="O37" s="83">
        <v>0.02</v>
      </c>
      <c r="P37" s="17">
        <f>I37/L37</f>
        <v>0</v>
      </c>
    </row>
    <row r="38" spans="2:16">
      <c r="B38" s="6" t="s">
        <v>121</v>
      </c>
      <c r="C38" s="47">
        <v>2016</v>
      </c>
      <c r="F38" s="50">
        <v>85770000</v>
      </c>
      <c r="G38" s="51"/>
      <c r="H38" s="22">
        <v>13450000</v>
      </c>
      <c r="I38" s="22"/>
      <c r="J38" s="22"/>
      <c r="K38" s="51">
        <v>13450000</v>
      </c>
      <c r="L38" s="22">
        <f>H38+G38</f>
        <v>13450000</v>
      </c>
      <c r="M38" s="22"/>
      <c r="N38" s="17">
        <f>L38/F38</f>
        <v>0.15681473708756</v>
      </c>
      <c r="O38" s="88">
        <v>0.15</v>
      </c>
      <c r="P38" s="17">
        <f>I38/L38</f>
        <v>0</v>
      </c>
    </row>
    <row r="39" spans="2:16">
      <c r="B39" s="6" t="s">
        <v>121</v>
      </c>
      <c r="C39" s="47">
        <v>2017</v>
      </c>
      <c r="F39" s="50">
        <v>22185540</v>
      </c>
      <c r="G39" s="51">
        <v>13450000</v>
      </c>
      <c r="H39" s="22">
        <v>1350000</v>
      </c>
      <c r="I39" s="22"/>
      <c r="J39" s="22"/>
      <c r="K39" s="51">
        <v>14800000</v>
      </c>
      <c r="L39" s="22">
        <f>H39+G39</f>
        <v>14800000</v>
      </c>
      <c r="M39" s="22"/>
      <c r="N39" s="17">
        <f>L39/F39</f>
        <v>0.667101183924304</v>
      </c>
      <c r="O39" s="88">
        <v>0.7</v>
      </c>
      <c r="P39" s="17">
        <f>I39/L39</f>
        <v>0</v>
      </c>
    </row>
    <row r="40" spans="3:16">
      <c r="C40" s="47">
        <v>2018</v>
      </c>
      <c r="F40" s="50">
        <v>22185540</v>
      </c>
      <c r="G40" s="51">
        <v>14800000</v>
      </c>
      <c r="H40" s="22">
        <v>2619000</v>
      </c>
      <c r="I40" s="22"/>
      <c r="J40" s="22"/>
      <c r="K40" s="51">
        <v>17419000</v>
      </c>
      <c r="L40" s="22">
        <f>H40+L39</f>
        <v>17419000</v>
      </c>
      <c r="M40" s="22"/>
      <c r="N40" s="17">
        <f>L40/F40</f>
        <v>0.785151048836314</v>
      </c>
      <c r="O40" s="88">
        <v>0.7</v>
      </c>
      <c r="P40" s="17">
        <f>I40/L40</f>
        <v>0</v>
      </c>
    </row>
    <row r="41" spans="3:16">
      <c r="C41" s="47">
        <v>2019</v>
      </c>
      <c r="F41" s="50">
        <v>22185540</v>
      </c>
      <c r="G41" s="51">
        <v>17419000</v>
      </c>
      <c r="H41" s="22">
        <v>3958209</v>
      </c>
      <c r="I41" s="22"/>
      <c r="J41" s="22"/>
      <c r="K41" s="51">
        <v>21377209</v>
      </c>
      <c r="L41" s="22">
        <f>H41+L40</f>
        <v>21377209</v>
      </c>
      <c r="M41" s="22"/>
      <c r="N41" s="17">
        <f t="shared" ref="N41:N46" si="7">L41/F41</f>
        <v>0.963564961682249</v>
      </c>
      <c r="O41" s="88">
        <v>0.8</v>
      </c>
      <c r="P41" s="17">
        <f t="shared" ref="P41:P46" si="8">I41/L41</f>
        <v>0</v>
      </c>
    </row>
    <row r="42" spans="3:16">
      <c r="C42" s="47">
        <v>2020</v>
      </c>
      <c r="F42" s="50">
        <v>22185540</v>
      </c>
      <c r="G42" s="51">
        <v>21377209</v>
      </c>
      <c r="H42" s="22">
        <v>578660</v>
      </c>
      <c r="I42" s="22">
        <v>21955869</v>
      </c>
      <c r="J42" s="22"/>
      <c r="K42" s="51"/>
      <c r="L42" s="22">
        <f>H42+L41</f>
        <v>21955869</v>
      </c>
      <c r="M42" s="22"/>
      <c r="N42" s="17">
        <f t="shared" si="7"/>
        <v>0.989647716485603</v>
      </c>
      <c r="O42" s="88">
        <v>1</v>
      </c>
      <c r="P42" s="17">
        <f t="shared" si="8"/>
        <v>1</v>
      </c>
    </row>
    <row r="43" ht="31.5" spans="2:16">
      <c r="B43" s="6" t="s">
        <v>122</v>
      </c>
      <c r="C43" s="47">
        <v>2019</v>
      </c>
      <c r="F43" s="50">
        <v>38858885.3</v>
      </c>
      <c r="G43" s="51">
        <v>700000</v>
      </c>
      <c r="H43" s="22">
        <v>34855744.5</v>
      </c>
      <c r="I43" s="22">
        <v>29054143.3</v>
      </c>
      <c r="J43" s="22">
        <v>5162761.2</v>
      </c>
      <c r="K43" s="51">
        <v>1338840</v>
      </c>
      <c r="L43" s="22">
        <f t="shared" ref="L43:L46" si="9">H43+G43</f>
        <v>35555744.5</v>
      </c>
      <c r="M43" s="22">
        <f t="shared" ref="M43:M46" si="10">I43</f>
        <v>29054143.3</v>
      </c>
      <c r="N43" s="17">
        <f t="shared" si="7"/>
        <v>0.914996511750171</v>
      </c>
      <c r="O43" s="88">
        <v>0.9</v>
      </c>
      <c r="P43" s="17">
        <f t="shared" si="8"/>
        <v>0.817143437961199</v>
      </c>
    </row>
    <row r="44" ht="31.5" spans="2:16">
      <c r="B44" s="6" t="s">
        <v>123</v>
      </c>
      <c r="C44" s="47">
        <v>2020</v>
      </c>
      <c r="F44" s="50">
        <v>28383000</v>
      </c>
      <c r="G44" s="51">
        <v>1338840</v>
      </c>
      <c r="H44" s="22">
        <v>18392930.05</v>
      </c>
      <c r="I44" s="22">
        <v>14372889.7</v>
      </c>
      <c r="J44" s="22">
        <v>5358880.35</v>
      </c>
      <c r="K44" s="51"/>
      <c r="L44" s="22">
        <f>H44</f>
        <v>18392930.05</v>
      </c>
      <c r="M44" s="22">
        <f>I44+M43</f>
        <v>43427033</v>
      </c>
      <c r="N44" s="17">
        <f t="shared" si="7"/>
        <v>0.648026285100236</v>
      </c>
      <c r="O44" s="88">
        <v>1</v>
      </c>
      <c r="P44" s="17">
        <f t="shared" si="8"/>
        <v>0.781435565781429</v>
      </c>
    </row>
    <row r="45" spans="1:16">
      <c r="A45" s="69" t="s">
        <v>124</v>
      </c>
      <c r="B45" s="6" t="s">
        <v>125</v>
      </c>
      <c r="C45" s="47">
        <v>2015</v>
      </c>
      <c r="F45" s="22">
        <v>42958680000</v>
      </c>
      <c r="G45" s="51">
        <v>4642566802.54</v>
      </c>
      <c r="H45" s="22">
        <v>1551053905.38</v>
      </c>
      <c r="K45" s="51">
        <v>6193620707.92</v>
      </c>
      <c r="L45" s="22">
        <f t="shared" si="9"/>
        <v>6193620707.92</v>
      </c>
      <c r="M45" s="22">
        <f t="shared" si="10"/>
        <v>0</v>
      </c>
      <c r="N45" s="17">
        <f t="shared" si="7"/>
        <v>0.144176234184104</v>
      </c>
      <c r="O45" s="17">
        <v>0.15</v>
      </c>
      <c r="P45" s="17">
        <f t="shared" si="8"/>
        <v>0</v>
      </c>
    </row>
    <row r="46" spans="3:16">
      <c r="C46" s="47">
        <v>2016</v>
      </c>
      <c r="F46" s="22">
        <v>37520090000</v>
      </c>
      <c r="G46" s="51">
        <v>6193620707.92</v>
      </c>
      <c r="H46" s="22">
        <v>734217735.04</v>
      </c>
      <c r="I46"/>
      <c r="K46" s="51">
        <v>6927838442.96</v>
      </c>
      <c r="L46" s="22">
        <f t="shared" si="9"/>
        <v>6927838442.96</v>
      </c>
      <c r="M46" s="22">
        <f t="shared" si="10"/>
        <v>0</v>
      </c>
      <c r="N46" s="17">
        <f t="shared" si="7"/>
        <v>0.184643438833969</v>
      </c>
      <c r="O46" s="17">
        <v>0.191</v>
      </c>
      <c r="P46" s="17">
        <f t="shared" si="8"/>
        <v>0</v>
      </c>
    </row>
    <row r="47" spans="3:16">
      <c r="C47" s="47">
        <v>2017</v>
      </c>
      <c r="D47">
        <v>2011</v>
      </c>
      <c r="F47" s="50">
        <v>41306670000</v>
      </c>
      <c r="G47" s="51">
        <v>6927838442.96</v>
      </c>
      <c r="H47" s="22">
        <v>1166865401.52</v>
      </c>
      <c r="I47" s="22"/>
      <c r="K47" s="51">
        <v>8094703844.48</v>
      </c>
      <c r="L47" s="22">
        <f>H47+G47</f>
        <v>8094703844.48</v>
      </c>
      <c r="M47" s="22">
        <f>I47</f>
        <v>0</v>
      </c>
      <c r="N47" s="17">
        <f>L47/F47</f>
        <v>0.195966023029211</v>
      </c>
      <c r="O47" s="79">
        <v>0.2</v>
      </c>
      <c r="P47" s="17">
        <f>I47/L47</f>
        <v>0</v>
      </c>
    </row>
    <row r="48" spans="3:16">
      <c r="C48" s="47">
        <v>2018</v>
      </c>
      <c r="D48">
        <v>2011</v>
      </c>
      <c r="F48" s="50">
        <v>41306680000</v>
      </c>
      <c r="G48" s="51">
        <v>8094703844.48</v>
      </c>
      <c r="H48" s="22">
        <v>777872458.1</v>
      </c>
      <c r="I48" s="22">
        <v>4855071.21</v>
      </c>
      <c r="K48" s="51">
        <v>8867721231.37</v>
      </c>
      <c r="L48" s="22">
        <f>H48+G48</f>
        <v>8872576302.58</v>
      </c>
      <c r="M48" s="22">
        <f>I48</f>
        <v>4855071.21</v>
      </c>
      <c r="N48" s="17">
        <f>L48/F48</f>
        <v>0.214797613910873</v>
      </c>
      <c r="O48" s="79">
        <v>0.2</v>
      </c>
      <c r="P48" s="17">
        <f>I48/L48</f>
        <v>0.000547199713412239</v>
      </c>
    </row>
    <row r="49" spans="3:16">
      <c r="C49" s="47">
        <v>2019</v>
      </c>
      <c r="D49">
        <v>2011</v>
      </c>
      <c r="E49"/>
      <c r="F49" s="50">
        <v>43721840000</v>
      </c>
      <c r="G49" s="51">
        <v>8867721231.37</v>
      </c>
      <c r="H49" s="22">
        <v>634739001.82</v>
      </c>
      <c r="I49" s="22"/>
      <c r="J49"/>
      <c r="K49" s="51">
        <v>9502460233.19</v>
      </c>
      <c r="L49" s="22">
        <f>H49+G49</f>
        <v>9502460233.19</v>
      </c>
      <c r="M49" s="22">
        <f>I49</f>
        <v>0</v>
      </c>
      <c r="N49" s="17">
        <f>L49/F49</f>
        <v>0.217338982833065</v>
      </c>
      <c r="O49" s="79">
        <v>0.2</v>
      </c>
      <c r="P49" s="17">
        <f>I49/L49</f>
        <v>0</v>
      </c>
    </row>
    <row r="50" spans="3:16">
      <c r="C50" s="52">
        <v>2020</v>
      </c>
      <c r="D50" s="53">
        <v>2011</v>
      </c>
      <c r="E50" s="53"/>
      <c r="F50" s="55">
        <v>41306680000</v>
      </c>
      <c r="G50" s="56">
        <v>9502460233.19</v>
      </c>
      <c r="H50" s="57">
        <v>722335647.64</v>
      </c>
      <c r="I50" s="57"/>
      <c r="J50" s="53"/>
      <c r="K50" s="56">
        <v>10224795880.83</v>
      </c>
      <c r="L50" s="57">
        <f>H50+G50</f>
        <v>10224795880.83</v>
      </c>
      <c r="M50" s="57">
        <f>I50</f>
        <v>0</v>
      </c>
      <c r="N50" s="81">
        <f>L50/F50</f>
        <v>0.247533713211277</v>
      </c>
      <c r="O50" s="82">
        <v>0.25</v>
      </c>
      <c r="P50" s="81">
        <f>I50/L50</f>
        <v>0</v>
      </c>
    </row>
    <row r="51" spans="3:16">
      <c r="C51" s="52">
        <v>2021</v>
      </c>
      <c r="D51" s="53">
        <v>2011</v>
      </c>
      <c r="E51" s="53"/>
      <c r="F51" s="55">
        <v>41306680000</v>
      </c>
      <c r="G51" s="56">
        <v>10224795880.83</v>
      </c>
      <c r="H51" s="57">
        <v>798292369.08</v>
      </c>
      <c r="I51" s="57">
        <v>321298429.53</v>
      </c>
      <c r="J51" s="53"/>
      <c r="K51" s="56">
        <v>10701789820.38</v>
      </c>
      <c r="L51" s="57">
        <f>H51+G51</f>
        <v>11023088249.91</v>
      </c>
      <c r="M51" s="57">
        <f>I51</f>
        <v>321298429.53</v>
      </c>
      <c r="N51" s="81">
        <f t="shared" ref="N51:N56" si="11">L51/F51</f>
        <v>0.266859700414316</v>
      </c>
      <c r="O51" s="82">
        <v>0.26</v>
      </c>
      <c r="P51" s="81">
        <f>I51/L51</f>
        <v>0.029147768959631</v>
      </c>
    </row>
    <row r="52" spans="2:16">
      <c r="B52" s="6" t="s">
        <v>126</v>
      </c>
      <c r="C52" s="47">
        <v>2019</v>
      </c>
      <c r="F52" s="70">
        <v>52894650000</v>
      </c>
      <c r="G52" s="51">
        <v>4768383.24</v>
      </c>
      <c r="H52" s="22">
        <v>312519188.81</v>
      </c>
      <c r="I52" s="22"/>
      <c r="J52" s="22"/>
      <c r="K52" s="51">
        <v>317287572.05</v>
      </c>
      <c r="L52" s="22">
        <f t="shared" ref="L52:L54" si="12">H52+G52</f>
        <v>317287572.05</v>
      </c>
      <c r="M52" s="22">
        <f t="shared" ref="M52:M54" si="13">I52</f>
        <v>0</v>
      </c>
      <c r="N52" s="17">
        <f t="shared" si="11"/>
        <v>0.00599848135964601</v>
      </c>
      <c r="O52" s="89">
        <v>0.01</v>
      </c>
      <c r="P52" s="17">
        <f t="shared" ref="P52:P56" si="14">M52/L52</f>
        <v>0</v>
      </c>
    </row>
    <row r="53" spans="3:16">
      <c r="C53" s="52">
        <v>2020</v>
      </c>
      <c r="D53" s="53"/>
      <c r="E53" s="53"/>
      <c r="F53" s="71">
        <v>52894650000</v>
      </c>
      <c r="G53" s="56">
        <v>317287572.05</v>
      </c>
      <c r="H53" s="57">
        <v>2948353577.74</v>
      </c>
      <c r="I53" s="57"/>
      <c r="J53" s="57"/>
      <c r="K53" s="56">
        <v>3265641149.79</v>
      </c>
      <c r="L53" s="57">
        <f t="shared" si="12"/>
        <v>3265641149.79</v>
      </c>
      <c r="M53" s="57">
        <f t="shared" si="13"/>
        <v>0</v>
      </c>
      <c r="N53" s="81">
        <f t="shared" si="11"/>
        <v>0.0617385907608804</v>
      </c>
      <c r="O53" s="90">
        <v>0.06</v>
      </c>
      <c r="P53" s="81">
        <f t="shared" si="14"/>
        <v>0</v>
      </c>
    </row>
    <row r="54" spans="3:16">
      <c r="C54" s="52">
        <v>2021</v>
      </c>
      <c r="D54" s="53"/>
      <c r="E54" s="53"/>
      <c r="F54" s="71">
        <v>52897650000</v>
      </c>
      <c r="G54" s="56">
        <v>3265641149.79</v>
      </c>
      <c r="H54" s="57">
        <v>2800447604.11</v>
      </c>
      <c r="I54" s="57"/>
      <c r="J54" s="57"/>
      <c r="K54" s="56">
        <v>6066088753.9</v>
      </c>
      <c r="L54" s="57">
        <f t="shared" si="12"/>
        <v>6066088753.9</v>
      </c>
      <c r="M54" s="57">
        <f t="shared" si="13"/>
        <v>0</v>
      </c>
      <c r="N54" s="81">
        <f t="shared" si="11"/>
        <v>0.114675959213689</v>
      </c>
      <c r="O54" s="90">
        <v>0.11</v>
      </c>
      <c r="P54" s="81">
        <f t="shared" si="14"/>
        <v>0</v>
      </c>
    </row>
    <row r="55" spans="1:16">
      <c r="A55" t="s">
        <v>127</v>
      </c>
      <c r="B55" s="72" t="s">
        <v>128</v>
      </c>
      <c r="C55" s="73">
        <v>2015</v>
      </c>
      <c r="D55" s="69"/>
      <c r="E55" s="69"/>
      <c r="F55" s="74">
        <v>40826330000</v>
      </c>
      <c r="G55" s="75">
        <v>34527760001.21</v>
      </c>
      <c r="H55" s="75">
        <v>4119484841.61</v>
      </c>
      <c r="I55" s="75">
        <v>13532270.42</v>
      </c>
      <c r="J55" s="75"/>
      <c r="K55" s="75">
        <v>38633712572.4</v>
      </c>
      <c r="L55" s="75">
        <f>H55+G55</f>
        <v>38647244842.82</v>
      </c>
      <c r="M55" s="75">
        <f>I55</f>
        <v>13532270.42</v>
      </c>
      <c r="N55" s="91">
        <f t="shared" si="11"/>
        <v>0.946625494939663</v>
      </c>
      <c r="O55" s="92">
        <v>0.9499</v>
      </c>
      <c r="P55" s="91">
        <f t="shared" si="14"/>
        <v>0.000350148386386567</v>
      </c>
    </row>
    <row r="56" spans="2:16">
      <c r="B56" s="76"/>
      <c r="C56" s="73">
        <v>2016</v>
      </c>
      <c r="D56" s="69"/>
      <c r="E56" s="69"/>
      <c r="F56" s="74">
        <v>40826330000</v>
      </c>
      <c r="G56" s="75">
        <v>38633712572.4</v>
      </c>
      <c r="H56" s="75">
        <v>4023231367.11</v>
      </c>
      <c r="I56" s="75">
        <v>671490.02</v>
      </c>
      <c r="J56" s="75"/>
      <c r="K56" s="75">
        <v>42656272449.49</v>
      </c>
      <c r="L56" s="75">
        <f>H56+G56+M55</f>
        <v>42670476209.93</v>
      </c>
      <c r="M56" s="75">
        <f>I56+M55</f>
        <v>14203760.44</v>
      </c>
      <c r="N56" s="91">
        <f t="shared" si="11"/>
        <v>1.04517051152847</v>
      </c>
      <c r="O56" s="92">
        <v>0.99</v>
      </c>
      <c r="P56" s="91">
        <f t="shared" si="14"/>
        <v>0.000332870914543358</v>
      </c>
    </row>
    <row r="57" spans="2:16">
      <c r="B57" s="76"/>
      <c r="C57" s="73">
        <v>2017</v>
      </c>
      <c r="D57" s="69"/>
      <c r="E57" s="69"/>
      <c r="F57" s="74">
        <v>53739010000</v>
      </c>
      <c r="G57" s="75">
        <v>42656272449.49</v>
      </c>
      <c r="H57" s="75">
        <v>2549435676.28</v>
      </c>
      <c r="I57" s="75">
        <v>2812571.85</v>
      </c>
      <c r="J57" s="75"/>
      <c r="K57" s="75">
        <v>45202895553.92</v>
      </c>
      <c r="L57" s="75">
        <f>H57+G57+M56</f>
        <v>45219911886.21</v>
      </c>
      <c r="M57" s="75">
        <f>I57+M56</f>
        <v>17016332.29</v>
      </c>
      <c r="N57" s="91">
        <f>L57/F57</f>
        <v>0.841472738076306</v>
      </c>
      <c r="O57" s="92">
        <v>0.99</v>
      </c>
      <c r="P57" s="91">
        <f>M57/L57</f>
        <v>0.000376301756907872</v>
      </c>
    </row>
    <row r="58" spans="2:16">
      <c r="B58" s="76"/>
      <c r="C58" s="65">
        <v>2018</v>
      </c>
      <c r="D58" s="43"/>
      <c r="E58" s="43"/>
      <c r="F58" s="77">
        <v>53739010000</v>
      </c>
      <c r="G58" s="68">
        <v>45202895553.92</v>
      </c>
      <c r="H58" s="68">
        <v>5068054552.85</v>
      </c>
      <c r="I58" s="68">
        <v>50269157140.12</v>
      </c>
      <c r="J58" s="68">
        <v>1792966.65</v>
      </c>
      <c r="K58" s="68">
        <v>0</v>
      </c>
      <c r="L58" s="68">
        <f>H58+G58+M57</f>
        <v>50287966439.06</v>
      </c>
      <c r="M58" s="68">
        <f>I58+M57</f>
        <v>50286173472.41</v>
      </c>
      <c r="N58" s="87">
        <f t="shared" ref="N58:N60" si="15">L58/F58</f>
        <v>0.935781407939223</v>
      </c>
      <c r="O58" s="83">
        <v>1</v>
      </c>
      <c r="P58" s="87">
        <f t="shared" ref="P58:P60" si="16">M58/L58</f>
        <v>0.999964346010051</v>
      </c>
    </row>
    <row r="59" spans="2:16">
      <c r="B59" s="6" t="s">
        <v>129</v>
      </c>
      <c r="C59" s="47">
        <v>2016</v>
      </c>
      <c r="F59" s="70"/>
      <c r="G59" s="51">
        <v>3123181916.44</v>
      </c>
      <c r="H59" s="22">
        <v>1408085327.04</v>
      </c>
      <c r="I59" s="22"/>
      <c r="J59" s="22"/>
      <c r="K59" s="51">
        <v>4531267243.48</v>
      </c>
      <c r="L59" s="22">
        <f>H59+L53</f>
        <v>4673726476.83</v>
      </c>
      <c r="M59" s="22">
        <f>I59+M53</f>
        <v>0</v>
      </c>
      <c r="N59" s="17" t="e">
        <f t="shared" si="15"/>
        <v>#DIV/0!</v>
      </c>
      <c r="O59" s="89"/>
      <c r="P59" s="17">
        <f t="shared" si="16"/>
        <v>0</v>
      </c>
    </row>
    <row r="60" spans="3:16">
      <c r="C60" s="47">
        <v>2017</v>
      </c>
      <c r="F60" s="70"/>
      <c r="G60" s="51">
        <v>4531267243.48</v>
      </c>
      <c r="H60" s="22">
        <v>852601327.82</v>
      </c>
      <c r="I60" s="22"/>
      <c r="J60" s="22"/>
      <c r="K60" s="51">
        <v>5383868571.3</v>
      </c>
      <c r="L60" s="22">
        <f>H60+L54</f>
        <v>6918690081.72</v>
      </c>
      <c r="M60" s="22">
        <f>I60+M54</f>
        <v>0</v>
      </c>
      <c r="N60" s="17" t="e">
        <f t="shared" si="15"/>
        <v>#DIV/0!</v>
      </c>
      <c r="O60" s="89"/>
      <c r="P60" s="17">
        <f t="shared" si="16"/>
        <v>0</v>
      </c>
    </row>
    <row r="61" spans="3:16">
      <c r="C61" s="47">
        <v>2018</v>
      </c>
      <c r="F61" s="70"/>
      <c r="G61" s="51">
        <v>5383868571.3</v>
      </c>
      <c r="H61" s="22">
        <v>939614197.42</v>
      </c>
      <c r="I61" s="22"/>
      <c r="J61" s="22"/>
      <c r="K61" s="51">
        <v>6323482768.72</v>
      </c>
      <c r="L61" s="22">
        <f>H61+L54</f>
        <v>7005702951.32</v>
      </c>
      <c r="M61" s="22">
        <f>I61+M54</f>
        <v>0</v>
      </c>
      <c r="N61" s="17" t="e">
        <f t="shared" ref="N61:N66" si="17">L61/F61</f>
        <v>#DIV/0!</v>
      </c>
      <c r="O61" s="89"/>
      <c r="P61" s="17">
        <f>M61/L61</f>
        <v>0</v>
      </c>
    </row>
    <row r="62" spans="3:16">
      <c r="C62" s="47">
        <v>2019</v>
      </c>
      <c r="F62" s="70"/>
      <c r="G62" s="51">
        <v>6323482768.72</v>
      </c>
      <c r="H62" s="22">
        <v>1118624450.68</v>
      </c>
      <c r="I62" s="22"/>
      <c r="J62" s="22"/>
      <c r="K62" s="51">
        <v>7442107219.4</v>
      </c>
      <c r="L62" s="22">
        <f>H62+L54</f>
        <v>7184713204.58</v>
      </c>
      <c r="M62" s="22">
        <f>I62+M54</f>
        <v>0</v>
      </c>
      <c r="N62" s="17" t="e">
        <f t="shared" si="17"/>
        <v>#DIV/0!</v>
      </c>
      <c r="O62" s="89"/>
      <c r="P62" s="17">
        <f>M62/L62</f>
        <v>0</v>
      </c>
    </row>
    <row r="63" spans="3:16">
      <c r="C63" s="47">
        <v>2020</v>
      </c>
      <c r="F63" s="70"/>
      <c r="G63" s="51">
        <v>7442107219.4</v>
      </c>
      <c r="H63" s="22">
        <v>1132924703.46</v>
      </c>
      <c r="I63" s="22"/>
      <c r="J63" s="22"/>
      <c r="K63" s="51">
        <v>8575031922.86</v>
      </c>
      <c r="L63" s="22">
        <f>H63+L53</f>
        <v>4398565853.25</v>
      </c>
      <c r="M63" s="22">
        <f>I63+M53</f>
        <v>0</v>
      </c>
      <c r="N63" s="17" t="e">
        <f t="shared" si="17"/>
        <v>#DIV/0!</v>
      </c>
      <c r="O63" s="89"/>
      <c r="P63" s="17">
        <f>M63/L63</f>
        <v>0</v>
      </c>
    </row>
    <row r="64" spans="3:16">
      <c r="C64" s="47">
        <v>2021</v>
      </c>
      <c r="F64" s="70"/>
      <c r="G64" s="51">
        <v>8575031922.86</v>
      </c>
      <c r="H64" s="22">
        <v>2065422917.92</v>
      </c>
      <c r="I64" s="22">
        <v>126312117.46</v>
      </c>
      <c r="J64" s="22"/>
      <c r="K64" s="51">
        <v>10514142723.32</v>
      </c>
      <c r="L64" s="22">
        <f>H64+L53</f>
        <v>5331064067.71</v>
      </c>
      <c r="M64" s="22">
        <f>I64+M53</f>
        <v>126312117.46</v>
      </c>
      <c r="N64" s="17" t="e">
        <f t="shared" si="17"/>
        <v>#DIV/0!</v>
      </c>
      <c r="O64" s="89"/>
      <c r="P64" s="17">
        <f>M64/L64</f>
        <v>0.0236936033511708</v>
      </c>
    </row>
    <row r="65" spans="1:16">
      <c r="A65" s="69" t="s">
        <v>130</v>
      </c>
      <c r="B65" s="72" t="s">
        <v>131</v>
      </c>
      <c r="C65" s="73">
        <v>2015</v>
      </c>
      <c r="D65" s="69">
        <v>2011</v>
      </c>
      <c r="E65" s="69"/>
      <c r="F65" s="93">
        <v>40698000000</v>
      </c>
      <c r="G65" s="75">
        <v>10279118505.05</v>
      </c>
      <c r="H65" s="75">
        <v>6210868839.2</v>
      </c>
      <c r="I65" s="75"/>
      <c r="J65" s="69"/>
      <c r="K65" s="75">
        <v>16489987344.25</v>
      </c>
      <c r="L65" s="75">
        <f>H65+G65</f>
        <v>16489987344.25</v>
      </c>
      <c r="M65" s="75">
        <f>I65</f>
        <v>0</v>
      </c>
      <c r="N65" s="91">
        <f t="shared" si="17"/>
        <v>0.405179304738562</v>
      </c>
      <c r="O65" s="92">
        <v>0.4756</v>
      </c>
      <c r="P65" s="91">
        <f>I65/L65</f>
        <v>0</v>
      </c>
    </row>
    <row r="66" spans="2:16">
      <c r="B66" s="94"/>
      <c r="C66" s="73">
        <v>2016</v>
      </c>
      <c r="D66" s="69">
        <v>2011</v>
      </c>
      <c r="E66" s="69"/>
      <c r="F66" s="93">
        <v>40697560000</v>
      </c>
      <c r="G66" s="75">
        <v>16489987344.25</v>
      </c>
      <c r="H66" s="75">
        <v>7961985853.19</v>
      </c>
      <c r="I66" s="75"/>
      <c r="J66" s="69"/>
      <c r="K66" s="75">
        <v>24451973197.44</v>
      </c>
      <c r="L66" s="75">
        <f>H66+G66</f>
        <v>24451973197.44</v>
      </c>
      <c r="M66" s="75">
        <f>I66</f>
        <v>0</v>
      </c>
      <c r="N66" s="91">
        <f t="shared" si="17"/>
        <v>0.600821602018401</v>
      </c>
      <c r="O66" s="92">
        <v>0.647</v>
      </c>
      <c r="P66" s="91">
        <f>I66/L66</f>
        <v>0</v>
      </c>
    </row>
    <row r="67" spans="2:16">
      <c r="B67" s="94"/>
      <c r="C67" s="73">
        <v>2017</v>
      </c>
      <c r="D67" s="69">
        <v>2011</v>
      </c>
      <c r="E67" s="69"/>
      <c r="F67" s="93">
        <v>43306720000</v>
      </c>
      <c r="G67" s="75">
        <v>24451973197.44</v>
      </c>
      <c r="H67" s="75">
        <v>5721069153.05</v>
      </c>
      <c r="I67" s="75"/>
      <c r="J67" s="69"/>
      <c r="K67" s="75">
        <v>30173042350.49</v>
      </c>
      <c r="L67" s="75">
        <f>H67+G67</f>
        <v>30173042350.49</v>
      </c>
      <c r="M67" s="75">
        <f>I67</f>
        <v>0</v>
      </c>
      <c r="N67" s="91">
        <f>L67/F67</f>
        <v>0.696728876037945</v>
      </c>
      <c r="O67" s="92">
        <v>0.77</v>
      </c>
      <c r="P67" s="91">
        <f>I67/L67</f>
        <v>0</v>
      </c>
    </row>
    <row r="68" spans="2:16">
      <c r="B68" s="94"/>
      <c r="C68" s="65">
        <v>2018</v>
      </c>
      <c r="D68" s="43">
        <v>2011</v>
      </c>
      <c r="E68" s="43"/>
      <c r="F68" s="95">
        <v>43306720000</v>
      </c>
      <c r="G68" s="68">
        <v>30173042350.49</v>
      </c>
      <c r="H68" s="68">
        <v>7250292853.52</v>
      </c>
      <c r="I68" s="68">
        <v>37423335204.01</v>
      </c>
      <c r="J68" s="43"/>
      <c r="K68" s="68">
        <v>0</v>
      </c>
      <c r="L68" s="68">
        <f>H68+G68</f>
        <v>37423335204.01</v>
      </c>
      <c r="M68" s="68">
        <f>I68+M55</f>
        <v>37436867474.43</v>
      </c>
      <c r="N68" s="87">
        <f t="shared" ref="N68:N70" si="18">L68/F68</f>
        <v>0.864146146464336</v>
      </c>
      <c r="O68" s="83">
        <v>1</v>
      </c>
      <c r="P68" s="87">
        <f>I68/L68</f>
        <v>1</v>
      </c>
    </row>
    <row r="69" spans="2:16">
      <c r="B69" s="6" t="s">
        <v>132</v>
      </c>
      <c r="C69" s="47">
        <v>2016</v>
      </c>
      <c r="D69">
        <v>2011</v>
      </c>
      <c r="F69" s="96">
        <v>28501910000</v>
      </c>
      <c r="G69" s="51">
        <v>3538623827.33</v>
      </c>
      <c r="H69" s="22">
        <v>2419730951.15</v>
      </c>
      <c r="I69" s="22"/>
      <c r="K69" s="51">
        <v>5958354778.48</v>
      </c>
      <c r="L69" s="22">
        <f>H69+G69</f>
        <v>5958354778.48</v>
      </c>
      <c r="M69" s="22">
        <f>I69</f>
        <v>0</v>
      </c>
      <c r="N69" s="17">
        <f t="shared" si="18"/>
        <v>0.209051069857424</v>
      </c>
      <c r="O69" s="79">
        <v>0.2081</v>
      </c>
      <c r="P69" s="17">
        <f>I69/L69</f>
        <v>0</v>
      </c>
    </row>
    <row r="70" spans="3:16">
      <c r="C70" s="47">
        <v>2017</v>
      </c>
      <c r="D70">
        <v>2011</v>
      </c>
      <c r="F70" s="96">
        <v>30385930000</v>
      </c>
      <c r="G70" s="51">
        <v>5958354778.48</v>
      </c>
      <c r="H70" s="22">
        <v>4262182532.89</v>
      </c>
      <c r="I70" s="22"/>
      <c r="K70" s="51">
        <v>10220537311.37</v>
      </c>
      <c r="L70" s="22">
        <f>H70+G70</f>
        <v>10220537311.37</v>
      </c>
      <c r="M70" s="22">
        <f>I70</f>
        <v>0</v>
      </c>
      <c r="N70" s="17">
        <f t="shared" si="18"/>
        <v>0.336357561258451</v>
      </c>
      <c r="O70" s="79">
        <v>0.36</v>
      </c>
      <c r="P70" s="17">
        <f>I70/L70</f>
        <v>0</v>
      </c>
    </row>
    <row r="71" spans="3:16">
      <c r="C71" s="47">
        <v>2018</v>
      </c>
      <c r="D71">
        <v>2011</v>
      </c>
      <c r="F71" s="96">
        <v>30385930000</v>
      </c>
      <c r="G71" s="51">
        <v>10220537311.37</v>
      </c>
      <c r="H71" s="22">
        <v>5195319539.63</v>
      </c>
      <c r="I71" s="22"/>
      <c r="K71" s="51">
        <v>15415856851</v>
      </c>
      <c r="L71" s="22">
        <f>H71+G71</f>
        <v>15415856851</v>
      </c>
      <c r="M71" s="22">
        <f>I71+M57</f>
        <v>17016332.29</v>
      </c>
      <c r="N71" s="17">
        <f>L71/F71</f>
        <v>0.507335363801602</v>
      </c>
      <c r="O71" s="79">
        <v>0.5</v>
      </c>
      <c r="P71" s="17">
        <f>I71/L71</f>
        <v>0</v>
      </c>
    </row>
    <row r="72" spans="3:16">
      <c r="C72" s="47">
        <v>2019</v>
      </c>
      <c r="D72">
        <v>2011</v>
      </c>
      <c r="F72" s="96">
        <v>30385930000</v>
      </c>
      <c r="G72" s="51">
        <v>15415856851</v>
      </c>
      <c r="H72" s="22">
        <v>6392389450.04</v>
      </c>
      <c r="I72" s="22"/>
      <c r="K72" s="51">
        <v>21808246301.04</v>
      </c>
      <c r="L72" s="22">
        <f>H72+G72</f>
        <v>21808246301.04</v>
      </c>
      <c r="M72" s="22">
        <f>I72+M59</f>
        <v>0</v>
      </c>
      <c r="N72" s="17">
        <f>L72/F72</f>
        <v>0.717708699422397</v>
      </c>
      <c r="O72" s="79">
        <v>0.71</v>
      </c>
      <c r="P72" s="17">
        <f>I72/L72</f>
        <v>0</v>
      </c>
    </row>
    <row r="73" spans="3:16">
      <c r="C73" s="47">
        <v>2020</v>
      </c>
      <c r="D73">
        <v>2011</v>
      </c>
      <c r="F73" s="96">
        <v>30785090000</v>
      </c>
      <c r="G73" s="51">
        <v>21808246301.04</v>
      </c>
      <c r="H73" s="22">
        <v>3387127748.38</v>
      </c>
      <c r="I73" s="22">
        <v>14750895073.15</v>
      </c>
      <c r="K73" s="51">
        <v>10444478976.27</v>
      </c>
      <c r="L73" s="22">
        <f t="shared" ref="L73:L83" si="19">H73+G73</f>
        <v>25195374049.42</v>
      </c>
      <c r="M73" s="22">
        <f>I73+M55</f>
        <v>14764427343.57</v>
      </c>
      <c r="N73" s="17">
        <f t="shared" ref="N73:N83" si="20">L73/F73</f>
        <v>0.818427818447827</v>
      </c>
      <c r="O73" s="79">
        <v>0.82</v>
      </c>
      <c r="P73" s="17">
        <f t="shared" ref="P73:P83" si="21">I73/L73</f>
        <v>0.585460451756602</v>
      </c>
    </row>
    <row r="74" spans="2:16">
      <c r="B74" s="6" t="s">
        <v>133</v>
      </c>
      <c r="C74" s="47">
        <v>2019</v>
      </c>
      <c r="D74">
        <v>2011</v>
      </c>
      <c r="F74" s="96">
        <v>50734200000</v>
      </c>
      <c r="G74" s="51">
        <v>277899127.7</v>
      </c>
      <c r="H74" s="22">
        <v>1362087042.6</v>
      </c>
      <c r="I74" s="22"/>
      <c r="K74" s="51">
        <v>1639986170.3</v>
      </c>
      <c r="L74" s="22">
        <f t="shared" si="19"/>
        <v>1639986170.3</v>
      </c>
      <c r="M74" s="22">
        <f t="shared" ref="M74:M82" si="22">I74</f>
        <v>0</v>
      </c>
      <c r="N74" s="17">
        <f t="shared" si="20"/>
        <v>0.0323250621927615</v>
      </c>
      <c r="O74" s="79">
        <v>0.03</v>
      </c>
      <c r="P74" s="17">
        <f t="shared" si="21"/>
        <v>0</v>
      </c>
    </row>
    <row r="75" spans="3:16">
      <c r="C75" s="52">
        <v>2020</v>
      </c>
      <c r="D75" s="53">
        <v>2011</v>
      </c>
      <c r="E75" s="53"/>
      <c r="F75" s="71">
        <v>49764400000</v>
      </c>
      <c r="G75" s="56">
        <v>1639986170.3</v>
      </c>
      <c r="H75" s="57">
        <v>1317033493.1</v>
      </c>
      <c r="I75" s="57">
        <v>166332.68</v>
      </c>
      <c r="J75" s="53"/>
      <c r="K75" s="56">
        <v>2956853330.72</v>
      </c>
      <c r="L75" s="57">
        <f t="shared" si="19"/>
        <v>2957019663.4</v>
      </c>
      <c r="M75" s="57">
        <f>I75+M65</f>
        <v>166332.68</v>
      </c>
      <c r="N75" s="81">
        <f t="shared" si="20"/>
        <v>0.0594203821084952</v>
      </c>
      <c r="O75" s="82">
        <v>0.06</v>
      </c>
      <c r="P75" s="81">
        <f t="shared" si="21"/>
        <v>5.62501095473777e-5</v>
      </c>
    </row>
    <row r="76" spans="3:16">
      <c r="C76" s="52">
        <v>2021</v>
      </c>
      <c r="D76" s="53">
        <v>2011</v>
      </c>
      <c r="E76" s="53"/>
      <c r="F76" s="71">
        <v>49730650000</v>
      </c>
      <c r="G76" s="56">
        <v>2956853330.72</v>
      </c>
      <c r="H76" s="57">
        <v>3202103308.66</v>
      </c>
      <c r="I76" s="53"/>
      <c r="J76" s="53"/>
      <c r="K76" s="56">
        <v>6158956639.38</v>
      </c>
      <c r="L76" s="57">
        <f t="shared" si="19"/>
        <v>6158956639.38</v>
      </c>
      <c r="M76" s="57">
        <f>I76+M73</f>
        <v>14764427343.57</v>
      </c>
      <c r="N76" s="81">
        <f t="shared" si="20"/>
        <v>0.123846292766734</v>
      </c>
      <c r="O76" s="82">
        <v>0.1331</v>
      </c>
      <c r="P76" s="81">
        <f t="shared" si="21"/>
        <v>0</v>
      </c>
    </row>
    <row r="77" spans="1:16">
      <c r="A77" s="69" t="s">
        <v>134</v>
      </c>
      <c r="B77" s="6" t="s">
        <v>135</v>
      </c>
      <c r="C77" s="47">
        <v>2015</v>
      </c>
      <c r="D77">
        <v>2011</v>
      </c>
      <c r="F77" s="50">
        <v>23508560000</v>
      </c>
      <c r="G77" s="51">
        <v>17370512224.27</v>
      </c>
      <c r="H77" s="22">
        <v>2717413160.07</v>
      </c>
      <c r="I77" s="22">
        <v>13801146121.55</v>
      </c>
      <c r="J77" s="22"/>
      <c r="K77" s="51">
        <v>6286779262.79</v>
      </c>
      <c r="L77" s="22">
        <f t="shared" si="19"/>
        <v>20087925384.34</v>
      </c>
      <c r="M77" s="22">
        <f t="shared" si="22"/>
        <v>13801146121.55</v>
      </c>
      <c r="N77" s="17">
        <f t="shared" si="20"/>
        <v>0.854494081489466</v>
      </c>
      <c r="O77" s="79">
        <v>0.8793</v>
      </c>
      <c r="P77" s="17">
        <f t="shared" si="21"/>
        <v>0.687036906872872</v>
      </c>
    </row>
    <row r="78" spans="1:16">
      <c r="A78" s="69" t="s">
        <v>136</v>
      </c>
      <c r="B78" s="64" t="s">
        <v>137</v>
      </c>
      <c r="C78" s="52">
        <v>2015</v>
      </c>
      <c r="D78" s="53">
        <v>2011</v>
      </c>
      <c r="E78" s="53"/>
      <c r="F78" s="55">
        <v>36670000000</v>
      </c>
      <c r="G78" s="56">
        <v>3466350539.96</v>
      </c>
      <c r="H78" s="57">
        <v>327741127.66</v>
      </c>
      <c r="I78" s="57">
        <v>415705.6</v>
      </c>
      <c r="J78" s="57"/>
      <c r="K78" s="56">
        <v>3793675962.02</v>
      </c>
      <c r="L78" s="57">
        <f t="shared" si="19"/>
        <v>3794091667.62</v>
      </c>
      <c r="M78" s="57">
        <f t="shared" si="22"/>
        <v>415705.6</v>
      </c>
      <c r="N78" s="81">
        <f>L78/F78</f>
        <v>0.103465821314971</v>
      </c>
      <c r="O78" s="82">
        <v>0.117</v>
      </c>
      <c r="P78" s="81">
        <f t="shared" si="21"/>
        <v>0.000109566567288757</v>
      </c>
    </row>
    <row r="79" spans="2:16">
      <c r="B79" s="64"/>
      <c r="C79" s="52">
        <v>2016</v>
      </c>
      <c r="D79" s="53">
        <v>2011</v>
      </c>
      <c r="E79" s="53"/>
      <c r="F79" s="55">
        <v>36670000000</v>
      </c>
      <c r="G79" s="56">
        <v>3793675962.02</v>
      </c>
      <c r="H79" s="57">
        <v>272196357.1</v>
      </c>
      <c r="I79" s="57">
        <v>2976194.16</v>
      </c>
      <c r="J79" s="57">
        <v>1345075.89</v>
      </c>
      <c r="K79" s="56">
        <v>4061551049.07</v>
      </c>
      <c r="L79" s="57">
        <f t="shared" si="19"/>
        <v>4065872319.12</v>
      </c>
      <c r="M79" s="57">
        <f t="shared" si="22"/>
        <v>2976194.16</v>
      </c>
      <c r="N79" s="81">
        <f t="shared" si="20"/>
        <v>0.110877347126261</v>
      </c>
      <c r="O79" s="82">
        <v>0.098</v>
      </c>
      <c r="P79" s="81">
        <f t="shared" si="21"/>
        <v>0.000731994004338079</v>
      </c>
    </row>
    <row r="80" spans="2:16">
      <c r="B80" s="64"/>
      <c r="C80" s="52">
        <v>2017</v>
      </c>
      <c r="D80" s="53">
        <v>2011</v>
      </c>
      <c r="E80" s="53"/>
      <c r="F80" s="55">
        <v>43721840000</v>
      </c>
      <c r="G80" s="56">
        <v>4061551049.07</v>
      </c>
      <c r="H80" s="57">
        <v>250113088.48</v>
      </c>
      <c r="I80" s="57">
        <v>30357.86</v>
      </c>
      <c r="J80" s="57"/>
      <c r="K80" s="56">
        <v>4311633779.69</v>
      </c>
      <c r="L80" s="57">
        <f t="shared" si="19"/>
        <v>4311664137.55</v>
      </c>
      <c r="M80" s="57">
        <f t="shared" si="22"/>
        <v>30357.86</v>
      </c>
      <c r="N80" s="81">
        <f t="shared" si="20"/>
        <v>0.0986157979067212</v>
      </c>
      <c r="O80" s="82">
        <v>0.1</v>
      </c>
      <c r="P80" s="81">
        <f t="shared" si="21"/>
        <v>7.04086845160674e-6</v>
      </c>
    </row>
    <row r="81" spans="2:16">
      <c r="B81" s="64"/>
      <c r="C81" s="52">
        <v>2018</v>
      </c>
      <c r="D81" s="53">
        <v>2011</v>
      </c>
      <c r="E81" s="53"/>
      <c r="F81" s="55">
        <v>43721840000</v>
      </c>
      <c r="G81" s="56">
        <v>4311633779.69</v>
      </c>
      <c r="H81" s="57">
        <v>277816335.35</v>
      </c>
      <c r="I81" s="57">
        <v>604844.02</v>
      </c>
      <c r="J81" s="57">
        <v>216159.78</v>
      </c>
      <c r="K81" s="56">
        <v>4588629111.24</v>
      </c>
      <c r="L81" s="57">
        <f t="shared" si="19"/>
        <v>4589450115.04</v>
      </c>
      <c r="M81" s="57">
        <f t="shared" si="22"/>
        <v>604844.02</v>
      </c>
      <c r="N81" s="81">
        <f t="shared" si="20"/>
        <v>0.104969281142788</v>
      </c>
      <c r="O81" s="82">
        <v>0.1</v>
      </c>
      <c r="P81" s="81">
        <f t="shared" si="21"/>
        <v>0.000131790084833448</v>
      </c>
    </row>
    <row r="82" spans="2:16">
      <c r="B82" s="64"/>
      <c r="C82" s="52">
        <v>2019</v>
      </c>
      <c r="D82" s="53">
        <v>2011</v>
      </c>
      <c r="E82" s="53"/>
      <c r="F82" s="55">
        <v>43721840000</v>
      </c>
      <c r="G82" s="56">
        <v>4588629111.24</v>
      </c>
      <c r="H82" s="57">
        <v>189244214.7</v>
      </c>
      <c r="I82" s="53"/>
      <c r="J82" s="57">
        <v>355839088.61</v>
      </c>
      <c r="K82" s="56">
        <v>4422034237.33</v>
      </c>
      <c r="L82" s="57">
        <f t="shared" si="19"/>
        <v>4777873325.94</v>
      </c>
      <c r="M82" s="57">
        <f t="shared" si="22"/>
        <v>0</v>
      </c>
      <c r="N82" s="81">
        <f t="shared" si="20"/>
        <v>0.109278871290412</v>
      </c>
      <c r="O82" s="82">
        <v>0.1</v>
      </c>
      <c r="P82" s="81">
        <f t="shared" si="21"/>
        <v>0</v>
      </c>
    </row>
    <row r="83" ht="15" customHeight="1" spans="3:16">
      <c r="C83" s="52">
        <v>2020</v>
      </c>
      <c r="D83" s="53">
        <v>2011</v>
      </c>
      <c r="E83" s="53"/>
      <c r="F83" s="55">
        <v>43721840000</v>
      </c>
      <c r="G83" s="56">
        <v>4422034237.33</v>
      </c>
      <c r="H83" s="57">
        <v>206999983.97</v>
      </c>
      <c r="I83" s="53"/>
      <c r="J83" s="53"/>
      <c r="K83" s="56">
        <v>4629034221.3</v>
      </c>
      <c r="L83" s="57">
        <f t="shared" si="19"/>
        <v>4629034221.3</v>
      </c>
      <c r="M83" s="57">
        <f>I83+M77</f>
        <v>13801146121.55</v>
      </c>
      <c r="N83" s="81">
        <f t="shared" si="20"/>
        <v>0.105874643457366</v>
      </c>
      <c r="O83" s="82">
        <v>0.12</v>
      </c>
      <c r="P83" s="81">
        <f t="shared" si="21"/>
        <v>0</v>
      </c>
    </row>
    <row r="84" spans="1:16">
      <c r="A84" s="97" t="s">
        <v>138</v>
      </c>
      <c r="B84" s="6" t="s">
        <v>139</v>
      </c>
      <c r="C84" s="47">
        <v>2016</v>
      </c>
      <c r="F84" s="50">
        <v>43000000000</v>
      </c>
      <c r="G84" s="51">
        <v>609520964.79</v>
      </c>
      <c r="H84" s="22">
        <v>340367164.86</v>
      </c>
      <c r="K84" s="51">
        <v>949888129.65</v>
      </c>
      <c r="L84" s="22">
        <f>H84+G84</f>
        <v>949888129.65</v>
      </c>
      <c r="M84" s="22"/>
      <c r="N84" s="17">
        <f>L84/F84</f>
        <v>0.0220904216197674</v>
      </c>
      <c r="O84" s="79">
        <v>0.0221</v>
      </c>
      <c r="P84" s="17">
        <f t="shared" ref="P84:P88" si="23">I84/L84</f>
        <v>0</v>
      </c>
    </row>
    <row r="85" spans="3:16">
      <c r="C85" s="52">
        <v>2017</v>
      </c>
      <c r="D85" s="53"/>
      <c r="E85" s="53"/>
      <c r="F85" s="55">
        <v>43000000000</v>
      </c>
      <c r="G85" s="56">
        <v>949888129.65</v>
      </c>
      <c r="H85" s="57">
        <v>393772183.49</v>
      </c>
      <c r="I85" s="53"/>
      <c r="J85" s="53"/>
      <c r="K85" s="56">
        <v>1343660313.14</v>
      </c>
      <c r="L85" s="57">
        <f>H85+G85</f>
        <v>1343660313.14</v>
      </c>
      <c r="M85" s="57"/>
      <c r="N85" s="81">
        <f>L85/F85</f>
        <v>0.0312479142590698</v>
      </c>
      <c r="O85" s="82">
        <v>0.03</v>
      </c>
      <c r="P85" s="81">
        <f t="shared" si="23"/>
        <v>0</v>
      </c>
    </row>
    <row r="86" spans="3:16">
      <c r="C86" s="52">
        <v>2018</v>
      </c>
      <c r="D86" s="53"/>
      <c r="E86" s="53"/>
      <c r="F86" s="55">
        <v>43000000000</v>
      </c>
      <c r="G86" s="56">
        <v>1343660313.14</v>
      </c>
      <c r="H86" s="57">
        <v>75106737.22</v>
      </c>
      <c r="I86" s="53"/>
      <c r="J86" s="53"/>
      <c r="K86" s="56">
        <v>1418767050.36</v>
      </c>
      <c r="L86" s="57">
        <f>H86+G86</f>
        <v>1418767050.36</v>
      </c>
      <c r="M86" s="57"/>
      <c r="N86" s="81">
        <f>L86/F86</f>
        <v>0.0329945825665116</v>
      </c>
      <c r="O86" s="82">
        <v>0.03</v>
      </c>
      <c r="P86" s="81">
        <f t="shared" si="23"/>
        <v>0</v>
      </c>
    </row>
    <row r="87" spans="3:16">
      <c r="C87" s="52">
        <v>2019</v>
      </c>
      <c r="D87" s="53"/>
      <c r="E87" s="53"/>
      <c r="F87" s="55">
        <v>43000000000</v>
      </c>
      <c r="G87" s="56">
        <v>1418767050.36</v>
      </c>
      <c r="H87" s="57">
        <v>159058190.41</v>
      </c>
      <c r="I87" s="53"/>
      <c r="J87" s="53"/>
      <c r="K87" s="56">
        <v>1577825240.77</v>
      </c>
      <c r="L87" s="57">
        <f>H87+G87</f>
        <v>1577825240.77</v>
      </c>
      <c r="M87" s="57"/>
      <c r="N87" s="81">
        <f>L87/F87</f>
        <v>0.0366936102504651</v>
      </c>
      <c r="O87" s="82">
        <v>0.03</v>
      </c>
      <c r="P87" s="81">
        <f t="shared" si="23"/>
        <v>0</v>
      </c>
    </row>
    <row r="88" spans="3:16">
      <c r="C88" s="52">
        <v>2020</v>
      </c>
      <c r="D88" s="53"/>
      <c r="E88" s="53"/>
      <c r="F88" s="55">
        <v>43000000000</v>
      </c>
      <c r="G88" s="56">
        <v>1577825240.77</v>
      </c>
      <c r="H88" s="57">
        <v>90144476.78</v>
      </c>
      <c r="I88" s="53"/>
      <c r="J88" s="53"/>
      <c r="K88" s="56">
        <v>1667969717.55</v>
      </c>
      <c r="L88" s="57">
        <f>H88+G88</f>
        <v>1667969717.55</v>
      </c>
      <c r="M88" s="57"/>
      <c r="N88" s="81">
        <f>L88/F88</f>
        <v>0.0387899934313953</v>
      </c>
      <c r="O88" s="82">
        <v>0.04</v>
      </c>
      <c r="P88" s="81">
        <f t="shared" si="23"/>
        <v>0</v>
      </c>
    </row>
    <row r="89" spans="3:16">
      <c r="C89" s="47">
        <v>2017</v>
      </c>
      <c r="F89" s="50"/>
      <c r="G89" s="51"/>
      <c r="H89" s="22">
        <v>19065166.23</v>
      </c>
      <c r="I89" s="22">
        <v>11142654.23</v>
      </c>
      <c r="J89" s="22">
        <v>7922512</v>
      </c>
      <c r="K89" s="51"/>
      <c r="L89" s="22">
        <f t="shared" ref="L89:M91" si="24">H89</f>
        <v>19065166.23</v>
      </c>
      <c r="M89" s="22">
        <f t="shared" si="24"/>
        <v>11142654.23</v>
      </c>
      <c r="N89" s="17" t="e">
        <f t="shared" ref="N89:N99" si="25">L89/F89</f>
        <v>#DIV/0!</v>
      </c>
      <c r="O89" s="83"/>
      <c r="P89" s="17">
        <f t="shared" ref="P87:P92" si="26">M89/L89</f>
        <v>0.584450935049623</v>
      </c>
    </row>
    <row r="90" spans="3:16">
      <c r="C90" s="47">
        <v>2018</v>
      </c>
      <c r="F90" s="50">
        <v>73000000</v>
      </c>
      <c r="G90" s="51"/>
      <c r="H90" s="22">
        <v>60347313.37</v>
      </c>
      <c r="I90" s="22">
        <v>51552125.04</v>
      </c>
      <c r="J90" s="22">
        <v>8795188.33</v>
      </c>
      <c r="K90" s="51"/>
      <c r="L90" s="22">
        <f t="shared" si="24"/>
        <v>60347313.37</v>
      </c>
      <c r="M90" s="22">
        <f t="shared" si="24"/>
        <v>51552125.04</v>
      </c>
      <c r="N90" s="17">
        <f t="shared" si="25"/>
        <v>0.826675525616438</v>
      </c>
      <c r="O90" s="83">
        <v>1</v>
      </c>
      <c r="P90" s="17">
        <f t="shared" si="26"/>
        <v>0.854257168399939</v>
      </c>
    </row>
    <row r="91" spans="3:16">
      <c r="C91" s="47">
        <v>2019</v>
      </c>
      <c r="F91" s="50">
        <v>8391000</v>
      </c>
      <c r="G91" s="51"/>
      <c r="H91" s="22">
        <v>6548798.65</v>
      </c>
      <c r="I91" s="22">
        <v>3015172</v>
      </c>
      <c r="J91" s="22">
        <v>3449146.65</v>
      </c>
      <c r="K91" s="51">
        <v>84480</v>
      </c>
      <c r="L91" s="22">
        <f t="shared" si="24"/>
        <v>6548798.65</v>
      </c>
      <c r="M91" s="22">
        <f t="shared" si="24"/>
        <v>3015172</v>
      </c>
      <c r="N91" s="17">
        <f t="shared" si="25"/>
        <v>0.780455088785604</v>
      </c>
      <c r="O91" s="88">
        <v>0.8</v>
      </c>
      <c r="P91" s="17">
        <f t="shared" si="26"/>
        <v>0.46041604898022</v>
      </c>
    </row>
    <row r="92" spans="3:16">
      <c r="C92" s="47">
        <v>2020</v>
      </c>
      <c r="F92" s="50">
        <v>12226191.93</v>
      </c>
      <c r="G92" s="51">
        <v>84480</v>
      </c>
      <c r="H92" s="22">
        <v>11163785.09</v>
      </c>
      <c r="I92" s="22">
        <v>4900996.69</v>
      </c>
      <c r="J92" s="58">
        <v>6347268.4</v>
      </c>
      <c r="K92" s="51"/>
      <c r="L92" s="22">
        <f>H92+G92</f>
        <v>11248265.09</v>
      </c>
      <c r="M92" s="22">
        <f>I92</f>
        <v>4900996.69</v>
      </c>
      <c r="N92" s="17">
        <f t="shared" si="25"/>
        <v>0.920013783065158</v>
      </c>
      <c r="O92" s="83">
        <v>1</v>
      </c>
      <c r="P92" s="17">
        <f t="shared" si="26"/>
        <v>0.435711343108113</v>
      </c>
    </row>
    <row r="93" spans="1:16">
      <c r="A93" s="98" t="s">
        <v>53</v>
      </c>
      <c r="B93" s="6" t="s">
        <v>53</v>
      </c>
      <c r="C93" s="47">
        <v>2012</v>
      </c>
      <c r="F93" s="50">
        <v>245850000</v>
      </c>
      <c r="H93" s="22">
        <v>2141600</v>
      </c>
      <c r="K93" s="51">
        <v>2141600</v>
      </c>
      <c r="L93" s="22">
        <f>H93+G93</f>
        <v>2141600</v>
      </c>
      <c r="M93" s="22"/>
      <c r="N93" s="17">
        <f t="shared" si="25"/>
        <v>0.00871100264388855</v>
      </c>
      <c r="O93" s="79">
        <v>0.1</v>
      </c>
      <c r="P93" s="17">
        <f>I93/L93</f>
        <v>0</v>
      </c>
    </row>
    <row r="94" spans="3:16">
      <c r="C94" s="47">
        <v>2016</v>
      </c>
      <c r="F94" s="50">
        <v>363856526696.99</v>
      </c>
      <c r="G94" s="51">
        <v>96588919658.55</v>
      </c>
      <c r="H94" s="22">
        <v>23485501573.72</v>
      </c>
      <c r="I94" s="22">
        <v>12886798211.41</v>
      </c>
      <c r="J94" s="22">
        <v>53302389.84</v>
      </c>
      <c r="K94" s="51">
        <v>107134320631.02</v>
      </c>
      <c r="L94" s="22">
        <f>H94+G94</f>
        <v>120074421232.27</v>
      </c>
      <c r="M94" s="22"/>
      <c r="N94" s="17">
        <f t="shared" si="25"/>
        <v>0.330004857470276</v>
      </c>
      <c r="O94" s="79">
        <v>0.4</v>
      </c>
      <c r="P94" s="17">
        <f>I94/L94</f>
        <v>0.10732342558189</v>
      </c>
    </row>
    <row r="95" spans="3:16">
      <c r="C95" s="47">
        <v>2014</v>
      </c>
      <c r="F95" s="50">
        <v>245850000</v>
      </c>
      <c r="G95" s="51">
        <v>61647119</v>
      </c>
      <c r="H95" s="22">
        <v>156942211.52</v>
      </c>
      <c r="I95" s="22">
        <v>187992250.98</v>
      </c>
      <c r="J95" s="22">
        <v>12994448.6</v>
      </c>
      <c r="K95" s="51">
        <v>17602630.94</v>
      </c>
      <c r="L95" s="22">
        <f>H95+G95</f>
        <v>218589330.52</v>
      </c>
      <c r="M95" s="22"/>
      <c r="N95" s="17">
        <f t="shared" si="25"/>
        <v>0.889116658612975</v>
      </c>
      <c r="O95" s="79">
        <v>0.95</v>
      </c>
      <c r="P95" s="17">
        <f>I95/L95</f>
        <v>0.860024826155911</v>
      </c>
    </row>
    <row r="96" spans="3:16">
      <c r="C96" s="47">
        <v>2015</v>
      </c>
      <c r="F96" s="50">
        <v>245850000</v>
      </c>
      <c r="G96" s="51">
        <v>17602630.94</v>
      </c>
      <c r="H96" s="22">
        <v>24370000</v>
      </c>
      <c r="I96" s="22">
        <v>41972630.94</v>
      </c>
      <c r="L96" s="22">
        <f>H96+L95</f>
        <v>242959330.52</v>
      </c>
      <c r="M96" s="22"/>
      <c r="N96" s="17">
        <f t="shared" si="25"/>
        <v>0.988242141631076</v>
      </c>
      <c r="O96" s="79">
        <v>0.98</v>
      </c>
      <c r="P96" s="17">
        <f>I96/L96</f>
        <v>0.172755789416142</v>
      </c>
    </row>
    <row r="97" spans="3:16">
      <c r="C97" s="47">
        <v>2017</v>
      </c>
      <c r="F97" s="50"/>
      <c r="G97" s="51"/>
      <c r="H97" s="22">
        <v>6547916.5</v>
      </c>
      <c r="I97" s="22">
        <v>6547916.5</v>
      </c>
      <c r="L97" s="22">
        <f>H97+L96</f>
        <v>249507247.02</v>
      </c>
      <c r="M97" s="22"/>
      <c r="N97" s="17" t="e">
        <f t="shared" si="25"/>
        <v>#DIV/0!</v>
      </c>
      <c r="O97" s="79"/>
      <c r="P97" s="17">
        <f>I97/L97</f>
        <v>0.0262433920385292</v>
      </c>
    </row>
    <row r="98" spans="2:16">
      <c r="B98" s="6" t="s">
        <v>140</v>
      </c>
      <c r="C98" s="47">
        <v>2019</v>
      </c>
      <c r="F98" s="50">
        <v>16838265.71</v>
      </c>
      <c r="G98" s="51"/>
      <c r="H98" s="22">
        <v>1934215.5</v>
      </c>
      <c r="I98" s="22">
        <v>-6800000</v>
      </c>
      <c r="J98" s="22">
        <v>1269341.5</v>
      </c>
      <c r="K98" s="51">
        <v>7464874</v>
      </c>
      <c r="L98" s="22">
        <f>H98</f>
        <v>1934215.5</v>
      </c>
      <c r="M98" s="22">
        <f>I98</f>
        <v>-6800000</v>
      </c>
      <c r="N98" s="17">
        <f t="shared" si="25"/>
        <v>0.1148702326779</v>
      </c>
      <c r="O98" s="79">
        <v>0.5</v>
      </c>
      <c r="P98" s="17">
        <f>I98/L98</f>
        <v>-3.51563721829341</v>
      </c>
    </row>
    <row r="99" spans="2:16">
      <c r="B99" s="6" t="s">
        <v>141</v>
      </c>
      <c r="C99" s="47">
        <v>2020</v>
      </c>
      <c r="F99" s="50">
        <v>48510000</v>
      </c>
      <c r="G99" s="51">
        <v>7464874</v>
      </c>
      <c r="H99" s="22">
        <v>24956883.82</v>
      </c>
      <c r="I99" s="22">
        <v>29641013.4</v>
      </c>
      <c r="J99" s="22">
        <v>2780744.42</v>
      </c>
      <c r="K99" s="51"/>
      <c r="L99" s="22">
        <f>G99+H99</f>
        <v>32421757.82</v>
      </c>
      <c r="M99" s="22">
        <f>I99</f>
        <v>29641013.4</v>
      </c>
      <c r="N99" s="17">
        <f t="shared" si="25"/>
        <v>0.668352047412905</v>
      </c>
      <c r="O99" s="79">
        <v>1</v>
      </c>
      <c r="P99" s="17">
        <f>I99/L99</f>
        <v>0.914232151278218</v>
      </c>
    </row>
    <row r="100" spans="1:16">
      <c r="A100" s="6"/>
      <c r="B100" s="6" t="s">
        <v>142</v>
      </c>
      <c r="C100" s="47">
        <v>2015</v>
      </c>
      <c r="F100" s="22">
        <v>2500000</v>
      </c>
      <c r="H100" s="22">
        <v>2278519</v>
      </c>
      <c r="I100" s="22">
        <v>836615</v>
      </c>
      <c r="J100" s="22">
        <v>741904</v>
      </c>
      <c r="K100" s="51">
        <v>700000</v>
      </c>
      <c r="L100" s="22">
        <f>H100+G100</f>
        <v>2278519</v>
      </c>
      <c r="M100" s="22"/>
      <c r="N100" s="17">
        <f t="shared" ref="N100:N113" si="27">L100/F100</f>
        <v>0.9114076</v>
      </c>
      <c r="O100" s="79">
        <v>0.9</v>
      </c>
      <c r="P100" s="17">
        <f>I100/L100</f>
        <v>0.367174906156148</v>
      </c>
    </row>
    <row r="101" spans="3:16">
      <c r="C101" s="47">
        <v>2016</v>
      </c>
      <c r="F101" s="22">
        <v>2500000</v>
      </c>
      <c r="G101" s="51">
        <v>700000</v>
      </c>
      <c r="H101" s="22">
        <v>252451</v>
      </c>
      <c r="I101" s="22">
        <v>252451</v>
      </c>
      <c r="J101" s="22">
        <v>700000</v>
      </c>
      <c r="L101" s="22">
        <f>H101+L100</f>
        <v>2530970</v>
      </c>
      <c r="M101" s="22"/>
      <c r="N101" s="17">
        <f t="shared" si="27"/>
        <v>1.012388</v>
      </c>
      <c r="O101" s="79">
        <v>1</v>
      </c>
      <c r="P101" s="17">
        <f>I101/L101</f>
        <v>0.0997447618897103</v>
      </c>
    </row>
    <row r="102" spans="1:16">
      <c r="A102" t="s">
        <v>143</v>
      </c>
      <c r="B102" s="6" t="s">
        <v>144</v>
      </c>
      <c r="C102" s="47">
        <v>2016</v>
      </c>
      <c r="F102" s="22">
        <v>739243500</v>
      </c>
      <c r="H102" s="22">
        <v>19412536.55</v>
      </c>
      <c r="K102" s="51">
        <v>19412536.55</v>
      </c>
      <c r="L102" s="22">
        <f>H102</f>
        <v>19412536.55</v>
      </c>
      <c r="N102" s="17">
        <f t="shared" si="27"/>
        <v>0.0262600030301247</v>
      </c>
      <c r="O102" s="79">
        <v>0</v>
      </c>
      <c r="P102" s="17">
        <f t="shared" ref="P102:P113" si="28">I102/L102</f>
        <v>0</v>
      </c>
    </row>
    <row r="103" spans="3:16">
      <c r="C103" s="47">
        <v>2017</v>
      </c>
      <c r="F103" s="22">
        <v>212588000</v>
      </c>
      <c r="G103" s="51">
        <v>19412536.55</v>
      </c>
      <c r="H103" s="22">
        <v>62063038.87</v>
      </c>
      <c r="K103" s="51">
        <v>81475575.42</v>
      </c>
      <c r="L103" s="22">
        <f>H103+L102</f>
        <v>81475575.42</v>
      </c>
      <c r="N103" s="17">
        <f t="shared" si="27"/>
        <v>0.383255759591322</v>
      </c>
      <c r="O103" s="79">
        <v>0.4</v>
      </c>
      <c r="P103" s="17">
        <f t="shared" si="28"/>
        <v>0</v>
      </c>
    </row>
    <row r="104" spans="3:16">
      <c r="C104" s="47">
        <v>2018</v>
      </c>
      <c r="F104" s="22">
        <v>212588000</v>
      </c>
      <c r="G104" s="51">
        <v>81475575.42</v>
      </c>
      <c r="H104" s="22">
        <v>66871531.1</v>
      </c>
      <c r="I104" s="22">
        <v>144521808.74</v>
      </c>
      <c r="J104" s="22">
        <v>3474354.38</v>
      </c>
      <c r="K104" s="51">
        <v>350943.4</v>
      </c>
      <c r="L104" s="22">
        <f>H104+L103</f>
        <v>148347106.52</v>
      </c>
      <c r="M104" s="22">
        <f>I104</f>
        <v>144521808.74</v>
      </c>
      <c r="N104" s="17">
        <f t="shared" si="27"/>
        <v>0.697815053154458</v>
      </c>
      <c r="O104" s="79">
        <v>0.9</v>
      </c>
      <c r="P104" s="17">
        <f t="shared" si="28"/>
        <v>0.974213869958534</v>
      </c>
    </row>
    <row r="105" spans="3:16">
      <c r="C105" s="47">
        <v>2019</v>
      </c>
      <c r="F105" s="22">
        <v>212588000</v>
      </c>
      <c r="G105" s="51">
        <v>350943.4</v>
      </c>
      <c r="H105" s="22">
        <v>30500</v>
      </c>
      <c r="I105" s="22"/>
      <c r="J105" s="22">
        <v>30500</v>
      </c>
      <c r="K105" s="51">
        <v>350943.4</v>
      </c>
      <c r="L105" s="22">
        <f>H105+L104</f>
        <v>148377606.52</v>
      </c>
      <c r="M105" s="20">
        <f>I105+M104</f>
        <v>144521808.74</v>
      </c>
      <c r="N105" s="17">
        <f t="shared" si="27"/>
        <v>0.697958523152765</v>
      </c>
      <c r="O105" s="79">
        <v>0.9</v>
      </c>
      <c r="P105" s="17">
        <f>M105/L105</f>
        <v>0.97401361384354</v>
      </c>
    </row>
    <row r="106" spans="3:16">
      <c r="C106" s="47">
        <v>2020</v>
      </c>
      <c r="F106" s="22">
        <v>212588000</v>
      </c>
      <c r="G106" s="51">
        <v>350943.4</v>
      </c>
      <c r="H106" s="22">
        <v>9836.28</v>
      </c>
      <c r="I106" s="22">
        <v>9836.28</v>
      </c>
      <c r="J106" s="22"/>
      <c r="K106" s="51">
        <v>350943.4</v>
      </c>
      <c r="L106" s="22">
        <f>H106+L105</f>
        <v>148387442.8</v>
      </c>
      <c r="M106" s="20">
        <f>I106+M105</f>
        <v>144531645.02</v>
      </c>
      <c r="N106" s="17">
        <f t="shared" si="27"/>
        <v>0.698004792368337</v>
      </c>
      <c r="O106" s="79">
        <v>0.9</v>
      </c>
      <c r="P106" s="17">
        <f>M106/L106</f>
        <v>0.974015336424411</v>
      </c>
    </row>
    <row r="107" spans="3:16">
      <c r="C107" s="47">
        <v>2021</v>
      </c>
      <c r="F107" s="22"/>
      <c r="G107" s="51"/>
      <c r="H107" s="22"/>
      <c r="I107" s="22"/>
      <c r="J107" s="22"/>
      <c r="K107" s="51"/>
      <c r="L107" s="22"/>
      <c r="M107" s="20"/>
      <c r="N107" s="17"/>
      <c r="O107" s="79"/>
      <c r="P107" s="17"/>
    </row>
    <row r="108" spans="1:16">
      <c r="A108" t="s">
        <v>145</v>
      </c>
      <c r="B108" s="6" t="s">
        <v>146</v>
      </c>
      <c r="C108" s="47">
        <v>2016</v>
      </c>
      <c r="F108" s="22">
        <v>830260000</v>
      </c>
      <c r="H108" s="22">
        <v>1152800</v>
      </c>
      <c r="K108" s="51">
        <v>1152800</v>
      </c>
      <c r="L108" s="22">
        <f>H108</f>
        <v>1152800</v>
      </c>
      <c r="N108" s="17">
        <f t="shared" si="27"/>
        <v>0.00138848071688387</v>
      </c>
      <c r="O108" s="79">
        <v>0.01</v>
      </c>
      <c r="P108" s="17">
        <f t="shared" si="28"/>
        <v>0</v>
      </c>
    </row>
    <row r="109" spans="3:16">
      <c r="C109" s="47">
        <v>2017</v>
      </c>
      <c r="F109" s="22">
        <v>830260000</v>
      </c>
      <c r="G109" s="51">
        <v>1152800</v>
      </c>
      <c r="H109" s="22">
        <v>5780099.7</v>
      </c>
      <c r="K109" s="51">
        <v>6932899.7</v>
      </c>
      <c r="L109" s="22">
        <f>H109+L108</f>
        <v>6932899.7</v>
      </c>
      <c r="N109" s="17">
        <f t="shared" si="27"/>
        <v>0.00835027545588129</v>
      </c>
      <c r="O109" s="79">
        <v>0.05</v>
      </c>
      <c r="P109" s="17">
        <f t="shared" si="28"/>
        <v>0</v>
      </c>
    </row>
    <row r="110" spans="3:16">
      <c r="C110" s="47">
        <v>2018</v>
      </c>
      <c r="F110" s="22">
        <v>830260000</v>
      </c>
      <c r="G110" s="51">
        <v>6932899.7</v>
      </c>
      <c r="H110" s="22">
        <v>24423782.7</v>
      </c>
      <c r="K110" s="51">
        <v>31356682.4</v>
      </c>
      <c r="L110" s="22">
        <f>H110+L109</f>
        <v>31356682.4</v>
      </c>
      <c r="N110" s="17">
        <f t="shared" si="27"/>
        <v>0.0377673046997326</v>
      </c>
      <c r="O110" s="79">
        <v>0.05</v>
      </c>
      <c r="P110" s="17">
        <f t="shared" si="28"/>
        <v>0</v>
      </c>
    </row>
    <row r="111" spans="3:16">
      <c r="C111" s="47">
        <v>2019</v>
      </c>
      <c r="F111" s="22">
        <v>830260000</v>
      </c>
      <c r="G111" s="51">
        <v>31356682.4</v>
      </c>
      <c r="H111" s="22">
        <v>70995358</v>
      </c>
      <c r="K111" s="51">
        <v>102352040.4</v>
      </c>
      <c r="L111" s="22">
        <f>H111+L110</f>
        <v>102352040.4</v>
      </c>
      <c r="N111" s="17">
        <f t="shared" si="27"/>
        <v>0.123277094404163</v>
      </c>
      <c r="O111" s="79">
        <v>0.2</v>
      </c>
      <c r="P111" s="17">
        <f t="shared" si="28"/>
        <v>0</v>
      </c>
    </row>
    <row r="112" spans="3:16">
      <c r="C112" s="47">
        <v>2020</v>
      </c>
      <c r="F112" s="22">
        <v>830260000</v>
      </c>
      <c r="G112" s="51">
        <v>102352040.4</v>
      </c>
      <c r="H112" s="22">
        <v>192432812.81</v>
      </c>
      <c r="K112" s="51">
        <v>294784853.21</v>
      </c>
      <c r="L112" s="22">
        <f>H112+L111</f>
        <v>294784853.21</v>
      </c>
      <c r="N112" s="17">
        <f t="shared" si="27"/>
        <v>0.355051252872594</v>
      </c>
      <c r="O112" s="79">
        <v>0.9</v>
      </c>
      <c r="P112" s="17">
        <f t="shared" si="28"/>
        <v>0</v>
      </c>
    </row>
    <row r="113" spans="1:16">
      <c r="A113" s="43" t="s">
        <v>147</v>
      </c>
      <c r="B113" s="6" t="s">
        <v>148</v>
      </c>
      <c r="C113" s="47">
        <v>2016</v>
      </c>
      <c r="F113" s="22">
        <v>690110000</v>
      </c>
      <c r="H113" s="22">
        <v>354709</v>
      </c>
      <c r="K113" s="51">
        <v>354709</v>
      </c>
      <c r="L113" s="22">
        <f>H113</f>
        <v>354709</v>
      </c>
      <c r="N113" s="17">
        <f t="shared" si="27"/>
        <v>0.000513989074205561</v>
      </c>
      <c r="O113" s="79">
        <v>0.01</v>
      </c>
      <c r="P113" s="17">
        <f t="shared" si="28"/>
        <v>0</v>
      </c>
    </row>
    <row r="114" spans="3:16">
      <c r="C114" s="47">
        <v>2017</v>
      </c>
      <c r="F114" s="22">
        <v>690110000</v>
      </c>
      <c r="G114" s="51">
        <v>354709</v>
      </c>
      <c r="H114" s="22">
        <v>31255163.05</v>
      </c>
      <c r="K114" s="51">
        <v>31609872.05</v>
      </c>
      <c r="L114" s="22">
        <f>H114+L113</f>
        <v>31609872.05</v>
      </c>
      <c r="N114" s="17">
        <f t="shared" ref="N114:N136" si="29">L114/F114</f>
        <v>0.045804106664155</v>
      </c>
      <c r="O114" s="79">
        <v>0.05</v>
      </c>
      <c r="P114" s="17">
        <f t="shared" ref="P114:P136" si="30">I114/L114</f>
        <v>0</v>
      </c>
    </row>
    <row r="115" spans="3:16">
      <c r="C115" s="47">
        <v>2018</v>
      </c>
      <c r="F115" s="22">
        <v>690110000</v>
      </c>
      <c r="G115" s="51">
        <v>31609872.05</v>
      </c>
      <c r="H115" s="22">
        <v>377838503.56</v>
      </c>
      <c r="I115" s="22">
        <v>371916384.96</v>
      </c>
      <c r="J115" s="22">
        <v>29823638.26</v>
      </c>
      <c r="K115" s="51">
        <v>7708352.39</v>
      </c>
      <c r="L115" s="22">
        <f>H115+L114</f>
        <v>409448375.61</v>
      </c>
      <c r="M115" s="22">
        <f>I115</f>
        <v>371916384.96</v>
      </c>
      <c r="N115" s="17">
        <f t="shared" si="29"/>
        <v>0.593308857443016</v>
      </c>
      <c r="O115" s="79">
        <v>0.7</v>
      </c>
      <c r="P115" s="17">
        <f t="shared" si="30"/>
        <v>0.908335231287499</v>
      </c>
    </row>
    <row r="116" spans="3:16">
      <c r="C116" s="47">
        <v>2019</v>
      </c>
      <c r="F116" s="22">
        <v>690110000</v>
      </c>
      <c r="G116" s="51">
        <v>7708352.39</v>
      </c>
      <c r="H116" s="22">
        <v>20843082.59</v>
      </c>
      <c r="I116" s="22">
        <v>26372137.2</v>
      </c>
      <c r="J116" s="22">
        <v>2179297.78</v>
      </c>
      <c r="K116" s="51"/>
      <c r="L116" s="22">
        <f>H116+L115</f>
        <v>430291458.2</v>
      </c>
      <c r="M116" s="99">
        <f>I116+M115</f>
        <v>398288522.16</v>
      </c>
      <c r="N116" s="17">
        <f t="shared" si="29"/>
        <v>0.623511408616018</v>
      </c>
      <c r="O116" s="79">
        <v>1</v>
      </c>
      <c r="P116" s="17">
        <f>M116/L116</f>
        <v>0.92562497946421</v>
      </c>
    </row>
    <row r="117" spans="2:16">
      <c r="B117" s="6" t="s">
        <v>149</v>
      </c>
      <c r="C117" s="47">
        <v>2020</v>
      </c>
      <c r="F117" s="22">
        <v>15477872.07</v>
      </c>
      <c r="G117" s="51"/>
      <c r="H117" s="22">
        <v>14742695.86</v>
      </c>
      <c r="I117" s="22">
        <v>13026913.87</v>
      </c>
      <c r="J117" s="22">
        <v>1715781.99</v>
      </c>
      <c r="K117" s="51"/>
      <c r="L117" s="22">
        <f>H117</f>
        <v>14742695.86</v>
      </c>
      <c r="M117" s="99">
        <f>I117</f>
        <v>13026913.87</v>
      </c>
      <c r="N117" s="17">
        <f t="shared" si="29"/>
        <v>0.95250146747078</v>
      </c>
      <c r="O117" s="79">
        <v>1</v>
      </c>
      <c r="P117" s="17">
        <f>M117/L117</f>
        <v>0.883618165477097</v>
      </c>
    </row>
    <row r="118" spans="1:16">
      <c r="A118" s="6" t="s">
        <v>150</v>
      </c>
      <c r="B118" s="6" t="s">
        <v>151</v>
      </c>
      <c r="C118" s="47">
        <v>2017</v>
      </c>
      <c r="F118" s="58">
        <v>1692380000</v>
      </c>
      <c r="H118" s="22">
        <v>3736021.86</v>
      </c>
      <c r="K118" s="51">
        <v>3736021.86</v>
      </c>
      <c r="L118" s="22">
        <f>H118</f>
        <v>3736021.86</v>
      </c>
      <c r="N118" s="17">
        <f t="shared" si="29"/>
        <v>0.00220755495810634</v>
      </c>
      <c r="O118" s="79">
        <v>0.02</v>
      </c>
      <c r="P118" s="17">
        <f t="shared" si="30"/>
        <v>0</v>
      </c>
    </row>
    <row r="119" spans="1:16">
      <c r="A119" s="6"/>
      <c r="C119" s="47">
        <v>2018</v>
      </c>
      <c r="F119" s="58">
        <v>1692380000</v>
      </c>
      <c r="G119" s="51">
        <v>3736021.86</v>
      </c>
      <c r="H119" s="22">
        <v>2804120.21</v>
      </c>
      <c r="K119" s="51">
        <v>6540142.07</v>
      </c>
      <c r="L119" s="22">
        <f>H119+L118</f>
        <v>6540142.07</v>
      </c>
      <c r="N119" s="17">
        <f t="shared" si="29"/>
        <v>0.00386446428698047</v>
      </c>
      <c r="O119" s="79">
        <v>0.02</v>
      </c>
      <c r="P119" s="17">
        <f t="shared" si="30"/>
        <v>0</v>
      </c>
    </row>
    <row r="120" spans="1:16">
      <c r="A120" s="6"/>
      <c r="C120" s="47">
        <v>2019</v>
      </c>
      <c r="F120" s="58">
        <v>1692380000</v>
      </c>
      <c r="G120" s="51">
        <v>6540142.07</v>
      </c>
      <c r="H120" s="22">
        <v>838294.12</v>
      </c>
      <c r="K120" s="51">
        <v>7378436.19</v>
      </c>
      <c r="L120" s="22">
        <f>H120+L119</f>
        <v>7378436.19</v>
      </c>
      <c r="N120" s="17">
        <f t="shared" si="29"/>
        <v>0.00435979873905388</v>
      </c>
      <c r="O120" s="79">
        <v>0.02</v>
      </c>
      <c r="P120" s="17">
        <f t="shared" si="30"/>
        <v>0</v>
      </c>
    </row>
    <row r="121" spans="1:16">
      <c r="A121" s="6"/>
      <c r="C121" s="47">
        <v>2020</v>
      </c>
      <c r="F121" s="58">
        <v>1692380000</v>
      </c>
      <c r="G121" s="51">
        <v>7378436.19</v>
      </c>
      <c r="H121" s="22">
        <v>672700.88</v>
      </c>
      <c r="K121" s="51">
        <v>8051137.07</v>
      </c>
      <c r="L121" s="22">
        <f>H121+L120</f>
        <v>8051137.07</v>
      </c>
      <c r="N121" s="17">
        <f t="shared" si="29"/>
        <v>0.00475728682092674</v>
      </c>
      <c r="O121" s="79">
        <v>0.02</v>
      </c>
      <c r="P121" s="17">
        <f t="shared" si="30"/>
        <v>0</v>
      </c>
    </row>
    <row r="122" spans="1:16">
      <c r="A122" s="43" t="s">
        <v>152</v>
      </c>
      <c r="B122" s="6" t="s">
        <v>152</v>
      </c>
      <c r="C122" s="47">
        <v>2017</v>
      </c>
      <c r="F122" s="58">
        <v>537980000</v>
      </c>
      <c r="H122" s="22">
        <v>1817332.85</v>
      </c>
      <c r="K122" s="51">
        <v>1817332.85</v>
      </c>
      <c r="L122" s="22">
        <f>H122</f>
        <v>1817332.85</v>
      </c>
      <c r="N122" s="17">
        <f t="shared" si="29"/>
        <v>0.00337806767909588</v>
      </c>
      <c r="O122" s="79">
        <v>0.02</v>
      </c>
      <c r="P122" s="17">
        <f t="shared" si="30"/>
        <v>0</v>
      </c>
    </row>
    <row r="123" spans="3:16">
      <c r="C123" s="47">
        <v>2018</v>
      </c>
      <c r="F123" s="58">
        <v>537980000</v>
      </c>
      <c r="G123" s="51">
        <v>1817332.85</v>
      </c>
      <c r="H123" s="22">
        <v>21915405.48</v>
      </c>
      <c r="K123" s="51">
        <v>23732738.33</v>
      </c>
      <c r="L123" s="22">
        <f>H123+L122</f>
        <v>23732738.33</v>
      </c>
      <c r="N123" s="17">
        <f t="shared" si="29"/>
        <v>0.0441145364697572</v>
      </c>
      <c r="O123" s="79">
        <v>0.2</v>
      </c>
      <c r="P123" s="17">
        <f t="shared" si="30"/>
        <v>0</v>
      </c>
    </row>
    <row r="124" spans="3:16">
      <c r="C124" s="47">
        <v>2019</v>
      </c>
      <c r="F124" s="58">
        <v>537980000</v>
      </c>
      <c r="G124" s="51">
        <v>23732738.33</v>
      </c>
      <c r="H124" s="22">
        <v>309822122.77</v>
      </c>
      <c r="I124" s="22">
        <v>302252349.78</v>
      </c>
      <c r="J124" s="22">
        <v>24777177.8</v>
      </c>
      <c r="K124" s="51">
        <v>6525333.52</v>
      </c>
      <c r="L124" s="22">
        <f>H124+L123</f>
        <v>333554861.1</v>
      </c>
      <c r="M124" s="22">
        <f>I124</f>
        <v>302252349.78</v>
      </c>
      <c r="N124" s="17">
        <f t="shared" si="29"/>
        <v>0.620013496970148</v>
      </c>
      <c r="O124" s="79">
        <v>0.8</v>
      </c>
      <c r="P124" s="17">
        <f t="shared" si="30"/>
        <v>0.906154833970129</v>
      </c>
    </row>
    <row r="125" spans="3:16">
      <c r="C125" s="47">
        <v>2020</v>
      </c>
      <c r="F125" s="58">
        <v>123920000</v>
      </c>
      <c r="G125" s="51">
        <v>6525333.52</v>
      </c>
      <c r="H125" s="22">
        <v>49249285.71</v>
      </c>
      <c r="I125" s="22">
        <v>-2516897.53</v>
      </c>
      <c r="J125" s="22">
        <v>538632.31</v>
      </c>
      <c r="K125" s="51">
        <v>57752884.45</v>
      </c>
      <c r="L125" s="22">
        <f>H125+G125</f>
        <v>55774619.23</v>
      </c>
      <c r="M125" s="22">
        <f>I125+M124</f>
        <v>299735452.25</v>
      </c>
      <c r="N125" s="17">
        <f t="shared" si="29"/>
        <v>0.450085694238218</v>
      </c>
      <c r="O125" s="79">
        <v>0.95</v>
      </c>
      <c r="P125" s="17">
        <f t="shared" si="30"/>
        <v>-0.0451262162744845</v>
      </c>
    </row>
    <row r="126" spans="1:16">
      <c r="A126" s="43" t="s">
        <v>153</v>
      </c>
      <c r="B126" s="6" t="s">
        <v>154</v>
      </c>
      <c r="C126" s="47">
        <v>2018</v>
      </c>
      <c r="F126" s="22">
        <v>480000000</v>
      </c>
      <c r="H126" s="22">
        <v>4124609.6</v>
      </c>
      <c r="K126" s="51">
        <v>4124609.6</v>
      </c>
      <c r="L126" s="22">
        <f>H126</f>
        <v>4124609.6</v>
      </c>
      <c r="N126" s="17">
        <f t="shared" si="29"/>
        <v>0.00859293666666667</v>
      </c>
      <c r="O126" s="79">
        <v>0.05</v>
      </c>
      <c r="P126" s="17">
        <f t="shared" si="30"/>
        <v>0</v>
      </c>
    </row>
    <row r="127" spans="3:16">
      <c r="C127" s="47">
        <v>2019</v>
      </c>
      <c r="F127" s="22">
        <v>480000000</v>
      </c>
      <c r="G127" s="51">
        <v>4124609.6</v>
      </c>
      <c r="H127" s="22">
        <v>41937909.51</v>
      </c>
      <c r="K127" s="51">
        <v>46062519.11</v>
      </c>
      <c r="L127" s="22">
        <f>H127+L126</f>
        <v>46062519.11</v>
      </c>
      <c r="N127" s="17">
        <f t="shared" si="29"/>
        <v>0.0959635814791667</v>
      </c>
      <c r="O127" s="79">
        <v>0.2</v>
      </c>
      <c r="P127" s="17">
        <f t="shared" si="30"/>
        <v>0</v>
      </c>
    </row>
    <row r="128" spans="3:16">
      <c r="C128" s="47">
        <v>2020</v>
      </c>
      <c r="F128" s="22">
        <v>480000000</v>
      </c>
      <c r="G128" s="51">
        <v>46062519.11</v>
      </c>
      <c r="H128" s="22">
        <v>183273744.37</v>
      </c>
      <c r="I128" s="22">
        <v>74541378.27</v>
      </c>
      <c r="J128" s="22">
        <v>110219039.81</v>
      </c>
      <c r="K128" s="51">
        <v>44575845.4</v>
      </c>
      <c r="L128" s="22">
        <f>H128+L127</f>
        <v>229336263.48</v>
      </c>
      <c r="M128" s="22">
        <f>I128</f>
        <v>74541378.27</v>
      </c>
      <c r="N128" s="17">
        <f t="shared" si="29"/>
        <v>0.47778388225</v>
      </c>
      <c r="O128" s="79">
        <v>0.6</v>
      </c>
      <c r="P128" s="17">
        <f>M128/L128</f>
        <v>0.325030926809796</v>
      </c>
    </row>
    <row r="129" ht="31.5" spans="1:16">
      <c r="A129" s="46" t="s">
        <v>155</v>
      </c>
      <c r="B129" s="6" t="s">
        <v>156</v>
      </c>
      <c r="C129" s="47">
        <v>2018</v>
      </c>
      <c r="F129" s="22">
        <v>700000000</v>
      </c>
      <c r="H129" s="22">
        <v>3719188.6</v>
      </c>
      <c r="K129" s="51">
        <v>3719188.6</v>
      </c>
      <c r="L129" s="22">
        <f>H129</f>
        <v>3719188.6</v>
      </c>
      <c r="N129" s="17">
        <f t="shared" si="29"/>
        <v>0.00531312657142857</v>
      </c>
      <c r="O129" s="79">
        <v>0.05</v>
      </c>
      <c r="P129" s="17">
        <f t="shared" si="30"/>
        <v>0</v>
      </c>
    </row>
    <row r="130" spans="3:16">
      <c r="C130" s="47">
        <v>2019</v>
      </c>
      <c r="F130" s="22">
        <v>700000000</v>
      </c>
      <c r="G130" s="51">
        <v>3719188.6</v>
      </c>
      <c r="H130" s="22">
        <v>13825534.5</v>
      </c>
      <c r="K130" s="51">
        <v>17544723.1</v>
      </c>
      <c r="L130" s="22">
        <f>H130+L129</f>
        <v>17544723.1</v>
      </c>
      <c r="N130" s="17">
        <f t="shared" si="29"/>
        <v>0.0250638901428571</v>
      </c>
      <c r="O130" s="79">
        <v>0.1</v>
      </c>
      <c r="P130" s="17">
        <f t="shared" si="30"/>
        <v>0</v>
      </c>
    </row>
    <row r="131" spans="3:16">
      <c r="C131" s="47">
        <v>2020</v>
      </c>
      <c r="F131" s="22">
        <v>700000000</v>
      </c>
      <c r="G131" s="51">
        <v>17544723.1</v>
      </c>
      <c r="H131" s="22">
        <v>83068867.77</v>
      </c>
      <c r="K131" s="51">
        <v>100613590.87</v>
      </c>
      <c r="L131" s="22">
        <f>H131+L130</f>
        <v>100613590.87</v>
      </c>
      <c r="N131" s="17">
        <f t="shared" si="29"/>
        <v>0.143733701242857</v>
      </c>
      <c r="O131" s="79">
        <v>0.5</v>
      </c>
      <c r="P131" s="17">
        <f t="shared" si="30"/>
        <v>0</v>
      </c>
    </row>
    <row r="132" spans="1:16">
      <c r="A132" s="46" t="s">
        <v>157</v>
      </c>
      <c r="B132" s="6" t="s">
        <v>158</v>
      </c>
      <c r="C132" s="47">
        <v>2019</v>
      </c>
      <c r="F132" s="22">
        <v>400000000</v>
      </c>
      <c r="H132" s="22">
        <v>32110163.81</v>
      </c>
      <c r="K132" s="51">
        <v>32110163.81</v>
      </c>
      <c r="L132" s="22">
        <f>H132</f>
        <v>32110163.81</v>
      </c>
      <c r="N132" s="17">
        <f t="shared" si="29"/>
        <v>0.080275409525</v>
      </c>
      <c r="O132" s="79">
        <v>0.05</v>
      </c>
      <c r="P132" s="17">
        <f t="shared" si="30"/>
        <v>0</v>
      </c>
    </row>
    <row r="133" spans="3:16">
      <c r="C133" s="47">
        <v>2020</v>
      </c>
      <c r="F133" s="22">
        <v>400000000</v>
      </c>
      <c r="G133" s="51">
        <v>32110163.81</v>
      </c>
      <c r="H133" s="22">
        <v>69141674.53</v>
      </c>
      <c r="K133" s="51">
        <v>101251838.34</v>
      </c>
      <c r="L133" s="22">
        <f>H133+L132</f>
        <v>101251838.34</v>
      </c>
      <c r="N133" s="17">
        <f t="shared" si="29"/>
        <v>0.25312959585</v>
      </c>
      <c r="O133" s="79">
        <v>0.4</v>
      </c>
      <c r="P133" s="17">
        <f t="shared" si="30"/>
        <v>0</v>
      </c>
    </row>
    <row r="134" spans="1:16">
      <c r="A134" s="46" t="s">
        <v>159</v>
      </c>
      <c r="B134" s="6" t="s">
        <v>160</v>
      </c>
      <c r="C134" s="47">
        <v>2020</v>
      </c>
      <c r="F134" s="22">
        <v>2500000000</v>
      </c>
      <c r="H134" s="22">
        <v>65235857.43</v>
      </c>
      <c r="K134" s="51">
        <v>65235857.43</v>
      </c>
      <c r="L134" s="22">
        <f>H134</f>
        <v>65235857.43</v>
      </c>
      <c r="N134" s="17">
        <f t="shared" si="29"/>
        <v>0.026094342972</v>
      </c>
      <c r="O134" s="79">
        <v>0.02</v>
      </c>
      <c r="P134" s="17">
        <f t="shared" si="30"/>
        <v>0</v>
      </c>
    </row>
    <row r="135" spans="12:16">
      <c r="L135" s="22">
        <f>H135</f>
        <v>0</v>
      </c>
      <c r="N135" s="17" t="e">
        <f t="shared" si="29"/>
        <v>#DIV/0!</v>
      </c>
      <c r="P135" s="17" t="e">
        <f t="shared" si="30"/>
        <v>#DIV/0!</v>
      </c>
    </row>
    <row r="136" spans="14:16">
      <c r="N136" s="17" t="e">
        <f t="shared" si="29"/>
        <v>#DIV/0!</v>
      </c>
      <c r="P136" s="17" t="e">
        <f t="shared" si="30"/>
        <v>#DIV/0!</v>
      </c>
    </row>
    <row r="138" spans="1:6">
      <c r="A138" t="s">
        <v>161</v>
      </c>
      <c r="B138" s="6" t="s">
        <v>162</v>
      </c>
      <c r="C138" s="47">
        <v>2020</v>
      </c>
      <c r="F138" t="s">
        <v>163</v>
      </c>
    </row>
  </sheetData>
  <autoFilter ref="A1:P138">
    <extLst/>
  </autoFilter>
  <pageMargins left="0.7" right="0.7" top="0.75" bottom="0.75" header="0.3" footer="0.3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6"/>
  <sheetViews>
    <sheetView workbookViewId="0">
      <selection activeCell="D7" sqref="D7"/>
    </sheetView>
  </sheetViews>
  <sheetFormatPr defaultColWidth="9" defaultRowHeight="15.75" outlineLevelCol="3"/>
  <cols>
    <col min="1" max="1" width="12.875" customWidth="1"/>
    <col min="3" max="3" width="51.625" customWidth="1"/>
    <col min="4" max="4" width="38.375" customWidth="1"/>
  </cols>
  <sheetData>
    <row r="1" spans="1:4">
      <c r="A1" t="s">
        <v>164</v>
      </c>
      <c r="B1" t="s">
        <v>165</v>
      </c>
      <c r="C1" t="s">
        <v>166</v>
      </c>
      <c r="D1" t="s">
        <v>167</v>
      </c>
    </row>
    <row r="2" ht="63" spans="1:3">
      <c r="A2" s="43" t="s">
        <v>168</v>
      </c>
      <c r="B2">
        <v>2020</v>
      </c>
      <c r="C2" s="6" t="s">
        <v>169</v>
      </c>
    </row>
    <row r="3" spans="1:3">
      <c r="A3" s="44" t="s">
        <v>170</v>
      </c>
      <c r="B3">
        <v>2010</v>
      </c>
      <c r="C3" s="6" t="s">
        <v>171</v>
      </c>
    </row>
    <row r="4" spans="1:3">
      <c r="A4" s="28"/>
      <c r="B4">
        <v>2012</v>
      </c>
      <c r="C4" s="6" t="s">
        <v>172</v>
      </c>
    </row>
    <row r="5" spans="1:3">
      <c r="A5" s="28"/>
      <c r="B5">
        <v>2014</v>
      </c>
      <c r="C5" s="6" t="s">
        <v>173</v>
      </c>
    </row>
    <row r="6" spans="1:3">
      <c r="A6" s="44" t="s">
        <v>174</v>
      </c>
      <c r="B6">
        <v>2011</v>
      </c>
      <c r="C6" s="6" t="s">
        <v>175</v>
      </c>
    </row>
    <row r="7" ht="31.5" spans="1:3">
      <c r="A7" s="28"/>
      <c r="B7">
        <v>2015</v>
      </c>
      <c r="C7" s="6" t="s">
        <v>176</v>
      </c>
    </row>
    <row r="8" ht="31.5" spans="1:3">
      <c r="A8" s="28"/>
      <c r="B8">
        <v>2016</v>
      </c>
      <c r="C8" s="6" t="s">
        <v>177</v>
      </c>
    </row>
    <row r="9" spans="1:3">
      <c r="A9" s="44" t="s">
        <v>178</v>
      </c>
      <c r="B9">
        <v>2011</v>
      </c>
      <c r="C9" s="6" t="s">
        <v>179</v>
      </c>
    </row>
    <row r="10" ht="47.25" spans="1:4">
      <c r="A10" s="28"/>
      <c r="B10">
        <v>2015</v>
      </c>
      <c r="C10" s="6" t="s">
        <v>180</v>
      </c>
      <c r="D10" t="s">
        <v>181</v>
      </c>
    </row>
    <row r="11" spans="1:3">
      <c r="A11" s="44" t="s">
        <v>182</v>
      </c>
      <c r="B11">
        <v>2011</v>
      </c>
      <c r="C11" s="6" t="s">
        <v>183</v>
      </c>
    </row>
    <row r="12" ht="47.25" spans="1:3">
      <c r="A12" s="28"/>
      <c r="B12">
        <v>2016</v>
      </c>
      <c r="C12" s="6" t="s">
        <v>184</v>
      </c>
    </row>
    <row r="13" spans="1:3">
      <c r="A13" s="43" t="s">
        <v>185</v>
      </c>
      <c r="B13">
        <v>2011</v>
      </c>
      <c r="C13" s="6" t="s">
        <v>186</v>
      </c>
    </row>
    <row r="14" spans="1:4">
      <c r="A14" s="28"/>
      <c r="B14">
        <v>2013</v>
      </c>
      <c r="C14" s="6" t="s">
        <v>187</v>
      </c>
      <c r="D14" t="s">
        <v>188</v>
      </c>
    </row>
    <row r="15" spans="1:4">
      <c r="A15" s="28"/>
      <c r="B15">
        <v>2018</v>
      </c>
      <c r="C15" s="6"/>
      <c r="D15" t="s">
        <v>189</v>
      </c>
    </row>
    <row r="16" spans="1:3">
      <c r="A16" s="43" t="s">
        <v>190</v>
      </c>
      <c r="B16">
        <v>2012</v>
      </c>
      <c r="C16" s="6" t="s">
        <v>191</v>
      </c>
    </row>
    <row r="17" spans="1:4">
      <c r="A17" s="28"/>
      <c r="B17">
        <v>2014</v>
      </c>
      <c r="C17" s="6" t="s">
        <v>187</v>
      </c>
      <c r="D17" t="s">
        <v>192</v>
      </c>
    </row>
    <row r="18" spans="1:4">
      <c r="A18" s="28"/>
      <c r="B18">
        <v>2019</v>
      </c>
      <c r="C18" s="6"/>
      <c r="D18" t="s">
        <v>193</v>
      </c>
    </row>
    <row r="19" spans="1:3">
      <c r="A19" s="43" t="s">
        <v>194</v>
      </c>
      <c r="B19">
        <v>2012</v>
      </c>
      <c r="C19" s="6" t="s">
        <v>195</v>
      </c>
    </row>
    <row r="20" spans="1:4">
      <c r="A20" s="28"/>
      <c r="B20">
        <v>2014</v>
      </c>
      <c r="C20" s="6" t="s">
        <v>187</v>
      </c>
      <c r="D20" t="s">
        <v>196</v>
      </c>
    </row>
    <row r="21" spans="1:4">
      <c r="A21" s="28"/>
      <c r="B21">
        <v>2017</v>
      </c>
      <c r="C21" s="45" t="s">
        <v>197</v>
      </c>
      <c r="D21" t="s">
        <v>198</v>
      </c>
    </row>
    <row r="22" spans="1:4">
      <c r="A22" s="28"/>
      <c r="B22">
        <v>2020</v>
      </c>
      <c r="C22" s="45" t="s">
        <v>199</v>
      </c>
      <c r="D22" t="s">
        <v>200</v>
      </c>
    </row>
    <row r="23" spans="1:3">
      <c r="A23" s="43" t="s">
        <v>145</v>
      </c>
      <c r="B23">
        <v>2016</v>
      </c>
      <c r="C23" s="45" t="s">
        <v>201</v>
      </c>
    </row>
    <row r="24" spans="1:3">
      <c r="A24" s="28"/>
      <c r="B24">
        <v>2021</v>
      </c>
      <c r="C24" s="45" t="s">
        <v>202</v>
      </c>
    </row>
    <row r="25" spans="1:3">
      <c r="A25" s="43" t="s">
        <v>147</v>
      </c>
      <c r="B25">
        <v>2016</v>
      </c>
      <c r="C25" s="45" t="s">
        <v>203</v>
      </c>
    </row>
    <row r="26" spans="1:4">
      <c r="A26" s="28"/>
      <c r="B26">
        <v>2018</v>
      </c>
      <c r="C26" s="45" t="s">
        <v>204</v>
      </c>
      <c r="D26" t="s">
        <v>205</v>
      </c>
    </row>
    <row r="27" spans="1:4">
      <c r="A27" s="28"/>
      <c r="B27">
        <v>2019</v>
      </c>
      <c r="C27" s="45"/>
      <c r="D27" t="s">
        <v>206</v>
      </c>
    </row>
    <row r="28" spans="1:3">
      <c r="A28" s="44" t="s">
        <v>207</v>
      </c>
      <c r="B28">
        <v>2016</v>
      </c>
      <c r="C28" s="6" t="s">
        <v>208</v>
      </c>
    </row>
    <row r="29" spans="1:3">
      <c r="A29" s="28"/>
      <c r="B29">
        <v>2020</v>
      </c>
      <c r="C29" s="6" t="s">
        <v>209</v>
      </c>
    </row>
    <row r="30" spans="1:3">
      <c r="A30" s="43" t="s">
        <v>152</v>
      </c>
      <c r="B30">
        <v>2017</v>
      </c>
      <c r="C30" s="6" t="s">
        <v>210</v>
      </c>
    </row>
    <row r="31" spans="1:4">
      <c r="A31" s="28"/>
      <c r="B31">
        <v>2019</v>
      </c>
      <c r="C31" s="6" t="s">
        <v>204</v>
      </c>
      <c r="D31" t="s">
        <v>211</v>
      </c>
    </row>
    <row r="32" spans="1:3">
      <c r="A32" s="43" t="s">
        <v>212</v>
      </c>
      <c r="B32">
        <v>2018</v>
      </c>
      <c r="C32" s="6" t="s">
        <v>213</v>
      </c>
    </row>
    <row r="33" spans="2:4">
      <c r="B33">
        <v>2020</v>
      </c>
      <c r="C33" t="s">
        <v>214</v>
      </c>
      <c r="D33" t="s">
        <v>215</v>
      </c>
    </row>
    <row r="34" spans="1:3">
      <c r="A34" s="46" t="s">
        <v>216</v>
      </c>
      <c r="B34">
        <v>2018</v>
      </c>
      <c r="C34" s="6" t="s">
        <v>217</v>
      </c>
    </row>
    <row r="35" spans="1:3">
      <c r="A35" s="46" t="s">
        <v>218</v>
      </c>
      <c r="B35">
        <v>2019</v>
      </c>
      <c r="C35" s="6" t="s">
        <v>219</v>
      </c>
    </row>
    <row r="36" ht="63" spans="1:3">
      <c r="A36" s="46" t="s">
        <v>220</v>
      </c>
      <c r="B36">
        <v>2020</v>
      </c>
      <c r="C36" s="6" t="s">
        <v>221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27"/>
  <sheetViews>
    <sheetView workbookViewId="0">
      <selection activeCell="C9" sqref="C9"/>
    </sheetView>
  </sheetViews>
  <sheetFormatPr defaultColWidth="9" defaultRowHeight="15.75"/>
  <cols>
    <col min="2" max="2" width="15.375" customWidth="1"/>
    <col min="3" max="3" width="14.375" customWidth="1"/>
    <col min="4" max="4" width="17.5" customWidth="1"/>
    <col min="5" max="5" width="15.25" customWidth="1"/>
    <col min="6" max="6" width="15.75" customWidth="1"/>
    <col min="7" max="7" width="14" customWidth="1"/>
    <col min="8" max="8" width="14.375" customWidth="1"/>
    <col min="9" max="9" width="15.375" customWidth="1"/>
    <col min="10" max="10" width="21" customWidth="1"/>
    <col min="11" max="11" width="15.125" customWidth="1"/>
    <col min="12" max="12" width="14.25" customWidth="1"/>
    <col min="13" max="13" width="13.5" customWidth="1"/>
    <col min="14" max="14" width="17.375" customWidth="1"/>
    <col min="15" max="15" width="18.5" customWidth="1"/>
  </cols>
  <sheetData>
    <row r="1" spans="2:15">
      <c r="B1" s="39" t="s">
        <v>54</v>
      </c>
      <c r="C1" s="34" t="s">
        <v>168</v>
      </c>
      <c r="D1" s="34" t="s">
        <v>222</v>
      </c>
      <c r="E1" s="34" t="s">
        <v>223</v>
      </c>
      <c r="F1" s="34" t="s">
        <v>224</v>
      </c>
      <c r="G1" s="34" t="s">
        <v>147</v>
      </c>
      <c r="H1" s="34" t="s">
        <v>225</v>
      </c>
      <c r="I1" s="34" t="s">
        <v>212</v>
      </c>
      <c r="J1" s="34" t="s">
        <v>226</v>
      </c>
      <c r="K1" s="34" t="s">
        <v>227</v>
      </c>
      <c r="L1" s="34" t="s">
        <v>228</v>
      </c>
      <c r="M1" s="34" t="s">
        <v>229</v>
      </c>
      <c r="N1" s="34" t="s">
        <v>230</v>
      </c>
      <c r="O1" s="34" t="s">
        <v>231</v>
      </c>
    </row>
    <row r="2" spans="2:15">
      <c r="B2" s="40">
        <v>40543</v>
      </c>
      <c r="C2" s="37">
        <v>417437985.34</v>
      </c>
      <c r="D2" s="34"/>
      <c r="E2" s="34"/>
      <c r="F2" s="34"/>
      <c r="G2" s="34"/>
      <c r="H2" s="34"/>
      <c r="I2" s="41"/>
      <c r="J2" s="34"/>
      <c r="K2" s="34"/>
      <c r="L2" s="34"/>
      <c r="M2" s="38">
        <v>27318676.61</v>
      </c>
      <c r="N2" s="36">
        <f t="shared" ref="N2:N12" si="0">M2+L2+K2+J2+I2+H2+G2+E2+D2+C2+F2</f>
        <v>444756661.95</v>
      </c>
      <c r="O2" s="37">
        <v>444756700</v>
      </c>
    </row>
    <row r="3" spans="2:15">
      <c r="B3" s="40">
        <v>40908</v>
      </c>
      <c r="C3" s="37">
        <v>467681460.2</v>
      </c>
      <c r="D3" s="34"/>
      <c r="E3" s="34"/>
      <c r="F3" s="34"/>
      <c r="G3" s="34"/>
      <c r="H3" s="34"/>
      <c r="I3" s="41"/>
      <c r="J3" s="34"/>
      <c r="K3" s="34"/>
      <c r="L3" s="34"/>
      <c r="M3" s="38">
        <v>36850714.94</v>
      </c>
      <c r="N3" s="36">
        <f t="shared" si="0"/>
        <v>504532175.14</v>
      </c>
      <c r="O3" s="37">
        <v>504532200</v>
      </c>
    </row>
    <row r="4" spans="2:15">
      <c r="B4" s="40">
        <v>41274</v>
      </c>
      <c r="C4" s="37">
        <v>558533359.05</v>
      </c>
      <c r="D4" s="34"/>
      <c r="E4" s="34"/>
      <c r="F4" s="34"/>
      <c r="G4" s="34"/>
      <c r="H4" s="34"/>
      <c r="I4" s="41"/>
      <c r="J4" s="34"/>
      <c r="K4" s="34"/>
      <c r="L4" s="34"/>
      <c r="M4" s="38">
        <v>27623703.75</v>
      </c>
      <c r="N4" s="36">
        <f t="shared" si="0"/>
        <v>586157062.8</v>
      </c>
      <c r="O4" s="37">
        <v>586157100</v>
      </c>
    </row>
    <row r="5" spans="2:15">
      <c r="B5" s="40">
        <v>41639</v>
      </c>
      <c r="C5" s="37">
        <v>585587954.86</v>
      </c>
      <c r="D5" s="35">
        <v>33567890.96</v>
      </c>
      <c r="E5" s="34"/>
      <c r="F5" s="34"/>
      <c r="G5" s="34"/>
      <c r="H5" s="34"/>
      <c r="I5" s="41"/>
      <c r="J5" s="34"/>
      <c r="K5" s="35">
        <v>3818769.58</v>
      </c>
      <c r="L5" s="35">
        <v>12264150.6</v>
      </c>
      <c r="M5" s="38">
        <v>43477134</v>
      </c>
      <c r="N5" s="36">
        <f t="shared" si="0"/>
        <v>678715900</v>
      </c>
      <c r="O5" s="37">
        <v>678715900</v>
      </c>
    </row>
    <row r="6" spans="2:15">
      <c r="B6" s="40">
        <v>42004</v>
      </c>
      <c r="C6" s="37">
        <v>609812284.9</v>
      </c>
      <c r="D6" s="35">
        <v>159582817.34</v>
      </c>
      <c r="E6" s="35">
        <v>73933364.82</v>
      </c>
      <c r="F6" s="35">
        <v>63465841.31</v>
      </c>
      <c r="G6" s="34"/>
      <c r="H6" s="34"/>
      <c r="I6" s="41"/>
      <c r="J6" s="34"/>
      <c r="K6" s="35">
        <v>17516318.47</v>
      </c>
      <c r="L6" s="35">
        <v>10808503.36</v>
      </c>
      <c r="M6" s="38"/>
      <c r="N6" s="36">
        <f t="shared" si="0"/>
        <v>935119130.2</v>
      </c>
      <c r="O6" s="37">
        <v>935119100</v>
      </c>
    </row>
    <row r="7" spans="2:15">
      <c r="B7" s="40">
        <v>42369</v>
      </c>
      <c r="C7" s="37">
        <v>700754733.73</v>
      </c>
      <c r="D7" s="35">
        <v>257852071.96</v>
      </c>
      <c r="E7" s="35">
        <v>171198719.31</v>
      </c>
      <c r="F7" s="35">
        <v>131115944.74</v>
      </c>
      <c r="G7" s="34"/>
      <c r="H7" s="34"/>
      <c r="I7" s="41"/>
      <c r="J7" s="35">
        <v>369099362.92</v>
      </c>
      <c r="K7" s="35">
        <v>43827382.16</v>
      </c>
      <c r="L7" s="35">
        <v>17063305.18</v>
      </c>
      <c r="M7" s="38"/>
      <c r="N7" s="36">
        <f t="shared" si="0"/>
        <v>1690911520</v>
      </c>
      <c r="O7" s="37">
        <v>1694514000</v>
      </c>
    </row>
    <row r="8" spans="2:15">
      <c r="B8" s="40">
        <v>42735</v>
      </c>
      <c r="C8" s="37">
        <v>687874826.89</v>
      </c>
      <c r="D8" s="35">
        <v>307467248.97</v>
      </c>
      <c r="E8" s="35">
        <v>222559993.77</v>
      </c>
      <c r="F8" s="35">
        <v>149279367.16</v>
      </c>
      <c r="G8" s="34"/>
      <c r="H8" s="34"/>
      <c r="I8" s="41"/>
      <c r="J8" s="35">
        <v>1090212510.98</v>
      </c>
      <c r="K8" s="35">
        <v>60018274.36</v>
      </c>
      <c r="L8" s="35">
        <v>123204706.74</v>
      </c>
      <c r="M8" s="38">
        <v>3611972.78</v>
      </c>
      <c r="N8" s="36">
        <f t="shared" si="0"/>
        <v>2644228901.65</v>
      </c>
      <c r="O8" s="37">
        <v>2644229000</v>
      </c>
    </row>
    <row r="9" spans="2:15">
      <c r="B9" s="40">
        <v>43100</v>
      </c>
      <c r="C9" s="36">
        <v>842165471.05</v>
      </c>
      <c r="D9" s="35">
        <v>339980121.21</v>
      </c>
      <c r="E9" s="35">
        <v>227236394.38</v>
      </c>
      <c r="F9" s="35">
        <v>90585086.01</v>
      </c>
      <c r="G9" s="34"/>
      <c r="H9" s="34"/>
      <c r="I9" s="41"/>
      <c r="J9" s="35">
        <v>1240133995.36</v>
      </c>
      <c r="K9" s="35">
        <v>120577904.1</v>
      </c>
      <c r="L9" s="35">
        <v>163152259.15</v>
      </c>
      <c r="M9" s="38"/>
      <c r="N9" s="36">
        <f t="shared" si="0"/>
        <v>3023831231.26</v>
      </c>
      <c r="O9" s="36">
        <v>3023831000</v>
      </c>
    </row>
    <row r="10" spans="2:15">
      <c r="B10" s="40">
        <v>43465</v>
      </c>
      <c r="C10" s="36">
        <v>935878252.93</v>
      </c>
      <c r="D10" s="35">
        <v>426722284</v>
      </c>
      <c r="E10" s="35">
        <v>266958976.73</v>
      </c>
      <c r="F10" s="35">
        <v>1778339.57</v>
      </c>
      <c r="G10" s="35">
        <v>42659643.26</v>
      </c>
      <c r="H10" s="34"/>
      <c r="I10" s="41"/>
      <c r="J10" s="35">
        <v>1233596141.03</v>
      </c>
      <c r="K10" s="35">
        <v>173487760.9</v>
      </c>
      <c r="L10" s="35">
        <v>126677207.77</v>
      </c>
      <c r="M10" s="38">
        <v>3434208.29</v>
      </c>
      <c r="N10" s="36">
        <f t="shared" si="0"/>
        <v>3211192814.48</v>
      </c>
      <c r="O10" s="36">
        <v>3211193000</v>
      </c>
    </row>
    <row r="11" spans="2:15">
      <c r="B11" s="40">
        <v>43830</v>
      </c>
      <c r="C11" s="36">
        <v>918884614.29</v>
      </c>
      <c r="D11" s="35">
        <v>392729155.06</v>
      </c>
      <c r="E11" s="35">
        <v>333433832.57</v>
      </c>
      <c r="F11" s="34"/>
      <c r="G11" s="35">
        <v>160649726.51</v>
      </c>
      <c r="H11" s="35">
        <v>65470605.66</v>
      </c>
      <c r="I11" s="41"/>
      <c r="J11" s="35">
        <v>383412284.25</v>
      </c>
      <c r="K11" s="35">
        <v>180426687.71</v>
      </c>
      <c r="L11" s="35">
        <v>173281416.46</v>
      </c>
      <c r="M11" s="38">
        <v>3464886.35</v>
      </c>
      <c r="N11" s="36">
        <f t="shared" si="0"/>
        <v>2611753208.86</v>
      </c>
      <c r="O11" s="36">
        <v>2611753000</v>
      </c>
    </row>
    <row r="12" spans="2:15">
      <c r="B12" s="40">
        <v>43831</v>
      </c>
      <c r="C12" s="35">
        <v>286877405.89</v>
      </c>
      <c r="D12" s="35">
        <v>127098246.23</v>
      </c>
      <c r="E12" s="35">
        <v>136520949.23</v>
      </c>
      <c r="F12" s="35">
        <v>25667095.21</v>
      </c>
      <c r="G12" s="35">
        <v>56586027.07</v>
      </c>
      <c r="H12" s="35">
        <v>18120963.58</v>
      </c>
      <c r="I12" s="35">
        <v>25002178.14</v>
      </c>
      <c r="J12" s="34"/>
      <c r="K12" s="35">
        <v>43316562.23</v>
      </c>
      <c r="L12" s="35">
        <v>183396698.05</v>
      </c>
      <c r="M12" s="35"/>
      <c r="N12" s="36">
        <f t="shared" si="0"/>
        <v>902586125.63</v>
      </c>
      <c r="O12" s="35">
        <v>902586125.63</v>
      </c>
    </row>
    <row r="13" spans="2:15"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</row>
    <row r="14" spans="2:15"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</row>
    <row r="15" spans="2:2">
      <c r="B15" t="s">
        <v>232</v>
      </c>
    </row>
    <row r="16" spans="2:15">
      <c r="B16" s="39" t="s">
        <v>54</v>
      </c>
      <c r="C16" s="34" t="s">
        <v>168</v>
      </c>
      <c r="D16" s="34" t="s">
        <v>222</v>
      </c>
      <c r="E16" s="34" t="s">
        <v>223</v>
      </c>
      <c r="F16" s="34" t="s">
        <v>224</v>
      </c>
      <c r="G16" s="34" t="s">
        <v>147</v>
      </c>
      <c r="H16" s="34" t="s">
        <v>225</v>
      </c>
      <c r="I16" s="34" t="s">
        <v>212</v>
      </c>
      <c r="J16" s="34" t="s">
        <v>226</v>
      </c>
      <c r="K16" s="34" t="s">
        <v>227</v>
      </c>
      <c r="L16" s="34" t="s">
        <v>228</v>
      </c>
      <c r="M16" s="34" t="s">
        <v>229</v>
      </c>
      <c r="N16" s="34" t="s">
        <v>230</v>
      </c>
      <c r="O16" s="34"/>
    </row>
    <row r="17" spans="2:15">
      <c r="B17" s="40">
        <v>40543</v>
      </c>
      <c r="C17" s="41">
        <f>C2/N2</f>
        <v>0.938576127246249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36">
        <f t="shared" ref="N17:N27" si="1">M17+L17+K17+J17+H17+G17+E17+D17+C17+F17</f>
        <v>0.938576127246249</v>
      </c>
      <c r="O17" s="37">
        <v>444756700</v>
      </c>
    </row>
    <row r="18" spans="2:15">
      <c r="B18" s="40">
        <v>40908</v>
      </c>
      <c r="C18" s="41">
        <f t="shared" ref="C18:C27" si="2">C3/N3</f>
        <v>0.926960624602832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36">
        <f t="shared" si="1"/>
        <v>0.926960624602832</v>
      </c>
      <c r="O18" s="37">
        <v>504532200</v>
      </c>
    </row>
    <row r="19" spans="2:15">
      <c r="B19" s="40">
        <v>41274</v>
      </c>
      <c r="C19" s="41">
        <f t="shared" si="2"/>
        <v>0.95287320497676</v>
      </c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36">
        <f t="shared" si="1"/>
        <v>0.95287320497676</v>
      </c>
      <c r="O19" s="37">
        <v>586157100</v>
      </c>
    </row>
    <row r="20" spans="2:15">
      <c r="B20" s="40">
        <v>41639</v>
      </c>
      <c r="C20" s="41">
        <f t="shared" si="2"/>
        <v>0.862788030838824</v>
      </c>
      <c r="D20" s="41">
        <f>D5/N5</f>
        <v>0.0494579410324703</v>
      </c>
      <c r="E20" s="41"/>
      <c r="F20" s="41"/>
      <c r="G20" s="41"/>
      <c r="H20" s="41"/>
      <c r="I20" s="41"/>
      <c r="J20" s="41"/>
      <c r="K20" s="41">
        <f>K5/N5</f>
        <v>0.00562646253019857</v>
      </c>
      <c r="L20" s="41">
        <f>L5/N5</f>
        <v>0.0180696379737089</v>
      </c>
      <c r="M20" s="41">
        <f>M5/N5</f>
        <v>0.0640579276247985</v>
      </c>
      <c r="N20" s="36">
        <f t="shared" si="1"/>
        <v>1</v>
      </c>
      <c r="O20" s="37">
        <v>678715900</v>
      </c>
    </row>
    <row r="21" spans="2:15">
      <c r="B21" s="40">
        <v>42004</v>
      </c>
      <c r="C21" s="41">
        <f t="shared" si="2"/>
        <v>0.652122564073281</v>
      </c>
      <c r="D21" s="41">
        <f t="shared" ref="D21:D27" si="3">D6/N6</f>
        <v>0.170655066489624</v>
      </c>
      <c r="E21" s="41">
        <f>E6/N6</f>
        <v>0.0790630438756903</v>
      </c>
      <c r="F21" s="41">
        <f>F6/N6</f>
        <v>0.0678692577879635</v>
      </c>
      <c r="G21" s="41"/>
      <c r="H21" s="41"/>
      <c r="I21" s="41"/>
      <c r="J21" s="41"/>
      <c r="K21" s="41">
        <f t="shared" ref="K21:K27" si="4">K6/N6</f>
        <v>0.018731643813397</v>
      </c>
      <c r="L21" s="41">
        <f t="shared" ref="L21:L27" si="5">L6/N6</f>
        <v>0.0115584239600449</v>
      </c>
      <c r="M21" s="41">
        <f t="shared" ref="M21:M27" si="6">M6/N6</f>
        <v>0</v>
      </c>
      <c r="N21" s="36">
        <f t="shared" si="1"/>
        <v>1</v>
      </c>
      <c r="O21" s="37">
        <v>935119100</v>
      </c>
    </row>
    <row r="22" spans="2:15">
      <c r="B22" s="40">
        <v>42369</v>
      </c>
      <c r="C22" s="41">
        <f t="shared" si="2"/>
        <v>0.414424247183555</v>
      </c>
      <c r="D22" s="41">
        <f t="shared" si="3"/>
        <v>0.15249294177143</v>
      </c>
      <c r="E22" s="41">
        <f t="shared" ref="E22:E27" si="7">E7/N7</f>
        <v>0.101246408984191</v>
      </c>
      <c r="F22" s="41">
        <f t="shared" ref="F22:F27" si="8">F7/N7</f>
        <v>0.0775415763564021</v>
      </c>
      <c r="G22" s="41"/>
      <c r="H22" s="41"/>
      <c r="I22" s="41"/>
      <c r="J22" s="41">
        <f t="shared" ref="J22:J27" si="9">J7/N7</f>
        <v>0.218284255890574</v>
      </c>
      <c r="K22" s="41">
        <f t="shared" si="4"/>
        <v>0.0259193823222637</v>
      </c>
      <c r="L22" s="41">
        <f t="shared" si="5"/>
        <v>0.0100911874915844</v>
      </c>
      <c r="M22" s="41">
        <f t="shared" si="6"/>
        <v>0</v>
      </c>
      <c r="N22" s="36">
        <f t="shared" si="1"/>
        <v>1</v>
      </c>
      <c r="O22" s="37">
        <v>1694514000</v>
      </c>
    </row>
    <row r="23" spans="2:15">
      <c r="B23" s="40">
        <v>42735</v>
      </c>
      <c r="C23" s="41">
        <f t="shared" si="2"/>
        <v>0.260141936449135</v>
      </c>
      <c r="D23" s="41">
        <f t="shared" si="3"/>
        <v>0.116278605372682</v>
      </c>
      <c r="E23" s="41">
        <f t="shared" si="7"/>
        <v>0.0841682025452193</v>
      </c>
      <c r="F23" s="41">
        <f t="shared" si="8"/>
        <v>0.0564547823627711</v>
      </c>
      <c r="G23" s="41"/>
      <c r="H23" s="41"/>
      <c r="I23" s="41"/>
      <c r="J23" s="41">
        <f t="shared" si="9"/>
        <v>0.412298840807506</v>
      </c>
      <c r="K23" s="41">
        <f t="shared" si="4"/>
        <v>0.0226978361527433</v>
      </c>
      <c r="L23" s="41">
        <f t="shared" si="5"/>
        <v>0.0465938129120063</v>
      </c>
      <c r="M23" s="41">
        <f t="shared" si="6"/>
        <v>0.00136598339793734</v>
      </c>
      <c r="N23" s="36">
        <f t="shared" si="1"/>
        <v>1</v>
      </c>
      <c r="O23" s="37">
        <v>2644229000</v>
      </c>
    </row>
    <row r="24" spans="2:15">
      <c r="B24" s="40">
        <v>43100</v>
      </c>
      <c r="C24" s="41">
        <f t="shared" si="2"/>
        <v>0.278509416247771</v>
      </c>
      <c r="D24" s="41">
        <f t="shared" si="3"/>
        <v>0.112433563651082</v>
      </c>
      <c r="E24" s="41">
        <f t="shared" si="7"/>
        <v>0.0751485043314778</v>
      </c>
      <c r="F24" s="41">
        <f t="shared" si="8"/>
        <v>0.029957057481761</v>
      </c>
      <c r="G24" s="41"/>
      <c r="H24" s="41"/>
      <c r="I24" s="41"/>
      <c r="J24" s="41">
        <f t="shared" si="9"/>
        <v>0.410120109396201</v>
      </c>
      <c r="K24" s="41">
        <f t="shared" si="4"/>
        <v>0.0398758709988442</v>
      </c>
      <c r="L24" s="41">
        <f t="shared" si="5"/>
        <v>0.0539554778928638</v>
      </c>
      <c r="M24" s="41">
        <f t="shared" si="6"/>
        <v>0</v>
      </c>
      <c r="N24" s="36">
        <f t="shared" si="1"/>
        <v>1</v>
      </c>
      <c r="O24" s="36">
        <v>3023831000</v>
      </c>
    </row>
    <row r="25" spans="2:15">
      <c r="B25" s="40">
        <v>43465</v>
      </c>
      <c r="C25" s="41">
        <f t="shared" si="2"/>
        <v>0.291442559509324</v>
      </c>
      <c r="D25" s="41">
        <f t="shared" si="3"/>
        <v>0.13288591145191</v>
      </c>
      <c r="E25" s="41">
        <f t="shared" si="7"/>
        <v>0.0831338982593076</v>
      </c>
      <c r="F25" s="41">
        <f t="shared" si="8"/>
        <v>0.000553794079876195</v>
      </c>
      <c r="G25" s="41">
        <f>G10/N10</f>
        <v>0.0132846719971588</v>
      </c>
      <c r="H25" s="41"/>
      <c r="I25" s="41"/>
      <c r="J25" s="41">
        <f t="shared" si="9"/>
        <v>0.384155113784334</v>
      </c>
      <c r="K25" s="41">
        <f t="shared" si="4"/>
        <v>0.0540259557500578</v>
      </c>
      <c r="L25" s="41">
        <f t="shared" si="5"/>
        <v>0.0394486457489515</v>
      </c>
      <c r="M25" s="41">
        <f t="shared" si="6"/>
        <v>0.00106944941908015</v>
      </c>
      <c r="N25" s="36">
        <f t="shared" si="1"/>
        <v>1</v>
      </c>
      <c r="O25" s="36">
        <v>3211193000</v>
      </c>
    </row>
    <row r="26" spans="2:15">
      <c r="B26" s="40">
        <v>43830</v>
      </c>
      <c r="C26" s="41">
        <f t="shared" si="2"/>
        <v>0.351826738901982</v>
      </c>
      <c r="D26" s="41">
        <f t="shared" si="3"/>
        <v>0.150369933011941</v>
      </c>
      <c r="E26" s="41">
        <f t="shared" si="7"/>
        <v>0.127666669055435</v>
      </c>
      <c r="F26" s="41">
        <f t="shared" si="8"/>
        <v>0</v>
      </c>
      <c r="G26" s="41">
        <f>G11/N11</f>
        <v>0.0615103011896449</v>
      </c>
      <c r="H26" s="41">
        <f>H11/N11</f>
        <v>0.0250676845874642</v>
      </c>
      <c r="I26" s="41"/>
      <c r="J26" s="41">
        <f t="shared" si="9"/>
        <v>0.146802646953521</v>
      </c>
      <c r="K26" s="41">
        <f t="shared" si="4"/>
        <v>0.0690825944418976</v>
      </c>
      <c r="L26" s="41">
        <f t="shared" si="5"/>
        <v>0.066346780343628</v>
      </c>
      <c r="M26" s="41">
        <f t="shared" si="6"/>
        <v>0.00132665151448685</v>
      </c>
      <c r="N26" s="36">
        <f t="shared" si="1"/>
        <v>1</v>
      </c>
      <c r="O26" s="36">
        <v>2611753000</v>
      </c>
    </row>
    <row r="27" spans="2:15">
      <c r="B27" s="40">
        <v>43831</v>
      </c>
      <c r="C27" s="41">
        <f t="shared" si="2"/>
        <v>0.317839370386689</v>
      </c>
      <c r="D27" s="41">
        <f t="shared" si="3"/>
        <v>0.140815643649836</v>
      </c>
      <c r="E27" s="41">
        <f t="shared" si="7"/>
        <v>0.151255315535356</v>
      </c>
      <c r="F27" s="41">
        <f t="shared" si="8"/>
        <v>0.0284372809210695</v>
      </c>
      <c r="G27" s="41">
        <f>G12/N12</f>
        <v>0.0626932161520911</v>
      </c>
      <c r="H27" s="41">
        <f>H12/N12</f>
        <v>0.0200767140834917</v>
      </c>
      <c r="I27" s="41">
        <f>I12/N12</f>
        <v>0.0277006010064121</v>
      </c>
      <c r="J27" s="41">
        <f t="shared" si="9"/>
        <v>0</v>
      </c>
      <c r="K27" s="41">
        <f t="shared" si="4"/>
        <v>0.0479916109942032</v>
      </c>
      <c r="L27" s="41">
        <f t="shared" si="5"/>
        <v>0.203190247270852</v>
      </c>
      <c r="M27" s="41">
        <f t="shared" si="6"/>
        <v>0</v>
      </c>
      <c r="N27" s="36">
        <f t="shared" si="1"/>
        <v>0.972299398993588</v>
      </c>
      <c r="O27" s="35">
        <v>860109435.13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27"/>
  <sheetViews>
    <sheetView topLeftCell="B1" workbookViewId="0">
      <selection activeCell="M2" sqref="M2:M12"/>
    </sheetView>
  </sheetViews>
  <sheetFormatPr defaultColWidth="9" defaultRowHeight="15.75"/>
  <cols>
    <col min="3" max="3" width="15" customWidth="1"/>
    <col min="4" max="6" width="13.375" customWidth="1"/>
    <col min="7" max="7" width="14.375" customWidth="1"/>
    <col min="8" max="8" width="13.375" customWidth="1"/>
    <col min="10" max="10" width="14.375" customWidth="1"/>
    <col min="11" max="12" width="13.375" customWidth="1"/>
    <col min="13" max="13" width="14" customWidth="1"/>
    <col min="14" max="14" width="16.125" customWidth="1"/>
    <col min="15" max="15" width="16.625" customWidth="1"/>
    <col min="16" max="16" width="14.125" customWidth="1"/>
  </cols>
  <sheetData>
    <row r="1" spans="2:16">
      <c r="B1" s="39" t="s">
        <v>54</v>
      </c>
      <c r="C1" s="34" t="s">
        <v>168</v>
      </c>
      <c r="D1" s="34" t="s">
        <v>222</v>
      </c>
      <c r="E1" s="34" t="s">
        <v>223</v>
      </c>
      <c r="F1" s="34" t="s">
        <v>224</v>
      </c>
      <c r="G1" s="34" t="s">
        <v>147</v>
      </c>
      <c r="H1" s="34" t="s">
        <v>225</v>
      </c>
      <c r="I1" s="34" t="s">
        <v>212</v>
      </c>
      <c r="J1" s="34" t="s">
        <v>226</v>
      </c>
      <c r="K1" s="34" t="s">
        <v>227</v>
      </c>
      <c r="L1" s="34" t="s">
        <v>228</v>
      </c>
      <c r="M1" s="34" t="s">
        <v>229</v>
      </c>
      <c r="N1" s="34" t="s">
        <v>233</v>
      </c>
      <c r="O1" s="34" t="s">
        <v>234</v>
      </c>
      <c r="P1" s="34" t="s">
        <v>235</v>
      </c>
    </row>
    <row r="2" spans="2:16">
      <c r="B2" s="40">
        <v>40543</v>
      </c>
      <c r="C2" s="37">
        <v>96077216.74</v>
      </c>
      <c r="D2" s="34"/>
      <c r="E2" s="34"/>
      <c r="F2" s="34"/>
      <c r="G2" s="34"/>
      <c r="H2" s="34"/>
      <c r="I2" s="41"/>
      <c r="J2" s="34"/>
      <c r="K2" s="34"/>
      <c r="L2" s="34"/>
      <c r="M2" s="38">
        <v>9411629.58</v>
      </c>
      <c r="N2" s="36">
        <f t="shared" ref="N2:N12" si="0">M2+L2+K2+J2+H2+G2+E2+D2+C2+F2</f>
        <v>105488846.32</v>
      </c>
      <c r="O2" s="37">
        <v>105488846.32</v>
      </c>
      <c r="P2" s="42">
        <f>O2-N2</f>
        <v>0</v>
      </c>
    </row>
    <row r="3" spans="2:16">
      <c r="B3" s="40">
        <v>40908</v>
      </c>
      <c r="C3" s="37">
        <v>118938039.35</v>
      </c>
      <c r="D3" s="34"/>
      <c r="E3" s="34"/>
      <c r="F3" s="34"/>
      <c r="G3" s="34"/>
      <c r="H3" s="34"/>
      <c r="I3" s="41"/>
      <c r="J3" s="34"/>
      <c r="K3" s="34"/>
      <c r="L3" s="34"/>
      <c r="M3" s="38">
        <v>6340001.49</v>
      </c>
      <c r="N3" s="36">
        <f t="shared" si="0"/>
        <v>125278040.84</v>
      </c>
      <c r="O3" s="37">
        <v>125278040.84</v>
      </c>
      <c r="P3" s="42">
        <f t="shared" ref="P3:P12" si="1">O3-N3</f>
        <v>0</v>
      </c>
    </row>
    <row r="4" spans="2:16">
      <c r="B4" s="40">
        <v>41274</v>
      </c>
      <c r="C4" s="37">
        <v>173880047.56</v>
      </c>
      <c r="D4" s="34"/>
      <c r="E4" s="34"/>
      <c r="F4" s="34"/>
      <c r="G4" s="34"/>
      <c r="H4" s="34"/>
      <c r="I4" s="41"/>
      <c r="J4" s="34"/>
      <c r="K4" s="34"/>
      <c r="L4" s="34"/>
      <c r="M4" s="38">
        <v>3999108.72</v>
      </c>
      <c r="N4" s="36">
        <f t="shared" si="0"/>
        <v>177879156.28</v>
      </c>
      <c r="O4" s="37">
        <v>177879156.28</v>
      </c>
      <c r="P4" s="42">
        <f t="shared" si="1"/>
        <v>0</v>
      </c>
    </row>
    <row r="5" spans="2:16">
      <c r="B5" s="40">
        <v>41639</v>
      </c>
      <c r="C5" s="37">
        <v>177671579.45</v>
      </c>
      <c r="D5" s="35">
        <v>15401970.11</v>
      </c>
      <c r="E5" s="34"/>
      <c r="F5" s="34"/>
      <c r="G5" s="34"/>
      <c r="H5" s="34"/>
      <c r="I5" s="41"/>
      <c r="J5" s="34"/>
      <c r="K5" s="35">
        <v>0</v>
      </c>
      <c r="L5" s="35">
        <v>0</v>
      </c>
      <c r="M5" s="38"/>
      <c r="N5" s="36">
        <f t="shared" si="0"/>
        <v>193073549.56</v>
      </c>
      <c r="O5" s="37">
        <v>198128917.91</v>
      </c>
      <c r="P5" s="42">
        <f t="shared" si="1"/>
        <v>5055368.34999999</v>
      </c>
    </row>
    <row r="6" spans="2:16">
      <c r="B6" s="40">
        <v>42004</v>
      </c>
      <c r="C6" s="37">
        <v>158037876.2</v>
      </c>
      <c r="D6" s="35">
        <v>47703917.11</v>
      </c>
      <c r="E6" s="35">
        <v>0</v>
      </c>
      <c r="F6" s="35">
        <v>0</v>
      </c>
      <c r="G6" s="34"/>
      <c r="H6" s="34"/>
      <c r="I6" s="41"/>
      <c r="J6" s="34"/>
      <c r="K6" s="35">
        <v>17516318.47</v>
      </c>
      <c r="L6" s="35">
        <v>10808503.36</v>
      </c>
      <c r="M6" s="38"/>
      <c r="N6" s="36">
        <f t="shared" si="0"/>
        <v>234066615.14</v>
      </c>
      <c r="O6" s="37">
        <v>306886789.69</v>
      </c>
      <c r="P6" s="42">
        <f t="shared" si="1"/>
        <v>72820174.55</v>
      </c>
    </row>
    <row r="7" spans="2:16">
      <c r="B7" s="40">
        <v>42369</v>
      </c>
      <c r="C7" s="37">
        <v>209190073.03</v>
      </c>
      <c r="D7" s="35">
        <v>58589891.72</v>
      </c>
      <c r="E7" s="35">
        <v>63474018.02</v>
      </c>
      <c r="F7" s="35">
        <v>42894905.31</v>
      </c>
      <c r="G7" s="34"/>
      <c r="H7" s="34"/>
      <c r="I7" s="41"/>
      <c r="J7" s="35">
        <v>179637611.21</v>
      </c>
      <c r="K7" s="35">
        <v>43827382.16</v>
      </c>
      <c r="L7" s="35">
        <v>17063305.18</v>
      </c>
      <c r="M7" s="38">
        <v>122526.35</v>
      </c>
      <c r="N7" s="36">
        <f t="shared" si="0"/>
        <v>614799712.98</v>
      </c>
      <c r="O7" s="37">
        <v>582067363.27</v>
      </c>
      <c r="P7" s="42">
        <f t="shared" si="1"/>
        <v>-32732349.71</v>
      </c>
    </row>
    <row r="8" spans="2:16">
      <c r="B8" s="40">
        <v>42735</v>
      </c>
      <c r="C8" s="37">
        <v>202585258.89</v>
      </c>
      <c r="D8" s="35">
        <v>77045456.05</v>
      </c>
      <c r="E8" s="35">
        <v>60375909.05</v>
      </c>
      <c r="F8" s="35">
        <v>45675188.01</v>
      </c>
      <c r="G8" s="34"/>
      <c r="H8" s="34"/>
      <c r="I8" s="41"/>
      <c r="J8" s="35">
        <v>545134015.62</v>
      </c>
      <c r="K8" s="35">
        <v>16081067.25</v>
      </c>
      <c r="L8" s="35">
        <v>60553179.46</v>
      </c>
      <c r="M8" s="38">
        <f>5799889.59+937256.17</f>
        <v>6737145.76</v>
      </c>
      <c r="N8" s="36">
        <f t="shared" si="0"/>
        <v>1014187220.09</v>
      </c>
      <c r="O8" s="37">
        <v>1014187220.09</v>
      </c>
      <c r="P8" s="42">
        <f t="shared" si="1"/>
        <v>0</v>
      </c>
    </row>
    <row r="9" spans="2:16">
      <c r="B9" s="40">
        <v>43100</v>
      </c>
      <c r="C9" s="36">
        <v>221875843.63</v>
      </c>
      <c r="D9" s="35">
        <v>80343457.27</v>
      </c>
      <c r="E9" s="35">
        <v>66945157.68</v>
      </c>
      <c r="F9" s="35">
        <v>23151926.16</v>
      </c>
      <c r="G9" s="34"/>
      <c r="H9" s="34"/>
      <c r="I9" s="41"/>
      <c r="J9" s="35">
        <v>606234968.12</v>
      </c>
      <c r="K9" s="35">
        <v>42274369.79</v>
      </c>
      <c r="L9" s="35">
        <v>71633764.2</v>
      </c>
      <c r="M9" s="38">
        <v>563292.52</v>
      </c>
      <c r="N9" s="36">
        <f t="shared" si="0"/>
        <v>1113022779.37</v>
      </c>
      <c r="O9" s="36">
        <v>1113022779.37</v>
      </c>
      <c r="P9" s="42">
        <f t="shared" si="1"/>
        <v>0</v>
      </c>
    </row>
    <row r="10" spans="2:16">
      <c r="B10" s="40">
        <v>43465</v>
      </c>
      <c r="C10" s="36">
        <v>281971666.56</v>
      </c>
      <c r="D10" s="35">
        <v>80129895.18</v>
      </c>
      <c r="E10" s="35">
        <v>70876733.72</v>
      </c>
      <c r="F10" s="35">
        <v>1746370.39</v>
      </c>
      <c r="G10" s="35">
        <v>31384154.07</v>
      </c>
      <c r="H10" s="34"/>
      <c r="I10" s="41"/>
      <c r="J10" s="35">
        <v>521449699.55</v>
      </c>
      <c r="K10" s="35">
        <v>76622522.4</v>
      </c>
      <c r="L10" s="35">
        <v>3971181.71</v>
      </c>
      <c r="M10" s="38">
        <v>9940988.68</v>
      </c>
      <c r="N10" s="36">
        <f t="shared" si="0"/>
        <v>1078093212.26</v>
      </c>
      <c r="O10" s="36">
        <v>1078093212.26</v>
      </c>
      <c r="P10" s="42">
        <f t="shared" si="1"/>
        <v>0</v>
      </c>
    </row>
    <row r="11" spans="2:16">
      <c r="B11" s="40">
        <v>43830</v>
      </c>
      <c r="C11" s="36">
        <v>288622306.16</v>
      </c>
      <c r="D11" s="35">
        <v>58930126.12</v>
      </c>
      <c r="E11" s="35">
        <v>59356832.69</v>
      </c>
      <c r="F11" s="34"/>
      <c r="G11" s="35">
        <v>46124530.28</v>
      </c>
      <c r="H11" s="35">
        <v>21941624.47</v>
      </c>
      <c r="I11" s="41"/>
      <c r="J11" s="35">
        <v>170265034.42</v>
      </c>
      <c r="K11" s="35">
        <v>83721855.22</v>
      </c>
      <c r="L11" s="35">
        <v>2204769.83</v>
      </c>
      <c r="M11" s="38">
        <v>16022222.05</v>
      </c>
      <c r="N11" s="36">
        <f t="shared" si="0"/>
        <v>747189301.24</v>
      </c>
      <c r="O11" s="36">
        <v>747189301.24</v>
      </c>
      <c r="P11" s="42">
        <f t="shared" si="1"/>
        <v>0</v>
      </c>
    </row>
    <row r="12" spans="2:16">
      <c r="B12" s="40">
        <v>43831</v>
      </c>
      <c r="C12" s="35">
        <v>186752833.49</v>
      </c>
      <c r="D12" s="35">
        <v>29293691.27</v>
      </c>
      <c r="E12" s="35">
        <v>34341329.43</v>
      </c>
      <c r="F12" s="35"/>
      <c r="G12" s="35"/>
      <c r="H12" s="35"/>
      <c r="I12" s="35"/>
      <c r="J12" s="34"/>
      <c r="K12" s="35"/>
      <c r="L12" s="35">
        <v>8113082.55</v>
      </c>
      <c r="M12" s="35">
        <v>2609078.88</v>
      </c>
      <c r="N12" s="36">
        <f t="shared" si="0"/>
        <v>261110015.62</v>
      </c>
      <c r="O12" s="35">
        <v>352670473.42</v>
      </c>
      <c r="P12" s="42">
        <f t="shared" si="1"/>
        <v>91560457.8</v>
      </c>
    </row>
    <row r="13" spans="2:15"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</row>
    <row r="14" spans="2:15"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</row>
    <row r="15" spans="2:2">
      <c r="B15" t="s">
        <v>232</v>
      </c>
    </row>
    <row r="16" spans="2:15">
      <c r="B16" s="39" t="s">
        <v>54</v>
      </c>
      <c r="C16" s="34" t="s">
        <v>168</v>
      </c>
      <c r="D16" s="34" t="s">
        <v>222</v>
      </c>
      <c r="E16" s="34" t="s">
        <v>223</v>
      </c>
      <c r="F16" s="34" t="s">
        <v>224</v>
      </c>
      <c r="G16" s="34" t="s">
        <v>147</v>
      </c>
      <c r="H16" s="34" t="s">
        <v>225</v>
      </c>
      <c r="I16" s="34" t="s">
        <v>212</v>
      </c>
      <c r="J16" s="34" t="s">
        <v>226</v>
      </c>
      <c r="K16" s="34" t="s">
        <v>227</v>
      </c>
      <c r="L16" s="34" t="s">
        <v>228</v>
      </c>
      <c r="M16" s="34" t="s">
        <v>229</v>
      </c>
      <c r="N16" s="34" t="s">
        <v>230</v>
      </c>
      <c r="O16" s="34"/>
    </row>
    <row r="17" spans="2:15">
      <c r="B17" s="40">
        <v>40543</v>
      </c>
      <c r="C17" s="41">
        <f>C2/N2</f>
        <v>0.910780808508893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36">
        <f t="shared" ref="N17:N27" si="2">M17+L17+K17+J17+H17+G17+E17+D17+C17+F17</f>
        <v>0.910780808508893</v>
      </c>
      <c r="O17" s="37">
        <f>O2</f>
        <v>105488846.32</v>
      </c>
    </row>
    <row r="18" spans="2:15">
      <c r="B18" s="40">
        <v>40908</v>
      </c>
      <c r="C18" s="41">
        <f t="shared" ref="C18:C27" si="3">C3/N3</f>
        <v>0.949392555570875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36">
        <f t="shared" si="2"/>
        <v>0.949392555570875</v>
      </c>
      <c r="O18" s="37">
        <f t="shared" ref="O18:O27" si="4">O3</f>
        <v>125278040.84</v>
      </c>
    </row>
    <row r="19" spans="2:15">
      <c r="B19" s="40">
        <v>41274</v>
      </c>
      <c r="C19" s="41">
        <f t="shared" si="3"/>
        <v>0.977517833996778</v>
      </c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36">
        <f t="shared" si="2"/>
        <v>0.977517833996778</v>
      </c>
      <c r="O19" s="37">
        <f t="shared" si="4"/>
        <v>177879156.28</v>
      </c>
    </row>
    <row r="20" spans="2:15">
      <c r="B20" s="40">
        <v>41639</v>
      </c>
      <c r="C20" s="41">
        <f t="shared" si="3"/>
        <v>0.920227446249888</v>
      </c>
      <c r="D20" s="41">
        <f>D5/N5</f>
        <v>0.0797725537501119</v>
      </c>
      <c r="E20" s="41"/>
      <c r="F20" s="41"/>
      <c r="G20" s="41"/>
      <c r="H20" s="41"/>
      <c r="I20" s="41"/>
      <c r="J20" s="41"/>
      <c r="K20" s="41">
        <f>K5/N5</f>
        <v>0</v>
      </c>
      <c r="L20" s="41">
        <f>L5/N5</f>
        <v>0</v>
      </c>
      <c r="M20" s="41">
        <f>M5/N5</f>
        <v>0</v>
      </c>
      <c r="N20" s="36">
        <f t="shared" si="2"/>
        <v>1</v>
      </c>
      <c r="O20" s="37">
        <f t="shared" si="4"/>
        <v>198128917.91</v>
      </c>
    </row>
    <row r="21" spans="2:15">
      <c r="B21" s="40">
        <v>42004</v>
      </c>
      <c r="C21" s="41">
        <f t="shared" si="3"/>
        <v>0.675183328068697</v>
      </c>
      <c r="D21" s="41">
        <f t="shared" ref="D21:D27" si="5">D6/N6</f>
        <v>0.203804874443403</v>
      </c>
      <c r="E21" s="41">
        <f>E6/N6</f>
        <v>0</v>
      </c>
      <c r="F21" s="41">
        <f>F6/N6</f>
        <v>0</v>
      </c>
      <c r="G21" s="41"/>
      <c r="H21" s="41"/>
      <c r="I21" s="41"/>
      <c r="J21" s="41"/>
      <c r="K21" s="41">
        <f t="shared" ref="K21:K27" si="6">K6/N6</f>
        <v>0.0748347578723396</v>
      </c>
      <c r="L21" s="41">
        <f t="shared" ref="L21:L27" si="7">L6/N6</f>
        <v>0.0461770396155608</v>
      </c>
      <c r="M21" s="41">
        <f t="shared" ref="M21:M27" si="8">M6/N6</f>
        <v>0</v>
      </c>
      <c r="N21" s="36">
        <f t="shared" si="2"/>
        <v>1</v>
      </c>
      <c r="O21" s="37">
        <f t="shared" si="4"/>
        <v>306886789.69</v>
      </c>
    </row>
    <row r="22" spans="2:15">
      <c r="B22" s="40">
        <v>42369</v>
      </c>
      <c r="C22" s="41">
        <f t="shared" si="3"/>
        <v>0.340257271780485</v>
      </c>
      <c r="D22" s="41">
        <f t="shared" si="5"/>
        <v>0.0952991526882934</v>
      </c>
      <c r="E22" s="41">
        <f t="shared" ref="E22:E27" si="9">E7/N7</f>
        <v>0.103243408674241</v>
      </c>
      <c r="F22" s="41">
        <f t="shared" ref="F22:F27" si="10">F7/N7</f>
        <v>0.0697705356791463</v>
      </c>
      <c r="G22" s="41"/>
      <c r="H22" s="41"/>
      <c r="I22" s="41"/>
      <c r="J22" s="41">
        <f t="shared" ref="J22:J27" si="11">J7/N7</f>
        <v>0.292188833887507</v>
      </c>
      <c r="K22" s="41">
        <f t="shared" si="6"/>
        <v>0.0712872521484501</v>
      </c>
      <c r="L22" s="41">
        <f t="shared" si="7"/>
        <v>0.0277542504001707</v>
      </c>
      <c r="M22" s="41">
        <f t="shared" si="8"/>
        <v>0.000199294741707184</v>
      </c>
      <c r="N22" s="36">
        <f t="shared" si="2"/>
        <v>1</v>
      </c>
      <c r="O22" s="37">
        <f t="shared" si="4"/>
        <v>582067363.27</v>
      </c>
    </row>
    <row r="23" spans="2:15">
      <c r="B23" s="40">
        <v>42735</v>
      </c>
      <c r="C23" s="41">
        <f t="shared" si="3"/>
        <v>0.199751342628851</v>
      </c>
      <c r="D23" s="41">
        <f t="shared" si="5"/>
        <v>0.0759676857722215</v>
      </c>
      <c r="E23" s="41">
        <f t="shared" si="9"/>
        <v>0.0595313250394165</v>
      </c>
      <c r="F23" s="41">
        <f t="shared" si="10"/>
        <v>0.0450362488357394</v>
      </c>
      <c r="G23" s="41"/>
      <c r="H23" s="41"/>
      <c r="I23" s="41"/>
      <c r="J23" s="41">
        <f t="shared" si="11"/>
        <v>0.53750826752838</v>
      </c>
      <c r="K23" s="41">
        <f t="shared" si="6"/>
        <v>0.0158561130839067</v>
      </c>
      <c r="L23" s="41">
        <f t="shared" si="7"/>
        <v>0.0597061156564628</v>
      </c>
      <c r="M23" s="41">
        <f t="shared" si="8"/>
        <v>0.00664290145502143</v>
      </c>
      <c r="N23" s="36">
        <f t="shared" si="2"/>
        <v>1</v>
      </c>
      <c r="O23" s="37">
        <f t="shared" si="4"/>
        <v>1014187220.09</v>
      </c>
    </row>
    <row r="24" spans="2:15">
      <c r="B24" s="40">
        <v>43100</v>
      </c>
      <c r="C24" s="41">
        <f t="shared" si="3"/>
        <v>0.199345285417777</v>
      </c>
      <c r="D24" s="41">
        <f t="shared" si="5"/>
        <v>0.0721849172893627</v>
      </c>
      <c r="E24" s="41">
        <f t="shared" si="9"/>
        <v>0.0601471586393701</v>
      </c>
      <c r="F24" s="41">
        <f t="shared" si="10"/>
        <v>0.020800945487481</v>
      </c>
      <c r="G24" s="41"/>
      <c r="H24" s="41"/>
      <c r="I24" s="41"/>
      <c r="J24" s="41">
        <f t="shared" si="11"/>
        <v>0.544674358294037</v>
      </c>
      <c r="K24" s="41">
        <f t="shared" si="6"/>
        <v>0.0379815854388249</v>
      </c>
      <c r="L24" s="41">
        <f t="shared" si="7"/>
        <v>0.0643596568980795</v>
      </c>
      <c r="M24" s="41">
        <f t="shared" si="8"/>
        <v>0.000506092535068185</v>
      </c>
      <c r="N24" s="36">
        <f t="shared" si="2"/>
        <v>1</v>
      </c>
      <c r="O24" s="37">
        <f t="shared" si="4"/>
        <v>1113022779.37</v>
      </c>
    </row>
    <row r="25" spans="2:15">
      <c r="B25" s="40">
        <v>43465</v>
      </c>
      <c r="C25" s="41">
        <f t="shared" si="3"/>
        <v>0.261546648613903</v>
      </c>
      <c r="D25" s="41">
        <f t="shared" si="5"/>
        <v>0.0743255724725548</v>
      </c>
      <c r="E25" s="41">
        <f t="shared" si="9"/>
        <v>0.0657426768984303</v>
      </c>
      <c r="F25" s="41">
        <f t="shared" si="10"/>
        <v>0.00161986957170345</v>
      </c>
      <c r="G25" s="41">
        <f>G10/N10</f>
        <v>0.029110798317902</v>
      </c>
      <c r="H25" s="41"/>
      <c r="I25" s="41"/>
      <c r="J25" s="41">
        <f t="shared" si="11"/>
        <v>0.483677750328182</v>
      </c>
      <c r="K25" s="41">
        <f t="shared" si="6"/>
        <v>0.071072261218839</v>
      </c>
      <c r="L25" s="41">
        <f t="shared" si="7"/>
        <v>0.00368352352546144</v>
      </c>
      <c r="M25" s="41">
        <f t="shared" si="8"/>
        <v>0.00922089905302415</v>
      </c>
      <c r="N25" s="36">
        <f t="shared" si="2"/>
        <v>1</v>
      </c>
      <c r="O25" s="37">
        <f t="shared" si="4"/>
        <v>1078093212.26</v>
      </c>
    </row>
    <row r="26" spans="2:15">
      <c r="B26" s="40">
        <v>43830</v>
      </c>
      <c r="C26" s="41">
        <f t="shared" si="3"/>
        <v>0.38627735391957</v>
      </c>
      <c r="D26" s="41">
        <f t="shared" si="5"/>
        <v>0.0788690710937675</v>
      </c>
      <c r="E26" s="41">
        <f t="shared" si="9"/>
        <v>0.0794401533741104</v>
      </c>
      <c r="F26" s="41">
        <f t="shared" si="10"/>
        <v>0</v>
      </c>
      <c r="G26" s="41">
        <f>G11/N11</f>
        <v>0.0617307156345171</v>
      </c>
      <c r="H26" s="41">
        <f>H11/N11</f>
        <v>0.0293655495783822</v>
      </c>
      <c r="I26" s="41"/>
      <c r="J26" s="41">
        <f t="shared" si="11"/>
        <v>0.227874026217233</v>
      </c>
      <c r="K26" s="41">
        <f t="shared" si="6"/>
        <v>0.112049055147148</v>
      </c>
      <c r="L26" s="41">
        <f t="shared" si="7"/>
        <v>0.00295075133750051</v>
      </c>
      <c r="M26" s="41">
        <f t="shared" si="8"/>
        <v>0.0214433236977701</v>
      </c>
      <c r="N26" s="36">
        <f t="shared" si="2"/>
        <v>1</v>
      </c>
      <c r="O26" s="37">
        <f t="shared" si="4"/>
        <v>747189301.24</v>
      </c>
    </row>
    <row r="27" spans="2:15">
      <c r="B27" s="40">
        <v>43831</v>
      </c>
      <c r="C27" s="41">
        <f t="shared" si="3"/>
        <v>0.715226618353032</v>
      </c>
      <c r="D27" s="41">
        <f t="shared" si="5"/>
        <v>0.112189075552858</v>
      </c>
      <c r="E27" s="41">
        <f t="shared" si="9"/>
        <v>0.131520536845196</v>
      </c>
      <c r="F27" s="41">
        <f t="shared" si="10"/>
        <v>0</v>
      </c>
      <c r="G27" s="41">
        <f>G12/N12</f>
        <v>0</v>
      </c>
      <c r="H27" s="41">
        <f>H12/N12</f>
        <v>0</v>
      </c>
      <c r="I27" s="41">
        <f>I12/N12</f>
        <v>0</v>
      </c>
      <c r="J27" s="41">
        <f t="shared" si="11"/>
        <v>0</v>
      </c>
      <c r="K27" s="41">
        <f t="shared" si="6"/>
        <v>0</v>
      </c>
      <c r="L27" s="41">
        <f t="shared" si="7"/>
        <v>0.0310715103391789</v>
      </c>
      <c r="M27" s="41">
        <f t="shared" si="8"/>
        <v>0.00999225890973504</v>
      </c>
      <c r="N27" s="36">
        <f t="shared" si="2"/>
        <v>1</v>
      </c>
      <c r="O27" s="37">
        <f t="shared" si="4"/>
        <v>352670473.42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6"/>
  <sheetViews>
    <sheetView workbookViewId="0">
      <selection activeCell="A18" sqref="$A18:$XFD18"/>
    </sheetView>
  </sheetViews>
  <sheetFormatPr defaultColWidth="9" defaultRowHeight="15.75"/>
  <cols>
    <col min="1" max="1" width="11.875" style="6" customWidth="1"/>
    <col min="2" max="2" width="19.625" style="6" customWidth="1"/>
    <col min="3" max="3" width="16.5" style="6" customWidth="1"/>
    <col min="4" max="4" width="17.25" customWidth="1"/>
    <col min="5" max="9" width="16.125" customWidth="1"/>
    <col min="10" max="12" width="14.375" customWidth="1"/>
    <col min="13" max="13" width="16.125" customWidth="1"/>
    <col min="14" max="15" width="14.375" customWidth="1"/>
  </cols>
  <sheetData>
    <row r="1" spans="4:15">
      <c r="D1">
        <v>2020</v>
      </c>
      <c r="E1">
        <f>D1-1</f>
        <v>2019</v>
      </c>
      <c r="F1">
        <f t="shared" ref="F1:O1" si="0">E1-1</f>
        <v>2018</v>
      </c>
      <c r="G1">
        <f t="shared" si="0"/>
        <v>2017</v>
      </c>
      <c r="H1">
        <f t="shared" si="0"/>
        <v>2016</v>
      </c>
      <c r="I1">
        <f t="shared" si="0"/>
        <v>2015</v>
      </c>
      <c r="J1">
        <f t="shared" si="0"/>
        <v>2014</v>
      </c>
      <c r="K1">
        <f t="shared" si="0"/>
        <v>2013</v>
      </c>
      <c r="L1">
        <f t="shared" si="0"/>
        <v>2012</v>
      </c>
      <c r="M1">
        <f t="shared" si="0"/>
        <v>2011</v>
      </c>
      <c r="N1">
        <f t="shared" si="0"/>
        <v>2010</v>
      </c>
      <c r="O1">
        <f t="shared" si="0"/>
        <v>2009</v>
      </c>
    </row>
    <row r="2" ht="31.5" spans="1:15">
      <c r="A2" s="6" t="s">
        <v>236</v>
      </c>
      <c r="B2" s="6" t="s">
        <v>237</v>
      </c>
      <c r="D2" s="22">
        <v>902586125.63</v>
      </c>
      <c r="E2" s="22">
        <v>2611753208.86</v>
      </c>
      <c r="F2" s="22">
        <v>3211192814.48</v>
      </c>
      <c r="G2" s="22">
        <v>3023831231.26</v>
      </c>
      <c r="H2" s="22">
        <v>2644228901.65</v>
      </c>
      <c r="I2" s="22">
        <v>1694513980</v>
      </c>
      <c r="J2" s="22">
        <v>935119130.2</v>
      </c>
      <c r="K2" s="22">
        <v>678715861.77</v>
      </c>
      <c r="L2" s="22">
        <v>586157062.8</v>
      </c>
      <c r="M2" s="22">
        <v>504532175.14</v>
      </c>
      <c r="N2" s="22">
        <v>444756661.95</v>
      </c>
      <c r="O2" s="22">
        <v>273295452.89</v>
      </c>
    </row>
    <row r="3" s="1" customFormat="1" spans="1:15">
      <c r="A3" s="32"/>
      <c r="B3" s="32" t="s">
        <v>68</v>
      </c>
      <c r="C3" s="32"/>
      <c r="D3" s="33">
        <v>902586125.63</v>
      </c>
      <c r="E3" s="33">
        <v>2611753208.86</v>
      </c>
      <c r="F3" s="33">
        <v>3211192814.48</v>
      </c>
      <c r="G3" s="33">
        <v>3023831231.26</v>
      </c>
      <c r="H3" s="33">
        <v>2644228901.65</v>
      </c>
      <c r="I3" s="33">
        <v>1694513980</v>
      </c>
      <c r="J3" s="33">
        <v>935119130.2</v>
      </c>
      <c r="K3" s="33">
        <v>678715861.77</v>
      </c>
      <c r="L3" s="33">
        <v>586157062.8</v>
      </c>
      <c r="M3" s="33">
        <v>504532175.14</v>
      </c>
      <c r="N3" s="33">
        <v>444756661.95</v>
      </c>
      <c r="O3" s="33">
        <v>273295452.89</v>
      </c>
    </row>
    <row r="4" hidden="1" outlineLevel="1" spans="3:15">
      <c r="C4" s="34" t="s">
        <v>168</v>
      </c>
      <c r="D4" s="35">
        <v>286877405.89</v>
      </c>
      <c r="E4" s="36">
        <v>918884614.29</v>
      </c>
      <c r="F4" s="36">
        <v>935878252.93</v>
      </c>
      <c r="G4" s="36">
        <v>842165471.05</v>
      </c>
      <c r="H4" s="37">
        <v>687874826.89</v>
      </c>
      <c r="I4" s="37">
        <v>700754733.73</v>
      </c>
      <c r="J4" s="37">
        <v>609812284.9</v>
      </c>
      <c r="K4" s="37">
        <v>585587954.86</v>
      </c>
      <c r="L4" s="37">
        <v>558533359.05</v>
      </c>
      <c r="M4" s="37">
        <v>467681460.2</v>
      </c>
      <c r="N4" s="37">
        <v>417437985.34</v>
      </c>
      <c r="O4" s="22"/>
    </row>
    <row r="5" hidden="1" outlineLevel="1" spans="3:15">
      <c r="C5" s="34" t="s">
        <v>222</v>
      </c>
      <c r="D5" s="35">
        <v>127098246.23</v>
      </c>
      <c r="E5" s="35">
        <v>392729155.06</v>
      </c>
      <c r="F5" s="35">
        <v>426722284</v>
      </c>
      <c r="G5" s="35">
        <v>339980121.21</v>
      </c>
      <c r="H5" s="35">
        <v>307467248.97</v>
      </c>
      <c r="I5" s="35">
        <v>257852071.96</v>
      </c>
      <c r="J5" s="35">
        <v>159582817.34</v>
      </c>
      <c r="K5" s="35">
        <v>33567890.96</v>
      </c>
      <c r="L5" s="22"/>
      <c r="M5" s="22"/>
      <c r="N5" s="22"/>
      <c r="O5" s="22"/>
    </row>
    <row r="6" hidden="1" outlineLevel="1" spans="3:15">
      <c r="C6" s="34" t="s">
        <v>223</v>
      </c>
      <c r="D6" s="35">
        <v>136520949.23</v>
      </c>
      <c r="E6" s="35">
        <v>333433832.57</v>
      </c>
      <c r="F6" s="35">
        <v>266958976.73</v>
      </c>
      <c r="G6" s="35">
        <v>227236394.38</v>
      </c>
      <c r="H6" s="35">
        <v>222559993.77</v>
      </c>
      <c r="I6" s="35">
        <v>171198719.31</v>
      </c>
      <c r="J6" s="35">
        <v>73933364.82</v>
      </c>
      <c r="K6" s="22"/>
      <c r="L6" s="22"/>
      <c r="N6" s="22"/>
      <c r="O6" s="22"/>
    </row>
    <row r="7" hidden="1" outlineLevel="1" spans="3:15">
      <c r="C7" s="34" t="s">
        <v>224</v>
      </c>
      <c r="D7" s="35">
        <v>25667095.21</v>
      </c>
      <c r="E7" s="22"/>
      <c r="F7" s="35">
        <v>1778339.57</v>
      </c>
      <c r="G7" s="35">
        <v>90585086.01</v>
      </c>
      <c r="H7" s="35">
        <v>149279367.16</v>
      </c>
      <c r="I7" s="35">
        <v>131115944.74</v>
      </c>
      <c r="J7" s="35">
        <v>63465841.31</v>
      </c>
      <c r="K7" s="22"/>
      <c r="L7" s="22"/>
      <c r="N7" s="22"/>
      <c r="O7" s="22"/>
    </row>
    <row r="8" hidden="1" outlineLevel="1" spans="3:15">
      <c r="C8" s="34" t="s">
        <v>147</v>
      </c>
      <c r="D8" s="35">
        <v>56586027.07</v>
      </c>
      <c r="E8" s="35">
        <v>160649726.51</v>
      </c>
      <c r="F8" s="35">
        <v>42659643.26</v>
      </c>
      <c r="G8" s="22"/>
      <c r="H8" s="22"/>
      <c r="I8" s="22"/>
      <c r="J8" s="22"/>
      <c r="K8" s="22"/>
      <c r="L8" s="22"/>
      <c r="N8" s="22"/>
      <c r="O8" s="22"/>
    </row>
    <row r="9" hidden="1" outlineLevel="1" spans="3:15">
      <c r="C9" s="34" t="s">
        <v>225</v>
      </c>
      <c r="D9" s="35">
        <v>18120963.58</v>
      </c>
      <c r="E9" s="35">
        <v>65470605.66</v>
      </c>
      <c r="F9" s="22"/>
      <c r="G9" s="22"/>
      <c r="H9" s="22"/>
      <c r="I9" s="22"/>
      <c r="J9" s="22"/>
      <c r="K9" s="22"/>
      <c r="L9" s="22"/>
      <c r="N9" s="22"/>
      <c r="O9" s="22"/>
    </row>
    <row r="10" hidden="1" outlineLevel="1" spans="3:15">
      <c r="C10" s="34" t="s">
        <v>212</v>
      </c>
      <c r="D10" s="35">
        <v>25002178.14</v>
      </c>
      <c r="E10" s="22"/>
      <c r="F10" s="22"/>
      <c r="G10" s="22"/>
      <c r="H10" s="22"/>
      <c r="I10" s="22"/>
      <c r="J10" s="22"/>
      <c r="K10" s="22"/>
      <c r="L10" s="22"/>
      <c r="M10" s="38"/>
      <c r="N10" s="22"/>
      <c r="O10" s="22"/>
    </row>
    <row r="11" hidden="1" outlineLevel="1" spans="3:15">
      <c r="C11" s="34" t="s">
        <v>226</v>
      </c>
      <c r="D11" s="35"/>
      <c r="E11" s="35">
        <v>383412284.25</v>
      </c>
      <c r="F11" s="35">
        <v>1233596141.03</v>
      </c>
      <c r="G11" s="35">
        <v>1240133995.36</v>
      </c>
      <c r="H11" s="35">
        <v>1090212510.98</v>
      </c>
      <c r="I11" s="35">
        <v>369099362.92</v>
      </c>
      <c r="J11" s="22"/>
      <c r="K11" s="22"/>
      <c r="L11" s="22"/>
      <c r="M11" s="38"/>
      <c r="N11" s="22"/>
      <c r="O11" s="22"/>
    </row>
    <row r="12" hidden="1" outlineLevel="1" spans="3:15">
      <c r="C12" s="34" t="s">
        <v>227</v>
      </c>
      <c r="D12" s="35">
        <v>43316562.23</v>
      </c>
      <c r="E12" s="35">
        <v>180426687.71</v>
      </c>
      <c r="F12" s="35">
        <v>173487760.9</v>
      </c>
      <c r="G12" s="35">
        <v>120577904.1</v>
      </c>
      <c r="H12" s="35">
        <v>60018274.36</v>
      </c>
      <c r="I12" s="35">
        <v>43827382.16</v>
      </c>
      <c r="J12" s="35">
        <v>17516318.47</v>
      </c>
      <c r="K12" s="35">
        <v>3818769.58</v>
      </c>
      <c r="L12" s="22"/>
      <c r="N12" s="22"/>
      <c r="O12" s="22"/>
    </row>
    <row r="13" hidden="1" outlineLevel="1" spans="3:15">
      <c r="C13" s="34" t="s">
        <v>228</v>
      </c>
      <c r="D13" s="35">
        <v>183396698.05</v>
      </c>
      <c r="E13" s="35">
        <v>173281416.46</v>
      </c>
      <c r="F13" s="35">
        <v>126677207.77</v>
      </c>
      <c r="G13" s="35">
        <v>163152259.15</v>
      </c>
      <c r="H13" s="35">
        <v>123204706.74</v>
      </c>
      <c r="I13" s="35">
        <v>17063305.18</v>
      </c>
      <c r="J13" s="35">
        <v>10808503.36</v>
      </c>
      <c r="K13" s="35">
        <v>12264150.6</v>
      </c>
      <c r="L13" s="22"/>
      <c r="M13" s="38"/>
      <c r="N13" s="22"/>
      <c r="O13" s="22"/>
    </row>
    <row r="14" hidden="1" outlineLevel="1" spans="3:15">
      <c r="C14" s="34" t="s">
        <v>229</v>
      </c>
      <c r="D14" s="22"/>
      <c r="E14" s="38">
        <v>3464886.35</v>
      </c>
      <c r="F14" s="38">
        <v>3434208.29</v>
      </c>
      <c r="G14" s="22"/>
      <c r="H14" s="38">
        <v>3611972.78</v>
      </c>
      <c r="I14" s="22"/>
      <c r="J14" s="38">
        <v>43477134</v>
      </c>
      <c r="K14" s="38">
        <v>27623703.75</v>
      </c>
      <c r="L14" s="38">
        <v>36850714.94</v>
      </c>
      <c r="M14" s="38">
        <v>27318676.61</v>
      </c>
      <c r="N14" s="22"/>
      <c r="O14" s="22"/>
    </row>
    <row r="15" collapsed="1" spans="2:2">
      <c r="B15" s="6" t="s">
        <v>238</v>
      </c>
    </row>
    <row r="16" spans="2:9">
      <c r="B16" s="6" t="s">
        <v>239</v>
      </c>
      <c r="H16" s="22"/>
      <c r="I16" s="22"/>
    </row>
    <row r="17" ht="31.5" spans="1:15">
      <c r="A17" s="6" t="s">
        <v>240</v>
      </c>
      <c r="D17" s="22">
        <v>740982414.36</v>
      </c>
      <c r="E17" s="22">
        <v>1147753469.26</v>
      </c>
      <c r="F17" s="22">
        <v>1701599539.42</v>
      </c>
      <c r="G17" s="22">
        <v>1701002798.18</v>
      </c>
      <c r="H17" s="22">
        <v>1510625846.05</v>
      </c>
      <c r="I17" s="22">
        <v>871568205.96</v>
      </c>
      <c r="J17" s="22">
        <v>469647144.79</v>
      </c>
      <c r="K17" s="22">
        <v>308482004.25</v>
      </c>
      <c r="L17" s="22">
        <v>256812394.84</v>
      </c>
      <c r="M17" s="22">
        <v>223844591.1</v>
      </c>
      <c r="N17" s="22">
        <v>216138612.81</v>
      </c>
      <c r="O17" s="22">
        <v>157412346.33</v>
      </c>
    </row>
    <row r="18" s="1" customFormat="1" spans="1:15">
      <c r="A18" s="32" t="s">
        <v>241</v>
      </c>
      <c r="B18" s="32" t="s">
        <v>70</v>
      </c>
      <c r="C18" s="32"/>
      <c r="D18" s="33">
        <v>352670473.42</v>
      </c>
      <c r="E18" s="33">
        <v>747189301.24</v>
      </c>
      <c r="F18" s="33">
        <v>1078093212.26</v>
      </c>
      <c r="G18" s="33">
        <v>1113022779.37</v>
      </c>
      <c r="H18" s="33">
        <v>1014187220.09</v>
      </c>
      <c r="I18" s="33">
        <v>582067363.27</v>
      </c>
      <c r="J18" s="33">
        <v>306886789.69</v>
      </c>
      <c r="K18" s="33">
        <v>198128917.91</v>
      </c>
      <c r="L18" s="33">
        <v>177879156.28</v>
      </c>
      <c r="M18" s="33">
        <v>122278040.84</v>
      </c>
      <c r="N18" s="33">
        <v>105488846.32</v>
      </c>
      <c r="O18" s="33">
        <v>82141466.53</v>
      </c>
    </row>
    <row r="19" hidden="1" outlineLevel="2" spans="3:15">
      <c r="C19" s="34" t="s">
        <v>168</v>
      </c>
      <c r="D19" s="35">
        <v>186752833.49</v>
      </c>
      <c r="E19" s="36">
        <v>288622306.16</v>
      </c>
      <c r="F19" s="36">
        <v>281971666.56</v>
      </c>
      <c r="G19" s="36">
        <v>221875843.63</v>
      </c>
      <c r="H19" s="37">
        <v>202585258.89</v>
      </c>
      <c r="I19" s="37">
        <v>209190073.03</v>
      </c>
      <c r="J19" s="37">
        <v>158037876.2</v>
      </c>
      <c r="K19" s="37">
        <v>177671579.45</v>
      </c>
      <c r="L19" s="37">
        <v>173880047.56</v>
      </c>
      <c r="M19" s="37">
        <v>118938039.35</v>
      </c>
      <c r="N19" s="37">
        <v>96077216.74</v>
      </c>
      <c r="O19" s="22"/>
    </row>
    <row r="20" hidden="1" outlineLevel="2" spans="3:15">
      <c r="C20" s="34" t="s">
        <v>222</v>
      </c>
      <c r="D20" s="35">
        <v>29293691.27</v>
      </c>
      <c r="E20" s="35">
        <v>58930126.12</v>
      </c>
      <c r="F20" s="35">
        <v>80129895.18</v>
      </c>
      <c r="G20" s="35">
        <v>80343457.27</v>
      </c>
      <c r="H20" s="35">
        <v>77045456.05</v>
      </c>
      <c r="I20" s="35">
        <v>58589891.72</v>
      </c>
      <c r="J20" s="35">
        <v>47703917.11</v>
      </c>
      <c r="K20" s="35">
        <v>15401970.11</v>
      </c>
      <c r="L20" s="22"/>
      <c r="M20" s="22"/>
      <c r="N20" s="22"/>
      <c r="O20" s="22"/>
    </row>
    <row r="21" hidden="1" outlineLevel="2" spans="3:15">
      <c r="C21" s="34" t="s">
        <v>223</v>
      </c>
      <c r="D21" s="35">
        <v>34341329.43</v>
      </c>
      <c r="E21" s="35">
        <v>59356832.69</v>
      </c>
      <c r="F21" s="35">
        <v>70876733.72</v>
      </c>
      <c r="G21" s="35">
        <v>66945157.68</v>
      </c>
      <c r="H21" s="35">
        <v>60375909.05</v>
      </c>
      <c r="I21" s="35">
        <v>63474018.02</v>
      </c>
      <c r="J21" s="35"/>
      <c r="K21" s="22"/>
      <c r="L21" s="22"/>
      <c r="N21" s="22"/>
      <c r="O21" s="22"/>
    </row>
    <row r="22" hidden="1" outlineLevel="2" spans="1:15">
      <c r="A22" s="38"/>
      <c r="C22" s="34" t="s">
        <v>224</v>
      </c>
      <c r="D22" s="35"/>
      <c r="E22" s="22"/>
      <c r="F22" s="35">
        <v>1746370.39</v>
      </c>
      <c r="G22" s="35">
        <v>23151926.16</v>
      </c>
      <c r="H22" s="35">
        <v>45675188.01</v>
      </c>
      <c r="I22" s="35">
        <v>42894905.31</v>
      </c>
      <c r="J22" s="35"/>
      <c r="K22" s="22"/>
      <c r="L22" s="22"/>
      <c r="N22" s="22"/>
      <c r="O22" s="22"/>
    </row>
    <row r="23" hidden="1" outlineLevel="2" spans="1:15">
      <c r="A23" s="38"/>
      <c r="C23" s="34" t="s">
        <v>147</v>
      </c>
      <c r="D23" s="35"/>
      <c r="E23" s="35">
        <v>46124530.28</v>
      </c>
      <c r="F23" s="35">
        <v>31384154.07</v>
      </c>
      <c r="G23" s="22"/>
      <c r="H23" s="22"/>
      <c r="I23" s="22"/>
      <c r="J23" s="22"/>
      <c r="K23" s="22"/>
      <c r="L23" s="22"/>
      <c r="N23" s="22"/>
      <c r="O23" s="22"/>
    </row>
    <row r="24" hidden="1" outlineLevel="2" spans="3:15">
      <c r="C24" s="34" t="s">
        <v>225</v>
      </c>
      <c r="D24" s="35"/>
      <c r="E24" s="35">
        <v>21941624.47</v>
      </c>
      <c r="F24" s="22"/>
      <c r="G24" s="22"/>
      <c r="H24" s="22"/>
      <c r="I24" s="22"/>
      <c r="J24" s="22"/>
      <c r="K24" s="22"/>
      <c r="L24" s="22"/>
      <c r="N24" s="22"/>
      <c r="O24" s="22"/>
    </row>
    <row r="25" hidden="1" outlineLevel="2" spans="3:15">
      <c r="C25" s="34" t="s">
        <v>212</v>
      </c>
      <c r="D25" s="35"/>
      <c r="E25" s="22"/>
      <c r="F25" s="22"/>
      <c r="G25" s="22"/>
      <c r="H25" s="22"/>
      <c r="I25" s="22"/>
      <c r="J25" s="22"/>
      <c r="K25" s="22"/>
      <c r="L25" s="22"/>
      <c r="M25" s="38"/>
      <c r="N25" s="22"/>
      <c r="O25" s="22"/>
    </row>
    <row r="26" hidden="1" outlineLevel="2" spans="3:15">
      <c r="C26" s="34" t="s">
        <v>226</v>
      </c>
      <c r="D26" s="35"/>
      <c r="E26" s="35">
        <v>170265034.42</v>
      </c>
      <c r="F26" s="35">
        <v>521449699.55</v>
      </c>
      <c r="G26" s="35">
        <v>606234968.12</v>
      </c>
      <c r="H26" s="35">
        <v>545134015.62</v>
      </c>
      <c r="I26" s="35">
        <v>179637611.21</v>
      </c>
      <c r="J26" s="22"/>
      <c r="K26" s="22"/>
      <c r="L26" s="22"/>
      <c r="M26" s="38"/>
      <c r="N26" s="22"/>
      <c r="O26" s="22"/>
    </row>
    <row r="27" hidden="1" outlineLevel="2" spans="3:15">
      <c r="C27" s="34" t="s">
        <v>227</v>
      </c>
      <c r="D27" s="35"/>
      <c r="E27" s="35">
        <v>83721855.22</v>
      </c>
      <c r="F27" s="35">
        <v>76622522.4</v>
      </c>
      <c r="G27" s="35">
        <v>42274369.79</v>
      </c>
      <c r="H27" s="35">
        <v>16081067.25</v>
      </c>
      <c r="I27" s="35">
        <v>43827382.16</v>
      </c>
      <c r="J27" s="35">
        <v>17516318.47</v>
      </c>
      <c r="K27" s="35"/>
      <c r="L27" s="22"/>
      <c r="N27" s="22"/>
      <c r="O27" s="22"/>
    </row>
    <row r="28" hidden="1" outlineLevel="2" spans="3:15">
      <c r="C28" s="34" t="s">
        <v>228</v>
      </c>
      <c r="D28" s="35">
        <v>8113082.55</v>
      </c>
      <c r="E28" s="35">
        <v>2204769.83</v>
      </c>
      <c r="F28" s="35">
        <v>3971181.71</v>
      </c>
      <c r="G28" s="35">
        <v>71633764.2</v>
      </c>
      <c r="H28" s="35">
        <v>60553179.46</v>
      </c>
      <c r="I28" s="35">
        <v>17063305.18</v>
      </c>
      <c r="J28" s="35">
        <v>10808503.36</v>
      </c>
      <c r="K28" s="35"/>
      <c r="L28" s="22"/>
      <c r="M28" s="38"/>
      <c r="N28" s="22"/>
      <c r="O28" s="22"/>
    </row>
    <row r="29" hidden="1" outlineLevel="2" spans="3:15">
      <c r="C29" s="34" t="s">
        <v>229</v>
      </c>
      <c r="D29" s="35">
        <v>2609078.88</v>
      </c>
      <c r="E29" s="38">
        <v>16022222.05</v>
      </c>
      <c r="F29" s="38">
        <v>9940988.68</v>
      </c>
      <c r="G29" s="38">
        <v>563292.52</v>
      </c>
      <c r="H29" s="38">
        <f>5799889.59+937256.17</f>
        <v>6737145.76</v>
      </c>
      <c r="I29" s="38">
        <v>122526.35</v>
      </c>
      <c r="J29" s="38"/>
      <c r="K29" s="38"/>
      <c r="L29" s="38">
        <v>3999108.72</v>
      </c>
      <c r="M29" s="38">
        <v>6340001.49</v>
      </c>
      <c r="N29" s="38">
        <v>9411629.58</v>
      </c>
      <c r="O29" s="22"/>
    </row>
    <row r="30" collapsed="1" spans="2:15">
      <c r="B30" s="6" t="s">
        <v>242</v>
      </c>
      <c r="D30" s="22">
        <v>11933497.05</v>
      </c>
      <c r="E30" s="22">
        <v>36164788.45</v>
      </c>
      <c r="F30" s="22">
        <v>32028054.79</v>
      </c>
      <c r="G30" s="22">
        <v>30381624.76</v>
      </c>
      <c r="H30" s="22">
        <v>34262836.14</v>
      </c>
      <c r="I30" s="22">
        <v>48724915.41</v>
      </c>
      <c r="J30" s="22">
        <v>34263198.84</v>
      </c>
      <c r="K30" s="22">
        <v>25009427.07</v>
      </c>
      <c r="L30" s="22">
        <v>21923584.88</v>
      </c>
      <c r="M30" s="22">
        <v>19260611.23</v>
      </c>
      <c r="N30" s="22">
        <v>15718223.34</v>
      </c>
      <c r="O30" s="22">
        <v>9757316</v>
      </c>
    </row>
    <row r="31" spans="2:15">
      <c r="B31" s="6" t="s">
        <v>243</v>
      </c>
      <c r="D31" s="22">
        <v>63649750.3</v>
      </c>
      <c r="E31" s="22">
        <v>145503636.64</v>
      </c>
      <c r="F31" s="22">
        <v>287539187.32</v>
      </c>
      <c r="G31" s="22">
        <v>325298838.81</v>
      </c>
      <c r="H31" s="22">
        <v>276605414.42</v>
      </c>
      <c r="I31" s="22">
        <v>106520269.88</v>
      </c>
      <c r="J31" s="22">
        <v>36585795.13</v>
      </c>
      <c r="K31" s="22">
        <v>23602001.19</v>
      </c>
      <c r="L31" s="22">
        <v>37941258.98</v>
      </c>
      <c r="M31" s="22">
        <v>41864607.77</v>
      </c>
      <c r="N31" s="22">
        <v>30368526.43</v>
      </c>
      <c r="O31" s="22">
        <v>22067926.09</v>
      </c>
    </row>
    <row r="32" spans="2:15">
      <c r="B32" s="6" t="s">
        <v>244</v>
      </c>
      <c r="D32" s="22">
        <v>288084167.74</v>
      </c>
      <c r="E32" s="22">
        <v>188215121.23</v>
      </c>
      <c r="F32" s="22">
        <v>202558710.77</v>
      </c>
      <c r="G32" s="22">
        <v>158901128.09</v>
      </c>
      <c r="H32" s="22">
        <v>169132938.08</v>
      </c>
      <c r="I32" s="22">
        <v>132056262.72</v>
      </c>
      <c r="J32" s="22">
        <v>103069854.96</v>
      </c>
      <c r="K32" s="22">
        <v>75966541.95</v>
      </c>
      <c r="L32" s="22">
        <v>62448206.18</v>
      </c>
      <c r="M32" s="22">
        <v>49950591.69</v>
      </c>
      <c r="N32" s="22">
        <v>40611513.45</v>
      </c>
      <c r="O32" s="22">
        <v>26876761.23</v>
      </c>
    </row>
    <row r="33" spans="2:7">
      <c r="B33" s="6" t="s">
        <v>245</v>
      </c>
      <c r="D33" s="22">
        <v>37487964</v>
      </c>
      <c r="E33" s="22">
        <v>48424520.54</v>
      </c>
      <c r="F33" s="22">
        <v>70567576.48</v>
      </c>
      <c r="G33" s="22">
        <v>52888750.07</v>
      </c>
    </row>
    <row r="34" spans="2:15">
      <c r="B34" s="6" t="s">
        <v>246</v>
      </c>
      <c r="D34" s="22">
        <v>-12843438.15</v>
      </c>
      <c r="E34" s="22">
        <v>-17743898.84</v>
      </c>
      <c r="F34" s="22">
        <v>-1086632.03</v>
      </c>
      <c r="G34" s="22">
        <v>11550922.31</v>
      </c>
      <c r="H34" s="22">
        <v>13425509.83</v>
      </c>
      <c r="I34" s="22">
        <v>1195018.87</v>
      </c>
      <c r="J34" s="22">
        <v>-12482381.49</v>
      </c>
      <c r="K34" s="22">
        <v>-15009309.81</v>
      </c>
      <c r="L34" s="22">
        <v>-13148062.95</v>
      </c>
      <c r="M34" s="22">
        <v>-13165263.77</v>
      </c>
      <c r="N34" s="22">
        <v>23890594.49</v>
      </c>
      <c r="O34" s="22">
        <v>17430889.13</v>
      </c>
    </row>
    <row r="35" spans="3:7">
      <c r="C35" s="6" t="s">
        <v>247</v>
      </c>
      <c r="D35" s="22">
        <v>7822986.14</v>
      </c>
      <c r="F35" s="22">
        <v>2755000</v>
      </c>
      <c r="G35" s="22">
        <v>11213562.5</v>
      </c>
    </row>
    <row r="36" spans="3:7">
      <c r="C36" s="6" t="s">
        <v>238</v>
      </c>
      <c r="D36" s="22">
        <v>32572127.48</v>
      </c>
      <c r="E36" s="22">
        <v>22648412.21</v>
      </c>
      <c r="F36" s="22">
        <v>8995034.38</v>
      </c>
      <c r="G36" s="22">
        <v>8246271.85</v>
      </c>
    </row>
    <row r="37" spans="2:15">
      <c r="B37" s="6" t="s">
        <v>248</v>
      </c>
      <c r="D37" s="22">
        <f>D31+D32+D34</f>
        <v>338890479.89</v>
      </c>
      <c r="E37" s="22">
        <f t="shared" ref="E37:O37" si="1">E31+E32+E34</f>
        <v>315974859.03</v>
      </c>
      <c r="F37" s="22">
        <f t="shared" si="1"/>
        <v>489011266.06</v>
      </c>
      <c r="G37" s="22">
        <f t="shared" si="1"/>
        <v>495750889.21</v>
      </c>
      <c r="H37" s="22">
        <f t="shared" si="1"/>
        <v>459163862.33</v>
      </c>
      <c r="I37" s="22">
        <f t="shared" si="1"/>
        <v>239771551.47</v>
      </c>
      <c r="J37" s="22">
        <f t="shared" si="1"/>
        <v>127173268.6</v>
      </c>
      <c r="K37" s="22">
        <f t="shared" si="1"/>
        <v>84559233.33</v>
      </c>
      <c r="L37" s="22">
        <f t="shared" si="1"/>
        <v>87241402.21</v>
      </c>
      <c r="M37" s="22">
        <f t="shared" si="1"/>
        <v>78649935.69</v>
      </c>
      <c r="N37" s="22">
        <f t="shared" si="1"/>
        <v>94870634.37</v>
      </c>
      <c r="O37" s="22">
        <f t="shared" si="1"/>
        <v>66375576.45</v>
      </c>
    </row>
    <row r="38" spans="1:7">
      <c r="A38" s="6" t="s">
        <v>249</v>
      </c>
      <c r="B38" s="6" t="s">
        <v>250</v>
      </c>
      <c r="D38" s="22">
        <v>34572160.23</v>
      </c>
      <c r="E38" s="22">
        <v>4285224.19</v>
      </c>
      <c r="F38" s="22">
        <v>1591601.01</v>
      </c>
      <c r="G38" s="22">
        <v>4536456.47</v>
      </c>
    </row>
    <row r="39" spans="2:15">
      <c r="B39" s="6" t="s">
        <v>251</v>
      </c>
      <c r="D39" s="22">
        <v>14014892.3</v>
      </c>
      <c r="E39" s="22">
        <v>273166244.68</v>
      </c>
      <c r="F39" s="22">
        <v>63280814.82</v>
      </c>
      <c r="G39" s="22">
        <v>17702729.92</v>
      </c>
      <c r="H39" s="22">
        <v>14451892.1</v>
      </c>
      <c r="I39" s="22">
        <v>4880868.04</v>
      </c>
      <c r="J39" s="22">
        <v>6516609.43</v>
      </c>
      <c r="K39" s="22">
        <v>10656664.34</v>
      </c>
      <c r="L39" s="22">
        <v>1100350.93</v>
      </c>
      <c r="O39" s="22">
        <v>666438.85</v>
      </c>
    </row>
    <row r="40" ht="47.25" spans="3:10">
      <c r="C40" s="6" t="s">
        <v>252</v>
      </c>
      <c r="D40" s="22">
        <v>-5356968.22</v>
      </c>
      <c r="E40" s="22">
        <v>72523327.47</v>
      </c>
      <c r="F40" s="22">
        <v>3255217.59</v>
      </c>
      <c r="G40" s="22">
        <v>4201481.01</v>
      </c>
      <c r="H40" s="22">
        <v>1569429.26</v>
      </c>
      <c r="I40" s="22">
        <v>3144719.19</v>
      </c>
      <c r="J40" s="22">
        <v>3377479.69</v>
      </c>
    </row>
    <row r="41" spans="2:8">
      <c r="B41" s="6" t="s">
        <v>253</v>
      </c>
      <c r="D41" s="22">
        <v>247726.31</v>
      </c>
      <c r="E41" s="22">
        <v>991859.52</v>
      </c>
      <c r="F41" s="22">
        <v>9660319.4</v>
      </c>
      <c r="G41" s="22">
        <v>1110054.41</v>
      </c>
      <c r="H41" s="22">
        <v>113847.21</v>
      </c>
    </row>
    <row r="42" spans="2:5">
      <c r="B42" s="6" t="s">
        <v>254</v>
      </c>
      <c r="D42" s="22">
        <v>-32739976.91</v>
      </c>
      <c r="E42" s="22">
        <v>1325984.52</v>
      </c>
    </row>
    <row r="43" spans="2:15">
      <c r="B43" s="6" t="s">
        <v>255</v>
      </c>
      <c r="D43" s="22">
        <v>-1877720155.72</v>
      </c>
      <c r="E43" s="22">
        <v>-17425960.27</v>
      </c>
      <c r="F43" s="22">
        <v>-31899429.83</v>
      </c>
      <c r="G43" s="22">
        <v>-8958754.77</v>
      </c>
      <c r="H43" s="22">
        <v>-3011927.49</v>
      </c>
      <c r="I43" s="22">
        <v>-1004375.81</v>
      </c>
      <c r="J43" s="22">
        <v>-1323887.66</v>
      </c>
      <c r="K43" s="22">
        <v>-784425.94</v>
      </c>
      <c r="L43" s="22">
        <v>-231748.53</v>
      </c>
      <c r="M43" s="22">
        <v>656003.34</v>
      </c>
      <c r="N43" s="22">
        <v>-60908.78</v>
      </c>
      <c r="O43" s="22">
        <v>862012.65</v>
      </c>
    </row>
    <row r="44" spans="2:7">
      <c r="B44" s="6" t="s">
        <v>256</v>
      </c>
      <c r="D44" s="22">
        <v>676435.92</v>
      </c>
      <c r="E44" s="22">
        <v>-767848.08</v>
      </c>
      <c r="F44" s="22">
        <v>19135248.57</v>
      </c>
      <c r="G44" s="22">
        <v>54373.41</v>
      </c>
    </row>
    <row r="45" ht="31.5" spans="1:15">
      <c r="A45" s="6" t="s">
        <v>257</v>
      </c>
      <c r="D45" s="22">
        <v>-1699345206.6</v>
      </c>
      <c r="E45" s="22">
        <v>1725575244.16</v>
      </c>
      <c r="F45" s="22">
        <v>1603261258.86</v>
      </c>
      <c r="G45" s="22">
        <v>1346232047.29</v>
      </c>
      <c r="H45" s="22">
        <v>1148168794.91</v>
      </c>
      <c r="I45" s="22">
        <v>827826642.08</v>
      </c>
      <c r="J45" s="22">
        <v>471988594.84</v>
      </c>
      <c r="K45" s="22">
        <v>380890521.86</v>
      </c>
      <c r="L45" s="22">
        <v>300445018.89</v>
      </c>
      <c r="M45" s="22">
        <v>280687584.04</v>
      </c>
      <c r="N45" s="22">
        <v>228618049.14</v>
      </c>
      <c r="O45" s="22">
        <v>116549545.41</v>
      </c>
    </row>
    <row r="46" spans="2:15">
      <c r="B46" s="6" t="s">
        <v>258</v>
      </c>
      <c r="D46" s="22">
        <v>3242377.14</v>
      </c>
      <c r="E46" s="22">
        <v>5997838.03</v>
      </c>
      <c r="F46" s="22">
        <v>15539954.51</v>
      </c>
      <c r="G46" s="22">
        <v>1608758.68</v>
      </c>
      <c r="H46" s="22">
        <v>18472939.01</v>
      </c>
      <c r="I46" s="22">
        <v>35596062.06</v>
      </c>
      <c r="J46" s="22">
        <v>22031382.9</v>
      </c>
      <c r="K46" s="22">
        <v>38655367.58</v>
      </c>
      <c r="L46" s="22">
        <v>51479203.83</v>
      </c>
      <c r="M46" s="22">
        <v>20918624.41</v>
      </c>
      <c r="N46" s="22">
        <v>2309221.03</v>
      </c>
      <c r="O46" s="22">
        <v>3576824.35</v>
      </c>
    </row>
    <row r="47" ht="31.5" spans="3:11">
      <c r="C47" s="6" t="s">
        <v>259</v>
      </c>
      <c r="D47" s="22"/>
      <c r="E47" s="22"/>
      <c r="F47" s="22"/>
      <c r="G47" s="22"/>
      <c r="H47" s="22">
        <v>2517946.74</v>
      </c>
      <c r="I47" s="22">
        <v>146066.43</v>
      </c>
      <c r="J47" s="22">
        <v>32891.68</v>
      </c>
      <c r="K47" s="22">
        <v>5581.25</v>
      </c>
    </row>
    <row r="48" spans="2:15">
      <c r="B48" s="6" t="s">
        <v>260</v>
      </c>
      <c r="D48" s="22">
        <v>41007879.43</v>
      </c>
      <c r="E48" s="22">
        <v>101517003.9</v>
      </c>
      <c r="F48" s="22">
        <v>76342284.48</v>
      </c>
      <c r="G48" s="22">
        <v>50455986.03</v>
      </c>
      <c r="H48" s="22">
        <v>6855213.35</v>
      </c>
      <c r="I48" s="22">
        <v>38296752.52</v>
      </c>
      <c r="J48" s="22">
        <v>2606799.54</v>
      </c>
      <c r="K48" s="22">
        <v>1083445.02</v>
      </c>
      <c r="L48" s="22">
        <v>10724941.41</v>
      </c>
      <c r="M48" s="22">
        <v>4194529.84</v>
      </c>
      <c r="N48" s="22">
        <v>12943823.5</v>
      </c>
      <c r="O48" s="22">
        <v>2642749.42</v>
      </c>
    </row>
    <row r="49" ht="31.5" spans="3:15">
      <c r="C49" s="6" t="s">
        <v>261</v>
      </c>
      <c r="D49" s="22"/>
      <c r="E49" s="22"/>
      <c r="F49" s="22"/>
      <c r="G49" s="22"/>
      <c r="H49" s="22">
        <v>4639673.81</v>
      </c>
      <c r="I49" s="22">
        <v>37765766.59</v>
      </c>
      <c r="J49" s="22">
        <v>1241098.61</v>
      </c>
      <c r="K49" s="22">
        <v>240204.86</v>
      </c>
      <c r="L49" s="22">
        <v>9369971.23</v>
      </c>
      <c r="M49" s="22">
        <v>3548876.35</v>
      </c>
      <c r="N49" s="22">
        <v>12584530.58</v>
      </c>
      <c r="O49" s="22">
        <v>2548321.41</v>
      </c>
    </row>
    <row r="50" ht="31.5" spans="1:15">
      <c r="A50" s="6" t="s">
        <v>262</v>
      </c>
      <c r="D50" s="22">
        <v>-1737110708.89</v>
      </c>
      <c r="E50" s="22">
        <v>1630056078.29</v>
      </c>
      <c r="F50" s="22">
        <v>1542458928.89</v>
      </c>
      <c r="G50" s="22">
        <v>1297384819.94</v>
      </c>
      <c r="H50" s="22">
        <v>1159786520.57</v>
      </c>
      <c r="I50" s="22">
        <v>825125951.62</v>
      </c>
      <c r="J50" s="22">
        <v>491413178.2</v>
      </c>
      <c r="K50" s="22">
        <v>418462444.42</v>
      </c>
      <c r="L50" s="22">
        <v>341199281.31</v>
      </c>
      <c r="M50" s="22">
        <v>297411678.61</v>
      </c>
      <c r="N50" s="22">
        <v>217983446.67</v>
      </c>
      <c r="O50" s="22">
        <v>117483620.34</v>
      </c>
    </row>
    <row r="51" spans="2:15">
      <c r="B51" s="6" t="s">
        <v>263</v>
      </c>
      <c r="D51" s="22">
        <v>29835169.11</v>
      </c>
      <c r="E51" s="22">
        <v>265152567.09</v>
      </c>
      <c r="F51" s="22">
        <v>264901157.26</v>
      </c>
      <c r="G51" s="22">
        <v>228110638.8</v>
      </c>
      <c r="H51" s="22">
        <v>243319608.58</v>
      </c>
      <c r="I51" s="22">
        <v>179680867.04</v>
      </c>
      <c r="J51" s="22">
        <v>126690403.88</v>
      </c>
      <c r="K51" s="22">
        <v>109700428.54</v>
      </c>
      <c r="L51" s="22">
        <v>84785699.97</v>
      </c>
      <c r="M51" s="22">
        <v>75193108.79</v>
      </c>
      <c r="N51" s="22">
        <v>54645517.83</v>
      </c>
      <c r="O51" s="22">
        <v>29071584.79</v>
      </c>
    </row>
    <row r="52" spans="1:15">
      <c r="A52" s="6" t="s">
        <v>264</v>
      </c>
      <c r="D52" s="22">
        <v>-1766945878</v>
      </c>
      <c r="E52" s="22">
        <v>1364903511.2</v>
      </c>
      <c r="F52" s="22">
        <v>1277557771.63</v>
      </c>
      <c r="G52" s="22">
        <v>1069274181.14</v>
      </c>
      <c r="H52" s="22">
        <v>916466911.99</v>
      </c>
      <c r="I52" s="22">
        <v>645445084.58</v>
      </c>
      <c r="J52" s="22">
        <v>364722774.32</v>
      </c>
      <c r="K52" s="22">
        <v>308762015.88</v>
      </c>
      <c r="L52" s="22">
        <v>256413581.34</v>
      </c>
      <c r="M52" s="22">
        <v>222218569.82</v>
      </c>
      <c r="N52" s="22">
        <v>163337928.84</v>
      </c>
      <c r="O52" s="22">
        <v>88412035.55</v>
      </c>
    </row>
    <row r="53" ht="31.5" spans="2:7">
      <c r="B53" s="6" t="s">
        <v>265</v>
      </c>
      <c r="C53" s="6" t="s">
        <v>266</v>
      </c>
      <c r="D53" s="22">
        <v>-1766945878</v>
      </c>
      <c r="E53" s="22">
        <v>1364903511.2</v>
      </c>
      <c r="F53" s="22">
        <v>1277557771.63</v>
      </c>
      <c r="G53" s="22">
        <v>1069274181.14</v>
      </c>
    </row>
    <row r="54" ht="31.5" spans="2:15">
      <c r="B54" s="6" t="s">
        <v>267</v>
      </c>
      <c r="C54" s="6" t="s">
        <v>268</v>
      </c>
      <c r="D54" s="22">
        <v>-1752398009.6</v>
      </c>
      <c r="E54" s="22">
        <v>1339790994.94</v>
      </c>
      <c r="F54" s="22">
        <v>1287186547.41</v>
      </c>
      <c r="G54" s="22">
        <v>1067612066.93</v>
      </c>
      <c r="H54" s="22">
        <v>902305171.91</v>
      </c>
      <c r="I54" s="22">
        <v>630560934.02</v>
      </c>
      <c r="J54" s="22">
        <v>361183249.79</v>
      </c>
      <c r="K54" s="22">
        <v>308423861.72</v>
      </c>
      <c r="L54" s="22">
        <v>256545865.98</v>
      </c>
      <c r="M54" s="22">
        <v>222218569.82</v>
      </c>
      <c r="N54" s="22">
        <v>163337928.84</v>
      </c>
      <c r="O54" s="22">
        <v>86995069.55</v>
      </c>
    </row>
    <row r="55" spans="3:15">
      <c r="C55" s="6" t="s">
        <v>269</v>
      </c>
      <c r="D55" s="22">
        <v>-14547868.4</v>
      </c>
      <c r="E55" s="22">
        <v>25112516.26</v>
      </c>
      <c r="F55" s="22">
        <v>-9628775.78</v>
      </c>
      <c r="G55" s="22">
        <v>1662114.21</v>
      </c>
      <c r="H55" s="22">
        <v>14161740.08</v>
      </c>
      <c r="I55" s="22">
        <v>14884150.56</v>
      </c>
      <c r="J55" s="22">
        <v>3539524.53</v>
      </c>
      <c r="K55" s="22">
        <v>338154.16</v>
      </c>
      <c r="L55" s="22">
        <v>-132284.64</v>
      </c>
      <c r="O55" s="22">
        <v>1416966</v>
      </c>
    </row>
    <row r="56" ht="47.25" spans="1:8">
      <c r="A56" s="6" t="s">
        <v>270</v>
      </c>
      <c r="D56" s="22">
        <v>-54643377.96</v>
      </c>
      <c r="E56" s="22">
        <v>-436587617.54</v>
      </c>
      <c r="F56" s="22">
        <v>27854228.04</v>
      </c>
      <c r="G56" s="22">
        <v>-367848.51</v>
      </c>
      <c r="H56" s="22">
        <v>-7080414.2</v>
      </c>
    </row>
    <row r="57" ht="47.25" spans="2:8">
      <c r="B57" s="6" t="s">
        <v>271</v>
      </c>
      <c r="D57" s="22">
        <v>-54643964.16</v>
      </c>
      <c r="E57" s="22">
        <v>-436587615.65</v>
      </c>
      <c r="F57" s="22">
        <v>27854228.04</v>
      </c>
      <c r="G57" s="22">
        <v>-367848.51</v>
      </c>
      <c r="H57" s="22">
        <v>-7080414.2</v>
      </c>
    </row>
    <row r="58" ht="47.25" spans="2:5">
      <c r="B58" s="6" t="s">
        <v>272</v>
      </c>
      <c r="D58" s="22">
        <v>-65726184.59</v>
      </c>
      <c r="E58" s="22">
        <v>-390940031.83</v>
      </c>
    </row>
    <row r="59" ht="47.25" spans="3:5">
      <c r="C59" s="6" t="s">
        <v>273</v>
      </c>
      <c r="D59" s="22">
        <v>1356586.59</v>
      </c>
      <c r="E59" s="22">
        <v>-1356586.59</v>
      </c>
    </row>
    <row r="60" ht="47.25" spans="3:5">
      <c r="C60" s="6" t="s">
        <v>274</v>
      </c>
      <c r="D60" s="22">
        <v>-67082771.18</v>
      </c>
      <c r="E60" s="22">
        <v>-389583445.24</v>
      </c>
    </row>
    <row r="61" ht="47.25" spans="2:8">
      <c r="B61" s="6" t="s">
        <v>275</v>
      </c>
      <c r="D61" s="22">
        <v>11082220.43</v>
      </c>
      <c r="E61" s="22">
        <v>-45647583.82</v>
      </c>
      <c r="F61" s="22">
        <v>27854228.04</v>
      </c>
      <c r="G61" s="22">
        <v>-367848.51</v>
      </c>
      <c r="H61" s="22">
        <v>-7080414.2</v>
      </c>
    </row>
    <row r="62" ht="31.5" spans="3:8">
      <c r="C62" s="6" t="s">
        <v>276</v>
      </c>
      <c r="D62" s="22">
        <v>11082220.43</v>
      </c>
      <c r="E62" s="22">
        <v>7332056.43</v>
      </c>
      <c r="F62" s="22">
        <v>-26055664.8</v>
      </c>
      <c r="G62" s="22">
        <v>-367848.51</v>
      </c>
      <c r="H62" s="22">
        <v>-7080414.2</v>
      </c>
    </row>
    <row r="63" spans="3:7">
      <c r="C63" s="6" t="s">
        <v>229</v>
      </c>
      <c r="D63" s="22"/>
      <c r="E63" s="22"/>
      <c r="F63" s="22">
        <v>53909892.84</v>
      </c>
      <c r="G63" s="22"/>
    </row>
    <row r="64" ht="47.25" spans="2:5">
      <c r="B64" s="6" t="s">
        <v>277</v>
      </c>
      <c r="D64" s="22">
        <v>586.2</v>
      </c>
      <c r="E64" s="22">
        <v>-1.89</v>
      </c>
    </row>
    <row r="65" ht="31.5" spans="1:15">
      <c r="A65" s="6" t="s">
        <v>278</v>
      </c>
      <c r="D65" s="22">
        <v>-1821589255.96</v>
      </c>
      <c r="E65" s="22">
        <v>928315893.66</v>
      </c>
      <c r="F65" s="22">
        <v>1305411999.67</v>
      </c>
      <c r="G65" s="22">
        <v>1068906332.63</v>
      </c>
      <c r="H65" s="22">
        <v>909386497.79</v>
      </c>
      <c r="I65" s="22">
        <v>645445084.58</v>
      </c>
      <c r="J65" s="22">
        <v>364722774.32</v>
      </c>
      <c r="K65" s="22">
        <v>308762015.88</v>
      </c>
      <c r="L65" s="22">
        <v>256413581.34</v>
      </c>
      <c r="M65" s="22">
        <v>222218569.82</v>
      </c>
      <c r="N65" s="22">
        <v>163337928.84</v>
      </c>
      <c r="O65" s="22">
        <v>88412035.55</v>
      </c>
    </row>
    <row r="66" ht="47.25" spans="2:15">
      <c r="B66" s="6" t="s">
        <v>279</v>
      </c>
      <c r="D66" s="22">
        <v>-1807041973.76</v>
      </c>
      <c r="E66" s="22">
        <v>903203379.29</v>
      </c>
      <c r="F66" s="22">
        <v>1315040775.45</v>
      </c>
      <c r="G66" s="22">
        <v>1067244218.42</v>
      </c>
      <c r="H66" s="22">
        <v>895224757.71</v>
      </c>
      <c r="I66" s="22">
        <v>630560934.02</v>
      </c>
      <c r="J66" s="22">
        <v>361183249.79</v>
      </c>
      <c r="K66" s="22">
        <v>308423861.72</v>
      </c>
      <c r="L66" s="22">
        <v>256413581.34</v>
      </c>
      <c r="M66" s="22">
        <v>222218569.82</v>
      </c>
      <c r="N66" s="22">
        <v>163337928.84</v>
      </c>
      <c r="O66" s="22">
        <v>88412035.55</v>
      </c>
    </row>
    <row r="67" ht="31.5" spans="2:12">
      <c r="B67" s="6" t="s">
        <v>280</v>
      </c>
      <c r="D67" s="22">
        <v>-14547282.2</v>
      </c>
      <c r="E67" s="22">
        <v>25112514.37</v>
      </c>
      <c r="F67" s="22">
        <v>-9628775.78</v>
      </c>
      <c r="G67" s="22">
        <v>1662114.21</v>
      </c>
      <c r="H67" s="22">
        <v>14161740.08</v>
      </c>
      <c r="I67" s="22">
        <v>14884150.56</v>
      </c>
      <c r="J67" s="22">
        <v>3539524.53</v>
      </c>
      <c r="K67" s="22">
        <v>338154.16</v>
      </c>
      <c r="L67" s="22">
        <v>-132284.64</v>
      </c>
    </row>
    <row r="68" ht="31.5" spans="1:1">
      <c r="A68" s="6" t="s">
        <v>281</v>
      </c>
    </row>
    <row r="69" spans="2:15">
      <c r="B69" s="6" t="s">
        <v>282</v>
      </c>
      <c r="D69" s="22">
        <v>-0.6702</v>
      </c>
      <c r="E69" s="22">
        <v>0.5124</v>
      </c>
      <c r="F69" s="22">
        <v>0.89</v>
      </c>
      <c r="G69" s="22">
        <v>0.73</v>
      </c>
      <c r="H69" s="22">
        <v>0.62</v>
      </c>
      <c r="I69" s="22">
        <v>0.45</v>
      </c>
      <c r="J69">
        <v>0.65</v>
      </c>
      <c r="K69">
        <v>0.55</v>
      </c>
      <c r="L69" s="22">
        <v>0.46</v>
      </c>
      <c r="M69" s="22">
        <v>0.4</v>
      </c>
      <c r="N69" s="22">
        <v>1.26</v>
      </c>
      <c r="O69" s="22">
        <v>0.7</v>
      </c>
    </row>
    <row r="70" spans="2:15">
      <c r="B70" s="6" t="s">
        <v>283</v>
      </c>
      <c r="D70" s="22">
        <v>-0.6702</v>
      </c>
      <c r="E70" s="22">
        <v>0.5124</v>
      </c>
      <c r="F70" s="22">
        <v>0.89</v>
      </c>
      <c r="G70" s="22">
        <v>0.73</v>
      </c>
      <c r="H70" s="22">
        <v>0.62</v>
      </c>
      <c r="I70" s="22">
        <v>0.45</v>
      </c>
      <c r="J70">
        <v>0.65</v>
      </c>
      <c r="K70">
        <v>0.55</v>
      </c>
      <c r="L70" s="22">
        <v>0.46</v>
      </c>
      <c r="M70" s="22">
        <v>0.4</v>
      </c>
      <c r="N70" s="22">
        <v>1.26</v>
      </c>
      <c r="O70" s="22">
        <v>0.7</v>
      </c>
    </row>
    <row r="77" s="26" customFormat="1" spans="1:2">
      <c r="A77" s="27" t="s">
        <v>232</v>
      </c>
      <c r="B77" s="27"/>
    </row>
    <row r="78" spans="4:15">
      <c r="D78">
        <v>2020</v>
      </c>
      <c r="E78">
        <f>D78-1</f>
        <v>2019</v>
      </c>
      <c r="F78">
        <f t="shared" ref="F78:O78" si="2">E78-1</f>
        <v>2018</v>
      </c>
      <c r="G78">
        <f t="shared" si="2"/>
        <v>2017</v>
      </c>
      <c r="H78">
        <f t="shared" si="2"/>
        <v>2016</v>
      </c>
      <c r="I78">
        <f t="shared" si="2"/>
        <v>2015</v>
      </c>
      <c r="J78">
        <f t="shared" si="2"/>
        <v>2014</v>
      </c>
      <c r="K78">
        <f t="shared" si="2"/>
        <v>2013</v>
      </c>
      <c r="L78">
        <f t="shared" si="2"/>
        <v>2012</v>
      </c>
      <c r="M78">
        <f t="shared" si="2"/>
        <v>2011</v>
      </c>
      <c r="N78">
        <f t="shared" si="2"/>
        <v>2010</v>
      </c>
      <c r="O78">
        <f t="shared" si="2"/>
        <v>2009</v>
      </c>
    </row>
    <row r="79" ht="31.5" spans="1:15">
      <c r="A79" s="6" t="s">
        <v>236</v>
      </c>
      <c r="B79" s="6" t="s">
        <v>237</v>
      </c>
      <c r="D79" s="22">
        <v>902586125.63</v>
      </c>
      <c r="E79" s="22">
        <v>2611753208.86</v>
      </c>
      <c r="F79" s="22">
        <v>3211192814.48</v>
      </c>
      <c r="G79" s="22">
        <v>3023831231.26</v>
      </c>
      <c r="H79" s="22">
        <v>2644228901.65</v>
      </c>
      <c r="I79" s="22">
        <v>1694513980</v>
      </c>
      <c r="J79" s="22">
        <v>935119130.2</v>
      </c>
      <c r="K79" s="22">
        <v>678715861.77</v>
      </c>
      <c r="L79" s="22">
        <v>586157062.8</v>
      </c>
      <c r="M79" s="22">
        <v>504532175.14</v>
      </c>
      <c r="N79" s="22">
        <v>444756661.95</v>
      </c>
      <c r="O79" s="22">
        <v>273295452.89</v>
      </c>
    </row>
    <row r="80" spans="2:15">
      <c r="B80" s="6" t="s">
        <v>68</v>
      </c>
      <c r="D80" s="22">
        <v>902586125.63</v>
      </c>
      <c r="E80" s="22">
        <v>2611753208.86</v>
      </c>
      <c r="F80" s="22">
        <v>3211192814.48</v>
      </c>
      <c r="G80" s="22">
        <v>3023831231.26</v>
      </c>
      <c r="H80" s="22">
        <v>2644228901.65</v>
      </c>
      <c r="I80" s="22">
        <v>1694513980</v>
      </c>
      <c r="J80" s="22">
        <v>935119130.2</v>
      </c>
      <c r="K80" s="22">
        <v>678715861.77</v>
      </c>
      <c r="L80" s="22">
        <v>586157062.8</v>
      </c>
      <c r="M80" s="22">
        <v>504532175.14</v>
      </c>
      <c r="N80" s="22">
        <v>444756661.95</v>
      </c>
      <c r="O80" s="22">
        <v>273295452.89</v>
      </c>
    </row>
    <row r="81" spans="2:2">
      <c r="B81" s="6" t="s">
        <v>238</v>
      </c>
    </row>
    <row r="82" spans="2:9">
      <c r="B82" s="6" t="s">
        <v>239</v>
      </c>
      <c r="H82" s="22"/>
      <c r="I82" s="22"/>
    </row>
    <row r="83" ht="31.5" spans="1:15">
      <c r="A83" s="6" t="s">
        <v>240</v>
      </c>
      <c r="D83" s="22">
        <v>740982414.36</v>
      </c>
      <c r="E83" s="22">
        <v>1147753469.26</v>
      </c>
      <c r="F83" s="22">
        <v>1701599539.42</v>
      </c>
      <c r="G83" s="22">
        <v>1701002798.18</v>
      </c>
      <c r="H83" s="22">
        <v>1510625846.05</v>
      </c>
      <c r="I83" s="22">
        <v>871568205.96</v>
      </c>
      <c r="J83" s="22">
        <v>469647144.79</v>
      </c>
      <c r="K83" s="22">
        <v>308482004.25</v>
      </c>
      <c r="L83" s="22">
        <v>256812394.84</v>
      </c>
      <c r="M83" s="22">
        <v>2238474591.1</v>
      </c>
      <c r="N83" s="22">
        <v>216138612.81</v>
      </c>
      <c r="O83" s="22">
        <v>157412346.33</v>
      </c>
    </row>
    <row r="84" spans="1:15">
      <c r="A84" s="6" t="s">
        <v>241</v>
      </c>
      <c r="B84" s="6" t="s">
        <v>70</v>
      </c>
      <c r="D84" s="17">
        <f t="shared" ref="D84:O84" si="3">D18/D17</f>
        <v>0.475949856009212</v>
      </c>
      <c r="E84" s="17">
        <f t="shared" si="3"/>
        <v>0.651001561965865</v>
      </c>
      <c r="F84" s="17">
        <f t="shared" si="3"/>
        <v>0.633576342308763</v>
      </c>
      <c r="G84" s="17">
        <f t="shared" si="3"/>
        <v>0.654333303014484</v>
      </c>
      <c r="H84" s="17">
        <f t="shared" si="3"/>
        <v>0.671368904975317</v>
      </c>
      <c r="I84" s="17">
        <f t="shared" si="3"/>
        <v>0.667839142467197</v>
      </c>
      <c r="J84" s="17">
        <f t="shared" si="3"/>
        <v>0.653441191103637</v>
      </c>
      <c r="K84" s="17">
        <f t="shared" si="3"/>
        <v>0.642270586874923</v>
      </c>
      <c r="L84" s="17">
        <f t="shared" si="3"/>
        <v>0.692642410779366</v>
      </c>
      <c r="M84" s="17">
        <f t="shared" si="3"/>
        <v>0.546263102624507</v>
      </c>
      <c r="N84" s="17">
        <f t="shared" si="3"/>
        <v>0.488061087042932</v>
      </c>
      <c r="O84" s="17">
        <f t="shared" si="3"/>
        <v>0.521823531921684</v>
      </c>
    </row>
    <row r="85" spans="2:15">
      <c r="B85" s="6" t="s">
        <v>242</v>
      </c>
      <c r="D85" s="17">
        <f t="shared" ref="D85:O85" si="4">D30/D17</f>
        <v>0.0161049666209787</v>
      </c>
      <c r="E85" s="17">
        <f t="shared" si="4"/>
        <v>0.0315091955011182</v>
      </c>
      <c r="F85" s="17">
        <f t="shared" si="4"/>
        <v>0.0188223222021539</v>
      </c>
      <c r="G85" s="17">
        <f t="shared" si="4"/>
        <v>0.0178610081021072</v>
      </c>
      <c r="H85" s="17">
        <f t="shared" si="4"/>
        <v>0.0226812193301146</v>
      </c>
      <c r="I85" s="17">
        <f t="shared" si="4"/>
        <v>0.055904879362059</v>
      </c>
      <c r="J85" s="17">
        <f t="shared" si="4"/>
        <v>0.0729551945968299</v>
      </c>
      <c r="K85" s="17">
        <f t="shared" si="4"/>
        <v>0.0810725641218664</v>
      </c>
      <c r="L85" s="17">
        <f t="shared" si="4"/>
        <v>0.0853680948447169</v>
      </c>
      <c r="M85" s="17">
        <f t="shared" si="4"/>
        <v>0.086044568400563</v>
      </c>
      <c r="N85" s="17">
        <f t="shared" si="4"/>
        <v>0.0727228843363465</v>
      </c>
      <c r="O85" s="17">
        <f t="shared" si="4"/>
        <v>0.0619857096821663</v>
      </c>
    </row>
    <row r="86" spans="2:15">
      <c r="B86" s="6" t="s">
        <v>243</v>
      </c>
      <c r="D86" s="17">
        <f t="shared" ref="D86:O86" si="5">D31/D17</f>
        <v>0.0858991375051396</v>
      </c>
      <c r="E86" s="17">
        <f t="shared" si="5"/>
        <v>0.126772552239647</v>
      </c>
      <c r="F86" s="17">
        <f t="shared" si="5"/>
        <v>0.168981702603193</v>
      </c>
      <c r="G86" s="17">
        <f t="shared" si="5"/>
        <v>0.191239449551791</v>
      </c>
      <c r="H86" s="17">
        <f t="shared" si="5"/>
        <v>0.183106501946376</v>
      </c>
      <c r="I86" s="17">
        <f t="shared" si="5"/>
        <v>0.122216791699821</v>
      </c>
      <c r="J86" s="17">
        <f t="shared" si="5"/>
        <v>0.0779006016237129</v>
      </c>
      <c r="K86" s="17">
        <f t="shared" si="5"/>
        <v>0.0765101395375805</v>
      </c>
      <c r="L86" s="17">
        <f t="shared" si="5"/>
        <v>0.147739204735964</v>
      </c>
      <c r="M86" s="17">
        <f t="shared" si="5"/>
        <v>0.187025326653068</v>
      </c>
      <c r="N86" s="17">
        <f t="shared" si="5"/>
        <v>0.140504864147971</v>
      </c>
      <c r="O86" s="17">
        <f t="shared" si="5"/>
        <v>0.140191837581384</v>
      </c>
    </row>
    <row r="87" spans="2:15">
      <c r="B87" s="6" t="s">
        <v>244</v>
      </c>
      <c r="D87" s="17">
        <f t="shared" ref="D87:O87" si="6">D32/D17</f>
        <v>0.388786781112509</v>
      </c>
      <c r="E87" s="17">
        <f t="shared" si="6"/>
        <v>0.163985669632826</v>
      </c>
      <c r="F87" s="17">
        <f t="shared" si="6"/>
        <v>0.119040177243491</v>
      </c>
      <c r="G87" s="17">
        <f t="shared" si="6"/>
        <v>0.0934161473808376</v>
      </c>
      <c r="H87" s="17">
        <f t="shared" si="6"/>
        <v>0.1119621635776</v>
      </c>
      <c r="I87" s="17">
        <f t="shared" si="6"/>
        <v>0.151515695291506</v>
      </c>
      <c r="J87" s="17">
        <f t="shared" si="6"/>
        <v>0.2194623263516</v>
      </c>
      <c r="K87" s="17">
        <f t="shared" si="6"/>
        <v>0.246259233612977</v>
      </c>
      <c r="L87" s="17">
        <f t="shared" si="6"/>
        <v>0.243166636169982</v>
      </c>
      <c r="M87" s="17">
        <f t="shared" si="6"/>
        <v>0.223148531061379</v>
      </c>
      <c r="N87" s="17">
        <f t="shared" si="6"/>
        <v>0.187895688428889</v>
      </c>
      <c r="O87" s="17">
        <f t="shared" si="6"/>
        <v>0.170741125817764</v>
      </c>
    </row>
    <row r="88" spans="2:15">
      <c r="B88" s="6" t="s">
        <v>245</v>
      </c>
      <c r="D88" s="17">
        <f t="shared" ref="D88:O88" si="7">D33/D17</f>
        <v>0.050592245205143</v>
      </c>
      <c r="E88" s="17">
        <f t="shared" si="7"/>
        <v>0.0421906984704835</v>
      </c>
      <c r="F88" s="17">
        <f t="shared" si="7"/>
        <v>0.0414713185124941</v>
      </c>
      <c r="G88" s="17">
        <f t="shared" si="7"/>
        <v>0.0310926884580018</v>
      </c>
      <c r="H88" s="17">
        <f t="shared" si="7"/>
        <v>0</v>
      </c>
      <c r="I88" s="17">
        <f t="shared" si="7"/>
        <v>0</v>
      </c>
      <c r="J88" s="17">
        <f t="shared" si="7"/>
        <v>0</v>
      </c>
      <c r="K88" s="17">
        <f t="shared" si="7"/>
        <v>0</v>
      </c>
      <c r="L88" s="17">
        <f t="shared" si="7"/>
        <v>0</v>
      </c>
      <c r="M88" s="17">
        <f t="shared" si="7"/>
        <v>0</v>
      </c>
      <c r="N88" s="17">
        <f t="shared" si="7"/>
        <v>0</v>
      </c>
      <c r="O88" s="17">
        <f t="shared" si="7"/>
        <v>0</v>
      </c>
    </row>
    <row r="89" spans="2:15">
      <c r="B89" s="6" t="s">
        <v>246</v>
      </c>
      <c r="D89" s="17">
        <f t="shared" ref="D89:O89" si="8">D34/D17</f>
        <v>-0.0173329864529823</v>
      </c>
      <c r="E89" s="17">
        <f t="shared" si="8"/>
        <v>-0.0154596778099396</v>
      </c>
      <c r="F89" s="17">
        <f t="shared" si="8"/>
        <v>-0.000638594454703711</v>
      </c>
      <c r="G89" s="17">
        <f t="shared" si="8"/>
        <v>0.00679065450236707</v>
      </c>
      <c r="H89" s="17">
        <f t="shared" si="8"/>
        <v>0.00888738258060734</v>
      </c>
      <c r="I89" s="17">
        <f t="shared" si="8"/>
        <v>0.00137111342730054</v>
      </c>
      <c r="J89" s="17">
        <f t="shared" si="8"/>
        <v>-0.0265782122354463</v>
      </c>
      <c r="K89" s="17">
        <f t="shared" si="8"/>
        <v>-0.0486553821721028</v>
      </c>
      <c r="L89" s="17">
        <f t="shared" si="8"/>
        <v>-0.0511971509715937</v>
      </c>
      <c r="M89" s="17">
        <f t="shared" si="8"/>
        <v>-0.0588143037332475</v>
      </c>
      <c r="N89" s="17">
        <f t="shared" si="8"/>
        <v>0.110533671792376</v>
      </c>
      <c r="O89" s="17">
        <f t="shared" si="8"/>
        <v>0.110733938832586</v>
      </c>
    </row>
    <row r="90" spans="3:7">
      <c r="C90" s="6" t="s">
        <v>247</v>
      </c>
      <c r="D90" s="22">
        <v>7822986.14</v>
      </c>
      <c r="F90" s="22">
        <v>2755000</v>
      </c>
      <c r="G90" s="22">
        <v>11213562.5</v>
      </c>
    </row>
    <row r="91" spans="3:7">
      <c r="C91" s="6" t="s">
        <v>238</v>
      </c>
      <c r="D91" s="22">
        <v>32572127.48</v>
      </c>
      <c r="E91" s="22">
        <v>22648412.21</v>
      </c>
      <c r="F91" s="22">
        <v>8995034.38</v>
      </c>
      <c r="G91" s="22">
        <v>8246271.85</v>
      </c>
    </row>
    <row r="92" ht="409.5" spans="1:15">
      <c r="A92" s="6" t="s">
        <v>284</v>
      </c>
      <c r="B92" s="6" t="s">
        <v>248</v>
      </c>
      <c r="D92" s="17">
        <f t="shared" ref="D92:O92" si="9">D37/D17</f>
        <v>0.457352932164667</v>
      </c>
      <c r="E92" s="17">
        <f t="shared" si="9"/>
        <v>0.275298544062534</v>
      </c>
      <c r="F92" s="17">
        <f t="shared" si="9"/>
        <v>0.28738328539198</v>
      </c>
      <c r="G92" s="17">
        <f t="shared" si="9"/>
        <v>0.291446251434996</v>
      </c>
      <c r="H92" s="17">
        <f t="shared" si="9"/>
        <v>0.303956048104583</v>
      </c>
      <c r="I92" s="17">
        <f t="shared" si="9"/>
        <v>0.275103600418628</v>
      </c>
      <c r="J92" s="17">
        <f t="shared" si="9"/>
        <v>0.270784715739866</v>
      </c>
      <c r="K92" s="17">
        <f t="shared" si="9"/>
        <v>0.274113990978454</v>
      </c>
      <c r="L92" s="17">
        <f t="shared" si="9"/>
        <v>0.339708689934352</v>
      </c>
      <c r="M92" s="17">
        <f t="shared" si="9"/>
        <v>0.3513595539812</v>
      </c>
      <c r="N92" s="17">
        <f t="shared" si="9"/>
        <v>0.438934224369236</v>
      </c>
      <c r="O92" s="17">
        <f t="shared" si="9"/>
        <v>0.421666902231734</v>
      </c>
    </row>
    <row r="93" spans="1:7">
      <c r="A93" s="6" t="s">
        <v>249</v>
      </c>
      <c r="B93" s="6" t="s">
        <v>250</v>
      </c>
      <c r="D93" s="22">
        <v>34572160.23</v>
      </c>
      <c r="E93" s="22">
        <v>4285224.19</v>
      </c>
      <c r="F93" s="22">
        <v>1591601.01</v>
      </c>
      <c r="G93" s="22">
        <v>4536456.47</v>
      </c>
    </row>
    <row r="94" spans="2:15">
      <c r="B94" s="6" t="s">
        <v>251</v>
      </c>
      <c r="D94" s="22">
        <v>14014892.3</v>
      </c>
      <c r="E94" s="22">
        <v>273166244.68</v>
      </c>
      <c r="F94" s="22">
        <v>63280814.82</v>
      </c>
      <c r="G94" s="22">
        <v>17702729.92</v>
      </c>
      <c r="H94" s="22">
        <v>14451892.1</v>
      </c>
      <c r="I94" s="22">
        <v>4880868.04</v>
      </c>
      <c r="J94" s="22">
        <v>6516609.43</v>
      </c>
      <c r="K94" s="22">
        <v>10656664.34</v>
      </c>
      <c r="L94" s="22">
        <v>1100350.93</v>
      </c>
      <c r="O94" s="22">
        <v>666438.85</v>
      </c>
    </row>
    <row r="95" ht="47.25" spans="3:10">
      <c r="C95" s="6" t="s">
        <v>252</v>
      </c>
      <c r="D95" s="22">
        <v>-5356968.22</v>
      </c>
      <c r="E95" s="22">
        <v>72523327.47</v>
      </c>
      <c r="F95" s="22">
        <v>3255217.59</v>
      </c>
      <c r="G95" s="22">
        <v>4201481.01</v>
      </c>
      <c r="H95" s="22">
        <v>1569429.26</v>
      </c>
      <c r="I95" s="22">
        <v>3144719.19</v>
      </c>
      <c r="J95" s="22">
        <v>3377479.69</v>
      </c>
    </row>
    <row r="96" spans="2:8">
      <c r="B96" s="6" t="s">
        <v>253</v>
      </c>
      <c r="D96" s="22">
        <v>247726.31</v>
      </c>
      <c r="E96" s="22">
        <v>991859.52</v>
      </c>
      <c r="F96" s="22">
        <v>9660319.4</v>
      </c>
      <c r="G96" s="22">
        <v>1110054.41</v>
      </c>
      <c r="H96" s="22">
        <v>113847.21</v>
      </c>
    </row>
    <row r="97" spans="2:5">
      <c r="B97" s="6" t="s">
        <v>254</v>
      </c>
      <c r="D97" s="22">
        <v>-32739976.91</v>
      </c>
      <c r="E97" s="22">
        <v>1325984.52</v>
      </c>
    </row>
    <row r="98" spans="2:15">
      <c r="B98" s="6" t="s">
        <v>255</v>
      </c>
      <c r="D98" s="22">
        <v>-1877720155.72</v>
      </c>
      <c r="E98" s="22">
        <v>-17425960.27</v>
      </c>
      <c r="F98" s="22">
        <v>-31899429.83</v>
      </c>
      <c r="G98" s="22">
        <v>-8958754.77</v>
      </c>
      <c r="H98" s="22">
        <v>-3011927.49</v>
      </c>
      <c r="I98" s="22">
        <v>-1004375.81</v>
      </c>
      <c r="J98" s="22">
        <v>-1323887.66</v>
      </c>
      <c r="K98" s="22">
        <v>-784425.94</v>
      </c>
      <c r="L98" s="22">
        <v>-231748.53</v>
      </c>
      <c r="M98" s="22">
        <v>656003.34</v>
      </c>
      <c r="N98" s="22">
        <v>-60908.78</v>
      </c>
      <c r="O98" s="22">
        <v>862012.65</v>
      </c>
    </row>
    <row r="99" spans="2:7">
      <c r="B99" s="6" t="s">
        <v>256</v>
      </c>
      <c r="D99" s="22">
        <v>676435.92</v>
      </c>
      <c r="E99" s="22">
        <v>-767848.08</v>
      </c>
      <c r="F99" s="22">
        <v>19135248.57</v>
      </c>
      <c r="G99" s="22">
        <v>54373.41</v>
      </c>
    </row>
    <row r="100" ht="31.5" spans="1:15">
      <c r="A100" s="6" t="s">
        <v>257</v>
      </c>
      <c r="D100" s="22">
        <v>-1699345206.6</v>
      </c>
      <c r="E100" s="22">
        <v>1725575244.16</v>
      </c>
      <c r="F100" s="22">
        <v>1603261258.86</v>
      </c>
      <c r="G100" s="22">
        <v>1346232047.29</v>
      </c>
      <c r="H100" s="22">
        <v>1148168794.91</v>
      </c>
      <c r="I100" s="22">
        <v>827826642.08</v>
      </c>
      <c r="J100" s="22">
        <v>471988594.84</v>
      </c>
      <c r="K100" s="22">
        <v>380890521.86</v>
      </c>
      <c r="L100" s="22">
        <v>300445018.89</v>
      </c>
      <c r="M100" s="22">
        <v>280687584.04</v>
      </c>
      <c r="N100" s="22">
        <v>228618049.14</v>
      </c>
      <c r="O100" s="22">
        <v>116549545.41</v>
      </c>
    </row>
    <row r="101" spans="2:15">
      <c r="B101" s="6" t="s">
        <v>258</v>
      </c>
      <c r="D101" s="22">
        <v>3242377.14</v>
      </c>
      <c r="E101" s="22">
        <v>5997838.03</v>
      </c>
      <c r="F101" s="22">
        <v>15539954.51</v>
      </c>
      <c r="G101" s="22">
        <v>1608758.68</v>
      </c>
      <c r="H101" s="22">
        <v>18472939.01</v>
      </c>
      <c r="I101" s="22">
        <v>35596062.06</v>
      </c>
      <c r="J101" s="22">
        <v>22031382.9</v>
      </c>
      <c r="K101" s="22">
        <v>38655367.58</v>
      </c>
      <c r="L101" s="22">
        <v>51479203.83</v>
      </c>
      <c r="M101" s="22">
        <v>20918624.41</v>
      </c>
      <c r="N101" s="22">
        <v>2309221.03</v>
      </c>
      <c r="O101" s="22">
        <v>3576824.35</v>
      </c>
    </row>
    <row r="102" ht="31.5" spans="3:11">
      <c r="C102" s="6" t="s">
        <v>259</v>
      </c>
      <c r="D102" s="22"/>
      <c r="E102" s="22"/>
      <c r="F102" s="22"/>
      <c r="G102" s="22"/>
      <c r="H102" s="22">
        <v>2517946.74</v>
      </c>
      <c r="I102" s="22">
        <v>146066.43</v>
      </c>
      <c r="J102" s="22">
        <v>32891.68</v>
      </c>
      <c r="K102" s="22">
        <v>5581.25</v>
      </c>
    </row>
    <row r="103" spans="2:15">
      <c r="B103" s="6" t="s">
        <v>260</v>
      </c>
      <c r="D103" s="22">
        <v>41007879.43</v>
      </c>
      <c r="E103" s="22">
        <v>101517003.9</v>
      </c>
      <c r="F103" s="22">
        <v>76342284.48</v>
      </c>
      <c r="G103" s="22">
        <v>50455986.03</v>
      </c>
      <c r="H103" s="22">
        <v>6855213.35</v>
      </c>
      <c r="I103" s="22">
        <v>38296752.52</v>
      </c>
      <c r="J103" s="22">
        <v>2606799.54</v>
      </c>
      <c r="K103" s="22">
        <v>1083445.02</v>
      </c>
      <c r="L103" s="22">
        <v>10724941.41</v>
      </c>
      <c r="M103" s="22">
        <v>4194529.84</v>
      </c>
      <c r="N103" s="22">
        <v>12943823.5</v>
      </c>
      <c r="O103" s="22">
        <v>2642749.42</v>
      </c>
    </row>
    <row r="104" ht="31.5" spans="3:15">
      <c r="C104" s="6" t="s">
        <v>261</v>
      </c>
      <c r="D104" s="22"/>
      <c r="E104" s="22"/>
      <c r="F104" s="22"/>
      <c r="G104" s="22"/>
      <c r="H104" s="22">
        <v>4639673.81</v>
      </c>
      <c r="I104" s="22">
        <v>37765766.59</v>
      </c>
      <c r="J104" s="22">
        <v>1241098.61</v>
      </c>
      <c r="K104" s="22">
        <v>240204.86</v>
      </c>
      <c r="L104" s="22">
        <v>9369971.23</v>
      </c>
      <c r="M104" s="22">
        <v>3548876.35</v>
      </c>
      <c r="N104" s="22">
        <v>12584530.58</v>
      </c>
      <c r="O104" s="22">
        <v>2548321.41</v>
      </c>
    </row>
    <row r="105" ht="31.5" spans="1:15">
      <c r="A105" s="6" t="s">
        <v>262</v>
      </c>
      <c r="D105" s="22">
        <v>-1737110708.89</v>
      </c>
      <c r="E105" s="22">
        <v>1630056078.29</v>
      </c>
      <c r="F105" s="22">
        <v>1542458928.89</v>
      </c>
      <c r="G105" s="22">
        <v>1297384819.94</v>
      </c>
      <c r="H105" s="22">
        <v>1159786520.57</v>
      </c>
      <c r="I105" s="22">
        <v>825125951.62</v>
      </c>
      <c r="J105" s="22">
        <v>491413178.2</v>
      </c>
      <c r="K105" s="22">
        <v>418462444.42</v>
      </c>
      <c r="L105" s="22">
        <v>341199281.31</v>
      </c>
      <c r="M105" s="22">
        <v>297411678.61</v>
      </c>
      <c r="N105" s="22">
        <v>217983446.67</v>
      </c>
      <c r="O105" s="22">
        <v>117483620.34</v>
      </c>
    </row>
    <row r="106" spans="2:15">
      <c r="B106" s="6" t="s">
        <v>263</v>
      </c>
      <c r="D106" s="17">
        <f>D51/D50</f>
        <v>-0.0171751684894421</v>
      </c>
      <c r="E106" s="17">
        <f t="shared" ref="E106:O106" si="10">E51/E50</f>
        <v>0.162664690265231</v>
      </c>
      <c r="F106" s="17">
        <f t="shared" si="10"/>
        <v>0.171739520773257</v>
      </c>
      <c r="G106" s="17">
        <f t="shared" si="10"/>
        <v>0.175823422082701</v>
      </c>
      <c r="H106" s="17">
        <f t="shared" si="10"/>
        <v>0.209796893018222</v>
      </c>
      <c r="I106" s="17">
        <f t="shared" si="10"/>
        <v>0.217761744964179</v>
      </c>
      <c r="J106" s="17">
        <f t="shared" si="10"/>
        <v>0.257808315894285</v>
      </c>
      <c r="K106" s="17">
        <f t="shared" si="10"/>
        <v>0.262151191828093</v>
      </c>
      <c r="L106" s="17">
        <f t="shared" si="10"/>
        <v>0.24849319624729</v>
      </c>
      <c r="M106" s="17">
        <f t="shared" si="10"/>
        <v>0.252825003851317</v>
      </c>
      <c r="N106" s="17">
        <f t="shared" si="10"/>
        <v>0.250686548289727</v>
      </c>
      <c r="O106" s="17">
        <f t="shared" si="10"/>
        <v>0.247452238072561</v>
      </c>
    </row>
    <row r="107" spans="1:15">
      <c r="A107" s="6" t="s">
        <v>264</v>
      </c>
      <c r="D107" s="22">
        <v>-1766945878</v>
      </c>
      <c r="E107" s="22">
        <v>1364903511.2</v>
      </c>
      <c r="F107" s="22">
        <v>1277557771.63</v>
      </c>
      <c r="G107" s="22">
        <v>1069274181.14</v>
      </c>
      <c r="H107" s="22">
        <v>916466911.99</v>
      </c>
      <c r="I107" s="22">
        <v>645445084.58</v>
      </c>
      <c r="J107" s="22">
        <v>364722774.32</v>
      </c>
      <c r="K107" s="22">
        <v>308762015.88</v>
      </c>
      <c r="L107" s="22">
        <v>256413581.34</v>
      </c>
      <c r="M107" s="22">
        <v>222218569.82</v>
      </c>
      <c r="N107" s="22">
        <v>163337928.84</v>
      </c>
      <c r="O107" s="22">
        <v>88412035.55</v>
      </c>
    </row>
    <row r="108" ht="31.5" spans="2:7">
      <c r="B108" s="6" t="s">
        <v>265</v>
      </c>
      <c r="C108" s="6" t="s">
        <v>266</v>
      </c>
      <c r="D108" s="22">
        <v>-1766945878</v>
      </c>
      <c r="E108" s="22">
        <v>1364903511.2</v>
      </c>
      <c r="F108" s="22">
        <v>1277557771.63</v>
      </c>
      <c r="G108" s="22">
        <v>1069274181.14</v>
      </c>
    </row>
    <row r="109" ht="31.5" spans="2:15">
      <c r="B109" s="6" t="s">
        <v>267</v>
      </c>
      <c r="C109" s="6" t="s">
        <v>268</v>
      </c>
      <c r="D109" s="22">
        <v>-1752398009.6</v>
      </c>
      <c r="E109" s="22">
        <v>1339790994.94</v>
      </c>
      <c r="F109" s="22">
        <v>1287186547.41</v>
      </c>
      <c r="G109" s="22">
        <v>1067612066.93</v>
      </c>
      <c r="H109" s="22">
        <v>902305171.91</v>
      </c>
      <c r="I109" s="22">
        <v>630560934.02</v>
      </c>
      <c r="J109" s="22">
        <v>361183249.79</v>
      </c>
      <c r="K109" s="22">
        <v>308423861.72</v>
      </c>
      <c r="L109" s="22">
        <v>256545865.98</v>
      </c>
      <c r="M109" s="22">
        <v>222218569.82</v>
      </c>
      <c r="N109" s="22">
        <v>163337928.84</v>
      </c>
      <c r="O109" s="22">
        <v>86995069.55</v>
      </c>
    </row>
    <row r="110" spans="3:15">
      <c r="C110" s="6" t="s">
        <v>269</v>
      </c>
      <c r="D110" s="22">
        <v>-14547868.4</v>
      </c>
      <c r="E110" s="22">
        <v>25112516.26</v>
      </c>
      <c r="F110" s="22">
        <v>-9628775.78</v>
      </c>
      <c r="G110" s="22">
        <v>1662114.21</v>
      </c>
      <c r="H110" s="22">
        <v>14161740.08</v>
      </c>
      <c r="I110" s="22">
        <v>14884150.56</v>
      </c>
      <c r="J110" s="22">
        <v>3539524.53</v>
      </c>
      <c r="K110" s="22">
        <v>338154.16</v>
      </c>
      <c r="L110" s="22">
        <v>-132284.64</v>
      </c>
      <c r="O110" s="22">
        <v>1416966</v>
      </c>
    </row>
    <row r="111" ht="47.25" spans="1:8">
      <c r="A111" s="6" t="s">
        <v>270</v>
      </c>
      <c r="D111" s="22">
        <v>-54643377.96</v>
      </c>
      <c r="E111" s="22">
        <v>-436587617.54</v>
      </c>
      <c r="F111" s="22">
        <v>27854228.04</v>
      </c>
      <c r="G111" s="22">
        <v>-367848.51</v>
      </c>
      <c r="H111" s="22">
        <v>-7080414.2</v>
      </c>
    </row>
    <row r="112" ht="47.25" spans="2:8">
      <c r="B112" s="6" t="s">
        <v>271</v>
      </c>
      <c r="D112" s="22">
        <v>-54643964.16</v>
      </c>
      <c r="E112" s="22">
        <v>-436587615.65</v>
      </c>
      <c r="F112" s="22">
        <v>27854228.04</v>
      </c>
      <c r="G112" s="22">
        <v>-367848.51</v>
      </c>
      <c r="H112" s="22">
        <v>-7080414.2</v>
      </c>
    </row>
    <row r="113" ht="47.25" spans="2:5">
      <c r="B113" s="6" t="s">
        <v>272</v>
      </c>
      <c r="D113" s="22">
        <v>-65726184.59</v>
      </c>
      <c r="E113" s="22">
        <v>-390940031.83</v>
      </c>
    </row>
    <row r="114" ht="47.25" spans="3:5">
      <c r="C114" s="6" t="s">
        <v>273</v>
      </c>
      <c r="D114" s="22">
        <v>1356586.59</v>
      </c>
      <c r="E114" s="22">
        <v>-1356586.59</v>
      </c>
    </row>
    <row r="115" ht="47.25" spans="3:5">
      <c r="C115" s="6" t="s">
        <v>274</v>
      </c>
      <c r="D115" s="22">
        <v>-67082771.18</v>
      </c>
      <c r="E115" s="22">
        <v>-389583445.24</v>
      </c>
    </row>
    <row r="116" ht="47.25" spans="2:8">
      <c r="B116" s="6" t="s">
        <v>275</v>
      </c>
      <c r="D116" s="22">
        <v>11082220.43</v>
      </c>
      <c r="E116" s="22">
        <v>-45647583.82</v>
      </c>
      <c r="F116" s="22">
        <v>27854228.04</v>
      </c>
      <c r="G116" s="22">
        <v>-367848.51</v>
      </c>
      <c r="H116" s="22">
        <v>-7080414.2</v>
      </c>
    </row>
    <row r="117" ht="31.5" spans="3:8">
      <c r="C117" s="6" t="s">
        <v>276</v>
      </c>
      <c r="D117" s="22">
        <v>11082220.43</v>
      </c>
      <c r="E117" s="22">
        <v>7332056.43</v>
      </c>
      <c r="F117" s="22">
        <v>-26055664.8</v>
      </c>
      <c r="G117" s="22">
        <v>-367848.51</v>
      </c>
      <c r="H117" s="22">
        <v>-7080414.2</v>
      </c>
    </row>
    <row r="118" spans="3:7">
      <c r="C118" s="6" t="s">
        <v>229</v>
      </c>
      <c r="D118" s="22"/>
      <c r="E118" s="22"/>
      <c r="F118" s="22">
        <v>53909892.84</v>
      </c>
      <c r="G118" s="22"/>
    </row>
    <row r="119" ht="47.25" spans="2:5">
      <c r="B119" s="6" t="s">
        <v>277</v>
      </c>
      <c r="D119" s="22">
        <v>586.2</v>
      </c>
      <c r="E119" s="22">
        <v>-1.89</v>
      </c>
    </row>
    <row r="120" ht="31.5" spans="1:15">
      <c r="A120" s="6" t="s">
        <v>278</v>
      </c>
      <c r="D120" s="22">
        <v>-1821589255.96</v>
      </c>
      <c r="E120" s="22">
        <v>928315893.66</v>
      </c>
      <c r="F120" s="22">
        <v>1305411999.67</v>
      </c>
      <c r="G120" s="22">
        <v>1068906332.63</v>
      </c>
      <c r="H120" s="22">
        <v>909386497.79</v>
      </c>
      <c r="I120" s="22">
        <v>645445084.58</v>
      </c>
      <c r="J120" s="22">
        <v>364722774.32</v>
      </c>
      <c r="K120" s="22">
        <v>308762015.88</v>
      </c>
      <c r="L120" s="22">
        <v>256413581.34</v>
      </c>
      <c r="M120" s="22">
        <v>222218569.82</v>
      </c>
      <c r="N120" s="22">
        <v>163337928.84</v>
      </c>
      <c r="O120" s="22">
        <v>88412035.55</v>
      </c>
    </row>
    <row r="121" ht="47.25" spans="2:15">
      <c r="B121" s="6" t="s">
        <v>279</v>
      </c>
      <c r="D121" s="22">
        <v>-1807041973.76</v>
      </c>
      <c r="E121" s="22">
        <v>903203379.29</v>
      </c>
      <c r="F121" s="22">
        <v>1315040775.45</v>
      </c>
      <c r="G121" s="22">
        <v>1067244218.42</v>
      </c>
      <c r="H121" s="22">
        <v>895224757.71</v>
      </c>
      <c r="I121" s="22">
        <v>630560934.02</v>
      </c>
      <c r="J121" s="22">
        <v>361183249.79</v>
      </c>
      <c r="K121" s="22">
        <v>308423861.72</v>
      </c>
      <c r="L121" s="22">
        <v>256413581.34</v>
      </c>
      <c r="M121" s="22">
        <v>222218569.82</v>
      </c>
      <c r="N121" s="22">
        <v>163337928.84</v>
      </c>
      <c r="O121" s="22">
        <v>88412035.55</v>
      </c>
    </row>
    <row r="122" ht="31.5" spans="2:12">
      <c r="B122" s="6" t="s">
        <v>280</v>
      </c>
      <c r="D122" s="22">
        <v>-14547282.2</v>
      </c>
      <c r="E122" s="22">
        <v>25112514.37</v>
      </c>
      <c r="F122" s="22">
        <v>-9628775.78</v>
      </c>
      <c r="G122" s="22">
        <v>1662114.21</v>
      </c>
      <c r="H122" s="22">
        <v>14161740.08</v>
      </c>
      <c r="I122" s="22">
        <v>14884150.56</v>
      </c>
      <c r="J122" s="22">
        <v>3539524.53</v>
      </c>
      <c r="K122" s="22">
        <v>338154.16</v>
      </c>
      <c r="L122" s="22">
        <v>-132284.64</v>
      </c>
    </row>
    <row r="123" ht="31.5" spans="1:1">
      <c r="A123" s="6" t="s">
        <v>281</v>
      </c>
    </row>
    <row r="124" spans="2:15">
      <c r="B124" s="6" t="s">
        <v>282</v>
      </c>
      <c r="D124" s="22">
        <v>-0.6702</v>
      </c>
      <c r="E124" s="22">
        <v>0.5124</v>
      </c>
      <c r="F124" s="22">
        <v>0.89</v>
      </c>
      <c r="G124" s="22">
        <v>0.73</v>
      </c>
      <c r="H124" s="22">
        <v>0.62</v>
      </c>
      <c r="I124" s="22">
        <v>0.45</v>
      </c>
      <c r="J124">
        <v>0.65</v>
      </c>
      <c r="K124">
        <v>0.55</v>
      </c>
      <c r="L124" s="22">
        <v>0.46</v>
      </c>
      <c r="M124" s="22">
        <v>0.4</v>
      </c>
      <c r="N124" s="22">
        <v>1.26</v>
      </c>
      <c r="O124" s="22">
        <v>0.7</v>
      </c>
    </row>
    <row r="125" spans="2:15">
      <c r="B125" s="6" t="s">
        <v>283</v>
      </c>
      <c r="D125" s="22">
        <v>-0.6702</v>
      </c>
      <c r="E125" s="22">
        <v>0.5124</v>
      </c>
      <c r="F125" s="22">
        <v>0.89</v>
      </c>
      <c r="G125" s="22">
        <v>0.73</v>
      </c>
      <c r="H125" s="22">
        <v>0.62</v>
      </c>
      <c r="I125" s="22">
        <v>0.45</v>
      </c>
      <c r="J125">
        <v>0.65</v>
      </c>
      <c r="K125">
        <v>0.55</v>
      </c>
      <c r="L125" s="22">
        <v>0.46</v>
      </c>
      <c r="M125" s="22">
        <v>0.4</v>
      </c>
      <c r="N125" s="22">
        <v>1.26</v>
      </c>
      <c r="O125" s="22">
        <v>0.7</v>
      </c>
    </row>
    <row r="126" spans="4:4">
      <c r="D126" s="6"/>
    </row>
  </sheetData>
  <pageMargins left="0.7" right="0.7" top="0.75" bottom="0.75" header="0.3" footer="0.3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2">
    <comment s:ref="J27" rgbClr="93C4C4"/>
    <comment s:ref="B59" rgbClr="93C4C4"/>
    <comment s:ref="F59" rgbClr="93C4C4"/>
    <comment s:ref="F60" rgbClr="93C4C4"/>
    <comment s:ref="F61" rgbClr="93C4C4"/>
    <comment s:ref="F62" rgbClr="93C4C4"/>
  </commentList>
  <commentList sheetStid="10"/>
  <commentList sheetStid="7"/>
  <commentList sheetStid="15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DCF速算</vt:lpstr>
      <vt:lpstr>增速估值</vt:lpstr>
      <vt:lpstr>真实数据估值</vt:lpstr>
      <vt:lpstr>各营业业务分析</vt:lpstr>
      <vt:lpstr>在建工程历史</vt:lpstr>
      <vt:lpstr>宋城发展史</vt:lpstr>
      <vt:lpstr>营业收入分析</vt:lpstr>
      <vt:lpstr>营业成本分析</vt:lpstr>
      <vt:lpstr>合并利润表预估</vt:lpstr>
      <vt:lpstr>合并资产表</vt:lpstr>
      <vt:lpstr>合并利润表</vt:lpstr>
      <vt:lpstr>合并现金流表</vt:lpstr>
      <vt:lpstr>核电各项目</vt:lpstr>
      <vt:lpstr>子公司情况</vt:lpstr>
      <vt:lpstr>机组情况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刘成岗Leo</dc:creator>
  <cp:lastModifiedBy>Administrator</cp:lastModifiedBy>
  <dcterms:created xsi:type="dcterms:W3CDTF">2020-11-02T06:31:00Z</dcterms:created>
  <dcterms:modified xsi:type="dcterms:W3CDTF">2022-07-25T00:51:25Z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88146C3B068648D09989E944E1F5B07C</vt:lpwstr>
  </property>
  <property fmtid="{D5CDD505-2E9C-101B-9397-08002B2CF9AE}" pid="3" name="KSOProductBuildVer">
    <vt:lpwstr>2052-11.1.0.11875</vt:lpwstr>
  </property>
</Properties>
</file>