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filterPrivacy="1"/>
  <mc:AlternateContent xmlns:mc="http://schemas.openxmlformats.org/markup-compatibility/2006">
    <mc:Choice Requires="x15">
      <x15ac:absPath xmlns:x15ac="http://schemas.microsoft.com/office/spreadsheetml/2010/11/ac" url="/Volumes/external/git/stock_learn/002236_大华股份/"/>
    </mc:Choice>
  </mc:AlternateContent>
  <bookViews>
    <workbookView xWindow="0" yWindow="460" windowWidth="25600" windowHeight="14780"/>
  </bookViews>
  <sheets>
    <sheet name="估值" sheetId="3" r:id="rId1"/>
    <sheet name="现金流净利润比" sheetId="4" r:id="rId2"/>
    <sheet name="roe" sheetId="8" r:id="rId3"/>
    <sheet name="应收" sheetId="7" r:id="rId4"/>
    <sheet name="存货" sheetId="6" r:id="rId5"/>
  </sheets>
  <calcPr calcId="150001" concurrentCalc="0"/>
  <fileRecoveryPr repairLoad="1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3" l="1"/>
  <c r="B6" i="3"/>
  <c r="B5" i="3"/>
  <c r="B13" i="3"/>
  <c r="B14" i="3"/>
  <c r="C13" i="3"/>
  <c r="C14" i="3"/>
  <c r="D13" i="3"/>
  <c r="D14" i="3"/>
  <c r="E13" i="3"/>
  <c r="E14" i="3"/>
  <c r="F13" i="3"/>
  <c r="F14" i="3"/>
  <c r="G13" i="3"/>
  <c r="G14" i="3"/>
  <c r="H14" i="3"/>
  <c r="J14" i="3"/>
  <c r="L14" i="3"/>
  <c r="D5" i="8"/>
  <c r="D6" i="8"/>
  <c r="D7" i="8"/>
  <c r="D8" i="8"/>
  <c r="D9" i="8"/>
  <c r="D10" i="8"/>
  <c r="D11" i="8"/>
  <c r="D12" i="8"/>
  <c r="D13" i="8"/>
  <c r="D4" i="8"/>
  <c r="A6" i="8"/>
  <c r="A7" i="8"/>
  <c r="A8" i="8"/>
  <c r="A9" i="8"/>
  <c r="A10" i="8"/>
  <c r="A11" i="8"/>
  <c r="A12" i="8"/>
  <c r="A13" i="8"/>
  <c r="A5" i="8"/>
  <c r="D4" i="3"/>
  <c r="E4" i="3"/>
  <c r="F4" i="3"/>
  <c r="G4" i="3"/>
  <c r="H4" i="3"/>
  <c r="I4" i="3"/>
  <c r="J4" i="3"/>
  <c r="K4" i="3"/>
  <c r="J16" i="3"/>
  <c r="J17" i="3"/>
  <c r="J18" i="3"/>
  <c r="J19" i="3"/>
  <c r="J20" i="3"/>
  <c r="J21" i="3"/>
  <c r="J22" i="3"/>
  <c r="J23" i="3"/>
  <c r="D13" i="4"/>
  <c r="H5" i="4"/>
  <c r="H6" i="4"/>
  <c r="H7" i="4"/>
  <c r="H8" i="4"/>
  <c r="H9" i="4"/>
  <c r="H10" i="4"/>
  <c r="H11" i="4"/>
  <c r="H12" i="4"/>
  <c r="J13" i="4"/>
  <c r="L13" i="4"/>
  <c r="M13" i="4"/>
  <c r="N13" i="4"/>
  <c r="O13" i="4"/>
  <c r="Q13" i="4"/>
  <c r="R13" i="4"/>
  <c r="S13" i="4"/>
  <c r="T13" i="4"/>
  <c r="U13" i="4"/>
  <c r="V13" i="4"/>
  <c r="W13" i="4"/>
  <c r="X13" i="4"/>
  <c r="Y13" i="4"/>
  <c r="P13" i="4"/>
  <c r="H13" i="4"/>
  <c r="H4" i="4"/>
  <c r="I8" i="4"/>
  <c r="H15" i="3"/>
  <c r="K5" i="4"/>
  <c r="K6" i="4"/>
  <c r="K7" i="4"/>
  <c r="K8" i="4"/>
  <c r="K9" i="4"/>
  <c r="K10" i="4"/>
  <c r="K11" i="4"/>
  <c r="K12" i="4"/>
  <c r="K13" i="4"/>
  <c r="K4" i="4"/>
  <c r="L5" i="6"/>
  <c r="F5" i="6"/>
  <c r="L6" i="6"/>
  <c r="F6" i="6"/>
  <c r="L7" i="6"/>
  <c r="F7" i="6"/>
  <c r="L8" i="6"/>
  <c r="F8" i="6"/>
  <c r="L9" i="6"/>
  <c r="F9" i="6"/>
  <c r="L10" i="6"/>
  <c r="F10" i="6"/>
  <c r="L11" i="6"/>
  <c r="F11" i="6"/>
  <c r="L12" i="6"/>
  <c r="F12" i="6"/>
  <c r="L4" i="6"/>
  <c r="A5" i="6"/>
  <c r="A6" i="6"/>
  <c r="A7" i="6"/>
  <c r="A8" i="6"/>
  <c r="A9" i="6"/>
  <c r="A10" i="6"/>
  <c r="A11" i="6"/>
  <c r="A12" i="6"/>
  <c r="E13" i="4"/>
  <c r="I13" i="4"/>
  <c r="I5" i="4"/>
  <c r="I6" i="4"/>
  <c r="I7" i="4"/>
  <c r="I9" i="4"/>
  <c r="I10" i="4"/>
  <c r="I11" i="4"/>
  <c r="I12" i="4"/>
  <c r="B13" i="4"/>
  <c r="C13" i="4"/>
  <c r="F13" i="4"/>
  <c r="G5" i="4"/>
  <c r="G6" i="4"/>
  <c r="G7" i="4"/>
  <c r="G8" i="4"/>
  <c r="G9" i="4"/>
  <c r="G10" i="4"/>
  <c r="G11" i="4"/>
  <c r="G12" i="4"/>
  <c r="G13" i="4"/>
  <c r="G4" i="4"/>
  <c r="F5" i="4"/>
  <c r="F6" i="4"/>
  <c r="F7" i="4"/>
  <c r="F8" i="4"/>
  <c r="F9" i="4"/>
  <c r="F10" i="4"/>
  <c r="F11" i="4"/>
  <c r="F12" i="4"/>
  <c r="F4" i="4"/>
  <c r="A5" i="4"/>
  <c r="A6" i="4"/>
  <c r="A7" i="4"/>
  <c r="A8" i="4"/>
  <c r="A9" i="4"/>
  <c r="A10" i="4"/>
  <c r="A11" i="4"/>
  <c r="A12" i="4"/>
  <c r="C4" i="3"/>
  <c r="I4" i="4"/>
  <c r="F4" i="6"/>
</calcChain>
</file>

<file path=xl/sharedStrings.xml><?xml version="1.0" encoding="utf-8"?>
<sst xmlns="http://schemas.openxmlformats.org/spreadsheetml/2006/main" count="67" uniqueCount="61">
  <si>
    <t>净利润</t>
    <rPh sb="0" eb="1">
      <t>jing'li'run</t>
    </rPh>
    <phoneticPr fontId="2" type="noConversion"/>
  </si>
  <si>
    <t>年份</t>
    <rPh sb="0" eb="1">
      <t>nian'f</t>
    </rPh>
    <phoneticPr fontId="2" type="noConversion"/>
  </si>
  <si>
    <t>环比增长</t>
    <rPh sb="0" eb="1">
      <t>huan'bi</t>
    </rPh>
    <rPh sb="2" eb="3">
      <t>zeng'zhang</t>
    </rPh>
    <phoneticPr fontId="2" type="noConversion"/>
  </si>
  <si>
    <t>无风险利率</t>
    <rPh sb="0" eb="1">
      <t>wu'feng'xian</t>
    </rPh>
    <rPh sb="3" eb="4">
      <t>li'lv</t>
    </rPh>
    <phoneticPr fontId="2" type="noConversion"/>
  </si>
  <si>
    <t>最后pe</t>
    <rPh sb="0" eb="1">
      <t>zui'hou</t>
    </rPh>
    <phoneticPr fontId="2" type="noConversion"/>
  </si>
  <si>
    <t>年华增长</t>
    <rPh sb="0" eb="1">
      <t>nian'hua</t>
    </rPh>
    <rPh sb="2" eb="3">
      <t>zeng'zhang</t>
    </rPh>
    <phoneticPr fontId="2" type="noConversion"/>
  </si>
  <si>
    <t>年份</t>
    <rPh sb="0" eb="1">
      <t>nian'fen</t>
    </rPh>
    <phoneticPr fontId="2" type="noConversion"/>
  </si>
  <si>
    <t>扣非净利润</t>
    <rPh sb="0" eb="1">
      <t>kou'fei</t>
    </rPh>
    <rPh sb="2" eb="3">
      <t>jing'li'run</t>
    </rPh>
    <phoneticPr fontId="2" type="noConversion"/>
  </si>
  <si>
    <t>经营活动净额</t>
    <rPh sb="0" eb="1">
      <t>jing'ying</t>
    </rPh>
    <rPh sb="2" eb="3">
      <t>huo'dong</t>
    </rPh>
    <rPh sb="4" eb="5">
      <t>jing'e</t>
    </rPh>
    <phoneticPr fontId="2" type="noConversion"/>
  </si>
  <si>
    <t>扣非占比</t>
    <rPh sb="0" eb="1">
      <t>kou'fei</t>
    </rPh>
    <rPh sb="2" eb="3">
      <t>zhan'bi</t>
    </rPh>
    <phoneticPr fontId="2" type="noConversion"/>
  </si>
  <si>
    <t>合计</t>
    <rPh sb="0" eb="1">
      <t>he'ji</t>
    </rPh>
    <phoneticPr fontId="2" type="noConversion"/>
  </si>
  <si>
    <t>现利比</t>
    <rPh sb="0" eb="1">
      <t>xian</t>
    </rPh>
    <rPh sb="1" eb="2">
      <t>li</t>
    </rPh>
    <rPh sb="2" eb="3">
      <t>bi</t>
    </rPh>
    <phoneticPr fontId="2" type="noConversion"/>
  </si>
  <si>
    <t>计算现金流</t>
    <rPh sb="0" eb="1">
      <t>ji'suan</t>
    </rPh>
    <rPh sb="2" eb="3">
      <t>xian'jin'liu</t>
    </rPh>
    <phoneticPr fontId="2" type="noConversion"/>
  </si>
  <si>
    <t>现金流差值</t>
    <rPh sb="0" eb="1">
      <t>xian'jin'liu</t>
    </rPh>
    <rPh sb="3" eb="4">
      <t>cha'zhi</t>
    </rPh>
    <phoneticPr fontId="2" type="noConversion"/>
  </si>
  <si>
    <t>资产减值</t>
    <rPh sb="0" eb="1">
      <t>zi'chan</t>
    </rPh>
    <rPh sb="2" eb="3">
      <t>jian'zhi</t>
    </rPh>
    <phoneticPr fontId="2" type="noConversion"/>
  </si>
  <si>
    <t>加</t>
    <rPh sb="0" eb="1">
      <t>jia</t>
    </rPh>
    <phoneticPr fontId="2" type="noConversion"/>
  </si>
  <si>
    <t>折旧</t>
    <rPh sb="0" eb="1">
      <t>zhe'jiu</t>
    </rPh>
    <phoneticPr fontId="2" type="noConversion"/>
  </si>
  <si>
    <t>无形资产摊销</t>
    <rPh sb="0" eb="1">
      <t>wu'xing</t>
    </rPh>
    <rPh sb="2" eb="3">
      <t>zi'chan</t>
    </rPh>
    <rPh sb="4" eb="5">
      <t>tan'xiao</t>
    </rPh>
    <phoneticPr fontId="2" type="noConversion"/>
  </si>
  <si>
    <t>股东净利润</t>
    <rPh sb="0" eb="1">
      <t>gu'dong</t>
    </rPh>
    <rPh sb="2" eb="3">
      <t>jing'li'run</t>
    </rPh>
    <phoneticPr fontId="2" type="noConversion"/>
  </si>
  <si>
    <t>长期待摊销费摊销</t>
    <rPh sb="0" eb="1">
      <t>chang'qi</t>
    </rPh>
    <rPh sb="2" eb="3">
      <t>dai</t>
    </rPh>
    <rPh sb="3" eb="4">
      <t>tan'xiao</t>
    </rPh>
    <rPh sb="5" eb="6">
      <t>fei</t>
    </rPh>
    <rPh sb="6" eb="7">
      <t>tan'xiao</t>
    </rPh>
    <phoneticPr fontId="2" type="noConversion"/>
  </si>
  <si>
    <t>处置固定资产损失</t>
    <rPh sb="0" eb="1">
      <t>chu'zhi</t>
    </rPh>
    <rPh sb="2" eb="3">
      <t>gu'ding</t>
    </rPh>
    <rPh sb="4" eb="5">
      <t>zi'chan</t>
    </rPh>
    <rPh sb="6" eb="7">
      <t>sun'shi</t>
    </rPh>
    <phoneticPr fontId="2" type="noConversion"/>
  </si>
  <si>
    <t>财务费用</t>
    <rPh sb="0" eb="1">
      <t>cai'wu</t>
    </rPh>
    <rPh sb="2" eb="3">
      <t>fei'yong</t>
    </rPh>
    <phoneticPr fontId="2" type="noConversion"/>
  </si>
  <si>
    <t>投资损失</t>
    <rPh sb="0" eb="1">
      <t>tou'zi</t>
    </rPh>
    <rPh sb="2" eb="3">
      <t>sun'shi</t>
    </rPh>
    <phoneticPr fontId="2" type="noConversion"/>
  </si>
  <si>
    <t>递延所得税资产减少</t>
    <rPh sb="0" eb="1">
      <t>di'yan</t>
    </rPh>
    <rPh sb="2" eb="3">
      <t>suo'de</t>
    </rPh>
    <rPh sb="4" eb="5">
      <t>shui</t>
    </rPh>
    <rPh sb="5" eb="6">
      <t>zi'chan</t>
    </rPh>
    <rPh sb="7" eb="8">
      <t>jian'shao</t>
    </rPh>
    <phoneticPr fontId="2" type="noConversion"/>
  </si>
  <si>
    <t>存货减少</t>
    <rPh sb="0" eb="1">
      <t>cun'huo</t>
    </rPh>
    <rPh sb="2" eb="3">
      <t>jian'shao</t>
    </rPh>
    <phoneticPr fontId="2" type="noConversion"/>
  </si>
  <si>
    <t>经营性应收减少</t>
    <rPh sb="0" eb="1">
      <t>jing'ying'xing</t>
    </rPh>
    <rPh sb="3" eb="4">
      <t>ying'shou</t>
    </rPh>
    <rPh sb="5" eb="6">
      <t>jian'shao</t>
    </rPh>
    <phoneticPr fontId="2" type="noConversion"/>
  </si>
  <si>
    <t>经营性应付增加</t>
    <rPh sb="0" eb="1">
      <t>jing'ying'xing</t>
    </rPh>
    <rPh sb="3" eb="4">
      <t>ying'fu</t>
    </rPh>
    <rPh sb="5" eb="6">
      <t>zeng'jia</t>
    </rPh>
    <phoneticPr fontId="2" type="noConversion"/>
  </si>
  <si>
    <t>固定资产报废损失</t>
    <rPh sb="0" eb="1">
      <t>gu'ding</t>
    </rPh>
    <rPh sb="2" eb="3">
      <t>zi'chan</t>
    </rPh>
    <rPh sb="4" eb="5">
      <t>bao'fei</t>
    </rPh>
    <rPh sb="6" eb="7">
      <t>sun'shi</t>
    </rPh>
    <phoneticPr fontId="2" type="noConversion"/>
  </si>
  <si>
    <t>原材料</t>
    <rPh sb="0" eb="1">
      <t>yuan'cai'liao</t>
    </rPh>
    <phoneticPr fontId="2" type="noConversion"/>
  </si>
  <si>
    <t>在产品</t>
    <rPh sb="0" eb="1">
      <t>zai'chan'p</t>
    </rPh>
    <phoneticPr fontId="2" type="noConversion"/>
  </si>
  <si>
    <t>库存商品</t>
    <rPh sb="0" eb="1">
      <t>ku'cun</t>
    </rPh>
    <rPh sb="2" eb="3">
      <t>shang'p</t>
    </rPh>
    <phoneticPr fontId="2" type="noConversion"/>
  </si>
  <si>
    <t>建造合同形成的已完工未结算资产</t>
    <rPh sb="0" eb="1">
      <t>jian'zao</t>
    </rPh>
    <rPh sb="2" eb="3">
      <t>he'tong</t>
    </rPh>
    <rPh sb="4" eb="5">
      <t>xing'cheng</t>
    </rPh>
    <rPh sb="6" eb="7">
      <t>de</t>
    </rPh>
    <rPh sb="7" eb="8">
      <t>yi'wan'gong</t>
    </rPh>
    <rPh sb="10" eb="11">
      <t>wei'jie'suan</t>
    </rPh>
    <rPh sb="13" eb="14">
      <t>zi'chan</t>
    </rPh>
    <phoneticPr fontId="2" type="noConversion"/>
  </si>
  <si>
    <t>半成品</t>
    <rPh sb="0" eb="1">
      <t>ban'cheng'p</t>
    </rPh>
    <phoneticPr fontId="2" type="noConversion"/>
  </si>
  <si>
    <t>发出商品</t>
    <rPh sb="0" eb="1">
      <t>fa'chu</t>
    </rPh>
    <rPh sb="2" eb="3">
      <t>shang'p</t>
    </rPh>
    <phoneticPr fontId="2" type="noConversion"/>
  </si>
  <si>
    <t>运营成本</t>
    <rPh sb="0" eb="1">
      <t>yun'ying</t>
    </rPh>
    <rPh sb="2" eb="3">
      <t>cheng'ben</t>
    </rPh>
    <phoneticPr fontId="2" type="noConversion"/>
  </si>
  <si>
    <t>低值易耗品</t>
    <rPh sb="0" eb="1">
      <t>di'zhi</t>
    </rPh>
    <rPh sb="2" eb="3">
      <t>yi'hao'p</t>
    </rPh>
    <phoneticPr fontId="2" type="noConversion"/>
  </si>
  <si>
    <t>劳务成本</t>
    <rPh sb="0" eb="1">
      <t>lao'wu'cheng'ben</t>
    </rPh>
    <phoneticPr fontId="2" type="noConversion"/>
  </si>
  <si>
    <t>未结算资产占比</t>
    <rPh sb="0" eb="1">
      <t>wei'jie'suan</t>
    </rPh>
    <rPh sb="3" eb="4">
      <t>zi'chan</t>
    </rPh>
    <rPh sb="5" eb="6">
      <t>zhan'bi</t>
    </rPh>
    <phoneticPr fontId="2" type="noConversion"/>
  </si>
  <si>
    <t>资产减值净利润比</t>
    <rPh sb="0" eb="1">
      <t>zi'chan</t>
    </rPh>
    <rPh sb="2" eb="3">
      <t>jian'zhi</t>
    </rPh>
    <rPh sb="4" eb="5">
      <t>jing'li'run</t>
    </rPh>
    <rPh sb="7" eb="8">
      <t>bi</t>
    </rPh>
    <phoneticPr fontId="2" type="noConversion"/>
  </si>
  <si>
    <t>折扣</t>
    <rPh sb="0" eb="1">
      <t>zhe'kou</t>
    </rPh>
    <phoneticPr fontId="2" type="noConversion"/>
  </si>
  <si>
    <t>公允价值变动损失</t>
    <rPh sb="0" eb="1">
      <t>gong'yun</t>
    </rPh>
    <rPh sb="2" eb="3">
      <t>jia'zhi</t>
    </rPh>
    <rPh sb="4" eb="5">
      <t>bian'dong</t>
    </rPh>
    <rPh sb="6" eb="7">
      <t>sun'shi</t>
    </rPh>
    <phoneticPr fontId="2" type="noConversion"/>
  </si>
  <si>
    <t>经营活动产生的现金流量净额</t>
    <phoneticPr fontId="2" type="noConversion"/>
  </si>
  <si>
    <t>初始净利润</t>
    <rPh sb="0" eb="1">
      <t>chu'shi</t>
    </rPh>
    <rPh sb="2" eb="3">
      <t>jing'li'run</t>
    </rPh>
    <phoneticPr fontId="2" type="noConversion"/>
  </si>
  <si>
    <t>预估净利润</t>
    <rPh sb="0" eb="1">
      <t>yu'gu</t>
    </rPh>
    <rPh sb="2" eb="3">
      <t>jinl'gi'run</t>
    </rPh>
    <phoneticPr fontId="2" type="noConversion"/>
  </si>
  <si>
    <t>折现价值</t>
    <rPh sb="0" eb="1">
      <t>zhe'xian</t>
    </rPh>
    <rPh sb="2" eb="3">
      <t>jia'zhi</t>
    </rPh>
    <phoneticPr fontId="2" type="noConversion"/>
  </si>
  <si>
    <t>最终估值</t>
    <rPh sb="0" eb="1">
      <t>zui'zhong</t>
    </rPh>
    <rPh sb="2" eb="3">
      <t>gu'zhi</t>
    </rPh>
    <phoneticPr fontId="2" type="noConversion"/>
  </si>
  <si>
    <t>折扣估值</t>
    <rPh sb="0" eb="1">
      <t>zhe'kou</t>
    </rPh>
    <rPh sb="2" eb="3">
      <t>gu'zhi</t>
    </rPh>
    <phoneticPr fontId="2" type="noConversion"/>
  </si>
  <si>
    <t>递延所得税负债增加</t>
    <rPh sb="0" eb="1">
      <t>di'yan</t>
    </rPh>
    <rPh sb="2" eb="3">
      <t>suo'de'shui</t>
    </rPh>
    <rPh sb="5" eb="6">
      <t>fu'zhai</t>
    </rPh>
    <rPh sb="7" eb="8">
      <t>zeng'jia</t>
    </rPh>
    <phoneticPr fontId="2" type="noConversion"/>
  </si>
  <si>
    <t>其他</t>
    <rPh sb="0" eb="1">
      <t>qi'ta</t>
    </rPh>
    <phoneticPr fontId="2" type="noConversion"/>
  </si>
  <si>
    <t>年份</t>
    <phoneticPr fontId="2" type="noConversion"/>
  </si>
  <si>
    <t>净利润</t>
    <phoneticPr fontId="2" type="noConversion"/>
  </si>
  <si>
    <t>所有者权益（净资产）</t>
    <phoneticPr fontId="2" type="noConversion"/>
  </si>
  <si>
    <t>roe</t>
    <phoneticPr fontId="2" type="noConversion"/>
  </si>
  <si>
    <t>现利比为30%，现金流占比太低，分析主要原因，近9年累积净利润117亿，累积经营活动现金流净额只有35亿，差值82亿
近9年的差值主要为：资产减值11亿+折旧7亿+无形资产摊销+1亿+财务费用1亿+应付增加了91亿-递延所得税增加3.8亿-应收增加了165亿-存货27亿=84.8亿约等于82亿
可以看到，差值的主要原因是：
1. 应收165亿，应付91亿，应收-应付 74亿
2. 存货27亿
3. 资产减值+折旧18亿
总结：当前财报暂时未看出大问题，典型的第三方外包项目型公司</t>
    <rPh sb="3" eb="4">
      <t>wei</t>
    </rPh>
    <rPh sb="8" eb="9">
      <t>xian'jin'liu</t>
    </rPh>
    <rPh sb="11" eb="12">
      <t>zhan'bi</t>
    </rPh>
    <rPh sb="13" eb="14">
      <t>tai'di</t>
    </rPh>
    <rPh sb="16" eb="17">
      <t>fen'xi</t>
    </rPh>
    <rPh sb="18" eb="19">
      <t>zhu'yao</t>
    </rPh>
    <rPh sb="20" eb="21">
      <t>yuan'y</t>
    </rPh>
    <rPh sb="23" eb="24">
      <t>jin</t>
    </rPh>
    <rPh sb="25" eb="26">
      <t>nian</t>
    </rPh>
    <rPh sb="26" eb="27">
      <t>lei'ji</t>
    </rPh>
    <rPh sb="28" eb="29">
      <t>jing'li'run</t>
    </rPh>
    <rPh sb="34" eb="35">
      <t>yi</t>
    </rPh>
    <rPh sb="36" eb="37">
      <t>lei'ji</t>
    </rPh>
    <rPh sb="38" eb="39">
      <t>jing'ying</t>
    </rPh>
    <rPh sb="40" eb="41">
      <t>huo'dong</t>
    </rPh>
    <rPh sb="42" eb="43">
      <t>xian'jin'liu</t>
    </rPh>
    <rPh sb="45" eb="46">
      <t>jing'e</t>
    </rPh>
    <rPh sb="47" eb="48">
      <t>zhi'you</t>
    </rPh>
    <rPh sb="51" eb="52">
      <t>yi</t>
    </rPh>
    <rPh sb="53" eb="54">
      <t>cha'zhi</t>
    </rPh>
    <rPh sb="57" eb="58">
      <t>yi</t>
    </rPh>
    <rPh sb="69" eb="70">
      <t>zi'chan</t>
    </rPh>
    <rPh sb="71" eb="72">
      <t>jian'zhi</t>
    </rPh>
    <rPh sb="75" eb="76">
      <t>yi</t>
    </rPh>
    <rPh sb="108" eb="109">
      <t>di'yan'suo'de</t>
    </rPh>
    <rPh sb="113" eb="114">
      <t>zeng'jia</t>
    </rPh>
    <rPh sb="118" eb="119">
      <t>yi</t>
    </rPh>
    <rPh sb="130" eb="131">
      <t>tou'zi</t>
    </rPh>
    <rPh sb="132" eb="133">
      <t>sun'shi</t>
    </rPh>
    <rPh sb="136" eb="137">
      <t>yi</t>
    </rPh>
    <rPh sb="168" eb="169">
      <t>ying'shou</t>
    </rPh>
    <rPh sb="173" eb="174">
      <t>yi</t>
    </rPh>
    <rPh sb="175" eb="176">
      <t>ying'fu</t>
    </rPh>
    <rPh sb="179" eb="180">
      <t>yi</t>
    </rPh>
    <rPh sb="181" eb="182">
      <t>ying'shou</t>
    </rPh>
    <rPh sb="184" eb="185">
      <t>ying'fu</t>
    </rPh>
    <rPh sb="189" eb="190">
      <t>yi</t>
    </rPh>
    <rPh sb="194" eb="195">
      <t>tou'zi</t>
    </rPh>
    <rPh sb="196" eb="197">
      <t>sun'shi</t>
    </rPh>
    <rPh sb="200" eb="201">
      <t>y</t>
    </rPh>
    <rPh sb="205" eb="206">
      <t>zi'chan</t>
    </rPh>
    <rPh sb="207" eb="208">
      <t>jian'zhi</t>
    </rPh>
    <rPh sb="210" eb="211">
      <t>zhe'jiu</t>
    </rPh>
    <rPh sb="214" eb="215">
      <t>yi</t>
    </rPh>
    <rPh sb="218" eb="219">
      <t>zong'jie</t>
    </rPh>
    <rPh sb="221" eb="222">
      <t>dang'qian</t>
    </rPh>
    <rPh sb="223" eb="224">
      <t>cai'bao</t>
    </rPh>
    <rPh sb="225" eb="226">
      <t>zan'shi</t>
    </rPh>
    <rPh sb="227" eb="228">
      <t>wei</t>
    </rPh>
    <rPh sb="228" eb="229">
      <t>kan'chu</t>
    </rPh>
    <rPh sb="230" eb="231">
      <t>da'wen'ti</t>
    </rPh>
    <rPh sb="234" eb="235">
      <t>dian'xing</t>
    </rPh>
    <rPh sb="236" eb="237">
      <t>de</t>
    </rPh>
    <rPh sb="237" eb="238">
      <t>di'san'fang</t>
    </rPh>
    <rPh sb="240" eb="241">
      <t>wai'bao</t>
    </rPh>
    <rPh sb="242" eb="243">
      <t>xiang'mu'xinggong'si</t>
    </rPh>
    <phoneticPr fontId="2" type="noConversion"/>
  </si>
  <si>
    <t>总股本</t>
    <rPh sb="0" eb="1">
      <t>zong</t>
    </rPh>
    <rPh sb="1" eb="2">
      <t>gu'ben</t>
    </rPh>
    <phoneticPr fontId="2" type="noConversion"/>
  </si>
  <si>
    <t>目标价格</t>
    <rPh sb="0" eb="1">
      <t>mu'biao</t>
    </rPh>
    <rPh sb="2" eb="3">
      <t>jia'ge</t>
    </rPh>
    <phoneticPr fontId="2" type="noConversion"/>
  </si>
  <si>
    <t>成本价</t>
    <rPh sb="0" eb="1">
      <t>cheng'ben'jia</t>
    </rPh>
    <phoneticPr fontId="2" type="noConversion"/>
  </si>
  <si>
    <t>预期涨幅</t>
    <rPh sb="0" eb="1">
      <t>yu'qi</t>
    </rPh>
    <rPh sb="2" eb="3">
      <t>zhang'fu</t>
    </rPh>
    <phoneticPr fontId="2" type="noConversion"/>
  </si>
  <si>
    <t>复合增长</t>
    <rPh sb="0" eb="1">
      <t>fu'he</t>
    </rPh>
    <rPh sb="2" eb="3">
      <t>zeng'zhang</t>
    </rPh>
    <phoneticPr fontId="2" type="noConversion"/>
  </si>
  <si>
    <t>近5年复合增长</t>
    <rPh sb="0" eb="1">
      <t>jin</t>
    </rPh>
    <rPh sb="2" eb="3">
      <t>nian</t>
    </rPh>
    <rPh sb="3" eb="4">
      <t>fu'he</t>
    </rPh>
    <rPh sb="5" eb="6">
      <t>zeng'zhang</t>
    </rPh>
    <phoneticPr fontId="2" type="noConversion"/>
  </si>
  <si>
    <t>现金流折扣</t>
    <rPh sb="0" eb="1">
      <t>xian'jin'liu</t>
    </rPh>
    <rPh sb="3" eb="4">
      <t>zhe'kou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</si>
</sst>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_ "/>
    <numFmt numFmtId="177" formatCode="#,##0.00_ ;[Red]\-#,##0.00\ "/>
  </numFmts>
  <fonts count="4" x14ac:knownFonts="1">
    <font>
      <sz val="11"/>
      <color theme="1"/>
      <name val="等线"/>
      <family val="2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4"/>
      <color rgb="FF333333"/>
      <name val="Microsoft YaHei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76" fontId="0" fillId="0" borderId="0" xfId="0" applyNumberFormat="1"/>
    <xf numFmtId="10" fontId="0" fillId="0" borderId="0" xfId="0" applyNumberFormat="1"/>
    <xf numFmtId="4" fontId="0" fillId="0" borderId="0" xfId="0" applyNumberFormat="1"/>
    <xf numFmtId="4" fontId="0" fillId="0" borderId="0" xfId="0" applyNumberFormat="1" applyFont="1"/>
    <xf numFmtId="177" fontId="0" fillId="0" borderId="0" xfId="0" applyNumberFormat="1"/>
    <xf numFmtId="0" fontId="3" fillId="0" borderId="0" xfId="0" applyFont="1"/>
    <xf numFmtId="177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/>
    <xf numFmtId="4" fontId="1" fillId="0" borderId="0" xfId="0" applyNumberFormat="1" applyFont="1"/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  <xf numFmtId="177" fontId="0" fillId="0" borderId="0" xfId="0" applyNumberFormat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3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D10" sqref="D10"/>
    </sheetView>
  </sheetViews>
  <sheetFormatPr baseColWidth="10" defaultColWidth="11" defaultRowHeight="15" x14ac:dyDescent="0.2"/>
  <cols>
    <col min="1" max="1" width="17.83203125" customWidth="1"/>
    <col min="2" max="2" width="15.1640625" bestFit="1" customWidth="1"/>
    <col min="3" max="3" width="15.83203125" customWidth="1"/>
    <col min="4" max="4" width="16.1640625" customWidth="1"/>
    <col min="5" max="5" width="15.83203125" customWidth="1"/>
    <col min="6" max="6" width="15" customWidth="1"/>
    <col min="7" max="7" width="17.5" customWidth="1"/>
    <col min="8" max="8" width="15.83203125" customWidth="1"/>
    <col min="9" max="9" width="16.33203125" customWidth="1"/>
    <col min="10" max="10" width="16.83203125" customWidth="1"/>
    <col min="11" max="11" width="16.33203125" customWidth="1"/>
  </cols>
  <sheetData>
    <row r="1" spans="1:12" ht="15" customHeight="1" x14ac:dyDescent="0.2"/>
    <row r="2" spans="1:12" ht="21" x14ac:dyDescent="0.3">
      <c r="A2" t="s">
        <v>1</v>
      </c>
      <c r="B2" s="6">
        <v>2009</v>
      </c>
      <c r="C2" s="6">
        <v>2010</v>
      </c>
      <c r="D2" s="6">
        <v>2011</v>
      </c>
      <c r="E2" s="6">
        <v>2012</v>
      </c>
      <c r="F2" s="6">
        <v>2013</v>
      </c>
      <c r="G2" s="6">
        <v>2014</v>
      </c>
      <c r="H2" s="6">
        <v>2015</v>
      </c>
      <c r="I2" s="6">
        <v>2016</v>
      </c>
      <c r="J2" s="6">
        <v>2017</v>
      </c>
      <c r="K2" s="6">
        <v>2018</v>
      </c>
    </row>
    <row r="3" spans="1:12" ht="21" x14ac:dyDescent="0.3">
      <c r="A3" s="6" t="s">
        <v>41</v>
      </c>
      <c r="B3" s="6"/>
      <c r="C3" s="5">
        <v>260294585.96000001</v>
      </c>
      <c r="D3" s="5">
        <v>377983123.51999998</v>
      </c>
      <c r="E3" s="5">
        <v>700155145.04999995</v>
      </c>
      <c r="F3" s="5">
        <v>1130921915.51</v>
      </c>
      <c r="G3" s="5">
        <v>1142678484.6099999</v>
      </c>
      <c r="H3" s="5">
        <v>1372301211.8699999</v>
      </c>
      <c r="I3" s="5">
        <v>1825199447.95</v>
      </c>
      <c r="J3" s="5">
        <v>2378726820.2199998</v>
      </c>
      <c r="K3" s="5">
        <v>2529426468.6100001</v>
      </c>
    </row>
    <row r="4" spans="1:12" x14ac:dyDescent="0.2">
      <c r="A4" t="s">
        <v>2</v>
      </c>
      <c r="C4" s="2" t="e">
        <f>(C3-B3)/B3</f>
        <v>#DIV/0!</v>
      </c>
      <c r="D4" s="2">
        <f t="shared" ref="D4:K4" si="0">(D3-C3)/C3</f>
        <v>0.4521359409991163</v>
      </c>
      <c r="E4" s="2">
        <f t="shared" si="0"/>
        <v>0.85234498971738637</v>
      </c>
      <c r="F4" s="2">
        <f t="shared" si="0"/>
        <v>0.61524474040569654</v>
      </c>
      <c r="G4" s="2">
        <f t="shared" si="0"/>
        <v>1.0395562185827982E-2</v>
      </c>
      <c r="H4" s="2">
        <f t="shared" si="0"/>
        <v>0.20095130025868213</v>
      </c>
      <c r="I4" s="2">
        <f t="shared" si="0"/>
        <v>0.33002830002813105</v>
      </c>
      <c r="J4" s="2">
        <f t="shared" si="0"/>
        <v>0.30326952645734268</v>
      </c>
      <c r="K4" s="2">
        <f t="shared" si="0"/>
        <v>6.3353070688488167E-2</v>
      </c>
    </row>
    <row r="5" spans="1:12" x14ac:dyDescent="0.2">
      <c r="A5" t="s">
        <v>58</v>
      </c>
      <c r="B5" s="2">
        <f>(K3/C3)^(1/8)-1</f>
        <v>0.32875409352450924</v>
      </c>
    </row>
    <row r="6" spans="1:12" x14ac:dyDescent="0.2">
      <c r="A6" t="s">
        <v>59</v>
      </c>
      <c r="B6" s="2">
        <f>(K3/G3)^(1/4)-1</f>
        <v>0.21976032263500711</v>
      </c>
    </row>
    <row r="8" spans="1:12" x14ac:dyDescent="0.2">
      <c r="A8" s="12" t="s">
        <v>42</v>
      </c>
      <c r="B8" s="12" t="s">
        <v>3</v>
      </c>
      <c r="C8" s="12" t="s">
        <v>4</v>
      </c>
      <c r="D8" s="12" t="s">
        <v>5</v>
      </c>
      <c r="E8" s="12" t="s">
        <v>39</v>
      </c>
      <c r="F8" s="12" t="s">
        <v>60</v>
      </c>
    </row>
    <row r="9" spans="1:12" x14ac:dyDescent="0.2">
      <c r="A9" s="13">
        <f>K3*F9</f>
        <v>758827940.58300006</v>
      </c>
      <c r="B9" s="12">
        <v>0.05</v>
      </c>
      <c r="C9" s="12">
        <v>20</v>
      </c>
      <c r="D9" s="12">
        <v>0.15</v>
      </c>
      <c r="E9" s="12">
        <v>0.7</v>
      </c>
      <c r="F9" s="12">
        <v>0.3</v>
      </c>
    </row>
    <row r="10" spans="1:12" x14ac:dyDescent="0.2">
      <c r="A10" s="1"/>
    </row>
    <row r="11" spans="1:12" x14ac:dyDescent="0.2">
      <c r="A11" s="12"/>
      <c r="B11" s="14">
        <v>0.18</v>
      </c>
      <c r="C11" s="14">
        <v>0.18</v>
      </c>
      <c r="D11" s="14">
        <v>0.18</v>
      </c>
      <c r="E11" s="14">
        <v>0.18</v>
      </c>
      <c r="F11" s="14">
        <v>0.18</v>
      </c>
      <c r="G11" s="12"/>
      <c r="H11" s="12"/>
    </row>
    <row r="12" spans="1:12" x14ac:dyDescent="0.2">
      <c r="A12" s="12" t="s">
        <v>1</v>
      </c>
      <c r="B12" s="12">
        <v>2019</v>
      </c>
      <c r="C12" s="12">
        <v>2020</v>
      </c>
      <c r="D12" s="12">
        <v>2021</v>
      </c>
      <c r="E12" s="12">
        <v>2022</v>
      </c>
      <c r="F12" s="12">
        <v>2023</v>
      </c>
      <c r="G12" s="12"/>
      <c r="H12" s="12" t="s">
        <v>45</v>
      </c>
      <c r="I12" t="s">
        <v>54</v>
      </c>
      <c r="J12" t="s">
        <v>55</v>
      </c>
      <c r="K12" s="12" t="s">
        <v>56</v>
      </c>
      <c r="L12" s="12" t="s">
        <v>57</v>
      </c>
    </row>
    <row r="13" spans="1:12" x14ac:dyDescent="0.2">
      <c r="A13" s="12" t="s">
        <v>43</v>
      </c>
      <c r="B13" s="15">
        <f>A9*(1+D9)</f>
        <v>872652131.67044997</v>
      </c>
      <c r="C13" s="15">
        <f>B13*(1+D9)</f>
        <v>1003549951.4210174</v>
      </c>
      <c r="D13" s="15">
        <f>C13*(1+D9)</f>
        <v>1154082444.1341698</v>
      </c>
      <c r="E13" s="15">
        <f>D13*(1+D9)</f>
        <v>1327194810.7542951</v>
      </c>
      <c r="F13" s="15">
        <f>E13*(1+D9)</f>
        <v>1526274032.3674393</v>
      </c>
      <c r="G13" s="15">
        <f>F13*C9</f>
        <v>30525480647.348785</v>
      </c>
      <c r="H13" s="12"/>
    </row>
    <row r="14" spans="1:12" x14ac:dyDescent="0.2">
      <c r="A14" s="12" t="s">
        <v>44</v>
      </c>
      <c r="B14" s="13">
        <f>B13/(1+B9)</f>
        <v>831097268.25757134</v>
      </c>
      <c r="C14" s="13">
        <f>C13/(1+B9)^2</f>
        <v>910249389.04400671</v>
      </c>
      <c r="D14" s="13">
        <f>D13/(1+B9)^3</f>
        <v>996939807.04819751</v>
      </c>
      <c r="E14" s="13">
        <f>E13/(1+B9)^4</f>
        <v>1091886455.3385019</v>
      </c>
      <c r="F14" s="13">
        <f>F13/(1+B9)^5</f>
        <v>1195875641.5612164</v>
      </c>
      <c r="G14" s="13">
        <f>G13/(1+B9)^4</f>
        <v>25113388472.785545</v>
      </c>
      <c r="H14" s="13">
        <f>SUM(B14:G14)</f>
        <v>30139437034.035038</v>
      </c>
      <c r="I14" s="18">
        <v>2997621930</v>
      </c>
      <c r="J14">
        <f>H14/I14</f>
        <v>10.054449072580356</v>
      </c>
      <c r="K14">
        <v>14.57</v>
      </c>
      <c r="L14" s="2">
        <f>J14/K14</f>
        <v>0.69007886565410814</v>
      </c>
    </row>
    <row r="15" spans="1:12" x14ac:dyDescent="0.2">
      <c r="A15" s="12"/>
      <c r="B15" s="13"/>
      <c r="C15" s="13"/>
      <c r="D15" s="13"/>
      <c r="E15" s="13"/>
      <c r="F15" s="13"/>
      <c r="G15" s="13" t="s">
        <v>46</v>
      </c>
      <c r="H15" s="13">
        <f>H14*E9</f>
        <v>21097605923.824524</v>
      </c>
      <c r="J15">
        <v>2018</v>
      </c>
      <c r="K15" s="5">
        <v>2529426468.6100001</v>
      </c>
    </row>
    <row r="16" spans="1:12" x14ac:dyDescent="0.2">
      <c r="J16">
        <f>J15-1</f>
        <v>2017</v>
      </c>
      <c r="K16" s="5">
        <v>2378726820.2199998</v>
      </c>
    </row>
    <row r="17" spans="10:11" x14ac:dyDescent="0.2">
      <c r="J17">
        <f>J16-1</f>
        <v>2016</v>
      </c>
      <c r="K17" s="5">
        <v>1825199447.95</v>
      </c>
    </row>
    <row r="18" spans="10:11" x14ac:dyDescent="0.2">
      <c r="J18">
        <f t="shared" ref="J18:J23" si="1">J17-1</f>
        <v>2015</v>
      </c>
      <c r="K18" s="5">
        <v>1372301211.8699999</v>
      </c>
    </row>
    <row r="19" spans="10:11" x14ac:dyDescent="0.2">
      <c r="J19">
        <f>J18-1</f>
        <v>2014</v>
      </c>
      <c r="K19" s="5">
        <v>1142678484.6099999</v>
      </c>
    </row>
    <row r="20" spans="10:11" x14ac:dyDescent="0.2">
      <c r="J20">
        <f t="shared" si="1"/>
        <v>2013</v>
      </c>
      <c r="K20" s="5">
        <v>1130921915.51</v>
      </c>
    </row>
    <row r="21" spans="10:11" x14ac:dyDescent="0.2">
      <c r="J21">
        <f>J20-1</f>
        <v>2012</v>
      </c>
      <c r="K21" s="5">
        <v>700155145.04999995</v>
      </c>
    </row>
    <row r="22" spans="10:11" x14ac:dyDescent="0.2">
      <c r="J22">
        <f t="shared" si="1"/>
        <v>2011</v>
      </c>
      <c r="K22" s="5">
        <v>377983123.51999998</v>
      </c>
    </row>
    <row r="23" spans="10:11" x14ac:dyDescent="0.2">
      <c r="J23">
        <f t="shared" si="1"/>
        <v>2010</v>
      </c>
      <c r="K23" s="5">
        <v>260294585.96000001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8"/>
  <sheetViews>
    <sheetView workbookViewId="0">
      <selection activeCell="A17" sqref="A17"/>
    </sheetView>
  </sheetViews>
  <sheetFormatPr baseColWidth="10" defaultColWidth="11" defaultRowHeight="15" x14ac:dyDescent="0.2"/>
  <cols>
    <col min="2" max="2" width="17.83203125" customWidth="1"/>
    <col min="3" max="3" width="16.33203125" customWidth="1"/>
    <col min="4" max="4" width="16.1640625" bestFit="1" customWidth="1"/>
    <col min="5" max="5" width="14.83203125" customWidth="1"/>
    <col min="8" max="8" width="15.5" customWidth="1"/>
    <col min="9" max="9" width="16.1640625" customWidth="1"/>
    <col min="10" max="10" width="17.33203125" customWidth="1"/>
    <col min="11" max="11" width="16.6640625" customWidth="1"/>
    <col min="12" max="12" width="15" customWidth="1"/>
    <col min="13" max="13" width="14.5" customWidth="1"/>
    <col min="14" max="21" width="17.83203125" customWidth="1"/>
    <col min="22" max="22" width="15.6640625" customWidth="1"/>
    <col min="23" max="23" width="17.83203125" customWidth="1"/>
    <col min="24" max="26" width="15.1640625" bestFit="1" customWidth="1"/>
    <col min="27" max="27" width="13.6640625" bestFit="1" customWidth="1"/>
    <col min="28" max="28" width="14.6640625" customWidth="1"/>
    <col min="29" max="29" width="18.1640625" customWidth="1"/>
  </cols>
  <sheetData>
    <row r="2" spans="1:29" x14ac:dyDescent="0.2">
      <c r="J2" t="s">
        <v>15</v>
      </c>
      <c r="L2" t="s">
        <v>15</v>
      </c>
      <c r="AA2" t="s">
        <v>15</v>
      </c>
      <c r="AC2" t="s">
        <v>15</v>
      </c>
    </row>
    <row r="3" spans="1:29" x14ac:dyDescent="0.2">
      <c r="A3" t="s">
        <v>6</v>
      </c>
      <c r="B3" t="s">
        <v>18</v>
      </c>
      <c r="C3" t="s">
        <v>7</v>
      </c>
      <c r="D3" t="s">
        <v>0</v>
      </c>
      <c r="E3" t="s">
        <v>8</v>
      </c>
      <c r="F3" t="s">
        <v>9</v>
      </c>
      <c r="G3" t="s">
        <v>11</v>
      </c>
      <c r="H3" t="s">
        <v>12</v>
      </c>
      <c r="I3" t="s">
        <v>13</v>
      </c>
      <c r="J3" t="s">
        <v>14</v>
      </c>
      <c r="K3" t="s">
        <v>38</v>
      </c>
      <c r="L3" t="s">
        <v>16</v>
      </c>
      <c r="M3" t="s">
        <v>17</v>
      </c>
      <c r="N3" t="s">
        <v>19</v>
      </c>
      <c r="O3" t="s">
        <v>20</v>
      </c>
      <c r="P3" t="s">
        <v>27</v>
      </c>
      <c r="Q3" t="s">
        <v>40</v>
      </c>
      <c r="R3" t="s">
        <v>21</v>
      </c>
      <c r="S3" t="s">
        <v>22</v>
      </c>
      <c r="T3" t="s">
        <v>23</v>
      </c>
      <c r="U3" t="s">
        <v>47</v>
      </c>
      <c r="V3" t="s">
        <v>24</v>
      </c>
      <c r="W3" t="s">
        <v>25</v>
      </c>
      <c r="X3" t="s">
        <v>26</v>
      </c>
      <c r="Y3" t="s">
        <v>48</v>
      </c>
    </row>
    <row r="4" spans="1:29" x14ac:dyDescent="0.2">
      <c r="A4">
        <v>2018</v>
      </c>
      <c r="B4" s="5">
        <v>2529426468.6100001</v>
      </c>
      <c r="C4" s="5">
        <v>2495121029.7600002</v>
      </c>
      <c r="D4" s="5">
        <v>2594592680.3400002</v>
      </c>
      <c r="E4" s="5">
        <v>955315978.16999996</v>
      </c>
      <c r="F4" s="2">
        <f t="shared" ref="F4:F13" si="0">C4/D4</f>
        <v>0.9616619397203553</v>
      </c>
      <c r="G4" s="2">
        <f t="shared" ref="G4:G13" si="1">E4/D4</f>
        <v>0.36819497156864467</v>
      </c>
      <c r="H4" s="5">
        <f>D4+J4+L4+M4+N4+O4+R4+S4+T4+V4+W4+X4+P4+Q4+U4+Y4</f>
        <v>955315978.16999972</v>
      </c>
      <c r="I4" s="5">
        <f>H4-E4</f>
        <v>0</v>
      </c>
      <c r="J4" s="5">
        <v>358998190.95999998</v>
      </c>
      <c r="K4" s="2">
        <f>J4/D4</f>
        <v>0.13836398818212814</v>
      </c>
      <c r="L4" s="5">
        <v>197491957.49000001</v>
      </c>
      <c r="M4" s="5">
        <v>32347000.120000001</v>
      </c>
      <c r="N4" s="5">
        <v>8865941.1500000004</v>
      </c>
      <c r="O4" s="5">
        <v>-17535.97</v>
      </c>
      <c r="P4" s="5">
        <v>981291.46</v>
      </c>
      <c r="Q4" s="5">
        <v>38602602.299999997</v>
      </c>
      <c r="R4" s="5">
        <v>-38062730.299999997</v>
      </c>
      <c r="S4" s="7">
        <v>79293077.010000005</v>
      </c>
      <c r="T4" s="7">
        <v>-171253943.30000001</v>
      </c>
      <c r="U4" s="7">
        <v>4669022.99</v>
      </c>
      <c r="V4" s="5">
        <v>-29181801.030000001</v>
      </c>
      <c r="W4" s="5">
        <v>-3523904205.02</v>
      </c>
      <c r="X4" s="5">
        <v>1436072079.5699999</v>
      </c>
      <c r="Y4" s="5">
        <v>-34177649.600000001</v>
      </c>
      <c r="Z4" s="5"/>
      <c r="AA4" s="5"/>
      <c r="AB4" s="5"/>
      <c r="AC4" s="5"/>
    </row>
    <row r="5" spans="1:29" x14ac:dyDescent="0.2">
      <c r="A5">
        <f>A4-1</f>
        <v>2017</v>
      </c>
      <c r="B5" s="5">
        <v>2378726820.2199998</v>
      </c>
      <c r="C5" s="5">
        <v>2340407357.4400001</v>
      </c>
      <c r="D5" s="5">
        <v>2376786346.0999999</v>
      </c>
      <c r="E5" s="5">
        <v>914231360.00999999</v>
      </c>
      <c r="F5" s="2">
        <f t="shared" si="0"/>
        <v>0.98469404340036992</v>
      </c>
      <c r="G5" s="2">
        <f t="shared" si="1"/>
        <v>0.38465020699489283</v>
      </c>
      <c r="H5" s="5">
        <f t="shared" ref="H5:H13" si="2">D5+J5+L5+M5+N5+O5+R5+S5+T5+V5+W5+X5+P5+Q5+U5+Y5</f>
        <v>914231360.01000047</v>
      </c>
      <c r="I5" s="5">
        <f t="shared" ref="I5:I13" si="3">H5-E5</f>
        <v>0</v>
      </c>
      <c r="J5" s="5">
        <v>245506915.74000001</v>
      </c>
      <c r="K5" s="2">
        <f t="shared" ref="K5:K13" si="4">J5/D5</f>
        <v>0.10329364107246965</v>
      </c>
      <c r="L5" s="5">
        <v>134488131.80000001</v>
      </c>
      <c r="M5" s="5">
        <v>27767397.350000001</v>
      </c>
      <c r="N5" s="5"/>
      <c r="O5" s="5">
        <v>-774332.5</v>
      </c>
      <c r="P5" s="5">
        <v>9227666.0600000005</v>
      </c>
      <c r="Q5" s="5"/>
      <c r="R5" s="5">
        <v>213871791.30000001</v>
      </c>
      <c r="S5" s="5">
        <v>29510653.149999999</v>
      </c>
      <c r="T5" s="5">
        <v>-60088749.829999998</v>
      </c>
      <c r="U5" s="5">
        <v>21763500.719999999</v>
      </c>
      <c r="V5" s="5">
        <v>-640320122.77999997</v>
      </c>
      <c r="W5" s="5">
        <v>-4110273418.5500002</v>
      </c>
      <c r="X5" s="5">
        <v>2668345576.9699998</v>
      </c>
      <c r="Y5" s="5">
        <v>-1579995.52</v>
      </c>
      <c r="Z5" s="5"/>
      <c r="AA5" s="5"/>
      <c r="AB5" s="5"/>
      <c r="AC5" s="5"/>
    </row>
    <row r="6" spans="1:29" x14ac:dyDescent="0.2">
      <c r="A6">
        <f>A5-1</f>
        <v>2016</v>
      </c>
      <c r="B6" s="5">
        <v>1825199447.95</v>
      </c>
      <c r="C6" s="5">
        <v>1719172124.0799999</v>
      </c>
      <c r="D6" s="5">
        <v>1810152288.3099999</v>
      </c>
      <c r="E6" s="5">
        <v>470737105.33999997</v>
      </c>
      <c r="F6" s="2">
        <f t="shared" si="0"/>
        <v>0.9497389447188771</v>
      </c>
      <c r="G6" s="2">
        <f t="shared" si="1"/>
        <v>0.26005386860543706</v>
      </c>
      <c r="H6" s="5">
        <f t="shared" si="2"/>
        <v>470737105.33999968</v>
      </c>
      <c r="I6" s="5">
        <f t="shared" si="3"/>
        <v>0</v>
      </c>
      <c r="J6" s="5">
        <v>129145009.23999999</v>
      </c>
      <c r="K6" s="2">
        <f t="shared" si="4"/>
        <v>7.1344831080799712E-2</v>
      </c>
      <c r="L6" s="5">
        <v>103583804.51000001</v>
      </c>
      <c r="M6" s="5">
        <v>14591618.01</v>
      </c>
      <c r="N6" s="5">
        <v>647458.78</v>
      </c>
      <c r="O6" s="5">
        <v>346741.78</v>
      </c>
      <c r="P6" s="5"/>
      <c r="Q6" s="5">
        <v>-2851456</v>
      </c>
      <c r="R6" s="5">
        <v>-38305746.509999998</v>
      </c>
      <c r="S6" s="5">
        <v>-6642772.4900000002</v>
      </c>
      <c r="T6" s="5">
        <v>-22743032.210000001</v>
      </c>
      <c r="U6" s="5">
        <v>8344998</v>
      </c>
      <c r="V6" s="5">
        <v>-704562266.90999997</v>
      </c>
      <c r="W6" s="5">
        <v>-2127794090.74</v>
      </c>
      <c r="X6" s="5">
        <v>1304156224.3199999</v>
      </c>
      <c r="Y6" s="5">
        <v>2668327.25</v>
      </c>
      <c r="Z6" s="5"/>
      <c r="AA6" s="5"/>
      <c r="AB6" s="5"/>
      <c r="AC6" s="5"/>
    </row>
    <row r="7" spans="1:29" x14ac:dyDescent="0.2">
      <c r="A7">
        <f t="shared" ref="A7:A12" si="5">A6-1</f>
        <v>2015</v>
      </c>
      <c r="B7" s="5">
        <v>1372301211.8699999</v>
      </c>
      <c r="C7" s="5">
        <v>1350391817.72</v>
      </c>
      <c r="D7" s="5">
        <v>1381123509.9000001</v>
      </c>
      <c r="E7" s="5">
        <v>200763824.86000001</v>
      </c>
      <c r="F7" s="2">
        <f t="shared" si="0"/>
        <v>0.97774877340099353</v>
      </c>
      <c r="G7" s="2">
        <f t="shared" si="1"/>
        <v>0.1453626872766334</v>
      </c>
      <c r="H7" s="5">
        <f t="shared" si="2"/>
        <v>200763824.86000031</v>
      </c>
      <c r="I7" s="5">
        <f t="shared" si="3"/>
        <v>2.9802322387695312E-7</v>
      </c>
      <c r="J7" s="5">
        <v>192281999.66999999</v>
      </c>
      <c r="K7" s="2">
        <f t="shared" si="4"/>
        <v>0.13922143696179795</v>
      </c>
      <c r="L7" s="5">
        <v>84781587.469999999</v>
      </c>
      <c r="M7" s="5">
        <v>6315165.0099999998</v>
      </c>
      <c r="N7" s="5">
        <v>743779.8</v>
      </c>
      <c r="O7" s="5">
        <v>-174927.99</v>
      </c>
      <c r="P7" s="5"/>
      <c r="Q7" s="5">
        <v>5228415.6500000004</v>
      </c>
      <c r="R7" s="5">
        <v>-61512310.289999999</v>
      </c>
      <c r="S7" s="5">
        <v>-14013463.970000001</v>
      </c>
      <c r="T7" s="5">
        <v>-54248640.740000002</v>
      </c>
      <c r="U7" s="5">
        <v>-9073852.6199999992</v>
      </c>
      <c r="V7" s="5">
        <v>-256116142.56999999</v>
      </c>
      <c r="W7" s="5">
        <v>-2942876320.5</v>
      </c>
      <c r="X7" s="5">
        <v>1862052036.3800001</v>
      </c>
      <c r="Y7" s="5">
        <v>6252989.6600000001</v>
      </c>
      <c r="Z7" s="5"/>
      <c r="AA7" s="5"/>
      <c r="AB7" s="5"/>
      <c r="AC7" s="5"/>
    </row>
    <row r="8" spans="1:29" x14ac:dyDescent="0.2">
      <c r="A8">
        <f>A7-1</f>
        <v>2014</v>
      </c>
      <c r="B8" s="5">
        <v>1142678484.6099999</v>
      </c>
      <c r="C8" s="5">
        <v>95314944.459999993</v>
      </c>
      <c r="D8" s="5">
        <v>1144264528.4000001</v>
      </c>
      <c r="E8" s="5">
        <v>-17080921.460000001</v>
      </c>
      <c r="F8" s="2">
        <f t="shared" si="0"/>
        <v>8.3297998054066028E-2</v>
      </c>
      <c r="G8" s="2">
        <f t="shared" si="1"/>
        <v>-1.4927423717209759E-2</v>
      </c>
      <c r="H8" s="5">
        <f t="shared" si="2"/>
        <v>-17080921.460000355</v>
      </c>
      <c r="I8" s="5">
        <f>H8-E8</f>
        <v>-3.5390257835388184E-7</v>
      </c>
      <c r="J8" s="5">
        <v>79357586.120000005</v>
      </c>
      <c r="K8" s="2">
        <f t="shared" si="4"/>
        <v>6.9352482883450015E-2</v>
      </c>
      <c r="L8" s="5">
        <v>73180404.730000004</v>
      </c>
      <c r="M8" s="5">
        <v>5835105.4800000004</v>
      </c>
      <c r="N8" s="5">
        <v>743779.79</v>
      </c>
      <c r="O8" s="5">
        <v>77974.710000000006</v>
      </c>
      <c r="P8" s="5">
        <v>1961.16</v>
      </c>
      <c r="Q8" s="5">
        <v>-894483.21</v>
      </c>
      <c r="R8" s="5">
        <v>9800256.6099999994</v>
      </c>
      <c r="S8" s="5">
        <v>-7557419.6399999997</v>
      </c>
      <c r="T8" s="5">
        <v>14550062.539999999</v>
      </c>
      <c r="U8" s="5">
        <v>19253342.859999999</v>
      </c>
      <c r="V8" s="5">
        <v>-341408227.17000002</v>
      </c>
      <c r="W8" s="5">
        <v>-1394725650.4400001</v>
      </c>
      <c r="X8" s="5">
        <v>379706154.11000001</v>
      </c>
      <c r="Y8" s="5">
        <v>733702.49</v>
      </c>
      <c r="Z8" s="5"/>
      <c r="AA8" s="5"/>
      <c r="AB8" s="5"/>
      <c r="AC8" s="5"/>
    </row>
    <row r="9" spans="1:29" x14ac:dyDescent="0.2">
      <c r="A9">
        <f t="shared" si="5"/>
        <v>2013</v>
      </c>
      <c r="B9" s="5">
        <v>1130921915.51</v>
      </c>
      <c r="C9" s="5">
        <v>1114568260.74</v>
      </c>
      <c r="D9" s="4">
        <v>1130138728.3299999</v>
      </c>
      <c r="E9" s="5">
        <v>356475220.70999998</v>
      </c>
      <c r="F9" s="2">
        <f t="shared" si="0"/>
        <v>0.98622251658165161</v>
      </c>
      <c r="G9" s="2">
        <f t="shared" si="1"/>
        <v>0.31542607272362178</v>
      </c>
      <c r="H9" s="5">
        <f t="shared" si="2"/>
        <v>356475220.70999986</v>
      </c>
      <c r="I9" s="5">
        <f t="shared" si="3"/>
        <v>0</v>
      </c>
      <c r="J9" s="5">
        <v>98559602.459999993</v>
      </c>
      <c r="K9" s="2">
        <f t="shared" si="4"/>
        <v>8.7210180475489937E-2</v>
      </c>
      <c r="L9" s="5">
        <v>40771661.840000004</v>
      </c>
      <c r="M9" s="5">
        <v>5652308.1600000001</v>
      </c>
      <c r="N9" s="5"/>
      <c r="O9" s="5">
        <v>-94715.38</v>
      </c>
      <c r="P9" s="5">
        <v>7068.71</v>
      </c>
      <c r="Q9" s="5">
        <v>-3973172.57</v>
      </c>
      <c r="R9" s="5">
        <v>13140484.83</v>
      </c>
      <c r="S9" s="5">
        <v>-7753381.1100000003</v>
      </c>
      <c r="T9" s="5">
        <v>-73653563.709999993</v>
      </c>
      <c r="U9" s="5">
        <v>-1889610.16</v>
      </c>
      <c r="V9" s="5">
        <v>-279232980.05000001</v>
      </c>
      <c r="W9" s="5">
        <v>-1347014151.79</v>
      </c>
      <c r="X9" s="5">
        <v>780768382.42999995</v>
      </c>
      <c r="Y9" s="5">
        <v>1048558.72</v>
      </c>
      <c r="Z9" s="5"/>
      <c r="AA9" s="5"/>
      <c r="AB9" s="5"/>
      <c r="AC9" s="5"/>
    </row>
    <row r="10" spans="1:29" x14ac:dyDescent="0.2">
      <c r="A10">
        <f>A9-1</f>
        <v>2012</v>
      </c>
      <c r="B10" s="5">
        <v>700155145.04999995</v>
      </c>
      <c r="C10" s="5">
        <v>685819391.22000003</v>
      </c>
      <c r="D10" s="5">
        <v>696651234.15999997</v>
      </c>
      <c r="E10" s="5">
        <v>481913096.22000003</v>
      </c>
      <c r="F10" s="2">
        <f t="shared" si="0"/>
        <v>0.98445155565817577</v>
      </c>
      <c r="G10" s="2">
        <f t="shared" si="1"/>
        <v>0.69175661017966272</v>
      </c>
      <c r="H10" s="5">
        <f t="shared" si="2"/>
        <v>481913096.22000003</v>
      </c>
      <c r="I10" s="5">
        <f t="shared" si="3"/>
        <v>0</v>
      </c>
      <c r="J10" s="5">
        <v>37947498.520000003</v>
      </c>
      <c r="K10" s="2">
        <f t="shared" si="4"/>
        <v>5.4471300213450272E-2</v>
      </c>
      <c r="L10" s="5">
        <v>30712112.989999998</v>
      </c>
      <c r="M10" s="5">
        <v>5594314.6500000004</v>
      </c>
      <c r="N10" s="5"/>
      <c r="O10" s="5">
        <v>161660.29</v>
      </c>
      <c r="P10" s="5">
        <v>10554.48</v>
      </c>
      <c r="Q10" s="5">
        <v>1835136.12</v>
      </c>
      <c r="R10" s="5">
        <v>2345972.77</v>
      </c>
      <c r="S10" s="5">
        <v>1027741.59</v>
      </c>
      <c r="T10" s="5">
        <v>-7885473.6699999999</v>
      </c>
      <c r="U10" s="5">
        <v>3226722.55</v>
      </c>
      <c r="V10" s="5">
        <v>-122459236.76000001</v>
      </c>
      <c r="W10" s="5">
        <v>-473740078.20999998</v>
      </c>
      <c r="X10" s="5">
        <v>300440204.31</v>
      </c>
      <c r="Y10" s="5">
        <v>6044732.4299999997</v>
      </c>
      <c r="Z10" s="5"/>
      <c r="AA10" s="5"/>
      <c r="AB10" s="5"/>
      <c r="AC10" s="5"/>
    </row>
    <row r="11" spans="1:29" ht="16" x14ac:dyDescent="0.2">
      <c r="A11">
        <f t="shared" si="5"/>
        <v>2011</v>
      </c>
      <c r="B11" s="5">
        <v>377983123.51999998</v>
      </c>
      <c r="C11" s="5">
        <v>366704384.82999998</v>
      </c>
      <c r="D11" s="5">
        <v>375560849.13</v>
      </c>
      <c r="E11" s="5">
        <v>74219234.049999997</v>
      </c>
      <c r="F11" s="2">
        <f t="shared" si="0"/>
        <v>0.97641803100478575</v>
      </c>
      <c r="G11" s="2">
        <f t="shared" si="1"/>
        <v>0.19762239387287434</v>
      </c>
      <c r="H11" s="5">
        <f t="shared" si="2"/>
        <v>74219234.049999982</v>
      </c>
      <c r="I11" s="5">
        <f t="shared" si="3"/>
        <v>0</v>
      </c>
      <c r="J11" s="5">
        <v>26723209</v>
      </c>
      <c r="K11" s="2">
        <f t="shared" si="4"/>
        <v>7.1155470709753851E-2</v>
      </c>
      <c r="L11" s="5">
        <v>21124733.309999999</v>
      </c>
      <c r="M11" s="5">
        <v>4946596.43</v>
      </c>
      <c r="N11" s="5"/>
      <c r="O11" s="5">
        <v>258214.11</v>
      </c>
      <c r="P11" s="5">
        <v>1484.38</v>
      </c>
      <c r="Q11" s="5">
        <v>927288.22</v>
      </c>
      <c r="R11" s="11">
        <v>964759.15</v>
      </c>
      <c r="S11" s="5">
        <v>4041974.58</v>
      </c>
      <c r="T11" s="5">
        <v>-3862567.15</v>
      </c>
      <c r="U11" s="5">
        <v>534147.91</v>
      </c>
      <c r="V11" s="5">
        <v>-246069295.34999999</v>
      </c>
      <c r="W11" s="5">
        <v>-350625396.79000002</v>
      </c>
      <c r="X11" s="5">
        <v>215155549.16</v>
      </c>
      <c r="Y11" s="5">
        <v>24537687.960000001</v>
      </c>
      <c r="Z11" s="5"/>
      <c r="AA11" s="5"/>
      <c r="AB11" s="5"/>
      <c r="AC11" s="5"/>
    </row>
    <row r="12" spans="1:29" x14ac:dyDescent="0.2">
      <c r="A12">
        <f t="shared" si="5"/>
        <v>2010</v>
      </c>
      <c r="B12" s="5">
        <v>260294585.96000001</v>
      </c>
      <c r="C12" s="5">
        <v>253337502.41</v>
      </c>
      <c r="D12" s="5">
        <v>259631611.78999999</v>
      </c>
      <c r="E12" s="5">
        <v>123564361.27</v>
      </c>
      <c r="F12" s="2">
        <f t="shared" si="0"/>
        <v>0.97575753839601431</v>
      </c>
      <c r="G12" s="2">
        <f t="shared" si="1"/>
        <v>0.47592186644029921</v>
      </c>
      <c r="H12" s="5">
        <f t="shared" si="2"/>
        <v>123564361.26999997</v>
      </c>
      <c r="I12" s="5">
        <f t="shared" si="3"/>
        <v>0</v>
      </c>
      <c r="J12" s="5">
        <v>11339203.859999999</v>
      </c>
      <c r="K12" s="2">
        <f t="shared" si="4"/>
        <v>4.367420354487335E-2</v>
      </c>
      <c r="L12" s="5">
        <v>14528799.33</v>
      </c>
      <c r="M12" s="5">
        <v>4372512.25</v>
      </c>
      <c r="N12" s="5"/>
      <c r="O12" s="5">
        <v>172138.23</v>
      </c>
      <c r="P12" s="5"/>
      <c r="Q12" s="5">
        <v>-271728.21000000002</v>
      </c>
      <c r="R12" s="5">
        <v>234046.07999999999</v>
      </c>
      <c r="S12" s="5">
        <v>3317.31</v>
      </c>
      <c r="T12" s="5">
        <v>-2501141.31</v>
      </c>
      <c r="U12" s="5">
        <v>3309697.51</v>
      </c>
      <c r="V12" s="5">
        <v>-140493478.87</v>
      </c>
      <c r="W12" s="5">
        <v>-257639402.69999999</v>
      </c>
      <c r="X12" s="5">
        <v>205580163.41999999</v>
      </c>
      <c r="Y12" s="5">
        <v>25298622.579999998</v>
      </c>
      <c r="Z12" s="5"/>
      <c r="AA12" s="5"/>
      <c r="AB12" s="5"/>
      <c r="AC12" s="5"/>
    </row>
    <row r="13" spans="1:29" x14ac:dyDescent="0.2">
      <c r="A13" t="s">
        <v>10</v>
      </c>
      <c r="B13" s="5">
        <f>SUM(B4:B12)</f>
        <v>11717687203.299999</v>
      </c>
      <c r="C13" s="5">
        <f>SUM(C4:C12)</f>
        <v>10420836812.66</v>
      </c>
      <c r="D13" s="5">
        <f>SUM(D4:D12)</f>
        <v>11768901776.459999</v>
      </c>
      <c r="E13" s="5">
        <f>SUM(E4:E12)</f>
        <v>3560139259.1700006</v>
      </c>
      <c r="F13" s="2">
        <f t="shared" si="0"/>
        <v>0.88545533054780179</v>
      </c>
      <c r="G13" s="2">
        <f t="shared" si="1"/>
        <v>0.30250394869391667</v>
      </c>
      <c r="H13" s="5">
        <f t="shared" si="2"/>
        <v>3560139259.1699977</v>
      </c>
      <c r="I13" s="5">
        <f t="shared" si="3"/>
        <v>0</v>
      </c>
      <c r="J13" s="5">
        <f t="shared" ref="J13:X13" si="6">SUM(J4:J12)</f>
        <v>1179859215.5699999</v>
      </c>
      <c r="K13" s="2">
        <f t="shared" si="4"/>
        <v>0.10025227824825071</v>
      </c>
      <c r="L13" s="5">
        <f t="shared" si="6"/>
        <v>700663193.47000003</v>
      </c>
      <c r="M13" s="5">
        <f t="shared" si="6"/>
        <v>107422017.46000001</v>
      </c>
      <c r="N13" s="5">
        <f t="shared" si="6"/>
        <v>11000959.52</v>
      </c>
      <c r="O13" s="5">
        <f t="shared" si="6"/>
        <v>-44782.719999999943</v>
      </c>
      <c r="P13" s="5">
        <f t="shared" si="6"/>
        <v>10230026.250000002</v>
      </c>
      <c r="Q13" s="5">
        <f>SUM(Q4:Q12)</f>
        <v>38602602.29999999</v>
      </c>
      <c r="R13" s="5">
        <f t="shared" si="6"/>
        <v>102476523.64000002</v>
      </c>
      <c r="S13" s="5">
        <f t="shared" si="6"/>
        <v>77909726.430000007</v>
      </c>
      <c r="T13" s="5">
        <f t="shared" si="6"/>
        <v>-381687049.37999994</v>
      </c>
      <c r="U13" s="5">
        <f>SUM(U4:U12)</f>
        <v>50137969.759999998</v>
      </c>
      <c r="V13" s="5">
        <f t="shared" si="6"/>
        <v>-2759843551.4899998</v>
      </c>
      <c r="W13" s="5">
        <f t="shared" si="6"/>
        <v>-16528592714.740002</v>
      </c>
      <c r="X13" s="5">
        <f t="shared" si="6"/>
        <v>9152276370.6700001</v>
      </c>
      <c r="Y13" s="5">
        <f>SUM(Y4:Y12)</f>
        <v>30826975.969999991</v>
      </c>
      <c r="Z13" s="5"/>
      <c r="AA13" s="5"/>
      <c r="AB13" s="5"/>
      <c r="AC13" s="5"/>
    </row>
    <row r="14" spans="1:29" x14ac:dyDescent="0.2"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x14ac:dyDescent="0.2"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9" ht="170" customHeight="1" x14ac:dyDescent="0.2">
      <c r="A16" s="16" t="s">
        <v>53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x14ac:dyDescent="0.2">
      <c r="A18" s="8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</sheetData>
  <mergeCells count="1">
    <mergeCell ref="A16:N1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1"/>
  <sheetViews>
    <sheetView workbookViewId="0">
      <selection activeCell="G16" sqref="G16"/>
    </sheetView>
  </sheetViews>
  <sheetFormatPr baseColWidth="10" defaultColWidth="8.83203125" defaultRowHeight="15" x14ac:dyDescent="0.2"/>
  <cols>
    <col min="2" max="2" width="17.1640625" customWidth="1"/>
    <col min="3" max="3" width="20" customWidth="1"/>
  </cols>
  <sheetData>
    <row r="3" spans="1:4" x14ac:dyDescent="0.2">
      <c r="A3" t="s">
        <v>49</v>
      </c>
      <c r="B3" t="s">
        <v>50</v>
      </c>
      <c r="C3" t="s">
        <v>51</v>
      </c>
      <c r="D3" t="s">
        <v>52</v>
      </c>
    </row>
    <row r="4" spans="1:4" x14ac:dyDescent="0.2">
      <c r="A4">
        <v>2018</v>
      </c>
      <c r="B4" s="5">
        <v>2594592680.3400002</v>
      </c>
      <c r="C4" s="3">
        <v>12903265673.43</v>
      </c>
      <c r="D4" s="2">
        <f>B4*2/(C4+C5)</f>
        <v>0.22084933132346027</v>
      </c>
    </row>
    <row r="5" spans="1:4" x14ac:dyDescent="0.2">
      <c r="A5">
        <f>A4-1</f>
        <v>2017</v>
      </c>
      <c r="B5" s="5">
        <v>2376786346.0999999</v>
      </c>
      <c r="C5" s="3">
        <v>10593230012.49</v>
      </c>
      <c r="D5" s="2">
        <f t="shared" ref="D5:D13" si="0">B5*2/(C5+C6)</f>
        <v>0.24993790583979392</v>
      </c>
    </row>
    <row r="6" spans="1:4" x14ac:dyDescent="0.2">
      <c r="A6">
        <f t="shared" ref="A6:A13" si="1">A5-1</f>
        <v>2016</v>
      </c>
      <c r="B6" s="5">
        <v>1810152288.3099999</v>
      </c>
      <c r="C6" s="3">
        <v>8425784635.2799997</v>
      </c>
      <c r="D6" s="2">
        <f t="shared" si="0"/>
        <v>0.24147965875180533</v>
      </c>
    </row>
    <row r="7" spans="1:4" x14ac:dyDescent="0.2">
      <c r="A7">
        <f t="shared" si="1"/>
        <v>2015</v>
      </c>
      <c r="B7" s="5">
        <v>1381123509.9000001</v>
      </c>
      <c r="C7" s="3">
        <v>6566387356.8999996</v>
      </c>
      <c r="D7" s="2">
        <f t="shared" si="0"/>
        <v>0.23453741926343227</v>
      </c>
    </row>
    <row r="8" spans="1:4" x14ac:dyDescent="0.2">
      <c r="A8">
        <f t="shared" si="1"/>
        <v>2014</v>
      </c>
      <c r="B8" s="5">
        <v>1144264528.4000001</v>
      </c>
      <c r="C8" s="3">
        <v>5211038302.8299999</v>
      </c>
      <c r="D8" s="2">
        <f t="shared" si="0"/>
        <v>0.24385179611336147</v>
      </c>
    </row>
    <row r="9" spans="1:4" x14ac:dyDescent="0.2">
      <c r="A9">
        <f t="shared" si="1"/>
        <v>2013</v>
      </c>
      <c r="B9" s="4">
        <v>1130138728.3299999</v>
      </c>
      <c r="C9" s="3">
        <v>4173879476.23</v>
      </c>
      <c r="D9" s="2">
        <f t="shared" si="0"/>
        <v>0.35755213526579355</v>
      </c>
    </row>
    <row r="10" spans="1:4" x14ac:dyDescent="0.2">
      <c r="A10">
        <f t="shared" si="1"/>
        <v>2012</v>
      </c>
      <c r="B10" s="5">
        <v>696651234.15999997</v>
      </c>
      <c r="C10" s="3">
        <v>2147653060.5</v>
      </c>
      <c r="D10" s="2">
        <f t="shared" si="0"/>
        <v>0.38042083816289102</v>
      </c>
    </row>
    <row r="11" spans="1:4" x14ac:dyDescent="0.2">
      <c r="A11">
        <f t="shared" si="1"/>
        <v>2011</v>
      </c>
      <c r="B11" s="5">
        <v>375560849.13</v>
      </c>
      <c r="C11" s="3">
        <v>1514876245.3299999</v>
      </c>
      <c r="D11" s="2">
        <f t="shared" si="0"/>
        <v>0.28024960500969937</v>
      </c>
    </row>
    <row r="12" spans="1:4" x14ac:dyDescent="0.2">
      <c r="A12">
        <f t="shared" si="1"/>
        <v>2010</v>
      </c>
      <c r="B12" s="5">
        <v>259631611.78999999</v>
      </c>
      <c r="C12" s="3">
        <v>1165312004.1199999</v>
      </c>
      <c r="D12" s="2">
        <f t="shared" si="0"/>
        <v>0.26033340853605191</v>
      </c>
    </row>
    <row r="13" spans="1:4" x14ac:dyDescent="0.2">
      <c r="A13">
        <f t="shared" si="1"/>
        <v>2009</v>
      </c>
      <c r="C13" s="3">
        <v>829296473.13999999</v>
      </c>
      <c r="D13" s="2">
        <f t="shared" si="0"/>
        <v>0</v>
      </c>
    </row>
    <row r="22" spans="7:9" x14ac:dyDescent="0.2">
      <c r="G22" s="5"/>
      <c r="H22" s="5"/>
      <c r="I22" s="5"/>
    </row>
    <row r="23" spans="7:9" x14ac:dyDescent="0.2">
      <c r="G23" s="5"/>
      <c r="H23" s="5"/>
      <c r="I23" s="5"/>
    </row>
    <row r="24" spans="7:9" x14ac:dyDescent="0.2">
      <c r="G24" s="5"/>
      <c r="H24" s="5"/>
      <c r="I24" s="5"/>
    </row>
    <row r="25" spans="7:9" x14ac:dyDescent="0.2">
      <c r="G25" s="5"/>
      <c r="H25" s="5"/>
      <c r="I25" s="5"/>
    </row>
    <row r="26" spans="7:9" x14ac:dyDescent="0.2">
      <c r="G26" s="5"/>
      <c r="H26" s="5"/>
      <c r="I26" s="5"/>
    </row>
    <row r="27" spans="7:9" x14ac:dyDescent="0.2">
      <c r="G27" s="5"/>
      <c r="H27" s="5"/>
      <c r="I27" s="4"/>
    </row>
    <row r="28" spans="7:9" x14ac:dyDescent="0.2">
      <c r="G28" s="5"/>
      <c r="H28" s="5"/>
      <c r="I28" s="5"/>
    </row>
    <row r="29" spans="7:9" x14ac:dyDescent="0.2">
      <c r="G29" s="5"/>
      <c r="H29" s="5"/>
      <c r="I29" s="5"/>
    </row>
    <row r="30" spans="7:9" x14ac:dyDescent="0.2">
      <c r="G30" s="5"/>
      <c r="H30" s="5"/>
      <c r="I30" s="5"/>
    </row>
    <row r="31" spans="7:9" x14ac:dyDescent="0.2">
      <c r="G31" s="5"/>
      <c r="H31" s="5"/>
      <c r="I31" s="5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7" sqref="G17"/>
    </sheetView>
  </sheetViews>
  <sheetFormatPr baseColWidth="10" defaultColWidth="11" defaultRowHeight="15" x14ac:dyDescent="0.2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3"/>
  <sheetViews>
    <sheetView workbookViewId="0">
      <selection activeCell="G20" sqref="G20"/>
    </sheetView>
  </sheetViews>
  <sheetFormatPr baseColWidth="10" defaultColWidth="11" defaultRowHeight="15" x14ac:dyDescent="0.2"/>
  <cols>
    <col min="2" max="4" width="12.33203125" bestFit="1" customWidth="1"/>
    <col min="5" max="6" width="16.6640625" customWidth="1"/>
    <col min="7" max="7" width="11.33203125" bestFit="1" customWidth="1"/>
    <col min="8" max="9" width="12.33203125" bestFit="1" customWidth="1"/>
    <col min="12" max="12" width="15.1640625" customWidth="1"/>
  </cols>
  <sheetData>
    <row r="3" spans="1:12" ht="34" customHeight="1" x14ac:dyDescent="0.2">
      <c r="A3" t="s">
        <v>1</v>
      </c>
      <c r="B3" t="s">
        <v>28</v>
      </c>
      <c r="C3" t="s">
        <v>29</v>
      </c>
      <c r="D3" t="s">
        <v>30</v>
      </c>
      <c r="E3" s="9" t="s">
        <v>31</v>
      </c>
      <c r="F3" s="9" t="s">
        <v>37</v>
      </c>
      <c r="G3" t="s">
        <v>32</v>
      </c>
      <c r="H3" t="s">
        <v>33</v>
      </c>
      <c r="I3" t="s">
        <v>34</v>
      </c>
      <c r="J3" t="s">
        <v>35</v>
      </c>
      <c r="K3" t="s">
        <v>36</v>
      </c>
      <c r="L3" t="s">
        <v>10</v>
      </c>
    </row>
    <row r="4" spans="1:12" x14ac:dyDescent="0.2">
      <c r="A4">
        <v>2018</v>
      </c>
      <c r="B4" s="3">
        <v>72003747.5</v>
      </c>
      <c r="C4" s="3">
        <v>53238712.119999997</v>
      </c>
      <c r="D4" s="3">
        <v>7922947.3099999996</v>
      </c>
      <c r="E4" s="3">
        <v>997057414.72000003</v>
      </c>
      <c r="F4" s="2">
        <f>E4/L4</f>
        <v>0.84508152461411701</v>
      </c>
      <c r="G4" s="3">
        <v>8599080.6999999993</v>
      </c>
      <c r="H4" s="3">
        <v>16958119.629999999</v>
      </c>
      <c r="I4" s="3">
        <v>23682753.109999999</v>
      </c>
      <c r="J4" s="3">
        <v>321378.61</v>
      </c>
      <c r="K4" s="3">
        <v>51620.34</v>
      </c>
      <c r="L4" s="3">
        <f>B4+C4+D4+E4+G4+H4+I4+J4+K4</f>
        <v>1179835774.04</v>
      </c>
    </row>
    <row r="5" spans="1:12" x14ac:dyDescent="0.2">
      <c r="A5">
        <f>A4-1</f>
        <v>2017</v>
      </c>
      <c r="B5" s="3">
        <v>56832958.149999999</v>
      </c>
      <c r="C5" s="3">
        <v>32394342.239999998</v>
      </c>
      <c r="D5" s="3">
        <v>11759343.59</v>
      </c>
      <c r="E5" s="3">
        <v>828560424.79999995</v>
      </c>
      <c r="F5" s="2">
        <f t="shared" ref="F5:F12" si="0">E5/L5</f>
        <v>0.84304721547189831</v>
      </c>
      <c r="G5" s="3">
        <v>6536592.2800000003</v>
      </c>
      <c r="H5" s="3">
        <v>41425942.5</v>
      </c>
      <c r="I5" s="3">
        <v>4867378.53</v>
      </c>
      <c r="J5" s="3">
        <v>410410.21</v>
      </c>
      <c r="K5" s="3">
        <v>28765.08</v>
      </c>
      <c r="L5" s="3">
        <f t="shared" ref="L5:L12" si="1">B5+C5+D5+E5+G5+H5+I5+J5+K5</f>
        <v>982816157.38</v>
      </c>
    </row>
    <row r="6" spans="1:12" x14ac:dyDescent="0.2">
      <c r="A6">
        <f t="shared" ref="A6:A12" si="2">A5-1</f>
        <v>2016</v>
      </c>
      <c r="F6" s="2" t="e">
        <f t="shared" si="0"/>
        <v>#DIV/0!</v>
      </c>
      <c r="L6" s="3">
        <f t="shared" si="1"/>
        <v>0</v>
      </c>
    </row>
    <row r="7" spans="1:12" x14ac:dyDescent="0.2">
      <c r="A7">
        <f t="shared" si="2"/>
        <v>2015</v>
      </c>
      <c r="F7" s="2" t="e">
        <f t="shared" si="0"/>
        <v>#DIV/0!</v>
      </c>
      <c r="L7" s="3">
        <f t="shared" si="1"/>
        <v>0</v>
      </c>
    </row>
    <row r="8" spans="1:12" x14ac:dyDescent="0.2">
      <c r="A8">
        <f t="shared" si="2"/>
        <v>2014</v>
      </c>
      <c r="F8" s="2" t="e">
        <f t="shared" si="0"/>
        <v>#DIV/0!</v>
      </c>
      <c r="L8" s="3">
        <f t="shared" si="1"/>
        <v>0</v>
      </c>
    </row>
    <row r="9" spans="1:12" x14ac:dyDescent="0.2">
      <c r="A9">
        <f t="shared" si="2"/>
        <v>2013</v>
      </c>
      <c r="F9" s="2" t="e">
        <f t="shared" si="0"/>
        <v>#DIV/0!</v>
      </c>
      <c r="L9" s="3">
        <f t="shared" si="1"/>
        <v>0</v>
      </c>
    </row>
    <row r="10" spans="1:12" x14ac:dyDescent="0.2">
      <c r="A10">
        <f t="shared" si="2"/>
        <v>2012</v>
      </c>
      <c r="F10" s="2" t="e">
        <f t="shared" si="0"/>
        <v>#DIV/0!</v>
      </c>
      <c r="L10" s="3">
        <f t="shared" si="1"/>
        <v>0</v>
      </c>
    </row>
    <row r="11" spans="1:12" x14ac:dyDescent="0.2">
      <c r="A11">
        <f t="shared" si="2"/>
        <v>2011</v>
      </c>
      <c r="B11" s="3">
        <v>20223578.75</v>
      </c>
      <c r="C11" s="3">
        <v>4618360.62</v>
      </c>
      <c r="E11" s="3">
        <v>117955881.43000001</v>
      </c>
      <c r="F11" s="2">
        <f t="shared" si="0"/>
        <v>0.80817708901607332</v>
      </c>
      <c r="I11" s="3">
        <v>3155192.51</v>
      </c>
      <c r="L11" s="3">
        <f t="shared" si="1"/>
        <v>145953013.31</v>
      </c>
    </row>
    <row r="12" spans="1:12" x14ac:dyDescent="0.2">
      <c r="A12">
        <f t="shared" si="2"/>
        <v>2010</v>
      </c>
      <c r="B12" s="3">
        <v>11516478.109999999</v>
      </c>
      <c r="E12" s="3">
        <v>58060945.969999999</v>
      </c>
      <c r="F12" s="2">
        <f t="shared" si="0"/>
        <v>0.83447967121119093</v>
      </c>
      <c r="L12" s="3">
        <f t="shared" si="1"/>
        <v>69577424.079999998</v>
      </c>
    </row>
    <row r="13" spans="1:12" x14ac:dyDescent="0.2">
      <c r="F13" s="2"/>
      <c r="L13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估值</vt:lpstr>
      <vt:lpstr>现金流净利润比</vt:lpstr>
      <vt:lpstr>roe</vt:lpstr>
      <vt:lpstr>应收</vt:lpstr>
      <vt:lpstr>存货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2019-07-24T06:02:29Z</dcterms:modified>
</cp:coreProperties>
</file>