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5605" windowHeight="14775" activeTab="6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  <sheet name="营收分析" sheetId="8" r:id="rId7"/>
    <sheet name="Sheet3" sheetId="9" r:id="rId8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8" l="1"/>
  <c r="V31" i="8"/>
  <c r="V32" i="8"/>
  <c r="V33" i="8"/>
  <c r="V34" i="8"/>
  <c r="V35" i="8"/>
  <c r="V36" i="8"/>
  <c r="V37" i="8"/>
  <c r="V38" i="8"/>
  <c r="V39" i="8"/>
  <c r="A14" i="8"/>
  <c r="D14" i="4"/>
  <c r="E14" i="4"/>
  <c r="C14" i="4"/>
  <c r="B14" i="4"/>
  <c r="F4" i="4"/>
  <c r="G4" i="4"/>
  <c r="E5" i="7"/>
  <c r="F5" i="7"/>
  <c r="G5" i="7"/>
  <c r="H5" i="7"/>
  <c r="I5" i="7"/>
  <c r="J5" i="7"/>
  <c r="K5" i="7"/>
  <c r="L5" i="7"/>
  <c r="D5" i="7"/>
  <c r="G4" i="3"/>
  <c r="H4" i="3"/>
  <c r="I4" i="3"/>
  <c r="J4" i="3"/>
  <c r="K4" i="3"/>
  <c r="B6" i="3"/>
  <c r="D4" i="3"/>
  <c r="E4" i="3"/>
  <c r="F4" i="3"/>
  <c r="B5" i="3"/>
  <c r="B13" i="3"/>
  <c r="C13" i="3"/>
  <c r="D13" i="3"/>
  <c r="E13" i="3"/>
  <c r="F13" i="3"/>
  <c r="G13" i="3"/>
  <c r="G14" i="3"/>
  <c r="B14" i="3"/>
  <c r="C14" i="3"/>
  <c r="D14" i="3"/>
  <c r="E14" i="3"/>
  <c r="F14" i="3"/>
  <c r="H14" i="3"/>
  <c r="L14" i="3"/>
  <c r="K14" i="3"/>
  <c r="Q14" i="4"/>
  <c r="H9" i="4"/>
  <c r="I9" i="4"/>
  <c r="H6" i="4"/>
  <c r="H7" i="4"/>
  <c r="H8" i="4"/>
  <c r="H10" i="4"/>
  <c r="H11" i="4"/>
  <c r="H12" i="4"/>
  <c r="H13" i="4"/>
  <c r="J14" i="4"/>
  <c r="L14" i="4"/>
  <c r="M14" i="4"/>
  <c r="N14" i="4"/>
  <c r="O14" i="4"/>
  <c r="R14" i="4"/>
  <c r="S14" i="4"/>
  <c r="T14" i="4"/>
  <c r="U14" i="4"/>
  <c r="V14" i="4"/>
  <c r="W14" i="4"/>
  <c r="P14" i="4"/>
  <c r="H14" i="4"/>
  <c r="H5" i="4"/>
  <c r="J83" i="1"/>
  <c r="J84" i="1"/>
  <c r="J85" i="1"/>
  <c r="J86" i="1"/>
  <c r="J87" i="1"/>
  <c r="J88" i="1"/>
  <c r="J89" i="1"/>
  <c r="J90" i="1"/>
  <c r="J82" i="1"/>
  <c r="A83" i="1"/>
  <c r="A84" i="1"/>
  <c r="A85" i="1"/>
  <c r="A86" i="1"/>
  <c r="A87" i="1"/>
  <c r="A88" i="1"/>
  <c r="A89" i="1"/>
  <c r="A90" i="1"/>
  <c r="H15" i="3"/>
  <c r="K6" i="4"/>
  <c r="K7" i="4"/>
  <c r="K8" i="4"/>
  <c r="K9" i="4"/>
  <c r="K10" i="4"/>
  <c r="K11" i="4"/>
  <c r="K12" i="4"/>
  <c r="K13" i="4"/>
  <c r="K14" i="4"/>
  <c r="K5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I14" i="4"/>
  <c r="I6" i="4"/>
  <c r="I7" i="4"/>
  <c r="I8" i="4"/>
  <c r="I10" i="4"/>
  <c r="I11" i="4"/>
  <c r="I12" i="4"/>
  <c r="I13" i="4"/>
  <c r="F14" i="4"/>
  <c r="G6" i="4"/>
  <c r="G7" i="4"/>
  <c r="G8" i="4"/>
  <c r="G9" i="4"/>
  <c r="G10" i="4"/>
  <c r="G11" i="4"/>
  <c r="G12" i="4"/>
  <c r="G13" i="4"/>
  <c r="G14" i="4"/>
  <c r="G5" i="4"/>
  <c r="F6" i="4"/>
  <c r="F7" i="4"/>
  <c r="F8" i="4"/>
  <c r="F9" i="4"/>
  <c r="F10" i="4"/>
  <c r="F11" i="4"/>
  <c r="F12" i="4"/>
  <c r="F13" i="4"/>
  <c r="F5" i="4"/>
  <c r="A6" i="4"/>
  <c r="A7" i="4"/>
  <c r="A8" i="4"/>
  <c r="A9" i="4"/>
  <c r="A10" i="4"/>
  <c r="A11" i="4"/>
  <c r="A12" i="4"/>
  <c r="A13" i="4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I60" i="1"/>
  <c r="C60" i="1"/>
  <c r="L59" i="1"/>
  <c r="I59" i="1"/>
  <c r="C59" i="1"/>
  <c r="L58" i="1"/>
  <c r="I58" i="1"/>
  <c r="C58" i="1"/>
  <c r="L57" i="1"/>
  <c r="I57" i="1"/>
  <c r="C57" i="1"/>
  <c r="L56" i="1"/>
  <c r="I56" i="1"/>
  <c r="C56" i="1"/>
  <c r="L55" i="1"/>
  <c r="I55" i="1"/>
  <c r="C55" i="1"/>
  <c r="L54" i="1"/>
  <c r="I54" i="1"/>
  <c r="C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F19" i="1"/>
  <c r="I19" i="1"/>
  <c r="L19" i="1"/>
  <c r="N19" i="1"/>
  <c r="C19" i="1"/>
  <c r="I20" i="1"/>
  <c r="L20" i="1"/>
  <c r="N20" i="1"/>
  <c r="C20" i="1"/>
  <c r="I21" i="1"/>
  <c r="L21" i="1"/>
  <c r="N21" i="1"/>
  <c r="C21" i="1"/>
  <c r="I22" i="1"/>
  <c r="L22" i="1"/>
  <c r="N22" i="1"/>
  <c r="C22" i="1"/>
  <c r="I23" i="1"/>
  <c r="L23" i="1"/>
  <c r="N23" i="1"/>
  <c r="C23" i="1"/>
  <c r="I24" i="1"/>
  <c r="L24" i="1"/>
  <c r="N24" i="1"/>
  <c r="C24" i="1"/>
  <c r="I25" i="1"/>
  <c r="L25" i="1"/>
  <c r="N25" i="1"/>
  <c r="C25" i="1"/>
  <c r="I26" i="1"/>
  <c r="L26" i="1"/>
  <c r="N26" i="1"/>
  <c r="C26" i="1"/>
  <c r="I27" i="1"/>
  <c r="L27" i="1"/>
  <c r="N27" i="1"/>
  <c r="C27" i="1"/>
  <c r="I28" i="1"/>
  <c r="L28" i="1"/>
  <c r="N28" i="1"/>
  <c r="C28" i="1"/>
  <c r="N29" i="1"/>
  <c r="C29" i="1"/>
  <c r="F18" i="1"/>
  <c r="I18" i="1"/>
  <c r="L18" i="1"/>
  <c r="N18" i="1"/>
  <c r="C18" i="1"/>
  <c r="C50" i="1"/>
  <c r="C51" i="1"/>
  <c r="C36" i="1"/>
  <c r="C35" i="1"/>
  <c r="I5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comments1.xml><?xml version="1.0" encoding="utf-8"?>
<comments xmlns="http://schemas.openxmlformats.org/spreadsheetml/2006/main">
  <authors>
    <author>作者</author>
  </authors>
  <commentList>
    <comment ref="E3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<sst xmlns="http://schemas.openxmlformats.org/spreadsheetml/2006/main" count="157" uniqueCount="138">
  <si>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</si>
  <si>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</si>
  <si>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</si>
  <si>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</si>
  <si>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</si>
  <si>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</si>
  <si>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</si>
  <si>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</si>
  <si>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</si>
  <si>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</si>
  <si>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</si>
  <si>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</si>
  <si>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</si>
  <si>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</si>
  <si>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</si>
  <si>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</si>
  <si>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</si>
  <si>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</si>
  <si>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</si>
  <si>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</si>
  <si>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</si>
  <si>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</si>
  <si>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</si>
  <si>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</si>
  <si>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</si>
  <si>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</si>
  <si>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</si>
  <si>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</si>
  <si>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</si>
  <si>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</si>
  <si>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</si>
  <si>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</si>
  <si>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</si>
  <si>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</si>
  <si>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</si>
  <si>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</si>
  <si>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</si>
  <si>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</si>
  <si>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</si>
  <si>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</si>
  <si>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</si>
  <si>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</si>
  <si>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</si>
  <si>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</si>
  <si>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</si>
  <si>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</si>
  <si>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</si>
  <si>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</si>
  <si>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</si>
  <si>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</si>
  <si>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</si>
  <si>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</si>
  <si>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</si>
  <si>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</si>
  <si>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</si>
  <si>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</si>
  <si>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</si>
  <si>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</si>
  <si>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</si>
  <si>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</si>
  <si>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</si>
  <si>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</si>
  <si>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</si>
  <si>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</si>
  <si>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</si>
  <si>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</si>
  <si>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</si>
  <si>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</si>
  <si>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</si>
  <si>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</si>
  <si>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</si>
  <si>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</si>
  <si>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</si>
  <si>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</si>
  <si>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</si>
  <si>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</si>
  <si>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</si>
  <si>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</si>
  <si>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</si>
  <si>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</si>
  <si>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</si>
  <si>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</si>
  <si>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</si>
  <si>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</si>
  <si>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</si>
  <si>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</si>
  <si>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</si>
  <si>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</si>
  <si>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</si>
  <si>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</si>
  <si>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</si>
  <si>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</si>
  <si>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</si>
  <si>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</si>
  <si>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</si>
  <si>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</si>
  <si>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</si>
  <si>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</si>
  <si>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</si>
  <si>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</si>
  <si>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</si>
  <si>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</si>
  <si>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</si>
  <si>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</si>
  <si>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</si>
  <si>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</si>
  <si>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</si>
  <si>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</si>
  <si>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</si>
  <si>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现利比为130.93%，占比健康，现金流比净利润大，分析主要原因，近9年累积净利润51亿，累积经营活动现金流净额只有67亿，差值16亿
近9年的差值主要为：折旧9亿+无形资产摊销+1.79亿+长期待摊销1.24亿+固定资产报废损失0.86+资产减值0.47+财务费用1.04亿+应付增加了9.48亿-应收增加了4.3亿-投资损失4.2亿=15.38亿约等于16亿
可以看到，差值的主要原因是：
1. 折旧9亿，利润减少，但现金流未流出，重资产公司，符合宋城特点。
2. 无形资产摊销+长期摊销3.03亿
3. 应付-应收增加4.18亿
4. 投资损失了4.2亿
总结：当前财报暂时未看出大问题，典型的第三方外包项目型公司</t>
    <rPh sb="3" eb="4">
      <t>wei</t>
    </rPh>
    <rPh sb="12" eb="13">
      <t>zhan'bi</t>
    </rPh>
    <rPh sb="14" eb="15">
      <t>jian'kang</t>
    </rPh>
    <rPh sb="17" eb="18">
      <t>xian'jin'liu</t>
    </rPh>
    <rPh sb="20" eb="21">
      <t>bi</t>
    </rPh>
    <rPh sb="21" eb="22">
      <t>jing'li'run</t>
    </rPh>
    <rPh sb="24" eb="25">
      <t>da</t>
    </rPh>
    <rPh sb="26" eb="27">
      <t>fen'xi</t>
    </rPh>
    <rPh sb="28" eb="29">
      <t>zhu'yao</t>
    </rPh>
    <rPh sb="30" eb="31">
      <t>yuan'y</t>
    </rPh>
    <rPh sb="33" eb="34">
      <t>jin</t>
    </rPh>
    <rPh sb="35" eb="36">
      <t>nian</t>
    </rPh>
    <rPh sb="36" eb="37">
      <t>lei'ji</t>
    </rPh>
    <rPh sb="38" eb="39">
      <t>jing'li'run</t>
    </rPh>
    <rPh sb="43" eb="44">
      <t>yi</t>
    </rPh>
    <rPh sb="45" eb="46">
      <t>lei'ji</t>
    </rPh>
    <rPh sb="47" eb="48">
      <t>jing'ying</t>
    </rPh>
    <rPh sb="49" eb="50">
      <t>huo'dong</t>
    </rPh>
    <rPh sb="51" eb="52">
      <t>xian'jin'liu</t>
    </rPh>
    <rPh sb="54" eb="55">
      <t>jing'e</t>
    </rPh>
    <rPh sb="56" eb="57">
      <t>zhi'you</t>
    </rPh>
    <rPh sb="60" eb="61">
      <t>yi</t>
    </rPh>
    <rPh sb="62" eb="63">
      <t>cha'zhi</t>
    </rPh>
    <rPh sb="66" eb="67">
      <t>yi</t>
    </rPh>
    <rPh sb="96" eb="97">
      <t>chang'qi</t>
    </rPh>
    <rPh sb="98" eb="99">
      <t>dai</t>
    </rPh>
    <rPh sb="99" eb="100">
      <t>tan'xiao</t>
    </rPh>
    <rPh sb="105" eb="106">
      <t>yi</t>
    </rPh>
    <rPh sb="107" eb="108">
      <t>gu'ding</t>
    </rPh>
    <rPh sb="109" eb="110">
      <t>zi'chan</t>
    </rPh>
    <rPh sb="111" eb="112">
      <t>bao'fei</t>
    </rPh>
    <rPh sb="113" eb="114">
      <t>sun'shi</t>
    </rPh>
    <rPh sb="120" eb="121">
      <t>zi'chan</t>
    </rPh>
    <rPh sb="122" eb="123">
      <t>jian'zhi</t>
    </rPh>
    <rPh sb="160" eb="161">
      <t>tou'zi</t>
    </rPh>
    <rPh sb="162" eb="163">
      <t>sun'shi</t>
    </rPh>
    <rPh sb="167" eb="168">
      <t>yi</t>
    </rPh>
    <rPh sb="200" eb="201">
      <t>zhe'jiu</t>
    </rPh>
    <rPh sb="203" eb="204">
      <t>yi</t>
    </rPh>
    <rPh sb="205" eb="206">
      <t>li'run</t>
    </rPh>
    <rPh sb="207" eb="208">
      <t>jian'shao</t>
    </rPh>
    <rPh sb="210" eb="211">
      <t>dan</t>
    </rPh>
    <rPh sb="211" eb="212">
      <t>xian'jin'liu</t>
    </rPh>
    <rPh sb="214" eb="215">
      <t>wei</t>
    </rPh>
    <rPh sb="215" eb="216">
      <t>liu'chu</t>
    </rPh>
    <rPh sb="218" eb="219">
      <t>zhong'zi'chan</t>
    </rPh>
    <rPh sb="221" eb="222">
      <t>gong'si</t>
    </rPh>
    <rPh sb="224" eb="225">
      <t>fu'he</t>
    </rPh>
    <rPh sb="226" eb="227">
      <t>song'cheng</t>
    </rPh>
    <rPh sb="228" eb="229">
      <t>te'dian</t>
    </rPh>
    <rPh sb="235" eb="236">
      <t>wu'xing</t>
    </rPh>
    <rPh sb="237" eb="238">
      <t>zi'chan</t>
    </rPh>
    <rPh sb="239" eb="240">
      <t>tan'xiao</t>
    </rPh>
    <rPh sb="242" eb="243">
      <t>chang'qi</t>
    </rPh>
    <rPh sb="244" eb="245">
      <t>tan'xiao</t>
    </rPh>
    <rPh sb="250" eb="251">
      <t>yi</t>
    </rPh>
    <rPh sb="255" eb="256">
      <t>ying'fu</t>
    </rPh>
    <rPh sb="258" eb="259">
      <t>ying'shou</t>
    </rPh>
    <rPh sb="260" eb="261">
      <t>zeng'jia</t>
    </rPh>
    <rPh sb="266" eb="267">
      <t>yi</t>
    </rPh>
    <rPh sb="271" eb="272">
      <t>tou'zi</t>
    </rPh>
    <rPh sb="273" eb="274">
      <t>sun'shi</t>
    </rPh>
    <rPh sb="275" eb="276">
      <t>l</t>
    </rPh>
    <rPh sb="279" eb="280">
      <t>yi</t>
    </rPh>
    <rPh sb="283" eb="284">
      <t>zong'jie</t>
    </rPh>
    <rPh sb="286" eb="287">
      <t>dang'qian</t>
    </rPh>
    <rPh sb="288" eb="289">
      <t>cai'bao</t>
    </rPh>
    <rPh sb="290" eb="291">
      <t>zan'shi</t>
    </rPh>
    <rPh sb="292" eb="293">
      <t>wei</t>
    </rPh>
    <rPh sb="293" eb="294">
      <t>kan'chu</t>
    </rPh>
    <rPh sb="295" eb="296">
      <t>da'wen'ti</t>
    </rPh>
    <rPh sb="299" eb="300">
      <t>dian'xing</t>
    </rPh>
    <rPh sb="301" eb="302">
      <t>de</t>
    </rPh>
    <rPh sb="302" eb="303">
      <t>di'san'fang</t>
    </rPh>
    <rPh sb="305" eb="306">
      <t>wai'bao</t>
    </rPh>
    <rPh sb="307" eb="308">
      <t>xiang'mu'xing</t>
    </rPh>
    <rPh sb="310" eb="311">
      <t>gong'si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</si>
  <si>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</si>
  <si>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</si>
  <si>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</si>
  <si>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</si>
  <si>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</si>
  <si>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</si>
  <si>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当前市值</t>
    <rPh sb="0" eb="1">
      <t>dang'qian</t>
    </rPh>
    <rPh sb="2" eb="3">
      <t>shi'zhi</t>
    </rPh>
    <phoneticPr fontId="2" type="noConversion"/>
  </si>
  <si>
    <t>总股数</t>
    <rPh sb="0" eb="1">
      <t>zong'gu'shu</t>
    </rPh>
    <phoneticPr fontId="2" type="noConversion"/>
  </si>
  <si>
    <t>目标股价</t>
    <rPh sb="0" eb="1">
      <t>mu'biao</t>
    </rPh>
    <rPh sb="2" eb="3">
      <t>gu'jia</t>
    </rPh>
    <phoneticPr fontId="2" type="noConversion"/>
  </si>
  <si>
    <t>目标涨幅</t>
    <rPh sb="0" eb="1">
      <t>mu'biao</t>
    </rPh>
    <rPh sb="2" eb="3">
      <t>zhang'fu</t>
    </rPh>
    <phoneticPr fontId="2" type="noConversion"/>
  </si>
  <si>
    <t>平均增长</t>
    <rPh sb="0" eb="1">
      <t>ping'jun</t>
    </rPh>
    <rPh sb="2" eb="3">
      <t>zeng'zhang</t>
    </rPh>
    <phoneticPr fontId="2" type="noConversion"/>
  </si>
  <si>
    <t>近5年平均增长</t>
    <rPh sb="0" eb="1">
      <t>jin</t>
    </rPh>
    <rPh sb="2" eb="3">
      <t>nian</t>
    </rPh>
    <rPh sb="3" eb="4">
      <t>ping'jun</t>
    </rPh>
    <rPh sb="5" eb="6">
      <t>zeng'zhang</t>
    </rPh>
    <phoneticPr fontId="2" type="noConversion"/>
  </si>
  <si>
    <t>营业收入</t>
  </si>
  <si>
    <t>营业收入</t>
    <rPh sb="0" eb="1">
      <t>gu'dong</t>
    </rPh>
    <rPh sb="2" eb="3">
      <t>jing'li'run</t>
    </rPh>
    <phoneticPr fontId="2" type="noConversion"/>
  </si>
  <si>
    <t>年份</t>
    <phoneticPr fontId="2" type="noConversion"/>
  </si>
  <si>
    <t>roe</t>
    <phoneticPr fontId="2" type="noConversion"/>
  </si>
  <si>
    <t>杭州宋城</t>
    <rPh sb="0" eb="1">
      <t>gu'dong</t>
    </rPh>
    <rPh sb="2" eb="3">
      <t>jing'li'run</t>
    </rPh>
    <phoneticPr fontId="2" type="noConversion"/>
  </si>
  <si>
    <t>三亚宋城</t>
    <phoneticPr fontId="2" type="noConversion"/>
  </si>
  <si>
    <t>丽江宋城</t>
    <phoneticPr fontId="2" type="noConversion"/>
  </si>
  <si>
    <t>九寨沟宋城</t>
    <phoneticPr fontId="2" type="noConversion"/>
  </si>
  <si>
    <t>桂林宋城</t>
    <phoneticPr fontId="2" type="noConversion"/>
  </si>
  <si>
    <t>张家界宋城</t>
    <phoneticPr fontId="2" type="noConversion"/>
  </si>
  <si>
    <t>数字娱乐平台</t>
    <phoneticPr fontId="2" type="noConversion"/>
  </si>
  <si>
    <t>电子商务手续费</t>
    <phoneticPr fontId="2" type="noConversion"/>
  </si>
  <si>
    <t>设计策划费</t>
    <phoneticPr fontId="2" type="noConversion"/>
  </si>
  <si>
    <t>杭州宋城占比</t>
    <phoneticPr fontId="2" type="noConversion"/>
  </si>
  <si>
    <t>总营业收入</t>
    <phoneticPr fontId="2" type="noConversion"/>
  </si>
  <si>
    <t>其他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</si>
</sst>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0_ "/>
    <numFmt numFmtId="177" formatCode="#,##0.00;[Red]#,##0.00"/>
    <numFmt numFmtId="178" formatCode="#,##0.00_ ;[Red]\-#,##0.00\ "/>
    <numFmt numFmtId="179" formatCode="yyyy"/>
    <numFmt numFmtId="180" formatCode="#,##0.00_);[Red]\(#,##0.00\)"/>
  </numFmts>
  <fonts count="8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  <font>
      <sz val="11"/>
      <color rgb="FF000000"/>
      <name val="Courier New"/>
      <family val="3"/>
    </font>
    <font>
      <sz val="11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3" fontId="0" fillId="0" borderId="0" xfId="0" applyNumberFormat="1" applyFont="1"/>
    <xf numFmtId="179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8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现金流净利润比!$G$3</c:f>
              <c:strCache>
                <c:ptCount val="1"/>
                <c:pt idx="0">
                  <c:v>现利比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现金流净利润比!$A$4:$A$13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现金流净利润比!$G$4:$G$14</c:f>
              <c:numCache>
                <c:formatCode>0.00%</c:formatCode>
                <c:ptCount val="11"/>
                <c:pt idx="0">
                  <c:v>1.1513279045845566</c:v>
                </c:pt>
                <c:pt idx="1">
                  <c:v>1.2893692830096661</c:v>
                </c:pt>
                <c:pt idx="2">
                  <c:v>1.6497329688623965</c:v>
                </c:pt>
                <c:pt idx="3">
                  <c:v>1.1241559064395785</c:v>
                </c:pt>
                <c:pt idx="4">
                  <c:v>1.418123941490099</c:v>
                </c:pt>
                <c:pt idx="5">
                  <c:v>1.4476819945078114</c:v>
                </c:pt>
                <c:pt idx="6">
                  <c:v>1.3905423554329464</c:v>
                </c:pt>
                <c:pt idx="7">
                  <c:v>1.591413611657851</c:v>
                </c:pt>
                <c:pt idx="8">
                  <c:v>1.3273063399198148</c:v>
                </c:pt>
                <c:pt idx="9">
                  <c:v>1.5327726238970718</c:v>
                </c:pt>
                <c:pt idx="10">
                  <c:v>1.341159802994087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B-4E95-ABE5-70711C5E00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1370175"/>
        <c:axId val="678820655"/>
      </c:lineChart>
      <c:catAx>
        <c:axId val="561370175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820655"/>
        <c:crosses val="autoZero"/>
        <c:auto val="1"/>
        <c:lblAlgn val="ctr"/>
        <c:lblOffset val="100"/>
        <c:noMultiLvlLbl val="0"/>
      </c:catAx>
      <c:valAx>
        <c:axId val="678820655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7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营收分析!$B$1</c:f>
              <c:strCache>
                <c:ptCount val="1"/>
                <c:pt idx="0">
                  <c:v>营业收入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营收分析!$A$2:$A$11</c:f>
              <c:numCache>
                <c:formatCode>yyyy</c:formatCode>
                <c:ptCount val="10"/>
                <c:pt idx="0">
                  <c:v>40543</c:v>
                </c:pt>
                <c:pt idx="1">
                  <c:v>40908</c:v>
                </c:pt>
                <c:pt idx="2">
                  <c:v>41274</c:v>
                </c:pt>
                <c:pt idx="3">
                  <c:v>41639</c:v>
                </c:pt>
                <c:pt idx="4">
                  <c:v>42004</c:v>
                </c:pt>
                <c:pt idx="5">
                  <c:v>42369</c:v>
                </c:pt>
                <c:pt idx="6">
                  <c:v>42735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</c:numCache>
            </c:numRef>
          </c:cat>
          <c:val>
            <c:numRef>
              <c:f>营收分析!$B$2:$B$11</c:f>
              <c:numCache>
                <c:formatCode>#,##0.00_ ;[Red]\-#,##0.00\ </c:formatCode>
                <c:ptCount val="10"/>
                <c:pt idx="0">
                  <c:v>444756700</c:v>
                </c:pt>
                <c:pt idx="1">
                  <c:v>504532200</c:v>
                </c:pt>
                <c:pt idx="2">
                  <c:v>586157100</c:v>
                </c:pt>
                <c:pt idx="3">
                  <c:v>678715900</c:v>
                </c:pt>
                <c:pt idx="4">
                  <c:v>935119100</c:v>
                </c:pt>
                <c:pt idx="5">
                  <c:v>1694514000</c:v>
                </c:pt>
                <c:pt idx="6">
                  <c:v>2644229000</c:v>
                </c:pt>
                <c:pt idx="7" formatCode="#,##0.00_ ">
                  <c:v>3023831000</c:v>
                </c:pt>
                <c:pt idx="8" formatCode="#,##0.00_ ">
                  <c:v>3211193000</c:v>
                </c:pt>
                <c:pt idx="9" formatCode="#,##0.00_ ">
                  <c:v>2611753000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E-4BAF-98EB-CBE3A9EF07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0421455"/>
        <c:axId val="560436015"/>
      </c:lineChart>
      <c:dateAx>
        <c:axId val="56042145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36015"/>
        <c:crosses val="autoZero"/>
        <c:auto val="1"/>
        <c:lblOffset val="100"/>
        <c:baseTimeUnit val="years"/>
      </c:dateAx>
      <c:valAx>
        <c:axId val="5604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2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roe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Sheet3!$A$2:$A$11</c:f>
              <c:numCache>
                <c:formatCode>yyyy</c:formatCode>
                <c:ptCount val="10"/>
                <c:pt idx="0">
                  <c:v>40543</c:v>
                </c:pt>
                <c:pt idx="1">
                  <c:v>40908</c:v>
                </c:pt>
                <c:pt idx="2">
                  <c:v>41274</c:v>
                </c:pt>
                <c:pt idx="3">
                  <c:v>41639</c:v>
                </c:pt>
                <c:pt idx="4">
                  <c:v>42004</c:v>
                </c:pt>
                <c:pt idx="5">
                  <c:v>42369</c:v>
                </c:pt>
                <c:pt idx="6">
                  <c:v>42735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</c:numCache>
            </c:numRef>
          </c:xVal>
          <c:yVal>
            <c:numRef>
              <c:f>Sheet3!$B$2:$B$11</c:f>
              <c:numCache>
                <c:formatCode>0.00%</c:formatCode>
                <c:ptCount val="10"/>
                <c:pt idx="0">
                  <c:v>0.11672299999999999</c:v>
                </c:pt>
                <c:pt idx="1">
                  <c:v>8.4862999999999994E-2</c:v>
                </c:pt>
                <c:pt idx="2">
                  <c:v>9.1761999999999996E-2</c:v>
                </c:pt>
                <c:pt idx="3">
                  <c:v>0.102404</c:v>
                </c:pt>
                <c:pt idx="4">
                  <c:v>0.110029</c:v>
                </c:pt>
                <c:pt idx="5">
                  <c:v>0.13964099999999999</c:v>
                </c:pt>
                <c:pt idx="6">
                  <c:v>0.15029999999999999</c:v>
                </c:pt>
                <c:pt idx="7">
                  <c:v>0.15546399999999999</c:v>
                </c:pt>
                <c:pt idx="8">
                  <c:v>0.16292000000000001</c:v>
                </c:pt>
                <c:pt idx="9">
                  <c:v>0.14816499999999999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6-476D-AE54-FAD02FA517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0417295"/>
        <c:axId val="560429359"/>
      </c:scatterChart>
      <c:valAx>
        <c:axId val="56041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29359"/>
        <c:crosses val="autoZero"/>
        <c:crossBetween val="midCat"/>
      </c:valAx>
      <c:valAx>
        <c:axId val="5604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1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16</xdr:row>
      <xdr:rowOff>1609725</xdr:rowOff>
    </xdr:from>
    <xdr:to>
      <xdr:col>8</xdr:col>
      <xdr:colOff>795337</xdr:colOff>
      <xdr:row>29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0</xdr:row>
      <xdr:rowOff>19049</xdr:rowOff>
    </xdr:from>
    <xdr:to>
      <xdr:col>25</xdr:col>
      <xdr:colOff>400050</xdr:colOff>
      <xdr:row>24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119061</xdr:colOff>
      <xdr:row>5</xdr:row>
      <xdr:rowOff>28574</xdr:rowOff>
    </xdr:from>
    <xdr:to>
      <xdr:col>12</xdr:col>
      <xdr:colOff>38100</xdr:colOff>
      <xdr:row>20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defaultColWidth="8.875" defaultRowHeight="14.25"/>
  <cols>
    <col min="2" max="2" width="20.375" customWidth="1"/>
    <col min="3" max="3" width="19.875" customWidth="1"/>
    <col min="4" max="5" width="17.375" customWidth="1"/>
    <col min="6" max="6" width="16.125" bestFit="1" customWidth="1"/>
    <col min="7" max="7" width="16.125" customWidth="1"/>
    <col min="8" max="8" width="16.125" bestFit="1" customWidth="1"/>
    <col min="9" max="9" width="14.625" bestFit="1" customWidth="1"/>
    <col min="10" max="10" width="14.625" customWidth="1"/>
    <col min="11" max="11" width="18.375" customWidth="1"/>
    <col min="12" max="12" width="22.125" customWidth="1"/>
    <col min="13" max="13" width="19.875" customWidth="1"/>
    <col min="14" max="14" width="17" customWidth="1"/>
    <col min="15" max="15" width="16.875" customWidth="1"/>
  </cols>
  <sheetData>
    <row r="3" spans="1:23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>
        <v>2016</v>
      </c>
    </row>
    <row r="17" spans="1:16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>
      <c r="C30" s="2"/>
    </row>
    <row r="31" spans="1:16">
      <c r="C31" s="2"/>
    </row>
    <row r="32" spans="1:16">
      <c r="C32" s="2"/>
    </row>
    <row r="33" spans="1:14">
      <c r="C33" s="2"/>
    </row>
    <row r="34" spans="1:14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>
      <c r="C47" s="2"/>
    </row>
    <row r="48" spans="1:14">
      <c r="C48" s="2"/>
    </row>
    <row r="49" spans="1:14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>
      <c r="C61" s="2">
        <f t="shared" si="8"/>
        <v>0</v>
      </c>
      <c r="F61" s="2"/>
      <c r="G61" s="2"/>
      <c r="N61" s="2"/>
    </row>
    <row r="65" spans="1:16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>
      <c r="C77" s="1">
        <f t="shared" si="14"/>
        <v>0</v>
      </c>
      <c r="F77" s="2"/>
      <c r="G77" s="2"/>
      <c r="M77" s="1"/>
      <c r="P77" s="2"/>
    </row>
    <row r="80" spans="1:16">
      <c r="A80" t="s">
        <v>53</v>
      </c>
    </row>
    <row r="81" spans="1:16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>
      <c r="F93" s="5"/>
      <c r="G93" s="1"/>
      <c r="I93" s="5"/>
      <c r="J93" s="5"/>
    </row>
    <row r="94" spans="1:16">
      <c r="I94" s="5"/>
      <c r="J94" s="5"/>
    </row>
    <row r="97" spans="1:13">
      <c r="A97" t="s">
        <v>54</v>
      </c>
    </row>
    <row r="98" spans="1:13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>H109/B109</f>
        <v>#DIV/0!</v>
      </c>
      <c r="J109" s="6"/>
      <c r="K109" s="1"/>
      <c r="L109" s="1"/>
      <c r="M109" s="1"/>
    </row>
    <row r="110" spans="1:13">
      <c r="F110" s="5"/>
      <c r="G110" s="5"/>
      <c r="I110" s="5"/>
      <c r="J110" s="5"/>
    </row>
    <row r="111" spans="1:13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defaultColWidth="11" defaultRowHeight="14.25"/>
  <cols>
    <col min="3" max="3" width="18.875" customWidth="1"/>
  </cols>
  <sheetData>
    <row r="3" spans="1:14">
      <c r="A3" t="s">
        <v>66</v>
      </c>
      <c r="B3" t="s">
        <v>67</v>
      </c>
      <c r="C3" t="s">
        <v>68</v>
      </c>
    </row>
    <row r="4" spans="1:14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29" sqref="F29"/>
    </sheetView>
  </sheetViews>
  <sheetFormatPr defaultColWidth="11" defaultRowHeight="14.25"/>
  <cols>
    <col min="1" max="1" width="17.875" customWidth="1"/>
    <col min="2" max="2" width="15.125" bestFit="1" customWidth="1"/>
    <col min="3" max="4" width="14.5" customWidth="1"/>
    <col min="5" max="5" width="15.875" customWidth="1"/>
    <col min="6" max="6" width="15" customWidth="1"/>
    <col min="7" max="7" width="17.5" customWidth="1"/>
    <col min="8" max="8" width="15.875" customWidth="1"/>
    <col min="9" max="9" width="16.125" customWidth="1"/>
    <col min="10" max="10" width="16.875" customWidth="1"/>
    <col min="11" max="11" width="16.375" customWidth="1"/>
  </cols>
  <sheetData>
    <row r="1" spans="1:12" ht="15" customHeight="1"/>
    <row r="2" spans="1:12" ht="20.25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2" ht="20.25">
      <c r="A3" s="10" t="s">
        <v>110</v>
      </c>
      <c r="B3" s="10">
        <v>17</v>
      </c>
      <c r="C3" s="9">
        <v>115049206.02</v>
      </c>
      <c r="D3" s="9">
        <v>183918298.69999999</v>
      </c>
      <c r="E3" s="9">
        <v>248553190.58000001</v>
      </c>
      <c r="F3" s="7">
        <v>308762015.88</v>
      </c>
      <c r="G3" s="9">
        <v>364722774.31999999</v>
      </c>
      <c r="H3" s="9">
        <v>645445084.58000004</v>
      </c>
      <c r="I3" s="9">
        <v>916466911.99000001</v>
      </c>
      <c r="J3" s="9">
        <v>1069274181.14</v>
      </c>
      <c r="K3" s="9">
        <v>1277557771.6300001</v>
      </c>
    </row>
    <row r="4" spans="1:12">
      <c r="A4" t="s">
        <v>69</v>
      </c>
      <c r="C4" s="2">
        <f>(C3-B3)/B3</f>
        <v>6767599.3541176468</v>
      </c>
      <c r="D4" s="2">
        <f t="shared" ref="D4:K4" si="0">(D3-C3)/C3</f>
        <v>0.59860554507458208</v>
      </c>
      <c r="E4" s="2">
        <f t="shared" si="0"/>
        <v>0.35143263251597284</v>
      </c>
      <c r="F4" s="2">
        <f t="shared" si="0"/>
        <v>0.24223718536665095</v>
      </c>
      <c r="G4" s="2">
        <f t="shared" si="0"/>
        <v>0.18124236648898251</v>
      </c>
      <c r="H4" s="2">
        <f t="shared" si="0"/>
        <v>0.76968681427527275</v>
      </c>
      <c r="I4" s="2">
        <f t="shared" si="0"/>
        <v>0.41989912679613567</v>
      </c>
      <c r="J4" s="2">
        <f t="shared" si="0"/>
        <v>0.16673517303335805</v>
      </c>
      <c r="K4" s="2">
        <f t="shared" si="0"/>
        <v>0.19478969394729037</v>
      </c>
    </row>
    <row r="5" spans="1:12">
      <c r="A5" t="s">
        <v>120</v>
      </c>
      <c r="B5" s="2">
        <f>AVERAGE(D4:K4)</f>
        <v>0.36557856718728066</v>
      </c>
    </row>
    <row r="6" spans="1:12">
      <c r="A6" t="s">
        <v>121</v>
      </c>
      <c r="B6" s="2">
        <f>AVERAGE(G4:K4)</f>
        <v>0.34647063490820784</v>
      </c>
    </row>
    <row r="8" spans="1:12">
      <c r="A8" s="16" t="s">
        <v>111</v>
      </c>
      <c r="B8" s="16" t="s">
        <v>70</v>
      </c>
      <c r="C8" s="16" t="s">
        <v>71</v>
      </c>
      <c r="D8" s="16" t="s">
        <v>72</v>
      </c>
      <c r="E8" s="16" t="s">
        <v>106</v>
      </c>
    </row>
    <row r="9" spans="1:12">
      <c r="A9" s="17">
        <v>1277557771.6300001</v>
      </c>
      <c r="B9" s="16">
        <v>0.05</v>
      </c>
      <c r="C9" s="16">
        <v>21</v>
      </c>
      <c r="D9" s="16">
        <v>0.1</v>
      </c>
      <c r="E9" s="16">
        <v>0.7</v>
      </c>
    </row>
    <row r="10" spans="1:12">
      <c r="A10" s="1"/>
    </row>
    <row r="11" spans="1:12">
      <c r="A11" s="16"/>
      <c r="B11" s="18">
        <v>0.18</v>
      </c>
      <c r="C11" s="18">
        <v>0.18</v>
      </c>
      <c r="D11" s="18">
        <v>0.18</v>
      </c>
      <c r="E11" s="18">
        <v>0.18</v>
      </c>
      <c r="F11" s="18">
        <v>0.18</v>
      </c>
      <c r="G11" s="16"/>
      <c r="H11" s="16"/>
    </row>
    <row r="12" spans="1:12">
      <c r="A12" s="16" t="s">
        <v>66</v>
      </c>
      <c r="B12" s="16">
        <v>2019</v>
      </c>
      <c r="C12" s="16">
        <v>2020</v>
      </c>
      <c r="D12" s="16">
        <v>2021</v>
      </c>
      <c r="E12" s="16">
        <v>2022</v>
      </c>
      <c r="F12" s="16">
        <v>2023</v>
      </c>
      <c r="G12" s="16"/>
      <c r="H12" s="16" t="s">
        <v>114</v>
      </c>
      <c r="I12" t="s">
        <v>116</v>
      </c>
      <c r="J12" s="16" t="s">
        <v>117</v>
      </c>
      <c r="K12" s="16" t="s">
        <v>118</v>
      </c>
      <c r="L12" s="16" t="s">
        <v>119</v>
      </c>
    </row>
    <row r="13" spans="1:12">
      <c r="A13" s="16" t="s">
        <v>112</v>
      </c>
      <c r="B13" s="19">
        <f>A9*(1+D9)</f>
        <v>1405313548.7930002</v>
      </c>
      <c r="C13" s="19">
        <f>B13*(1+D9)</f>
        <v>1545844903.6723003</v>
      </c>
      <c r="D13" s="19">
        <f>C13*(1+D9)</f>
        <v>1700429394.0395305</v>
      </c>
      <c r="E13" s="19">
        <f>D13*(1+D9)</f>
        <v>1870472333.4434838</v>
      </c>
      <c r="F13" s="19">
        <f>E13*(1+D9)</f>
        <v>2057519566.7878323</v>
      </c>
      <c r="G13" s="19">
        <f>F13*C9</f>
        <v>43207910902.544479</v>
      </c>
      <c r="H13" s="16"/>
    </row>
    <row r="14" spans="1:12">
      <c r="A14" s="16" t="s">
        <v>113</v>
      </c>
      <c r="B14" s="17">
        <f>B13/(1+B9)</f>
        <v>1338393855.9933336</v>
      </c>
      <c r="C14" s="17">
        <f>C13/(1+B9)^2</f>
        <v>1402126896.754921</v>
      </c>
      <c r="D14" s="17">
        <f>D13/(1+B9)^3</f>
        <v>1468894844.2194409</v>
      </c>
      <c r="E14" s="17">
        <f>E13/(1+B9)^4</f>
        <v>1538842217.7537005</v>
      </c>
      <c r="F14" s="17">
        <f>F13/(1+B9)^5</f>
        <v>1612120418.5991147</v>
      </c>
      <c r="G14" s="17">
        <f>G13/(1+B9)^4</f>
        <v>35547255230.110481</v>
      </c>
      <c r="H14" s="17">
        <f>SUM(B14:G14)</f>
        <v>42907633463.430992</v>
      </c>
      <c r="I14" s="1">
        <v>35800000000</v>
      </c>
      <c r="J14" s="20">
        <v>1452607800</v>
      </c>
      <c r="K14">
        <f>H14/J14</f>
        <v>29.538347146030052</v>
      </c>
      <c r="L14" s="2">
        <f>H14/I14</f>
        <v>1.1985372475818712</v>
      </c>
    </row>
    <row r="15" spans="1:12">
      <c r="A15" s="16"/>
      <c r="B15" s="17"/>
      <c r="C15" s="17"/>
      <c r="D15" s="17"/>
      <c r="E15" s="17"/>
      <c r="F15" s="17"/>
      <c r="G15" s="17" t="s">
        <v>115</v>
      </c>
      <c r="H15" s="17">
        <f>H14*E9</f>
        <v>30035343424.401691</v>
      </c>
      <c r="I1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>
      <selection activeCell="A3" sqref="A3:B13"/>
    </sheetView>
  </sheetViews>
  <sheetFormatPr defaultColWidth="11" defaultRowHeight="14.25"/>
  <cols>
    <col min="2" max="2" width="16.875" customWidth="1"/>
    <col min="3" max="4" width="16.125" bestFit="1" customWidth="1"/>
    <col min="5" max="5" width="14.875" customWidth="1"/>
    <col min="8" max="8" width="15.5" customWidth="1"/>
    <col min="9" max="9" width="16.125" customWidth="1"/>
    <col min="10" max="10" width="14.125" customWidth="1"/>
    <col min="11" max="11" width="16.625" customWidth="1"/>
    <col min="12" max="12" width="15" customWidth="1"/>
    <col min="13" max="13" width="14.5" customWidth="1"/>
    <col min="14" max="20" width="17.875" customWidth="1"/>
    <col min="21" max="21" width="15.625" customWidth="1"/>
    <col min="22" max="22" width="16.125" customWidth="1"/>
    <col min="23" max="25" width="15.125" bestFit="1" customWidth="1"/>
    <col min="26" max="26" width="13.625" bestFit="1" customWidth="1"/>
    <col min="27" max="27" width="14.625" customWidth="1"/>
    <col min="28" max="28" width="18.125" customWidth="1"/>
  </cols>
  <sheetData>
    <row r="2" spans="1:28">
      <c r="J2" t="s">
        <v>82</v>
      </c>
      <c r="L2" t="s">
        <v>82</v>
      </c>
      <c r="Z2" t="s">
        <v>82</v>
      </c>
      <c r="AB2" t="s">
        <v>82</v>
      </c>
    </row>
    <row r="3" spans="1:28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84</v>
      </c>
      <c r="N3" t="s">
        <v>86</v>
      </c>
      <c r="O3" t="s">
        <v>87</v>
      </c>
      <c r="P3" t="s">
        <v>94</v>
      </c>
      <c r="Q3" t="s">
        <v>108</v>
      </c>
      <c r="R3" t="s">
        <v>88</v>
      </c>
      <c r="S3" t="s">
        <v>89</v>
      </c>
      <c r="T3" t="s">
        <v>90</v>
      </c>
      <c r="U3" t="s">
        <v>91</v>
      </c>
      <c r="V3" t="s">
        <v>92</v>
      </c>
      <c r="W3" t="s">
        <v>93</v>
      </c>
    </row>
    <row r="4" spans="1:28">
      <c r="A4">
        <v>2019</v>
      </c>
      <c r="B4" s="4">
        <v>1339790994.9400001</v>
      </c>
      <c r="C4" s="4">
        <v>1222100617.3099999</v>
      </c>
      <c r="D4" s="4">
        <v>1364903511.2</v>
      </c>
      <c r="E4" s="4">
        <v>1571451499.51</v>
      </c>
      <c r="F4" s="2">
        <f t="shared" ref="F4:F14" si="0">C4/D4</f>
        <v>0.89537509961825046</v>
      </c>
      <c r="G4" s="2">
        <f t="shared" ref="G4:G14" si="1">E4/D4</f>
        <v>1.1513279045845566</v>
      </c>
    </row>
    <row r="5" spans="1:28">
      <c r="A5">
        <v>2018</v>
      </c>
      <c r="B5" s="9">
        <v>1287186547.4100001</v>
      </c>
      <c r="C5" s="9">
        <v>1279733108.3099999</v>
      </c>
      <c r="D5" s="9">
        <v>1277557771.6300001</v>
      </c>
      <c r="E5" s="9">
        <v>1647243748.01</v>
      </c>
      <c r="F5" s="2">
        <f t="shared" si="0"/>
        <v>1.0017027305757173</v>
      </c>
      <c r="G5" s="2">
        <f t="shared" si="1"/>
        <v>1.2893692830096661</v>
      </c>
      <c r="H5" s="9">
        <f>D5+J5+L5+M5+N5+O5+R5+S5+T5+U5+V5+W5+P5+Q5</f>
        <v>1647243748.0100002</v>
      </c>
      <c r="I5" s="9">
        <f>H5-E5</f>
        <v>0</v>
      </c>
      <c r="J5" s="9">
        <v>31899429.829999998</v>
      </c>
      <c r="K5" s="2">
        <f>J5/D5</f>
        <v>2.4969070313979155E-2</v>
      </c>
      <c r="L5" s="9">
        <v>171784373.06</v>
      </c>
      <c r="M5" s="9">
        <v>42672958.899999999</v>
      </c>
      <c r="N5" s="9">
        <v>41836675.880000003</v>
      </c>
      <c r="O5" s="9">
        <v>-19135248.57</v>
      </c>
      <c r="P5" s="9">
        <v>49567561.090000004</v>
      </c>
      <c r="Q5" s="9">
        <v>-9660319.4000000004</v>
      </c>
      <c r="R5" s="9">
        <v>2303517.56</v>
      </c>
      <c r="S5" s="11">
        <v>-63280814.82</v>
      </c>
      <c r="T5" s="11">
        <v>-6016880.2000000002</v>
      </c>
      <c r="U5" s="9">
        <v>901140.65</v>
      </c>
      <c r="V5" s="9">
        <v>-175371877.58000001</v>
      </c>
      <c r="W5" s="9">
        <v>302185459.98000002</v>
      </c>
      <c r="X5" s="9"/>
      <c r="Y5" s="9"/>
      <c r="Z5" s="9"/>
      <c r="AA5" s="9"/>
      <c r="AB5" s="9"/>
    </row>
    <row r="6" spans="1:28">
      <c r="A6">
        <f>A5-1</f>
        <v>2017</v>
      </c>
      <c r="B6" s="9">
        <v>1067612066.9299999</v>
      </c>
      <c r="C6" s="9">
        <v>1106871681.74</v>
      </c>
      <c r="D6" s="9">
        <v>1069274181.14</v>
      </c>
      <c r="E6" s="9">
        <v>1764016869.3800001</v>
      </c>
      <c r="F6" s="2">
        <f t="shared" si="0"/>
        <v>1.0351617024549453</v>
      </c>
      <c r="G6" s="2">
        <f t="shared" si="1"/>
        <v>1.6497329688623965</v>
      </c>
      <c r="H6" s="9">
        <f t="shared" ref="H6:H14" si="2">D6+J6+L6+M6+N6+O6+R6+S6+T6+U6+V6+W6+P6+Q6</f>
        <v>1764016869.3800001</v>
      </c>
      <c r="I6" s="9">
        <f t="shared" ref="I6:I14" si="3">H6-E6</f>
        <v>0</v>
      </c>
      <c r="J6" s="9">
        <v>8958754.7699999996</v>
      </c>
      <c r="K6" s="2">
        <f t="shared" ref="K6:K14" si="4">J6/D6</f>
        <v>8.3783513415134365E-3</v>
      </c>
      <c r="L6" s="9">
        <v>159756982.52000001</v>
      </c>
      <c r="M6" s="9">
        <v>34207691.100000001</v>
      </c>
      <c r="N6" s="9">
        <v>27397333.73</v>
      </c>
      <c r="O6" s="9">
        <v>-54373.41</v>
      </c>
      <c r="P6" s="9">
        <v>37008189.719999999</v>
      </c>
      <c r="Q6" s="9">
        <v>-1110054.4099999999</v>
      </c>
      <c r="R6" s="9">
        <v>16605129.130000001</v>
      </c>
      <c r="S6" s="9">
        <v>-17702729.920000002</v>
      </c>
      <c r="T6" s="9">
        <v>-1416356.61</v>
      </c>
      <c r="U6" s="9">
        <v>169043.79</v>
      </c>
      <c r="V6" s="9">
        <v>-42541297.299999997</v>
      </c>
      <c r="W6" s="9">
        <v>473464375.13</v>
      </c>
      <c r="X6" s="9"/>
      <c r="Y6" s="9"/>
      <c r="Z6" s="9"/>
      <c r="AA6" s="9"/>
      <c r="AB6" s="9"/>
    </row>
    <row r="7" spans="1:28">
      <c r="A7">
        <f t="shared" ref="A7:A13" si="5">A6-1</f>
        <v>2016</v>
      </c>
      <c r="B7" s="9">
        <v>902305171.90999997</v>
      </c>
      <c r="C7" s="9">
        <v>887139909.34000003</v>
      </c>
      <c r="D7" s="9">
        <v>916466911.99000001</v>
      </c>
      <c r="E7" s="9">
        <v>1030251692.17</v>
      </c>
      <c r="F7" s="2">
        <f t="shared" si="0"/>
        <v>0.96799993293121755</v>
      </c>
      <c r="G7" s="2">
        <f t="shared" si="1"/>
        <v>1.1241559064395785</v>
      </c>
      <c r="H7" s="9">
        <f t="shared" si="2"/>
        <v>1030251692.1700002</v>
      </c>
      <c r="I7" s="9">
        <f t="shared" si="3"/>
        <v>0</v>
      </c>
      <c r="J7" s="9">
        <v>3011927.49</v>
      </c>
      <c r="K7" s="2">
        <f t="shared" si="4"/>
        <v>3.2864552452417013E-3</v>
      </c>
      <c r="L7" s="9">
        <v>152916611.09999999</v>
      </c>
      <c r="M7" s="9">
        <v>27503713.09</v>
      </c>
      <c r="N7" s="9">
        <v>22930199.760000002</v>
      </c>
      <c r="O7" s="9">
        <v>2121727.0699999998</v>
      </c>
      <c r="P7" s="9"/>
      <c r="Q7" s="9">
        <v>-113847.21</v>
      </c>
      <c r="R7" s="9">
        <v>23423247.09</v>
      </c>
      <c r="S7" s="9">
        <v>-14451892.1</v>
      </c>
      <c r="T7" s="9">
        <v>72707.149999999994</v>
      </c>
      <c r="U7" s="9">
        <v>-1695298.59</v>
      </c>
      <c r="V7" s="9">
        <v>103397076.67</v>
      </c>
      <c r="W7" s="9">
        <v>-205331391.34</v>
      </c>
      <c r="X7" s="9"/>
      <c r="Y7" s="9"/>
      <c r="Z7" s="9"/>
      <c r="AA7" s="9"/>
      <c r="AB7" s="9"/>
    </row>
    <row r="8" spans="1:28">
      <c r="A8">
        <f t="shared" si="5"/>
        <v>2015</v>
      </c>
      <c r="B8" s="9">
        <v>630560934.01999998</v>
      </c>
      <c r="C8" s="9">
        <v>634352230.87</v>
      </c>
      <c r="D8" s="9">
        <v>645445084.58000004</v>
      </c>
      <c r="E8" s="9">
        <v>915321127.36000001</v>
      </c>
      <c r="F8" s="2">
        <f t="shared" si="0"/>
        <v>0.98281363670587363</v>
      </c>
      <c r="G8" s="2">
        <f t="shared" si="1"/>
        <v>1.418123941490099</v>
      </c>
      <c r="H8" s="9">
        <f t="shared" si="2"/>
        <v>915321127.3599999</v>
      </c>
      <c r="I8" s="9">
        <f t="shared" si="3"/>
        <v>0</v>
      </c>
      <c r="J8" s="9">
        <v>1004375.81</v>
      </c>
      <c r="K8" s="2">
        <f t="shared" si="4"/>
        <v>1.556098007398354E-3</v>
      </c>
      <c r="L8" s="9">
        <v>139861807.47</v>
      </c>
      <c r="M8" s="9">
        <v>22840053.5</v>
      </c>
      <c r="N8" s="9">
        <v>17563170.670000002</v>
      </c>
      <c r="O8" s="9">
        <v>37619700.159999996</v>
      </c>
      <c r="P8" s="9"/>
      <c r="Q8" s="9"/>
      <c r="R8" s="9">
        <v>10867500</v>
      </c>
      <c r="S8" s="9">
        <v>-4880868.04</v>
      </c>
      <c r="T8" s="9">
        <v>1585.71</v>
      </c>
      <c r="U8" s="9">
        <v>-866769.23</v>
      </c>
      <c r="V8" s="9">
        <v>-76480851.560000002</v>
      </c>
      <c r="W8" s="9">
        <v>122346338.29000001</v>
      </c>
      <c r="X8" s="9"/>
      <c r="Y8" s="9"/>
      <c r="Z8" s="9"/>
      <c r="AA8" s="9"/>
      <c r="AB8" s="9"/>
    </row>
    <row r="9" spans="1:28">
      <c r="A9">
        <f>A8-1</f>
        <v>2014</v>
      </c>
      <c r="B9" s="9">
        <v>361183249.79000002</v>
      </c>
      <c r="C9" s="9">
        <v>345448557.30000001</v>
      </c>
      <c r="D9" s="9">
        <v>364722774.31999999</v>
      </c>
      <c r="E9" s="9">
        <v>528002593.37</v>
      </c>
      <c r="F9" s="2">
        <f t="shared" si="0"/>
        <v>0.94715378809032313</v>
      </c>
      <c r="G9" s="2">
        <f t="shared" si="1"/>
        <v>1.4476819945078114</v>
      </c>
      <c r="H9" s="9">
        <f t="shared" si="2"/>
        <v>528002593.37000006</v>
      </c>
      <c r="I9" s="9">
        <f>H9-E9</f>
        <v>0</v>
      </c>
      <c r="J9" s="9">
        <v>1323887.6599999999</v>
      </c>
      <c r="K9" s="2">
        <f t="shared" si="4"/>
        <v>3.6298464291633433E-3</v>
      </c>
      <c r="L9" s="9">
        <v>128281530.09999999</v>
      </c>
      <c r="M9" s="9">
        <v>20165943.030000001</v>
      </c>
      <c r="N9" s="9">
        <v>12557288.060000001</v>
      </c>
      <c r="O9" s="9">
        <v>1208206.93</v>
      </c>
      <c r="P9" s="9"/>
      <c r="Q9" s="9"/>
      <c r="R9" s="9">
        <v>1036444.05</v>
      </c>
      <c r="S9" s="9">
        <v>-6516609.4299999997</v>
      </c>
      <c r="T9" s="9">
        <v>1323027.2</v>
      </c>
      <c r="U9" s="9">
        <v>-615231.53</v>
      </c>
      <c r="V9" s="9">
        <v>-1268124.45</v>
      </c>
      <c r="W9" s="9">
        <v>5783457.4299999997</v>
      </c>
      <c r="X9" s="9"/>
      <c r="Y9" s="9"/>
      <c r="Z9" s="9"/>
      <c r="AA9" s="9"/>
      <c r="AB9" s="9"/>
    </row>
    <row r="10" spans="1:28">
      <c r="A10">
        <f t="shared" si="5"/>
        <v>2013</v>
      </c>
      <c r="B10" s="9">
        <v>308423861.72000003</v>
      </c>
      <c r="C10" s="9">
        <v>280175771.81</v>
      </c>
      <c r="D10" s="7">
        <v>308762015.88</v>
      </c>
      <c r="E10" s="9">
        <v>429346660.82999998</v>
      </c>
      <c r="F10" s="2">
        <f t="shared" si="0"/>
        <v>0.90741657781794638</v>
      </c>
      <c r="G10" s="2">
        <f t="shared" si="1"/>
        <v>1.3905423554329464</v>
      </c>
      <c r="H10" s="9">
        <f t="shared" si="2"/>
        <v>429346660.83000004</v>
      </c>
      <c r="I10" s="9">
        <f t="shared" si="3"/>
        <v>0</v>
      </c>
      <c r="J10" s="9">
        <v>784425.94</v>
      </c>
      <c r="K10" s="2">
        <f t="shared" si="4"/>
        <v>2.5405519450451644E-3</v>
      </c>
      <c r="L10" s="9">
        <v>93858363.379999995</v>
      </c>
      <c r="M10" s="9">
        <v>17922457.559999999</v>
      </c>
      <c r="N10" s="9">
        <v>1794911.72</v>
      </c>
      <c r="O10" s="9">
        <v>234623.61</v>
      </c>
      <c r="P10" s="9"/>
      <c r="Q10" s="9"/>
      <c r="R10" s="9">
        <v>3895466.69</v>
      </c>
      <c r="S10" s="9">
        <v>-10656664.34</v>
      </c>
      <c r="T10" s="9">
        <v>-2410429.96</v>
      </c>
      <c r="U10" s="9">
        <v>61041.08</v>
      </c>
      <c r="V10" s="9">
        <v>-193656153.44</v>
      </c>
      <c r="W10" s="9">
        <v>208756602.71000001</v>
      </c>
      <c r="X10" s="9"/>
      <c r="Y10" s="9"/>
      <c r="Z10" s="9"/>
      <c r="AA10" s="9"/>
      <c r="AB10" s="9"/>
    </row>
    <row r="11" spans="1:28">
      <c r="A11">
        <f>A10-1</f>
        <v>2012</v>
      </c>
      <c r="B11" s="9">
        <v>256545865.97999999</v>
      </c>
      <c r="C11" s="9">
        <v>224442499.06999999</v>
      </c>
      <c r="D11" s="9">
        <v>248553190.58000001</v>
      </c>
      <c r="E11" s="9">
        <v>395550930.70999998</v>
      </c>
      <c r="F11" s="2">
        <f t="shared" si="0"/>
        <v>0.90299584787570975</v>
      </c>
      <c r="G11" s="2">
        <f t="shared" si="1"/>
        <v>1.591413611657851</v>
      </c>
      <c r="H11" s="9">
        <f t="shared" si="2"/>
        <v>216412383.82999998</v>
      </c>
      <c r="I11" s="9">
        <f t="shared" si="3"/>
        <v>-179138546.88</v>
      </c>
      <c r="J11" s="9">
        <v>-215819.68</v>
      </c>
      <c r="K11" s="2">
        <f t="shared" si="4"/>
        <v>-8.6830380047177736E-4</v>
      </c>
      <c r="L11" s="9">
        <v>42148598.609999999</v>
      </c>
      <c r="M11" s="9">
        <v>4711951.43</v>
      </c>
      <c r="N11" s="9">
        <v>293333.34000000003</v>
      </c>
      <c r="O11" s="9">
        <v>8938171.3699999992</v>
      </c>
      <c r="P11" s="9"/>
      <c r="Q11" s="9"/>
      <c r="R11" s="9">
        <v>10730819.359999999</v>
      </c>
      <c r="S11" s="9">
        <v>-141100350.93000001</v>
      </c>
      <c r="T11" s="9">
        <v>53954.92</v>
      </c>
      <c r="U11" s="9">
        <v>-866599.42</v>
      </c>
      <c r="V11" s="9">
        <v>11147925.32</v>
      </c>
      <c r="W11" s="9">
        <v>32017208.93</v>
      </c>
      <c r="X11" s="9"/>
      <c r="Y11" s="9"/>
      <c r="Z11" s="9"/>
      <c r="AA11" s="9"/>
      <c r="AB11" s="9"/>
    </row>
    <row r="12" spans="1:28" ht="15.75">
      <c r="A12">
        <f t="shared" si="5"/>
        <v>2011</v>
      </c>
      <c r="B12" s="9">
        <v>222218569.81999999</v>
      </c>
      <c r="C12" s="9">
        <v>209675498.90000001</v>
      </c>
      <c r="D12" s="9">
        <v>222218569.81999999</v>
      </c>
      <c r="E12" s="9">
        <v>294952116.56999999</v>
      </c>
      <c r="F12" s="2">
        <f t="shared" si="0"/>
        <v>0.94355525314486521</v>
      </c>
      <c r="G12" s="2">
        <f t="shared" si="1"/>
        <v>1.3273063399198148</v>
      </c>
      <c r="H12" s="9">
        <f t="shared" si="2"/>
        <v>120269539.19</v>
      </c>
      <c r="I12" s="9">
        <f t="shared" si="3"/>
        <v>-174682577.38</v>
      </c>
      <c r="J12" s="9">
        <v>644099.18000000005</v>
      </c>
      <c r="K12" s="2">
        <f t="shared" si="4"/>
        <v>2.8984939490958339E-3</v>
      </c>
      <c r="L12" s="9">
        <v>29621373.190000001</v>
      </c>
      <c r="M12" s="9">
        <v>4604058.12</v>
      </c>
      <c r="N12" s="9"/>
      <c r="O12" s="9">
        <v>3333621.69</v>
      </c>
      <c r="P12" s="9"/>
      <c r="Q12" s="9"/>
      <c r="R12" s="15">
        <v>15668597.439999999</v>
      </c>
      <c r="S12" s="9">
        <v>-106500000</v>
      </c>
      <c r="T12" s="9">
        <v>-161024.79</v>
      </c>
      <c r="U12" s="9">
        <v>134332.23000000001</v>
      </c>
      <c r="V12" s="9">
        <v>-58823066.57</v>
      </c>
      <c r="W12" s="9">
        <v>9528978.8800000008</v>
      </c>
      <c r="X12" s="9"/>
      <c r="Y12" s="9"/>
      <c r="Z12" s="9"/>
      <c r="AA12" s="9"/>
      <c r="AB12" s="9"/>
    </row>
    <row r="13" spans="1:28">
      <c r="A13">
        <f t="shared" si="5"/>
        <v>2010</v>
      </c>
      <c r="B13" s="9">
        <v>163337928.84</v>
      </c>
      <c r="C13" s="9">
        <v>171313880.69</v>
      </c>
      <c r="D13" s="9">
        <v>163337928.84</v>
      </c>
      <c r="E13" s="9">
        <v>250359905.77000001</v>
      </c>
      <c r="F13" s="2">
        <f t="shared" si="0"/>
        <v>1.0488309843686885</v>
      </c>
      <c r="G13" s="2">
        <f t="shared" si="1"/>
        <v>1.5327726238970718</v>
      </c>
      <c r="H13" s="9">
        <f t="shared" si="2"/>
        <v>152292783.24000001</v>
      </c>
      <c r="I13" s="9">
        <f t="shared" si="3"/>
        <v>-98067122.530000001</v>
      </c>
      <c r="J13" s="9">
        <v>44515.96</v>
      </c>
      <c r="K13" s="2">
        <f t="shared" si="4"/>
        <v>2.7253902578626573E-4</v>
      </c>
      <c r="L13" s="9">
        <v>27139538.039999999</v>
      </c>
      <c r="M13" s="9">
        <v>4606462.08</v>
      </c>
      <c r="N13" s="9"/>
      <c r="O13" s="9">
        <v>27486.34</v>
      </c>
      <c r="P13" s="9"/>
      <c r="Q13" s="9"/>
      <c r="R13" s="9">
        <v>20077758</v>
      </c>
      <c r="S13" s="9">
        <v>-62000000</v>
      </c>
      <c r="T13" s="9">
        <v>-11128.99</v>
      </c>
      <c r="U13" s="9">
        <v>-210289.28</v>
      </c>
      <c r="V13" s="9">
        <v>-217323.55</v>
      </c>
      <c r="W13" s="9">
        <v>-502164.2</v>
      </c>
      <c r="X13" s="9"/>
      <c r="Y13" s="9"/>
      <c r="Z13" s="9"/>
      <c r="AA13" s="9"/>
      <c r="AB13" s="9"/>
    </row>
    <row r="14" spans="1:28">
      <c r="A14" t="s">
        <v>77</v>
      </c>
      <c r="B14" s="9">
        <f>SUM(B4:B13)</f>
        <v>6539165191.3600006</v>
      </c>
      <c r="C14" s="9">
        <f>SUM(C4:C13)</f>
        <v>6361253755.3399992</v>
      </c>
      <c r="D14" s="9">
        <f>SUM(D4:D13)</f>
        <v>6581241939.9799995</v>
      </c>
      <c r="E14" s="9">
        <f>SUM(E4:E13)</f>
        <v>8826497143.6799984</v>
      </c>
      <c r="F14" s="2">
        <f t="shared" si="0"/>
        <v>0.96657345427409269</v>
      </c>
      <c r="G14" s="2">
        <f t="shared" si="1"/>
        <v>1.341159802994087</v>
      </c>
      <c r="H14" s="9">
        <f t="shared" si="2"/>
        <v>8168060908.579999</v>
      </c>
      <c r="I14" s="9">
        <f t="shared" si="3"/>
        <v>-658436235.09999943</v>
      </c>
      <c r="J14" s="9">
        <f t="shared" ref="J14:W14" si="6">SUM(J5:J13)</f>
        <v>47455596.959999993</v>
      </c>
      <c r="K14" s="2">
        <f t="shared" si="4"/>
        <v>7.2107358144235332E-3</v>
      </c>
      <c r="L14" s="9">
        <f t="shared" si="6"/>
        <v>945369177.47000015</v>
      </c>
      <c r="M14" s="9">
        <f t="shared" si="6"/>
        <v>179235288.81000003</v>
      </c>
      <c r="N14" s="9">
        <f t="shared" si="6"/>
        <v>124372913.16000001</v>
      </c>
      <c r="O14" s="9">
        <f t="shared" si="6"/>
        <v>34293915.189999998</v>
      </c>
      <c r="P14" s="9">
        <f t="shared" si="6"/>
        <v>86575750.810000002</v>
      </c>
      <c r="Q14" s="9">
        <f>SUM(Q5:Q13)</f>
        <v>-10884221.020000001</v>
      </c>
      <c r="R14" s="9">
        <f t="shared" si="6"/>
        <v>104608479.31999999</v>
      </c>
      <c r="S14" s="9">
        <f t="shared" si="6"/>
        <v>-427089929.58000004</v>
      </c>
      <c r="T14" s="9">
        <f t="shared" si="6"/>
        <v>-8564545.5700000003</v>
      </c>
      <c r="U14" s="9">
        <f t="shared" si="6"/>
        <v>-2988630.3</v>
      </c>
      <c r="V14" s="9">
        <f t="shared" si="6"/>
        <v>-433813692.45999998</v>
      </c>
      <c r="W14" s="9">
        <f t="shared" si="6"/>
        <v>948248865.80999982</v>
      </c>
      <c r="X14" s="9"/>
      <c r="Y14" s="9"/>
      <c r="Z14" s="9"/>
      <c r="AA14" s="9"/>
      <c r="AB14" s="9"/>
    </row>
    <row r="15" spans="1:28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70.1" customHeight="1">
      <c r="A17" s="24" t="s">
        <v>109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1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</sheetData>
  <mergeCells count="1">
    <mergeCell ref="A17:N17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"/>
  <sheetViews>
    <sheetView workbookViewId="0">
      <selection activeCell="G21" sqref="G21"/>
    </sheetView>
  </sheetViews>
  <sheetFormatPr defaultColWidth="11" defaultRowHeight="14.25"/>
  <sheetData>
    <row r="3" spans="2:12" ht="20.25">
      <c r="B3" s="10"/>
      <c r="C3" s="10">
        <v>2009</v>
      </c>
      <c r="D3" s="10">
        <v>2010</v>
      </c>
      <c r="E3" s="10">
        <v>2011</v>
      </c>
      <c r="F3" s="10">
        <v>2012</v>
      </c>
      <c r="G3" s="10">
        <v>2013</v>
      </c>
      <c r="H3" s="10">
        <v>2014</v>
      </c>
      <c r="I3" s="10">
        <v>2015</v>
      </c>
      <c r="J3" s="10">
        <v>2016</v>
      </c>
      <c r="K3" s="10">
        <v>2017</v>
      </c>
      <c r="L3" s="10">
        <v>2018</v>
      </c>
    </row>
    <row r="4" spans="2:12" ht="20.25">
      <c r="B4" s="10" t="s">
        <v>122</v>
      </c>
      <c r="C4" s="10">
        <v>273</v>
      </c>
      <c r="D4" s="10">
        <v>445</v>
      </c>
      <c r="E4" s="10">
        <v>505</v>
      </c>
      <c r="F4" s="10">
        <v>586</v>
      </c>
      <c r="G4" s="10">
        <v>679</v>
      </c>
      <c r="H4" s="10">
        <v>935</v>
      </c>
      <c r="I4" s="10">
        <v>1695</v>
      </c>
      <c r="J4" s="10">
        <v>2644</v>
      </c>
      <c r="K4" s="10">
        <v>3024</v>
      </c>
      <c r="L4" s="10">
        <v>3211</v>
      </c>
    </row>
    <row r="5" spans="2:12">
      <c r="D5" s="2">
        <f>(D4-C4)/C4</f>
        <v>0.63003663003663002</v>
      </c>
      <c r="E5" s="2">
        <f t="shared" ref="E5:L5" si="0">(E4-D4)/D4</f>
        <v>0.1348314606741573</v>
      </c>
      <c r="F5" s="2">
        <f t="shared" si="0"/>
        <v>0.1603960396039604</v>
      </c>
      <c r="G5" s="2">
        <f t="shared" si="0"/>
        <v>0.15870307167235495</v>
      </c>
      <c r="H5" s="2">
        <f t="shared" si="0"/>
        <v>0.37702503681885124</v>
      </c>
      <c r="I5" s="2">
        <f t="shared" si="0"/>
        <v>0.81283422459893051</v>
      </c>
      <c r="J5" s="2">
        <f t="shared" si="0"/>
        <v>0.55988200589970505</v>
      </c>
      <c r="K5" s="2">
        <f t="shared" si="0"/>
        <v>0.1437216338880484</v>
      </c>
      <c r="L5" s="2">
        <f t="shared" si="0"/>
        <v>6.1838624338624339E-2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defaultColWidth="11" defaultRowHeight="14.25"/>
  <cols>
    <col min="2" max="4" width="12.375" bestFit="1" customWidth="1"/>
    <col min="5" max="6" width="16.625" customWidth="1"/>
    <col min="7" max="7" width="11.375" bestFit="1" customWidth="1"/>
    <col min="8" max="9" width="12.375" bestFit="1" customWidth="1"/>
    <col min="12" max="12" width="15.125" customWidth="1"/>
  </cols>
  <sheetData>
    <row r="3" spans="1:12" ht="33.950000000000003" customHeight="1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>
      <c r="F13" s="2"/>
      <c r="L13" s="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tabSelected="1" workbookViewId="0">
      <selection activeCell="H36" sqref="H36"/>
    </sheetView>
  </sheetViews>
  <sheetFormatPr defaultRowHeight="14.25"/>
  <cols>
    <col min="1" max="1" width="13.25" bestFit="1" customWidth="1"/>
    <col min="2" max="3" width="17.125" customWidth="1"/>
    <col min="4" max="4" width="14.625" bestFit="1" customWidth="1"/>
    <col min="5" max="5" width="14.625" customWidth="1"/>
    <col min="6" max="6" width="14" bestFit="1" customWidth="1"/>
    <col min="7" max="7" width="14" customWidth="1"/>
    <col min="8" max="9" width="13" customWidth="1"/>
    <col min="10" max="10" width="14" bestFit="1" customWidth="1"/>
    <col min="11" max="11" width="14" customWidth="1"/>
    <col min="12" max="13" width="13.625" customWidth="1"/>
    <col min="14" max="15" width="17.875" customWidth="1"/>
    <col min="16" max="17" width="16.875" customWidth="1"/>
    <col min="18" max="19" width="17" customWidth="1"/>
    <col min="20" max="20" width="17.75" customWidth="1"/>
    <col min="22" max="22" width="16.125" bestFit="1" customWidth="1"/>
    <col min="23" max="23" width="16.125" customWidth="1"/>
  </cols>
  <sheetData>
    <row r="1" spans="1:3">
      <c r="A1" s="22" t="s">
        <v>124</v>
      </c>
      <c r="B1" t="s">
        <v>123</v>
      </c>
    </row>
    <row r="2" spans="1:3" ht="15">
      <c r="A2" s="21">
        <v>40543</v>
      </c>
      <c r="B2" s="9">
        <v>444756700</v>
      </c>
      <c r="C2" s="9"/>
    </row>
    <row r="3" spans="1:3" ht="15">
      <c r="A3" s="21">
        <v>40908</v>
      </c>
      <c r="B3" s="9">
        <v>504532200</v>
      </c>
      <c r="C3" s="9"/>
    </row>
    <row r="4" spans="1:3" ht="15">
      <c r="A4" s="21">
        <v>41274</v>
      </c>
      <c r="B4" s="9">
        <v>586157100</v>
      </c>
      <c r="C4" s="9"/>
    </row>
    <row r="5" spans="1:3" ht="15">
      <c r="A5" s="21">
        <v>41639</v>
      </c>
      <c r="B5" s="9">
        <v>678715900</v>
      </c>
      <c r="C5" s="9"/>
    </row>
    <row r="6" spans="1:3" ht="15">
      <c r="A6" s="21">
        <v>42004</v>
      </c>
      <c r="B6" s="9">
        <v>935119100</v>
      </c>
      <c r="C6" s="9"/>
    </row>
    <row r="7" spans="1:3" ht="15">
      <c r="A7" s="21">
        <v>42369</v>
      </c>
      <c r="B7" s="9">
        <v>1694514000</v>
      </c>
      <c r="C7" s="9"/>
    </row>
    <row r="8" spans="1:3" ht="15">
      <c r="A8" s="21">
        <v>42735</v>
      </c>
      <c r="B8" s="9">
        <v>2644229000</v>
      </c>
      <c r="C8" s="9"/>
    </row>
    <row r="9" spans="1:3" ht="15">
      <c r="A9" s="21">
        <v>43100</v>
      </c>
      <c r="B9" s="1">
        <v>3023831000</v>
      </c>
      <c r="C9" s="1"/>
    </row>
    <row r="10" spans="1:3" ht="15">
      <c r="A10" s="21">
        <v>43465</v>
      </c>
      <c r="B10" s="1">
        <v>3211193000</v>
      </c>
      <c r="C10" s="1"/>
    </row>
    <row r="11" spans="1:3" ht="15">
      <c r="A11" s="21">
        <v>43830</v>
      </c>
      <c r="B11" s="1">
        <v>2611753000</v>
      </c>
      <c r="C11" s="1"/>
    </row>
    <row r="14" spans="1:3">
      <c r="A14">
        <f>POWER(B11/B2,1/9)-1</f>
        <v>0.21737194569158902</v>
      </c>
    </row>
    <row r="29" spans="1:24">
      <c r="A29" s="22" t="s">
        <v>124</v>
      </c>
      <c r="B29" t="s">
        <v>126</v>
      </c>
      <c r="C29" t="s">
        <v>135</v>
      </c>
      <c r="D29" t="s">
        <v>127</v>
      </c>
      <c r="F29" t="s">
        <v>128</v>
      </c>
      <c r="H29" t="s">
        <v>129</v>
      </c>
      <c r="J29" t="s">
        <v>130</v>
      </c>
      <c r="L29" t="s">
        <v>131</v>
      </c>
      <c r="N29" t="s">
        <v>132</v>
      </c>
      <c r="P29" t="s">
        <v>133</v>
      </c>
      <c r="R29" t="s">
        <v>134</v>
      </c>
      <c r="T29" t="s">
        <v>137</v>
      </c>
      <c r="V29" t="s">
        <v>136</v>
      </c>
    </row>
    <row r="30" spans="1:24" ht="15">
      <c r="A30" s="21">
        <v>40543</v>
      </c>
      <c r="B30" s="9">
        <v>444756700</v>
      </c>
      <c r="C30" s="2"/>
      <c r="E30" s="2"/>
      <c r="G30" s="2"/>
      <c r="I30" s="2"/>
      <c r="K30" s="2"/>
      <c r="M30" s="2"/>
      <c r="O30" s="2"/>
      <c r="Q30" s="2"/>
      <c r="S30" s="2"/>
      <c r="T30" s="23"/>
      <c r="U30" s="2"/>
      <c r="V30" s="1">
        <f t="shared" ref="V30:V38" si="0">T30+R30+P30+N30+L30+J30+F30+D30+B30+H30</f>
        <v>444756700</v>
      </c>
      <c r="W30" s="9">
        <v>444756700</v>
      </c>
      <c r="X30" s="9"/>
    </row>
    <row r="31" spans="1:24" ht="15">
      <c r="A31" s="21">
        <v>40908</v>
      </c>
      <c r="B31" s="9">
        <v>504532200</v>
      </c>
      <c r="C31" s="2"/>
      <c r="E31" s="2"/>
      <c r="G31" s="2"/>
      <c r="I31" s="2"/>
      <c r="K31" s="2"/>
      <c r="M31" s="2"/>
      <c r="O31" s="2"/>
      <c r="Q31" s="2"/>
      <c r="S31" s="2"/>
      <c r="T31" s="23"/>
      <c r="U31" s="2"/>
      <c r="V31" s="1">
        <f t="shared" si="0"/>
        <v>504532200</v>
      </c>
      <c r="W31" s="9">
        <v>504532200</v>
      </c>
      <c r="X31" s="9"/>
    </row>
    <row r="32" spans="1:24" ht="15">
      <c r="A32" s="21">
        <v>41274</v>
      </c>
      <c r="B32" s="9">
        <v>586157100</v>
      </c>
      <c r="C32" s="2"/>
      <c r="E32" s="2"/>
      <c r="G32" s="2"/>
      <c r="I32" s="2"/>
      <c r="K32" s="2"/>
      <c r="M32" s="2"/>
      <c r="O32" s="2"/>
      <c r="Q32" s="2"/>
      <c r="S32" s="2"/>
      <c r="T32" s="23"/>
      <c r="U32" s="2"/>
      <c r="V32" s="1">
        <f t="shared" si="0"/>
        <v>586157100</v>
      </c>
      <c r="W32" s="9">
        <v>586157100</v>
      </c>
      <c r="X32" s="9"/>
    </row>
    <row r="33" spans="1:24" ht="15">
      <c r="A33" s="21">
        <v>41639</v>
      </c>
      <c r="B33" s="9">
        <v>585587954.86000001</v>
      </c>
      <c r="C33" s="2"/>
      <c r="D33" s="4">
        <v>33567890.960000001</v>
      </c>
      <c r="E33" s="2"/>
      <c r="G33" s="2"/>
      <c r="I33" s="2"/>
      <c r="K33" s="2"/>
      <c r="M33" s="2"/>
      <c r="O33" s="2"/>
      <c r="P33" s="4">
        <v>3818769.58</v>
      </c>
      <c r="Q33" s="2"/>
      <c r="R33" s="4">
        <v>12264150.6</v>
      </c>
      <c r="S33" s="2"/>
      <c r="T33" s="23">
        <v>43477134</v>
      </c>
      <c r="U33" s="2"/>
      <c r="V33" s="1">
        <f t="shared" si="0"/>
        <v>678715900</v>
      </c>
      <c r="W33" s="9">
        <v>678715900</v>
      </c>
      <c r="X33" s="9"/>
    </row>
    <row r="34" spans="1:24" ht="15">
      <c r="A34" s="21">
        <v>42004</v>
      </c>
      <c r="B34" s="9">
        <v>609812284.89999998</v>
      </c>
      <c r="C34" s="2">
        <v>0.65210000000000001</v>
      </c>
      <c r="D34" s="4">
        <v>159582817.34</v>
      </c>
      <c r="E34" s="2">
        <v>0.17069999999999999</v>
      </c>
      <c r="F34" s="4">
        <v>73933364.819999993</v>
      </c>
      <c r="G34" s="2">
        <v>7.9100000000000004E-2</v>
      </c>
      <c r="H34" s="4">
        <v>63465841.310000002</v>
      </c>
      <c r="I34" s="2">
        <v>6.7900000000000002E-2</v>
      </c>
      <c r="K34" s="2"/>
      <c r="M34" s="2"/>
      <c r="O34" s="2"/>
      <c r="P34" s="4">
        <v>17516318.469999999</v>
      </c>
      <c r="Q34" s="2">
        <v>1.8700000000000001E-2</v>
      </c>
      <c r="R34" s="4">
        <v>10808503.359999999</v>
      </c>
      <c r="S34" s="2">
        <v>1.15E-2</v>
      </c>
      <c r="T34" s="23"/>
      <c r="U34" s="2"/>
      <c r="V34" s="1">
        <f t="shared" si="0"/>
        <v>935119130.20000005</v>
      </c>
      <c r="W34" s="9">
        <v>935119100</v>
      </c>
      <c r="X34" s="9"/>
    </row>
    <row r="35" spans="1:24" ht="15">
      <c r="A35" s="21">
        <v>42369</v>
      </c>
      <c r="B35" s="9">
        <v>700754733.73000002</v>
      </c>
      <c r="C35" s="2">
        <v>0.41349999999999998</v>
      </c>
      <c r="D35" s="4">
        <v>257852071.96000001</v>
      </c>
      <c r="E35" s="2">
        <v>0.1522</v>
      </c>
      <c r="F35" s="4">
        <v>171198719.31</v>
      </c>
      <c r="G35" s="2">
        <v>0.10100000000000001</v>
      </c>
      <c r="H35" s="4">
        <v>131115944.73999999</v>
      </c>
      <c r="I35" s="2">
        <v>7.7399999999999997E-2</v>
      </c>
      <c r="K35" s="2"/>
      <c r="M35" s="2"/>
      <c r="N35" s="4">
        <v>369099362.92000002</v>
      </c>
      <c r="O35" s="2">
        <v>0.21779999999999999</v>
      </c>
      <c r="P35" s="4">
        <v>43827382.159999996</v>
      </c>
      <c r="Q35" s="2">
        <v>2.5899999999999999E-2</v>
      </c>
      <c r="R35" s="4">
        <v>17063305.18</v>
      </c>
      <c r="S35" s="2">
        <v>1.01E-2</v>
      </c>
      <c r="T35" s="23"/>
      <c r="U35" s="2"/>
      <c r="V35" s="1">
        <f t="shared" si="0"/>
        <v>1690911520</v>
      </c>
      <c r="W35" s="9">
        <v>1694514000</v>
      </c>
      <c r="X35" s="9"/>
    </row>
    <row r="36" spans="1:24" ht="15">
      <c r="A36" s="21">
        <v>42735</v>
      </c>
      <c r="B36" s="9">
        <v>687874826.88999999</v>
      </c>
      <c r="C36" s="2">
        <v>0.2601</v>
      </c>
      <c r="D36" s="4">
        <v>307467248.97000003</v>
      </c>
      <c r="E36" s="2">
        <v>0.1163</v>
      </c>
      <c r="F36" s="4">
        <v>222559993.77000001</v>
      </c>
      <c r="G36" s="2">
        <v>8.4199999999999997E-2</v>
      </c>
      <c r="H36" s="4">
        <v>149279367.16</v>
      </c>
      <c r="I36" s="2">
        <v>5.6399999999999999E-2</v>
      </c>
      <c r="K36" s="2"/>
      <c r="M36" s="2"/>
      <c r="N36" s="4">
        <v>1090212510.98</v>
      </c>
      <c r="O36" s="2">
        <v>0.4123</v>
      </c>
      <c r="P36" s="4">
        <v>60018274.359999999</v>
      </c>
      <c r="Q36" s="2">
        <v>2.2700000000000001E-2</v>
      </c>
      <c r="R36" s="4">
        <v>123204706.73999999</v>
      </c>
      <c r="S36" s="2">
        <v>4.6600000000000003E-2</v>
      </c>
      <c r="T36" s="23">
        <v>3611972.78</v>
      </c>
      <c r="U36" s="2">
        <v>1.4E-3</v>
      </c>
      <c r="V36" s="1">
        <f t="shared" si="0"/>
        <v>2644228901.6500001</v>
      </c>
      <c r="W36" s="9">
        <v>2644229000</v>
      </c>
      <c r="X36" s="9"/>
    </row>
    <row r="37" spans="1:24" ht="15">
      <c r="A37" s="21">
        <v>43100</v>
      </c>
      <c r="B37" s="1">
        <v>842165471.04999995</v>
      </c>
      <c r="C37" s="2">
        <v>0.27850000000000003</v>
      </c>
      <c r="D37" s="4">
        <v>339980121.20999998</v>
      </c>
      <c r="E37" s="2">
        <v>0.1124</v>
      </c>
      <c r="F37" s="4">
        <v>227236394.38</v>
      </c>
      <c r="G37" s="2">
        <v>7.51E-2</v>
      </c>
      <c r="H37" s="4">
        <v>90585086.010000005</v>
      </c>
      <c r="I37" s="2">
        <v>0.03</v>
      </c>
      <c r="K37" s="2"/>
      <c r="M37" s="2"/>
      <c r="N37" s="4">
        <v>1240133995.3599999</v>
      </c>
      <c r="O37" s="2">
        <v>0.41010000000000002</v>
      </c>
      <c r="P37" s="4">
        <v>120577904.09999999</v>
      </c>
      <c r="Q37" s="2">
        <v>3.9899999999999998E-2</v>
      </c>
      <c r="R37" s="4">
        <v>163152259.15000001</v>
      </c>
      <c r="S37" s="2">
        <v>5.3999999999999999E-2</v>
      </c>
      <c r="T37" s="23"/>
      <c r="U37" s="2"/>
      <c r="V37" s="1">
        <f t="shared" si="0"/>
        <v>3023831231.2600002</v>
      </c>
      <c r="W37" s="1">
        <v>3023831000</v>
      </c>
      <c r="X37" s="1"/>
    </row>
    <row r="38" spans="1:24" ht="15">
      <c r="A38" s="21">
        <v>43465</v>
      </c>
      <c r="B38" s="1">
        <v>935878252.92999995</v>
      </c>
      <c r="C38" s="2">
        <v>0.29139999999999999</v>
      </c>
      <c r="D38" s="4">
        <v>426722284</v>
      </c>
      <c r="E38" s="2">
        <v>0.13289999999999999</v>
      </c>
      <c r="F38" s="4">
        <v>266958976.72999999</v>
      </c>
      <c r="G38" s="2">
        <v>8.3099999999999993E-2</v>
      </c>
      <c r="H38" s="4">
        <v>1778339.57</v>
      </c>
      <c r="I38" s="2">
        <v>5.9999999999999995E-4</v>
      </c>
      <c r="J38" s="4">
        <v>42659643.259999998</v>
      </c>
      <c r="K38" s="2">
        <v>1.3299999999999999E-2</v>
      </c>
      <c r="M38" s="2"/>
      <c r="N38" s="4">
        <v>1233596141.03</v>
      </c>
      <c r="O38" s="2">
        <v>0.38419999999999999</v>
      </c>
      <c r="P38" s="4">
        <v>173487760.90000001</v>
      </c>
      <c r="Q38" s="2">
        <v>5.3999999999999999E-2</v>
      </c>
      <c r="R38" s="4">
        <v>126677207.77</v>
      </c>
      <c r="S38" s="2">
        <v>3.9399999999999998E-2</v>
      </c>
      <c r="T38" s="23">
        <v>3434208.29</v>
      </c>
      <c r="U38" s="2">
        <v>1.1000000000000001E-3</v>
      </c>
      <c r="V38" s="1">
        <f t="shared" si="0"/>
        <v>3211192814.48</v>
      </c>
      <c r="W38" s="1">
        <v>3211193000</v>
      </c>
      <c r="X38" s="1"/>
    </row>
    <row r="39" spans="1:24" ht="15">
      <c r="A39" s="21">
        <v>43830</v>
      </c>
      <c r="B39" s="1">
        <v>918884614.28999996</v>
      </c>
      <c r="C39" s="2">
        <v>0.3518</v>
      </c>
      <c r="D39" s="4">
        <v>392729155.06</v>
      </c>
      <c r="E39" s="2">
        <v>0.15040000000000001</v>
      </c>
      <c r="F39" s="4">
        <v>333433832.56999999</v>
      </c>
      <c r="G39" s="2">
        <v>0.12770000000000001</v>
      </c>
      <c r="I39" s="2"/>
      <c r="J39" s="4">
        <v>160649726.50999999</v>
      </c>
      <c r="K39" s="2">
        <v>6.1499999999999999E-2</v>
      </c>
      <c r="L39" s="4">
        <v>65470605.659999996</v>
      </c>
      <c r="M39" s="2">
        <v>2.5100000000000001E-2</v>
      </c>
      <c r="N39" s="4">
        <v>383412284.25</v>
      </c>
      <c r="O39" s="2">
        <v>0.14680000000000001</v>
      </c>
      <c r="P39" s="4">
        <v>180426687.71000001</v>
      </c>
      <c r="Q39" s="2">
        <v>6.9099999999999995E-2</v>
      </c>
      <c r="R39" s="4">
        <v>173281416.46000001</v>
      </c>
      <c r="S39" s="2">
        <v>6.6299999999999998E-2</v>
      </c>
      <c r="T39" s="23">
        <v>3464886.35</v>
      </c>
      <c r="U39" s="2">
        <v>1.2999999999999999E-3</v>
      </c>
      <c r="V39" s="1">
        <f>T39+R39+P39+N39+L39+J39+F39+D39+B39+H39</f>
        <v>2611753208.8599997</v>
      </c>
      <c r="W39" s="1">
        <v>2611753000</v>
      </c>
      <c r="X39" s="1"/>
    </row>
  </sheetData>
  <phoneticPr fontId="2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L28" sqref="L28"/>
    </sheetView>
  </sheetViews>
  <sheetFormatPr defaultRowHeight="14.25"/>
  <cols>
    <col min="1" max="1" width="13.25" bestFit="1" customWidth="1"/>
  </cols>
  <sheetData>
    <row r="1" spans="1:2">
      <c r="A1" t="s">
        <v>0</v>
      </c>
      <c r="B1" t="s">
        <v>125</v>
      </c>
    </row>
    <row r="2" spans="1:2" ht="15">
      <c r="A2" s="21">
        <v>40543</v>
      </c>
      <c r="B2" s="2">
        <v>0.11672299999999999</v>
      </c>
    </row>
    <row r="3" spans="1:2" ht="15">
      <c r="A3" s="21">
        <v>40908</v>
      </c>
      <c r="B3" s="2">
        <v>8.4862999999999994E-2</v>
      </c>
    </row>
    <row r="4" spans="1:2" ht="15">
      <c r="A4" s="21">
        <v>41274</v>
      </c>
      <c r="B4" s="2">
        <v>9.1761999999999996E-2</v>
      </c>
    </row>
    <row r="5" spans="1:2" ht="15">
      <c r="A5" s="21">
        <v>41639</v>
      </c>
      <c r="B5" s="2">
        <v>0.102404</v>
      </c>
    </row>
    <row r="6" spans="1:2" ht="15">
      <c r="A6" s="21">
        <v>42004</v>
      </c>
      <c r="B6" s="2">
        <v>0.110029</v>
      </c>
    </row>
    <row r="7" spans="1:2" ht="15">
      <c r="A7" s="21">
        <v>42369</v>
      </c>
      <c r="B7" s="2">
        <v>0.13964099999999999</v>
      </c>
    </row>
    <row r="8" spans="1:2" ht="15">
      <c r="A8" s="21">
        <v>42735</v>
      </c>
      <c r="B8" s="2">
        <v>0.15029999999999999</v>
      </c>
    </row>
    <row r="9" spans="1:2" ht="15">
      <c r="A9" s="21">
        <v>43100</v>
      </c>
      <c r="B9" s="2">
        <v>0.15546399999999999</v>
      </c>
    </row>
    <row r="10" spans="1:2" ht="15">
      <c r="A10" s="21">
        <v>43465</v>
      </c>
      <c r="B10" s="2">
        <v>0.16292000000000001</v>
      </c>
    </row>
    <row r="11" spans="1:2" ht="15">
      <c r="A11" s="21">
        <v>43830</v>
      </c>
      <c r="B11" s="2">
        <v>0.14816499999999999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自由现金流</vt:lpstr>
      <vt:lpstr>估值</vt:lpstr>
      <vt:lpstr>现金流净利润比</vt:lpstr>
      <vt:lpstr>应收</vt:lpstr>
      <vt:lpstr>存货</vt:lpstr>
      <vt:lpstr>营收分析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2021-02-24T14:12:51Z</dcterms:modified>
</cp:coreProperties>
</file>