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Volumes/external/git/stock_learn/002415_海康威视/"/>
    </mc:Choice>
  </mc:AlternateContent>
  <bookViews>
    <workbookView xWindow="0" yWindow="460" windowWidth="25600" windowHeight="14780"/>
  </bookViews>
  <sheets>
    <sheet name="估值" sheetId="3" r:id="rId1"/>
    <sheet name="现金流净利润比" sheetId="4" r:id="rId2"/>
    <sheet name="roe" sheetId="8" r:id="rId3"/>
    <sheet name="应收" sheetId="7" r:id="rId4"/>
    <sheet name="存货" sheetId="6" r:id="rId5"/>
  </sheets>
  <calcPr calcId="150001" concurrentCalc="0"/>
  <fileRecoveryPr repairLoad="1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3" l="1"/>
  <c r="B15" i="3"/>
  <c r="C14" i="3"/>
  <c r="C15" i="3"/>
  <c r="D14" i="3"/>
  <c r="D15" i="3"/>
  <c r="E14" i="3"/>
  <c r="E15" i="3"/>
  <c r="F14" i="3"/>
  <c r="F15" i="3"/>
  <c r="G14" i="3"/>
  <c r="G15" i="3"/>
  <c r="H15" i="3"/>
  <c r="J15" i="3"/>
  <c r="L15" i="3"/>
  <c r="B6" i="3"/>
  <c r="B5" i="3"/>
  <c r="A10" i="3"/>
  <c r="J17" i="3"/>
  <c r="J18" i="3"/>
  <c r="J19" i="3"/>
  <c r="J20" i="3"/>
  <c r="J21" i="3"/>
  <c r="J22" i="3"/>
  <c r="J23" i="3"/>
  <c r="J24" i="3"/>
  <c r="H11" i="4"/>
  <c r="H5" i="4"/>
  <c r="H6" i="4"/>
  <c r="H7" i="4"/>
  <c r="H8" i="4"/>
  <c r="H9" i="4"/>
  <c r="H10" i="4"/>
  <c r="H12" i="4"/>
  <c r="D13" i="4"/>
  <c r="J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Z13" i="4"/>
  <c r="AA13" i="4"/>
  <c r="AB13" i="4"/>
  <c r="Y13" i="4"/>
  <c r="H13" i="4"/>
  <c r="H4" i="4"/>
  <c r="D5" i="8"/>
  <c r="D6" i="8"/>
  <c r="D7" i="8"/>
  <c r="D8" i="8"/>
  <c r="D9" i="8"/>
  <c r="D10" i="8"/>
  <c r="D11" i="8"/>
  <c r="D12" i="8"/>
  <c r="D13" i="8"/>
  <c r="D4" i="8"/>
  <c r="A6" i="8"/>
  <c r="A7" i="8"/>
  <c r="A8" i="8"/>
  <c r="A9" i="8"/>
  <c r="A10" i="8"/>
  <c r="A11" i="8"/>
  <c r="A12" i="8"/>
  <c r="A13" i="8"/>
  <c r="A5" i="8"/>
  <c r="D4" i="3"/>
  <c r="E4" i="3"/>
  <c r="F4" i="3"/>
  <c r="G4" i="3"/>
  <c r="H4" i="3"/>
  <c r="I4" i="3"/>
  <c r="J4" i="3"/>
  <c r="K4" i="3"/>
  <c r="I8" i="4"/>
  <c r="H16" i="3"/>
  <c r="K5" i="4"/>
  <c r="K6" i="4"/>
  <c r="K7" i="4"/>
  <c r="K8" i="4"/>
  <c r="K9" i="4"/>
  <c r="K10" i="4"/>
  <c r="K11" i="4"/>
  <c r="K12" i="4"/>
  <c r="K13" i="4"/>
  <c r="K4" i="4"/>
  <c r="L5" i="6"/>
  <c r="F5" i="6"/>
  <c r="L6" i="6"/>
  <c r="F6" i="6"/>
  <c r="L7" i="6"/>
  <c r="F7" i="6"/>
  <c r="L8" i="6"/>
  <c r="F8" i="6"/>
  <c r="L9" i="6"/>
  <c r="F9" i="6"/>
  <c r="L10" i="6"/>
  <c r="F10" i="6"/>
  <c r="L11" i="6"/>
  <c r="F11" i="6"/>
  <c r="L12" i="6"/>
  <c r="F12" i="6"/>
  <c r="L4" i="6"/>
  <c r="A5" i="6"/>
  <c r="A6" i="6"/>
  <c r="A7" i="6"/>
  <c r="A8" i="6"/>
  <c r="A9" i="6"/>
  <c r="A10" i="6"/>
  <c r="A11" i="6"/>
  <c r="A12" i="6"/>
  <c r="E13" i="4"/>
  <c r="I13" i="4"/>
  <c r="I5" i="4"/>
  <c r="I6" i="4"/>
  <c r="I7" i="4"/>
  <c r="I9" i="4"/>
  <c r="I10" i="4"/>
  <c r="I11" i="4"/>
  <c r="I12" i="4"/>
  <c r="B13" i="4"/>
  <c r="C13" i="4"/>
  <c r="F13" i="4"/>
  <c r="G5" i="4"/>
  <c r="G6" i="4"/>
  <c r="G7" i="4"/>
  <c r="G8" i="4"/>
  <c r="G9" i="4"/>
  <c r="G10" i="4"/>
  <c r="G11" i="4"/>
  <c r="G12" i="4"/>
  <c r="G13" i="4"/>
  <c r="G4" i="4"/>
  <c r="F5" i="4"/>
  <c r="F6" i="4"/>
  <c r="F7" i="4"/>
  <c r="F8" i="4"/>
  <c r="F9" i="4"/>
  <c r="F10" i="4"/>
  <c r="F11" i="4"/>
  <c r="F12" i="4"/>
  <c r="F4" i="4"/>
  <c r="A5" i="4"/>
  <c r="A6" i="4"/>
  <c r="A7" i="4"/>
  <c r="A8" i="4"/>
  <c r="A9" i="4"/>
  <c r="A10" i="4"/>
  <c r="A11" i="4"/>
  <c r="A12" i="4"/>
  <c r="C4" i="3"/>
  <c r="I4" i="4"/>
  <c r="F4" i="6"/>
</calcChain>
</file>

<file path=xl/sharedStrings.xml><?xml version="1.0" encoding="utf-8"?>
<sst xmlns="http://schemas.openxmlformats.org/spreadsheetml/2006/main" count="70" uniqueCount="64">
  <si>
    <t>净利润</t>
    <rPh sb="0" eb="1">
      <t>jing'li'run</t>
    </rPh>
    <phoneticPr fontId="2" type="noConversion"/>
  </si>
  <si>
    <t>年份</t>
    <rPh sb="0" eb="1">
      <t>nian'f</t>
    </rPh>
    <phoneticPr fontId="2" type="noConversion"/>
  </si>
  <si>
    <t>环比增长</t>
    <rPh sb="0" eb="1">
      <t>huan'bi</t>
    </rPh>
    <rPh sb="2" eb="3">
      <t>zeng'zhang</t>
    </rPh>
    <phoneticPr fontId="2" type="noConversion"/>
  </si>
  <si>
    <t>无风险利率</t>
    <rPh sb="0" eb="1">
      <t>wu'feng'xian</t>
    </rPh>
    <rPh sb="3" eb="4">
      <t>li'lv</t>
    </rPh>
    <phoneticPr fontId="2" type="noConversion"/>
  </si>
  <si>
    <t>最后pe</t>
    <rPh sb="0" eb="1">
      <t>zui'hou</t>
    </rPh>
    <phoneticPr fontId="2" type="noConversion"/>
  </si>
  <si>
    <t>年华增长</t>
    <rPh sb="0" eb="1">
      <t>nian'hua</t>
    </rPh>
    <rPh sb="2" eb="3">
      <t>zeng'zhang</t>
    </rPh>
    <phoneticPr fontId="2" type="noConversion"/>
  </si>
  <si>
    <t>年份</t>
    <rPh sb="0" eb="1">
      <t>nian'fen</t>
    </rPh>
    <phoneticPr fontId="2" type="noConversion"/>
  </si>
  <si>
    <t>扣非净利润</t>
    <rPh sb="0" eb="1">
      <t>kou'fei</t>
    </rPh>
    <rPh sb="2" eb="3">
      <t>jing'li'run</t>
    </rPh>
    <phoneticPr fontId="2" type="noConversion"/>
  </si>
  <si>
    <t>经营活动净额</t>
    <rPh sb="0" eb="1">
      <t>jing'ying</t>
    </rPh>
    <rPh sb="2" eb="3">
      <t>huo'dong</t>
    </rPh>
    <rPh sb="4" eb="5">
      <t>jing'e</t>
    </rPh>
    <phoneticPr fontId="2" type="noConversion"/>
  </si>
  <si>
    <t>扣非占比</t>
    <rPh sb="0" eb="1">
      <t>kou'fei</t>
    </rPh>
    <rPh sb="2" eb="3">
      <t>zhan'bi</t>
    </rPh>
    <phoneticPr fontId="2" type="noConversion"/>
  </si>
  <si>
    <t>合计</t>
    <rPh sb="0" eb="1">
      <t>he'ji</t>
    </rPh>
    <phoneticPr fontId="2" type="noConversion"/>
  </si>
  <si>
    <t>现利比</t>
    <rPh sb="0" eb="1">
      <t>xian</t>
    </rPh>
    <rPh sb="1" eb="2">
      <t>li</t>
    </rPh>
    <rPh sb="2" eb="3">
      <t>bi</t>
    </rPh>
    <phoneticPr fontId="2" type="noConversion"/>
  </si>
  <si>
    <t>计算现金流</t>
    <rPh sb="0" eb="1">
      <t>ji'suan</t>
    </rPh>
    <rPh sb="2" eb="3">
      <t>xian'jin'liu</t>
    </rPh>
    <phoneticPr fontId="2" type="noConversion"/>
  </si>
  <si>
    <t>现金流差值</t>
    <rPh sb="0" eb="1">
      <t>xian'jin'liu</t>
    </rPh>
    <rPh sb="3" eb="4">
      <t>cha'zhi</t>
    </rPh>
    <phoneticPr fontId="2" type="noConversion"/>
  </si>
  <si>
    <t>资产减值</t>
    <rPh sb="0" eb="1">
      <t>zi'chan</t>
    </rPh>
    <rPh sb="2" eb="3">
      <t>jian'zhi</t>
    </rPh>
    <phoneticPr fontId="2" type="noConversion"/>
  </si>
  <si>
    <t>加</t>
    <rPh sb="0" eb="1">
      <t>jia</t>
    </rPh>
    <phoneticPr fontId="2" type="noConversion"/>
  </si>
  <si>
    <t>折旧</t>
    <rPh sb="0" eb="1">
      <t>zhe'jiu</t>
    </rPh>
    <phoneticPr fontId="2" type="noConversion"/>
  </si>
  <si>
    <t>无形资产摊销</t>
    <rPh sb="0" eb="1">
      <t>wu'xing</t>
    </rPh>
    <rPh sb="2" eb="3">
      <t>zi'chan</t>
    </rPh>
    <rPh sb="4" eb="5">
      <t>tan'xiao</t>
    </rPh>
    <phoneticPr fontId="2" type="noConversion"/>
  </si>
  <si>
    <t>股东净利润</t>
    <rPh sb="0" eb="1">
      <t>gu'dong</t>
    </rPh>
    <rPh sb="2" eb="3">
      <t>jing'li'run</t>
    </rPh>
    <phoneticPr fontId="2" type="noConversion"/>
  </si>
  <si>
    <t>长期待摊销费摊销</t>
    <rPh sb="0" eb="1">
      <t>chang'qi</t>
    </rPh>
    <rPh sb="2" eb="3">
      <t>dai</t>
    </rPh>
    <rPh sb="3" eb="4">
      <t>tan'xiao</t>
    </rPh>
    <rPh sb="5" eb="6">
      <t>fei</t>
    </rPh>
    <rPh sb="6" eb="7">
      <t>tan'xiao</t>
    </rPh>
    <phoneticPr fontId="2" type="noConversion"/>
  </si>
  <si>
    <t>处置固定资产损失</t>
    <rPh sb="0" eb="1">
      <t>chu'zhi</t>
    </rPh>
    <rPh sb="2" eb="3">
      <t>gu'ding</t>
    </rPh>
    <rPh sb="4" eb="5">
      <t>zi'chan</t>
    </rPh>
    <rPh sb="6" eb="7">
      <t>sun'shi</t>
    </rPh>
    <phoneticPr fontId="2" type="noConversion"/>
  </si>
  <si>
    <t>财务费用</t>
    <rPh sb="0" eb="1">
      <t>cai'wu</t>
    </rPh>
    <rPh sb="2" eb="3">
      <t>fei'yong</t>
    </rPh>
    <phoneticPr fontId="2" type="noConversion"/>
  </si>
  <si>
    <t>投资损失</t>
    <rPh sb="0" eb="1">
      <t>tou'zi</t>
    </rPh>
    <rPh sb="2" eb="3">
      <t>sun'shi</t>
    </rPh>
    <phoneticPr fontId="2" type="noConversion"/>
  </si>
  <si>
    <t>递延所得税资产减少</t>
    <rPh sb="0" eb="1">
      <t>di'yan</t>
    </rPh>
    <rPh sb="2" eb="3">
      <t>suo'de</t>
    </rPh>
    <rPh sb="4" eb="5">
      <t>shui</t>
    </rPh>
    <rPh sb="5" eb="6">
      <t>zi'chan</t>
    </rPh>
    <rPh sb="7" eb="8">
      <t>jian'shao</t>
    </rPh>
    <phoneticPr fontId="2" type="noConversion"/>
  </si>
  <si>
    <t>存货减少</t>
    <rPh sb="0" eb="1">
      <t>cun'huo</t>
    </rPh>
    <rPh sb="2" eb="3">
      <t>jian'shao</t>
    </rPh>
    <phoneticPr fontId="2" type="noConversion"/>
  </si>
  <si>
    <t>经营性应收减少</t>
    <rPh sb="0" eb="1">
      <t>jing'ying'xing</t>
    </rPh>
    <rPh sb="3" eb="4">
      <t>ying'shou</t>
    </rPh>
    <rPh sb="5" eb="6">
      <t>jian'shao</t>
    </rPh>
    <phoneticPr fontId="2" type="noConversion"/>
  </si>
  <si>
    <t>经营性应付增加</t>
    <rPh sb="0" eb="1">
      <t>jing'ying'xing</t>
    </rPh>
    <rPh sb="3" eb="4">
      <t>ying'fu</t>
    </rPh>
    <rPh sb="5" eb="6">
      <t>zeng'jia</t>
    </rPh>
    <phoneticPr fontId="2" type="noConversion"/>
  </si>
  <si>
    <t>固定资产报废损失</t>
    <rPh sb="0" eb="1">
      <t>gu'ding</t>
    </rPh>
    <rPh sb="2" eb="3">
      <t>zi'chan</t>
    </rPh>
    <rPh sb="4" eb="5">
      <t>bao'fei</t>
    </rPh>
    <rPh sb="6" eb="7">
      <t>sun'shi</t>
    </rPh>
    <phoneticPr fontId="2" type="noConversion"/>
  </si>
  <si>
    <t>原材料</t>
    <rPh sb="0" eb="1">
      <t>yuan'cai'liao</t>
    </rPh>
    <phoneticPr fontId="2" type="noConversion"/>
  </si>
  <si>
    <t>在产品</t>
    <rPh sb="0" eb="1">
      <t>zai'chan'p</t>
    </rPh>
    <phoneticPr fontId="2" type="noConversion"/>
  </si>
  <si>
    <t>库存商品</t>
    <rPh sb="0" eb="1">
      <t>ku'cun</t>
    </rPh>
    <rPh sb="2" eb="3">
      <t>shang'p</t>
    </rPh>
    <phoneticPr fontId="2" type="noConversion"/>
  </si>
  <si>
    <t>建造合同形成的已完工未结算资产</t>
    <rPh sb="0" eb="1">
      <t>jian'zao</t>
    </rPh>
    <rPh sb="2" eb="3">
      <t>he'tong</t>
    </rPh>
    <rPh sb="4" eb="5">
      <t>xing'cheng</t>
    </rPh>
    <rPh sb="6" eb="7">
      <t>de</t>
    </rPh>
    <rPh sb="7" eb="8">
      <t>yi'wan'gong</t>
    </rPh>
    <rPh sb="10" eb="11">
      <t>wei'jie'suan</t>
    </rPh>
    <rPh sb="13" eb="14">
      <t>zi'chan</t>
    </rPh>
    <phoneticPr fontId="2" type="noConversion"/>
  </si>
  <si>
    <t>半成品</t>
    <rPh sb="0" eb="1">
      <t>ban'cheng'p</t>
    </rPh>
    <phoneticPr fontId="2" type="noConversion"/>
  </si>
  <si>
    <t>发出商品</t>
    <rPh sb="0" eb="1">
      <t>fa'chu</t>
    </rPh>
    <rPh sb="2" eb="3">
      <t>shang'p</t>
    </rPh>
    <phoneticPr fontId="2" type="noConversion"/>
  </si>
  <si>
    <t>运营成本</t>
    <rPh sb="0" eb="1">
      <t>yun'ying</t>
    </rPh>
    <rPh sb="2" eb="3">
      <t>cheng'ben</t>
    </rPh>
    <phoneticPr fontId="2" type="noConversion"/>
  </si>
  <si>
    <t>低值易耗品</t>
    <rPh sb="0" eb="1">
      <t>di'zhi</t>
    </rPh>
    <rPh sb="2" eb="3">
      <t>yi'hao'p</t>
    </rPh>
    <phoneticPr fontId="2" type="noConversion"/>
  </si>
  <si>
    <t>劳务成本</t>
    <rPh sb="0" eb="1">
      <t>lao'wu'cheng'ben</t>
    </rPh>
    <phoneticPr fontId="2" type="noConversion"/>
  </si>
  <si>
    <t>未结算资产占比</t>
    <rPh sb="0" eb="1">
      <t>wei'jie'suan</t>
    </rPh>
    <rPh sb="3" eb="4">
      <t>zi'chan</t>
    </rPh>
    <rPh sb="5" eb="6">
      <t>zhan'bi</t>
    </rPh>
    <phoneticPr fontId="2" type="noConversion"/>
  </si>
  <si>
    <t>资产减值净利润比</t>
    <rPh sb="0" eb="1">
      <t>zi'chan</t>
    </rPh>
    <rPh sb="2" eb="3">
      <t>jian'zhi</t>
    </rPh>
    <rPh sb="4" eb="5">
      <t>jing'li'run</t>
    </rPh>
    <rPh sb="7" eb="8">
      <t>bi</t>
    </rPh>
    <phoneticPr fontId="2" type="noConversion"/>
  </si>
  <si>
    <t>折扣</t>
    <rPh sb="0" eb="1">
      <t>zhe'kou</t>
    </rPh>
    <phoneticPr fontId="2" type="noConversion"/>
  </si>
  <si>
    <t>公允价值变动损失</t>
    <rPh sb="0" eb="1">
      <t>gong'yun</t>
    </rPh>
    <rPh sb="2" eb="3">
      <t>jia'zhi</t>
    </rPh>
    <rPh sb="4" eb="5">
      <t>bian'dong</t>
    </rPh>
    <rPh sb="6" eb="7">
      <t>sun'shi</t>
    </rPh>
    <phoneticPr fontId="2" type="noConversion"/>
  </si>
  <si>
    <t>经营活动产生的现金流量净额</t>
    <phoneticPr fontId="2" type="noConversion"/>
  </si>
  <si>
    <t>初始净利润</t>
    <rPh sb="0" eb="1">
      <t>chu'shi</t>
    </rPh>
    <rPh sb="2" eb="3">
      <t>jing'li'run</t>
    </rPh>
    <phoneticPr fontId="2" type="noConversion"/>
  </si>
  <si>
    <t>预估净利润</t>
    <rPh sb="0" eb="1">
      <t>yu'gu</t>
    </rPh>
    <rPh sb="2" eb="3">
      <t>jinl'gi'run</t>
    </rPh>
    <phoneticPr fontId="2" type="noConversion"/>
  </si>
  <si>
    <t>折现价值</t>
    <rPh sb="0" eb="1">
      <t>zhe'xian</t>
    </rPh>
    <rPh sb="2" eb="3">
      <t>jia'zhi</t>
    </rPh>
    <phoneticPr fontId="2" type="noConversion"/>
  </si>
  <si>
    <t>最终估值</t>
    <rPh sb="0" eb="1">
      <t>zui'zhong</t>
    </rPh>
    <rPh sb="2" eb="3">
      <t>gu'zhi</t>
    </rPh>
    <phoneticPr fontId="2" type="noConversion"/>
  </si>
  <si>
    <t>折扣估值</t>
    <rPh sb="0" eb="1">
      <t>zhe'kou</t>
    </rPh>
    <rPh sb="2" eb="3">
      <t>gu'zhi</t>
    </rPh>
    <phoneticPr fontId="2" type="noConversion"/>
  </si>
  <si>
    <t>递延所得税负债增加</t>
    <rPh sb="0" eb="1">
      <t>di'yan</t>
    </rPh>
    <rPh sb="2" eb="3">
      <t>suo'de'shui</t>
    </rPh>
    <rPh sb="5" eb="6">
      <t>fu'zhai</t>
    </rPh>
    <rPh sb="7" eb="8">
      <t>zeng'jia</t>
    </rPh>
    <phoneticPr fontId="2" type="noConversion"/>
  </si>
  <si>
    <t>其他</t>
    <rPh sb="0" eb="1">
      <t>qi'ta</t>
    </rPh>
    <phoneticPr fontId="2" type="noConversion"/>
  </si>
  <si>
    <t>年份</t>
    <phoneticPr fontId="2" type="noConversion"/>
  </si>
  <si>
    <t>净利润</t>
    <phoneticPr fontId="2" type="noConversion"/>
  </si>
  <si>
    <t>所有者权益（净资产）</t>
    <phoneticPr fontId="2" type="noConversion"/>
  </si>
  <si>
    <t>roe</t>
    <phoneticPr fontId="2" type="noConversion"/>
  </si>
  <si>
    <t>以权益结算的股份支付</t>
    <phoneticPr fontId="2" type="noConversion"/>
  </si>
  <si>
    <t>受限资金的变动</t>
    <phoneticPr fontId="2" type="noConversion"/>
  </si>
  <si>
    <t>经营性其他非流动资产的增加</t>
    <phoneticPr fontId="2" type="noConversion"/>
  </si>
  <si>
    <t>现利比为74%，基本健康，分析主要原因，近9年累积净利润465亿，累积经营活动现金流净额只有347亿，差值118亿
近9年的差值主要为：资产减值20亿+折旧13亿+财务费用3亿+应付增加了145亿-递延所得税增加5.1亿-应收增加了227亿-投资损失4.8亿-存货58=113.9亿约等于118亿
可以看到，差值的主要原因是：
1. 应收227亿，应付145亿，应收-应付 82亿
2. 存货58亿
3. 折旧13亿
总结：当前财报暂时未看出大问题，典型的第三方外包项目型公司</t>
    <rPh sb="3" eb="4">
      <t>wei</t>
    </rPh>
    <rPh sb="8" eb="9">
      <t>xian'jin'liu</t>
    </rPh>
    <rPh sb="11" eb="12">
      <t>zhan'bi</t>
    </rPh>
    <rPh sb="13" eb="14">
      <t>tai'di</t>
    </rPh>
    <rPh sb="16" eb="17">
      <t>fen'xi</t>
    </rPh>
    <rPh sb="18" eb="19">
      <t>zhu'yao</t>
    </rPh>
    <rPh sb="20" eb="21">
      <t>yuan'y</t>
    </rPh>
    <rPh sb="23" eb="24">
      <t>jin</t>
    </rPh>
    <rPh sb="25" eb="26">
      <t>nian</t>
    </rPh>
    <rPh sb="26" eb="27">
      <t>lei'ji</t>
    </rPh>
    <rPh sb="28" eb="29">
      <t>jing'li'run</t>
    </rPh>
    <rPh sb="34" eb="35">
      <t>yi</t>
    </rPh>
    <rPh sb="36" eb="37">
      <t>lei'ji</t>
    </rPh>
    <rPh sb="38" eb="39">
      <t>jing'ying</t>
    </rPh>
    <rPh sb="40" eb="41">
      <t>huo'dong</t>
    </rPh>
    <rPh sb="42" eb="43">
      <t>xian'jin'liu</t>
    </rPh>
    <rPh sb="45" eb="46">
      <t>jing'e</t>
    </rPh>
    <rPh sb="47" eb="48">
      <t>zhi'you</t>
    </rPh>
    <rPh sb="51" eb="52">
      <t>yi</t>
    </rPh>
    <rPh sb="53" eb="54">
      <t>cha'zhi</t>
    </rPh>
    <rPh sb="57" eb="58">
      <t>yi</t>
    </rPh>
    <rPh sb="69" eb="70">
      <t>zi'chan</t>
    </rPh>
    <rPh sb="71" eb="72">
      <t>jian'zhi</t>
    </rPh>
    <rPh sb="75" eb="76">
      <t>yi</t>
    </rPh>
    <rPh sb="108" eb="109">
      <t>di'yan'suo'de</t>
    </rPh>
    <rPh sb="113" eb="114">
      <t>zeng'jia</t>
    </rPh>
    <rPh sb="118" eb="119">
      <t>yi</t>
    </rPh>
    <rPh sb="130" eb="131">
      <t>tou'zi</t>
    </rPh>
    <rPh sb="132" eb="133">
      <t>sun'shi</t>
    </rPh>
    <rPh sb="136" eb="137">
      <t>yi</t>
    </rPh>
    <rPh sb="168" eb="169">
      <t>ying'shou</t>
    </rPh>
    <rPh sb="173" eb="174">
      <t>yi</t>
    </rPh>
    <rPh sb="175" eb="176">
      <t>ying'fu</t>
    </rPh>
    <rPh sb="179" eb="180">
      <t>yi</t>
    </rPh>
    <rPh sb="181" eb="182">
      <t>ying'shou</t>
    </rPh>
    <rPh sb="184" eb="185">
      <t>ying'fu</t>
    </rPh>
    <rPh sb="189" eb="190">
      <t>yi</t>
    </rPh>
    <rPh sb="194" eb="195">
      <t>tou'zi</t>
    </rPh>
    <rPh sb="196" eb="197">
      <t>sun'shi</t>
    </rPh>
    <rPh sb="200" eb="201">
      <t>y</t>
    </rPh>
    <rPh sb="205" eb="206">
      <t>zi'chan</t>
    </rPh>
    <rPh sb="207" eb="208">
      <t>jian'zhi</t>
    </rPh>
    <rPh sb="210" eb="211">
      <t>zhe'jiu</t>
    </rPh>
    <rPh sb="214" eb="215">
      <t>yi</t>
    </rPh>
    <rPh sb="218" eb="219">
      <t>zong'jie</t>
    </rPh>
    <rPh sb="221" eb="222">
      <t>dang'qian</t>
    </rPh>
    <rPh sb="223" eb="224">
      <t>cai'bao</t>
    </rPh>
    <rPh sb="225" eb="226">
      <t>zan'shi</t>
    </rPh>
    <rPh sb="227" eb="228">
      <t>wei</t>
    </rPh>
    <rPh sb="228" eb="229">
      <t>kan'chu</t>
    </rPh>
    <rPh sb="230" eb="231">
      <t>da'wen'ti</t>
    </rPh>
    <rPh sb="234" eb="235">
      <t>dian'xing</t>
    </rPh>
    <rPh sb="236" eb="237">
      <t>de</t>
    </rPh>
    <rPh sb="237" eb="238">
      <t>di'san'fangwai'baoxiang'mu'xinggong'si</t>
    </rPh>
    <phoneticPr fontId="2" type="noConversion"/>
  </si>
  <si>
    <t>现金流折扣</t>
    <rPh sb="0" eb="1">
      <t>xian'jin'liu</t>
    </rPh>
    <rPh sb="3" eb="4">
      <t>zhe'kou</t>
    </rPh>
    <phoneticPr fontId="2" type="noConversion"/>
  </si>
  <si>
    <t>符合增长</t>
    <rPh sb="0" eb="1">
      <t>fu'he</t>
    </rPh>
    <rPh sb="2" eb="3">
      <t>zeng'zhang</t>
    </rPh>
    <phoneticPr fontId="2" type="noConversion"/>
  </si>
  <si>
    <t>近5年复合增长</t>
    <rPh sb="0" eb="1">
      <t>jin</t>
    </rPh>
    <rPh sb="2" eb="3">
      <t>nian</t>
    </rPh>
    <rPh sb="3" eb="4">
      <t>fu'he</t>
    </rPh>
    <rPh sb="5" eb="6">
      <t>zeng'zhang</t>
    </rPh>
    <phoneticPr fontId="2" type="noConversion"/>
  </si>
  <si>
    <t>总股本</t>
    <rPh sb="0" eb="1">
      <t>zong</t>
    </rPh>
    <rPh sb="1" eb="2">
      <t>gu'ben</t>
    </rPh>
    <phoneticPr fontId="2" type="noConversion"/>
  </si>
  <si>
    <t>目标价格</t>
    <rPh sb="0" eb="1">
      <t>mu'biao</t>
    </rPh>
    <rPh sb="2" eb="3">
      <t>jia'ge</t>
    </rPh>
    <phoneticPr fontId="2" type="noConversion"/>
  </si>
  <si>
    <t>成本</t>
    <rPh sb="0" eb="1">
      <t>cheng'ben</t>
    </rPh>
    <phoneticPr fontId="2" type="noConversion"/>
  </si>
  <si>
    <t>期望涨幅</t>
    <rPh sb="0" eb="1">
      <t>qi'wang</t>
    </rPh>
    <rPh sb="2" eb="3">
      <t>zhang'fu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</si>
</sst>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 "/>
    <numFmt numFmtId="177" formatCode="#,##0.00_ ;[Red]\-#,##0.00\ "/>
  </numFmts>
  <fonts count="4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rgb="FF333333"/>
      <name val="Microsoft YaHe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76" fontId="0" fillId="0" borderId="0" xfId="0" applyNumberFormat="1"/>
    <xf numFmtId="10" fontId="0" fillId="0" borderId="0" xfId="0" applyNumberFormat="1"/>
    <xf numFmtId="4" fontId="0" fillId="0" borderId="0" xfId="0" applyNumberFormat="1"/>
    <xf numFmtId="4" fontId="0" fillId="0" borderId="0" xfId="0" applyNumberFormat="1" applyFont="1"/>
    <xf numFmtId="177" fontId="0" fillId="0" borderId="0" xfId="0" applyNumberFormat="1"/>
    <xf numFmtId="0" fontId="3" fillId="0" borderId="0" xfId="0" applyFont="1"/>
    <xf numFmtId="177" fontId="0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/>
    <xf numFmtId="4" fontId="1" fillId="0" borderId="0" xfId="0" applyNumberFormat="1" applyFont="1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现金流净利润比!$D$3</c:f>
              <c:strCache>
                <c:ptCount val="1"/>
                <c:pt idx="0">
                  <c:v>净利润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现金流净利润比!$A$4:$A$12</c:f>
              <c:numCache>
                <c:formatCode>General</c:formatCode>
                <c:ptCount val="9"/>
                <c:pt idx="0">
                  <c:v>2018.0</c:v>
                </c:pt>
                <c:pt idx="1">
                  <c:v>2017.0</c:v>
                </c:pt>
                <c:pt idx="2">
                  <c:v>2016.0</c:v>
                </c:pt>
                <c:pt idx="3">
                  <c:v>2015.0</c:v>
                </c:pt>
                <c:pt idx="4">
                  <c:v>2014.0</c:v>
                </c:pt>
                <c:pt idx="5">
                  <c:v>2013.0</c:v>
                </c:pt>
                <c:pt idx="6">
                  <c:v>2012.0</c:v>
                </c:pt>
                <c:pt idx="7">
                  <c:v>2011.0</c:v>
                </c:pt>
                <c:pt idx="8">
                  <c:v>2010.0</c:v>
                </c:pt>
              </c:numCache>
            </c:numRef>
          </c:cat>
          <c:val>
            <c:numRef>
              <c:f>现金流净利润比!$D$4:$D$12</c:f>
              <c:numCache>
                <c:formatCode>#,##0.00_ ;[Red]\-#,##0.00\ </c:formatCode>
                <c:ptCount val="9"/>
                <c:pt idx="0">
                  <c:v>1.138169286466E10</c:v>
                </c:pt>
                <c:pt idx="1">
                  <c:v>9.37750163982E9</c:v>
                </c:pt>
                <c:pt idx="2">
                  <c:v>7.42027314044E9</c:v>
                </c:pt>
                <c:pt idx="3">
                  <c:v>5.8823978447E9</c:v>
                </c:pt>
                <c:pt idx="4">
                  <c:v>4.68070123666E9</c:v>
                </c:pt>
                <c:pt idx="5" formatCode="#,##0.00">
                  <c:v>3.07705294856E9</c:v>
                </c:pt>
                <c:pt idx="6">
                  <c:v>2.14042634048E9</c:v>
                </c:pt>
                <c:pt idx="7">
                  <c:v>1.48248292378E9</c:v>
                </c:pt>
                <c:pt idx="8">
                  <c:v>1.05237523676E9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F73-4E57-94BB-29D1AB49CA2B}"/>
            </c:ext>
          </c:extLst>
        </c:ser>
        <c:ser>
          <c:idx val="1"/>
          <c:order val="1"/>
          <c:tx>
            <c:strRef>
              <c:f>现金流净利润比!$E$3</c:f>
              <c:strCache>
                <c:ptCount val="1"/>
                <c:pt idx="0">
                  <c:v>经营活动净额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现金流净利润比!$A$4:$A$12</c:f>
              <c:numCache>
                <c:formatCode>General</c:formatCode>
                <c:ptCount val="9"/>
                <c:pt idx="0">
                  <c:v>2018.0</c:v>
                </c:pt>
                <c:pt idx="1">
                  <c:v>2017.0</c:v>
                </c:pt>
                <c:pt idx="2">
                  <c:v>2016.0</c:v>
                </c:pt>
                <c:pt idx="3">
                  <c:v>2015.0</c:v>
                </c:pt>
                <c:pt idx="4">
                  <c:v>2014.0</c:v>
                </c:pt>
                <c:pt idx="5">
                  <c:v>2013.0</c:v>
                </c:pt>
                <c:pt idx="6">
                  <c:v>2012.0</c:v>
                </c:pt>
                <c:pt idx="7">
                  <c:v>2011.0</c:v>
                </c:pt>
                <c:pt idx="8">
                  <c:v>2010.0</c:v>
                </c:pt>
              </c:numCache>
            </c:numRef>
          </c:cat>
          <c:val>
            <c:numRef>
              <c:f>现金流净利润比!$E$4:$E$12</c:f>
              <c:numCache>
                <c:formatCode>#,##0.00_ ;[Red]\-#,##0.00\ </c:formatCode>
                <c:ptCount val="9"/>
                <c:pt idx="0">
                  <c:v>9.11401328606E9</c:v>
                </c:pt>
                <c:pt idx="1">
                  <c:v>7.37316025068E9</c:v>
                </c:pt>
                <c:pt idx="2">
                  <c:v>6.21369216056E9</c:v>
                </c:pt>
                <c:pt idx="3">
                  <c:v>3.21672216917E9</c:v>
                </c:pt>
                <c:pt idx="4">
                  <c:v>3.70642078204E9</c:v>
                </c:pt>
                <c:pt idx="5">
                  <c:v>1.86336581163E9</c:v>
                </c:pt>
                <c:pt idx="6">
                  <c:v>1.43678986142E9</c:v>
                </c:pt>
                <c:pt idx="7">
                  <c:v>1.17046143324E9</c:v>
                </c:pt>
                <c:pt idx="8">
                  <c:v>6.6392603274E8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F73-4E57-94BB-29D1AB49C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5376352"/>
        <c:axId val="-2116253408"/>
      </c:barChart>
      <c:catAx>
        <c:axId val="-210537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16253408"/>
        <c:crosses val="autoZero"/>
        <c:auto val="1"/>
        <c:lblAlgn val="ctr"/>
        <c:lblOffset val="100"/>
        <c:noMultiLvlLbl val="0"/>
      </c:catAx>
      <c:valAx>
        <c:axId val="-211625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 ;[Red]\-#,##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0537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15</xdr:row>
      <xdr:rowOff>1209675</xdr:rowOff>
    </xdr:from>
    <xdr:to>
      <xdr:col>11</xdr:col>
      <xdr:colOff>19050</xdr:colOff>
      <xdr:row>27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E25" sqref="E25"/>
    </sheetView>
  </sheetViews>
  <sheetFormatPr baseColWidth="10" defaultColWidth="11" defaultRowHeight="15" x14ac:dyDescent="0.2"/>
  <cols>
    <col min="1" max="1" width="17.83203125" customWidth="1"/>
    <col min="2" max="2" width="17.5" customWidth="1"/>
    <col min="3" max="3" width="15.83203125" customWidth="1"/>
    <col min="4" max="4" width="16.1640625" customWidth="1"/>
    <col min="5" max="5" width="15.83203125" customWidth="1"/>
    <col min="6" max="6" width="18.6640625" customWidth="1"/>
    <col min="7" max="7" width="17.5" customWidth="1"/>
    <col min="8" max="8" width="19.5" customWidth="1"/>
    <col min="9" max="9" width="16.33203125" customWidth="1"/>
    <col min="10" max="10" width="16.83203125" customWidth="1"/>
    <col min="11" max="11" width="16.33203125" customWidth="1"/>
  </cols>
  <sheetData>
    <row r="1" spans="1:12" ht="15" customHeight="1" x14ac:dyDescent="0.2"/>
    <row r="2" spans="1:12" ht="21" x14ac:dyDescent="0.3">
      <c r="A2" t="s">
        <v>1</v>
      </c>
      <c r="B2" s="6">
        <v>2009</v>
      </c>
      <c r="C2" s="6">
        <v>2010</v>
      </c>
      <c r="D2" s="6">
        <v>2011</v>
      </c>
      <c r="E2" s="6">
        <v>2012</v>
      </c>
      <c r="F2" s="6">
        <v>2013</v>
      </c>
      <c r="G2" s="6">
        <v>2014</v>
      </c>
      <c r="H2" s="6">
        <v>2015</v>
      </c>
      <c r="I2" s="6">
        <v>2016</v>
      </c>
      <c r="J2" s="6">
        <v>2017</v>
      </c>
      <c r="K2" s="6">
        <v>2018</v>
      </c>
    </row>
    <row r="3" spans="1:12" ht="21" x14ac:dyDescent="0.3">
      <c r="A3" s="6" t="s">
        <v>41</v>
      </c>
      <c r="B3" s="6"/>
      <c r="C3" s="5">
        <v>1051804319.23</v>
      </c>
      <c r="D3" s="5">
        <v>1481012967.98</v>
      </c>
      <c r="E3" s="5">
        <v>2136873134.55</v>
      </c>
      <c r="F3" s="5">
        <v>2977541251.73</v>
      </c>
      <c r="G3" s="5">
        <v>4474975306.54</v>
      </c>
      <c r="H3" s="5">
        <v>5869049646</v>
      </c>
      <c r="I3" s="5">
        <v>7422261983.1669998</v>
      </c>
      <c r="J3" s="5">
        <v>9410855084.8199997</v>
      </c>
      <c r="K3" s="5">
        <v>11352869241.32</v>
      </c>
    </row>
    <row r="4" spans="1:12" x14ac:dyDescent="0.2">
      <c r="A4" t="s">
        <v>2</v>
      </c>
      <c r="C4" s="2" t="e">
        <f>(C3-B3)/B3</f>
        <v>#DIV/0!</v>
      </c>
      <c r="D4" s="2">
        <f t="shared" ref="D4:K4" si="0">(D3-C3)/C3</f>
        <v>0.40806891634007841</v>
      </c>
      <c r="E4" s="2">
        <f t="shared" si="0"/>
        <v>0.44284566087530491</v>
      </c>
      <c r="F4" s="2">
        <f t="shared" si="0"/>
        <v>0.39341040120148957</v>
      </c>
      <c r="G4" s="2">
        <f t="shared" si="0"/>
        <v>0.50290959157659576</v>
      </c>
      <c r="H4" s="2">
        <f t="shared" si="0"/>
        <v>0.31152671109103447</v>
      </c>
      <c r="I4" s="2">
        <f t="shared" si="0"/>
        <v>0.26464460702348602</v>
      </c>
      <c r="J4" s="2">
        <f t="shared" si="0"/>
        <v>0.26792278501660871</v>
      </c>
      <c r="K4" s="2">
        <f t="shared" si="0"/>
        <v>0.20635894815047454</v>
      </c>
    </row>
    <row r="5" spans="1:12" x14ac:dyDescent="0.2">
      <c r="A5" t="s">
        <v>58</v>
      </c>
      <c r="B5" s="2">
        <f>(K3/C3)^(1/8)-1</f>
        <v>0.34631391877263407</v>
      </c>
    </row>
    <row r="6" spans="1:12" x14ac:dyDescent="0.2">
      <c r="A6" t="s">
        <v>59</v>
      </c>
      <c r="B6" s="2">
        <f>(K3/G3)^(1/4)-1</f>
        <v>0.26205635538735339</v>
      </c>
    </row>
    <row r="7" spans="1:12" x14ac:dyDescent="0.2">
      <c r="B7" s="2"/>
    </row>
    <row r="9" spans="1:12" x14ac:dyDescent="0.2">
      <c r="A9" s="12" t="s">
        <v>42</v>
      </c>
      <c r="B9" s="12" t="s">
        <v>3</v>
      </c>
      <c r="C9" s="12" t="s">
        <v>4</v>
      </c>
      <c r="D9" s="12" t="s">
        <v>5</v>
      </c>
      <c r="E9" s="12" t="s">
        <v>39</v>
      </c>
      <c r="F9" s="12" t="s">
        <v>57</v>
      </c>
    </row>
    <row r="10" spans="1:12" x14ac:dyDescent="0.2">
      <c r="A10" s="13">
        <f>K3*F10</f>
        <v>8401123238.5767994</v>
      </c>
      <c r="B10" s="12">
        <v>0.05</v>
      </c>
      <c r="C10" s="12">
        <v>20</v>
      </c>
      <c r="D10" s="12">
        <v>0.1</v>
      </c>
      <c r="E10" s="12">
        <v>0.7</v>
      </c>
      <c r="F10" s="12">
        <v>0.74</v>
      </c>
    </row>
    <row r="11" spans="1:12" x14ac:dyDescent="0.2">
      <c r="A11" s="1"/>
    </row>
    <row r="12" spans="1:12" x14ac:dyDescent="0.2">
      <c r="A12" s="12"/>
      <c r="B12" s="14">
        <v>0.18</v>
      </c>
      <c r="C12" s="14">
        <v>0.18</v>
      </c>
      <c r="D12" s="14">
        <v>0.18</v>
      </c>
      <c r="E12" s="14">
        <v>0.18</v>
      </c>
      <c r="F12" s="14">
        <v>0.18</v>
      </c>
      <c r="G12" s="12"/>
      <c r="H12" s="12"/>
    </row>
    <row r="13" spans="1:12" x14ac:dyDescent="0.2">
      <c r="A13" s="12" t="s">
        <v>1</v>
      </c>
      <c r="B13" s="12">
        <v>2019</v>
      </c>
      <c r="C13" s="12">
        <v>2020</v>
      </c>
      <c r="D13" s="12">
        <v>2021</v>
      </c>
      <c r="E13" s="12">
        <v>2022</v>
      </c>
      <c r="F13" s="12">
        <v>2023</v>
      </c>
      <c r="G13" s="12"/>
      <c r="H13" s="12" t="s">
        <v>45</v>
      </c>
      <c r="I13" t="s">
        <v>60</v>
      </c>
      <c r="J13" t="s">
        <v>61</v>
      </c>
      <c r="K13" s="12" t="s">
        <v>62</v>
      </c>
      <c r="L13" s="12" t="s">
        <v>63</v>
      </c>
    </row>
    <row r="14" spans="1:12" x14ac:dyDescent="0.2">
      <c r="A14" s="12" t="s">
        <v>43</v>
      </c>
      <c r="B14" s="15">
        <f>A10*(1+D10)</f>
        <v>9241235562.4344807</v>
      </c>
      <c r="C14" s="15">
        <f>B14*(1+D10)</f>
        <v>10165359118.677929</v>
      </c>
      <c r="D14" s="15">
        <f>C14*(1+D10)</f>
        <v>11181895030.545723</v>
      </c>
      <c r="E14" s="15">
        <f>D14*(1+D10)</f>
        <v>12300084533.600296</v>
      </c>
      <c r="F14" s="15">
        <f>E14*(1+D10)</f>
        <v>13530092986.960327</v>
      </c>
      <c r="G14" s="15">
        <f>F14*C10</f>
        <v>270601859739.20654</v>
      </c>
      <c r="H14" s="12"/>
    </row>
    <row r="15" spans="1:12" x14ac:dyDescent="0.2">
      <c r="A15" s="12" t="s">
        <v>44</v>
      </c>
      <c r="B15" s="13">
        <f>B14/(1+B10)</f>
        <v>8801176726.1280766</v>
      </c>
      <c r="C15" s="13">
        <f>C14/(1+B10)^2</f>
        <v>9220280379.7532234</v>
      </c>
      <c r="D15" s="13">
        <f>D14/(1+B10)^3</f>
        <v>9659341350.2176628</v>
      </c>
      <c r="E15" s="13">
        <f>E14/(1+B10)^4</f>
        <v>10119309985.942314</v>
      </c>
      <c r="F15" s="13">
        <f>F14/(1+B10)^5</f>
        <v>10601181890.034807</v>
      </c>
      <c r="G15" s="13">
        <f>G14/(1+B10)^4</f>
        <v>222624819690.73096</v>
      </c>
      <c r="H15" s="13">
        <f>SUM(B15:G15)</f>
        <v>271026110022.80704</v>
      </c>
      <c r="I15" s="18">
        <v>9348465931</v>
      </c>
      <c r="J15">
        <f>H15/I15</f>
        <v>28.991506416477417</v>
      </c>
      <c r="K15">
        <v>28.83</v>
      </c>
      <c r="L15" s="2">
        <f>J15/K15</f>
        <v>1.0056020262392444</v>
      </c>
    </row>
    <row r="16" spans="1:12" x14ac:dyDescent="0.2">
      <c r="A16" s="12"/>
      <c r="B16" s="13"/>
      <c r="C16" s="13"/>
      <c r="D16" s="13"/>
      <c r="E16" s="13"/>
      <c r="F16" s="13"/>
      <c r="G16" s="13" t="s">
        <v>46</v>
      </c>
      <c r="H16" s="13">
        <f>H15*E10</f>
        <v>189718277015.9649</v>
      </c>
      <c r="J16">
        <v>2018</v>
      </c>
      <c r="K16" s="5">
        <v>11352869241.32</v>
      </c>
    </row>
    <row r="17" spans="10:11" x14ac:dyDescent="0.2">
      <c r="J17">
        <f>J16-1</f>
        <v>2017</v>
      </c>
      <c r="K17" s="5">
        <v>9410855084.8199997</v>
      </c>
    </row>
    <row r="18" spans="10:11" x14ac:dyDescent="0.2">
      <c r="J18">
        <f>J17-1</f>
        <v>2016</v>
      </c>
      <c r="K18" s="5">
        <v>7422261983.1669998</v>
      </c>
    </row>
    <row r="19" spans="10:11" x14ac:dyDescent="0.2">
      <c r="J19">
        <f t="shared" ref="J19:J23" si="1">J18-1</f>
        <v>2015</v>
      </c>
      <c r="K19" s="5">
        <v>5869049646</v>
      </c>
    </row>
    <row r="20" spans="10:11" x14ac:dyDescent="0.2">
      <c r="J20">
        <f>J19-1</f>
        <v>2014</v>
      </c>
      <c r="K20" s="5">
        <v>4474975306.54</v>
      </c>
    </row>
    <row r="21" spans="10:11" x14ac:dyDescent="0.2">
      <c r="J21">
        <f t="shared" si="1"/>
        <v>2013</v>
      </c>
      <c r="K21" s="5">
        <v>2977541251.73</v>
      </c>
    </row>
    <row r="22" spans="10:11" x14ac:dyDescent="0.2">
      <c r="J22">
        <f>J21-1</f>
        <v>2012</v>
      </c>
      <c r="K22" s="5">
        <v>2136873134.55</v>
      </c>
    </row>
    <row r="23" spans="10:11" x14ac:dyDescent="0.2">
      <c r="J23">
        <f t="shared" si="1"/>
        <v>2011</v>
      </c>
      <c r="K23" s="5">
        <v>1481012967.98</v>
      </c>
    </row>
    <row r="24" spans="10:11" x14ac:dyDescent="0.2">
      <c r="J24">
        <f>J23-1</f>
        <v>2010</v>
      </c>
      <c r="K24" s="5">
        <v>1051804319.23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8"/>
  <sheetViews>
    <sheetView workbookViewId="0">
      <selection activeCell="A17" sqref="A17"/>
    </sheetView>
  </sheetViews>
  <sheetFormatPr baseColWidth="10" defaultColWidth="11" defaultRowHeight="15" x14ac:dyDescent="0.2"/>
  <cols>
    <col min="2" max="2" width="17.83203125" customWidth="1"/>
    <col min="3" max="3" width="16.33203125" customWidth="1"/>
    <col min="4" max="4" width="17.1640625" bestFit="1" customWidth="1"/>
    <col min="5" max="5" width="17.83203125" customWidth="1"/>
    <col min="8" max="8" width="18.5" customWidth="1"/>
    <col min="9" max="9" width="16.1640625" customWidth="1"/>
    <col min="10" max="10" width="17.33203125" customWidth="1"/>
    <col min="11" max="11" width="16.6640625" customWidth="1"/>
    <col min="12" max="12" width="15" customWidth="1"/>
    <col min="13" max="13" width="14.5" customWidth="1"/>
    <col min="14" max="23" width="17.83203125" customWidth="1"/>
    <col min="24" max="25" width="15.6640625" customWidth="1"/>
    <col min="26" max="26" width="17.83203125" customWidth="1"/>
    <col min="27" max="27" width="17.1640625" customWidth="1"/>
    <col min="28" max="29" width="15.1640625" bestFit="1" customWidth="1"/>
    <col min="30" max="30" width="13.6640625" bestFit="1" customWidth="1"/>
    <col min="31" max="31" width="14.6640625" customWidth="1"/>
    <col min="32" max="32" width="18.1640625" customWidth="1"/>
  </cols>
  <sheetData>
    <row r="2" spans="1:32" x14ac:dyDescent="0.2">
      <c r="J2" t="s">
        <v>15</v>
      </c>
      <c r="L2" t="s">
        <v>15</v>
      </c>
      <c r="AD2" t="s">
        <v>15</v>
      </c>
      <c r="AF2" t="s">
        <v>15</v>
      </c>
    </row>
    <row r="3" spans="1:32" x14ac:dyDescent="0.2">
      <c r="A3" t="s">
        <v>6</v>
      </c>
      <c r="B3" t="s">
        <v>18</v>
      </c>
      <c r="C3" t="s">
        <v>7</v>
      </c>
      <c r="D3" t="s">
        <v>0</v>
      </c>
      <c r="E3" t="s">
        <v>8</v>
      </c>
      <c r="F3" t="s">
        <v>9</v>
      </c>
      <c r="G3" t="s">
        <v>11</v>
      </c>
      <c r="H3" t="s">
        <v>12</v>
      </c>
      <c r="I3" t="s">
        <v>13</v>
      </c>
      <c r="J3" t="s">
        <v>14</v>
      </c>
      <c r="K3" t="s">
        <v>38</v>
      </c>
      <c r="L3" t="s">
        <v>16</v>
      </c>
      <c r="M3" t="s">
        <v>17</v>
      </c>
      <c r="N3" t="s">
        <v>19</v>
      </c>
      <c r="O3" t="s">
        <v>20</v>
      </c>
      <c r="P3" t="s">
        <v>27</v>
      </c>
      <c r="Q3" t="s">
        <v>40</v>
      </c>
      <c r="R3" t="s">
        <v>21</v>
      </c>
      <c r="S3" t="s">
        <v>22</v>
      </c>
      <c r="T3" t="s">
        <v>53</v>
      </c>
      <c r="U3" t="s">
        <v>54</v>
      </c>
      <c r="V3" t="s">
        <v>23</v>
      </c>
      <c r="W3" t="s">
        <v>47</v>
      </c>
      <c r="X3" t="s">
        <v>24</v>
      </c>
      <c r="Y3" t="s">
        <v>55</v>
      </c>
      <c r="Z3" t="s">
        <v>25</v>
      </c>
      <c r="AA3" t="s">
        <v>26</v>
      </c>
      <c r="AB3" t="s">
        <v>48</v>
      </c>
    </row>
    <row r="4" spans="1:32" x14ac:dyDescent="0.2">
      <c r="A4">
        <v>2018</v>
      </c>
      <c r="B4" s="5">
        <v>11352869241.32</v>
      </c>
      <c r="C4" s="5">
        <v>10983228170.6</v>
      </c>
      <c r="D4" s="5">
        <v>11381692864.66</v>
      </c>
      <c r="E4" s="5">
        <v>9114013286.0599995</v>
      </c>
      <c r="F4" s="2">
        <f t="shared" ref="F4:F13" si="0">C4/D4</f>
        <v>0.96499073566663995</v>
      </c>
      <c r="G4" s="2">
        <f t="shared" ref="G4:G13" si="1">E4/D4</f>
        <v>0.80076078263883621</v>
      </c>
      <c r="H4" s="5">
        <f>D4+J4+L4+M4+N4+O4+R4+S4+V4+X4+Z4+AA4+P4+Q4+W4+AB4+T4+U4+Y4</f>
        <v>9114013286.0600014</v>
      </c>
      <c r="I4" s="5">
        <f>H4-E4</f>
        <v>0</v>
      </c>
      <c r="J4" s="5">
        <v>426949023.05000001</v>
      </c>
      <c r="K4" s="2">
        <f>J4/D4</f>
        <v>3.7511908652505539E-2</v>
      </c>
      <c r="L4" s="5">
        <v>417518901.57999998</v>
      </c>
      <c r="M4" s="5">
        <v>62161250.590000004</v>
      </c>
      <c r="N4" s="5"/>
      <c r="O4" s="5">
        <v>-4975825.83</v>
      </c>
      <c r="P4" s="5"/>
      <c r="Q4" s="5">
        <v>-13406932.17</v>
      </c>
      <c r="R4" s="5">
        <v>81142249.579999998</v>
      </c>
      <c r="S4" s="7">
        <v>-51929640.630000003</v>
      </c>
      <c r="T4" s="7">
        <v>145468181.28</v>
      </c>
      <c r="U4" s="7">
        <v>-89418285.569999993</v>
      </c>
      <c r="V4" s="7">
        <v>-55276291.759999998</v>
      </c>
      <c r="W4" s="7"/>
      <c r="X4" s="5">
        <v>-1021116536.92</v>
      </c>
      <c r="Y4" s="5">
        <v>-765228940.28999996</v>
      </c>
      <c r="Z4" s="5">
        <v>-2355926510.27</v>
      </c>
      <c r="AA4" s="5">
        <v>752106461.27999997</v>
      </c>
      <c r="AB4" s="5">
        <v>204253317.47999999</v>
      </c>
      <c r="AC4" s="5"/>
      <c r="AD4" s="5"/>
      <c r="AE4" s="5"/>
      <c r="AF4" s="5"/>
    </row>
    <row r="5" spans="1:32" x14ac:dyDescent="0.2">
      <c r="A5">
        <f>A4-1</f>
        <v>2017</v>
      </c>
      <c r="B5" s="5">
        <v>9410855084.8199997</v>
      </c>
      <c r="C5" s="5">
        <v>9177116964.0599995</v>
      </c>
      <c r="D5" s="5">
        <v>9377501639.8199997</v>
      </c>
      <c r="E5" s="5">
        <v>7373160250.6800003</v>
      </c>
      <c r="F5" s="2">
        <f t="shared" si="0"/>
        <v>0.97863133663351232</v>
      </c>
      <c r="G5" s="2">
        <f t="shared" si="1"/>
        <v>0.78626061971251515</v>
      </c>
      <c r="H5" s="5">
        <f t="shared" ref="H5:H13" si="2">D5+J5+L5+M5+N5+O5+R5+S5+V5+X5+Z5+AA5+P5+Q5+W5+AB5+T5+U5+Y5</f>
        <v>7373160250.6799994</v>
      </c>
      <c r="I5" s="5">
        <f t="shared" ref="I5:I13" si="3">H5-E5</f>
        <v>0</v>
      </c>
      <c r="J5" s="5">
        <v>484568899.16000003</v>
      </c>
      <c r="K5" s="2">
        <f t="shared" ref="K5:K13" si="4">J5/D5</f>
        <v>5.1673560589140168E-2</v>
      </c>
      <c r="L5" s="5">
        <v>301861330.86000001</v>
      </c>
      <c r="M5" s="5">
        <v>39412000.700000003</v>
      </c>
      <c r="N5" s="5"/>
      <c r="O5" s="5">
        <v>-1585222.5</v>
      </c>
      <c r="P5" s="5"/>
      <c r="Q5" s="5">
        <v>-42090091.109999999</v>
      </c>
      <c r="R5" s="5">
        <v>272067756.31999999</v>
      </c>
      <c r="S5" s="5">
        <v>-44650105.119999997</v>
      </c>
      <c r="T5" s="5">
        <v>191200597.44999999</v>
      </c>
      <c r="U5" s="5">
        <v>-323504991.19</v>
      </c>
      <c r="V5" s="5">
        <v>-103759710.79000001</v>
      </c>
      <c r="W5" s="5"/>
      <c r="X5" s="5">
        <v>-1269276296.3199999</v>
      </c>
      <c r="Y5" s="5">
        <v>-488178801.99000001</v>
      </c>
      <c r="Z5" s="5">
        <v>-4734950220.7600002</v>
      </c>
      <c r="AA5" s="5">
        <v>3660640740.4899998</v>
      </c>
      <c r="AB5" s="5">
        <v>53902725.659999996</v>
      </c>
      <c r="AC5" s="5"/>
      <c r="AD5" s="5"/>
      <c r="AE5" s="5"/>
      <c r="AF5" s="5"/>
    </row>
    <row r="6" spans="1:32" x14ac:dyDescent="0.2">
      <c r="A6">
        <f>A5-1</f>
        <v>2016</v>
      </c>
      <c r="B6" s="5">
        <v>7422261983.1669998</v>
      </c>
      <c r="C6" s="5">
        <v>7270742762.4700003</v>
      </c>
      <c r="D6" s="5">
        <v>7420273140.4399996</v>
      </c>
      <c r="E6" s="5">
        <v>6213692160.5600004</v>
      </c>
      <c r="F6" s="2">
        <f t="shared" si="0"/>
        <v>0.97984839976374072</v>
      </c>
      <c r="G6" s="2">
        <f t="shared" si="1"/>
        <v>0.83739399385391722</v>
      </c>
      <c r="H6" s="5">
        <f t="shared" si="2"/>
        <v>6213692160.5599995</v>
      </c>
      <c r="I6" s="5">
        <f t="shared" si="3"/>
        <v>0</v>
      </c>
      <c r="J6" s="5">
        <v>317497358.88</v>
      </c>
      <c r="K6" s="2">
        <f t="shared" si="4"/>
        <v>4.2787826387368451E-2</v>
      </c>
      <c r="L6" s="5">
        <v>211545008.25</v>
      </c>
      <c r="M6" s="5">
        <v>29127775.780000001</v>
      </c>
      <c r="N6" s="5"/>
      <c r="O6" s="5">
        <v>736149.02</v>
      </c>
      <c r="P6" s="5"/>
      <c r="Q6" s="5">
        <v>40171578.799999997</v>
      </c>
      <c r="R6" s="5">
        <v>63806734.82</v>
      </c>
      <c r="S6" s="5">
        <v>-40493287.659999996</v>
      </c>
      <c r="T6" s="5">
        <v>122970423.83</v>
      </c>
      <c r="U6" s="5">
        <v>-42273330.049999997</v>
      </c>
      <c r="V6" s="5">
        <v>-114039166.89</v>
      </c>
      <c r="W6" s="5"/>
      <c r="X6" s="5">
        <v>-1018145212.13</v>
      </c>
      <c r="Y6" s="5"/>
      <c r="Z6" s="5">
        <v>-3605922579.5700002</v>
      </c>
      <c r="AA6" s="5">
        <v>2817603821.0500002</v>
      </c>
      <c r="AB6" s="5">
        <v>10833745.99</v>
      </c>
      <c r="AC6" s="5"/>
      <c r="AD6" s="5"/>
      <c r="AE6" s="5"/>
      <c r="AF6" s="5"/>
    </row>
    <row r="7" spans="1:32" x14ac:dyDescent="0.2">
      <c r="A7">
        <f t="shared" ref="A7:A11" si="5">A6-1</f>
        <v>2015</v>
      </c>
      <c r="B7" s="5">
        <v>5869049646</v>
      </c>
      <c r="C7" s="5">
        <v>5604890259.0900002</v>
      </c>
      <c r="D7" s="5">
        <v>5882397844.6999998</v>
      </c>
      <c r="E7" s="5">
        <v>3216722169.1700001</v>
      </c>
      <c r="F7" s="2">
        <f t="shared" si="0"/>
        <v>0.95282407056842777</v>
      </c>
      <c r="G7" s="2">
        <f t="shared" si="1"/>
        <v>0.54683859441235261</v>
      </c>
      <c r="H7" s="5">
        <f t="shared" si="2"/>
        <v>3216722169.1699996</v>
      </c>
      <c r="I7" s="5">
        <f t="shared" si="3"/>
        <v>0</v>
      </c>
      <c r="J7" s="5">
        <v>338874649.43000001</v>
      </c>
      <c r="K7" s="2">
        <f t="shared" si="4"/>
        <v>5.7608250644815492E-2</v>
      </c>
      <c r="L7" s="5">
        <v>132614495.73</v>
      </c>
      <c r="M7" s="5">
        <v>22864330.359999999</v>
      </c>
      <c r="N7" s="5"/>
      <c r="O7" s="5">
        <v>-1679868.58</v>
      </c>
      <c r="P7" s="5">
        <v>-35554.46</v>
      </c>
      <c r="Q7" s="5">
        <v>16154643.25</v>
      </c>
      <c r="R7" s="5">
        <v>-42631526.310000002</v>
      </c>
      <c r="S7" s="5">
        <v>-148673437.25</v>
      </c>
      <c r="T7" s="5">
        <v>155695500.62</v>
      </c>
      <c r="U7" s="5"/>
      <c r="V7" s="5">
        <v>-165132413.90000001</v>
      </c>
      <c r="W7" s="5"/>
      <c r="X7" s="5">
        <v>-541203699.08000004</v>
      </c>
      <c r="Y7" s="5"/>
      <c r="Z7" s="5">
        <v>-5385319432.6099997</v>
      </c>
      <c r="AA7" s="5">
        <v>2952796637.27</v>
      </c>
      <c r="AB7" s="5"/>
      <c r="AC7" s="5"/>
      <c r="AD7" s="5"/>
      <c r="AE7" s="5"/>
      <c r="AF7" s="5"/>
    </row>
    <row r="8" spans="1:32" x14ac:dyDescent="0.2">
      <c r="A8">
        <f>A7-1</f>
        <v>2014</v>
      </c>
      <c r="B8" s="5">
        <v>4474975306.54</v>
      </c>
      <c r="C8" s="5">
        <v>3706420782.04</v>
      </c>
      <c r="D8" s="5">
        <v>4680701236.6599998</v>
      </c>
      <c r="E8" s="5">
        <v>3706420782.04</v>
      </c>
      <c r="F8" s="2">
        <f t="shared" si="0"/>
        <v>0.79185160398846233</v>
      </c>
      <c r="G8" s="2">
        <f t="shared" si="1"/>
        <v>0.79185160398846233</v>
      </c>
      <c r="H8" s="5">
        <f t="shared" si="2"/>
        <v>3706420782.0399995</v>
      </c>
      <c r="I8" s="5">
        <f>H8-E8</f>
        <v>0</v>
      </c>
      <c r="J8" s="5">
        <v>182907411.02000001</v>
      </c>
      <c r="K8" s="2">
        <f t="shared" si="4"/>
        <v>3.9076924967447177E-2</v>
      </c>
      <c r="L8" s="5">
        <v>96713691.319999993</v>
      </c>
      <c r="M8" s="5">
        <v>12662696.57</v>
      </c>
      <c r="N8" s="5"/>
      <c r="O8" s="5">
        <v>467280.37</v>
      </c>
      <c r="P8" s="5"/>
      <c r="Q8" s="5">
        <v>-3032932.74</v>
      </c>
      <c r="R8" s="5">
        <v>34497124.119999997</v>
      </c>
      <c r="S8" s="5">
        <v>-151024364.74000001</v>
      </c>
      <c r="T8" s="5"/>
      <c r="U8" s="5"/>
      <c r="V8" s="5">
        <v>-32408732.969999999</v>
      </c>
      <c r="W8" s="5"/>
      <c r="X8" s="5">
        <v>-905598767.37</v>
      </c>
      <c r="Y8" s="5"/>
      <c r="Z8" s="5">
        <v>-2857902731.8600001</v>
      </c>
      <c r="AA8" s="5">
        <v>2573833132.1399999</v>
      </c>
      <c r="AB8" s="5">
        <v>74605739.519999996</v>
      </c>
      <c r="AC8" s="5"/>
      <c r="AD8" s="5"/>
      <c r="AE8" s="5"/>
      <c r="AF8" s="5"/>
    </row>
    <row r="9" spans="1:32" x14ac:dyDescent="0.2">
      <c r="A9">
        <f t="shared" si="5"/>
        <v>2013</v>
      </c>
      <c r="B9" s="5">
        <v>2977541251.73</v>
      </c>
      <c r="C9" s="5">
        <v>1863365811.6300001</v>
      </c>
      <c r="D9" s="4">
        <v>3077052948.5599999</v>
      </c>
      <c r="E9" s="5">
        <v>1863365811.6300001</v>
      </c>
      <c r="F9" s="2">
        <f t="shared" si="0"/>
        <v>0.60556832878095856</v>
      </c>
      <c r="G9" s="2">
        <f t="shared" si="1"/>
        <v>0.60556832878095856</v>
      </c>
      <c r="H9" s="5">
        <f t="shared" si="2"/>
        <v>1863365811.6300004</v>
      </c>
      <c r="I9" s="5">
        <f t="shared" si="3"/>
        <v>0</v>
      </c>
      <c r="J9" s="5">
        <v>157113213.55000001</v>
      </c>
      <c r="K9" s="2">
        <f t="shared" si="4"/>
        <v>5.105963926409713E-2</v>
      </c>
      <c r="L9" s="5">
        <v>66233752.909999996</v>
      </c>
      <c r="M9" s="5">
        <v>5441954.21</v>
      </c>
      <c r="N9" s="5">
        <v>607322.68999999994</v>
      </c>
      <c r="O9" s="5">
        <v>205710.43</v>
      </c>
      <c r="P9" s="5"/>
      <c r="Q9" s="5"/>
      <c r="R9" s="5">
        <v>25071294.82</v>
      </c>
      <c r="S9" s="5">
        <v>-38674251.789999999</v>
      </c>
      <c r="T9" s="5"/>
      <c r="U9" s="5"/>
      <c r="V9" s="5">
        <v>-25701098.239999998</v>
      </c>
      <c r="W9" s="5"/>
      <c r="X9" s="5">
        <v>-376774267.14999998</v>
      </c>
      <c r="Y9" s="5"/>
      <c r="Z9" s="5">
        <v>-1772359126.22</v>
      </c>
      <c r="AA9" s="5">
        <v>689514866.96000004</v>
      </c>
      <c r="AB9" s="5">
        <v>55633490.899999999</v>
      </c>
      <c r="AC9" s="5"/>
      <c r="AD9" s="5"/>
      <c r="AE9" s="5"/>
      <c r="AF9" s="5"/>
    </row>
    <row r="10" spans="1:32" x14ac:dyDescent="0.2">
      <c r="A10">
        <f>A9-1</f>
        <v>2012</v>
      </c>
      <c r="B10" s="5">
        <v>2136873134.55</v>
      </c>
      <c r="C10" s="5">
        <v>2109396676.1199999</v>
      </c>
      <c r="D10" s="5">
        <v>2140426340.48</v>
      </c>
      <c r="E10" s="5">
        <v>1436789861.4200001</v>
      </c>
      <c r="F10" s="2">
        <f t="shared" si="0"/>
        <v>0.98550304499007357</v>
      </c>
      <c r="G10" s="2">
        <f t="shared" si="1"/>
        <v>0.67126339937388069</v>
      </c>
      <c r="H10" s="5">
        <f t="shared" si="2"/>
        <v>1436789861.4200001</v>
      </c>
      <c r="I10" s="5">
        <f t="shared" si="3"/>
        <v>0</v>
      </c>
      <c r="J10" s="5">
        <v>50325290.75</v>
      </c>
      <c r="K10" s="2">
        <f t="shared" si="4"/>
        <v>2.3511806876154558E-2</v>
      </c>
      <c r="L10" s="5">
        <v>55492100.969999999</v>
      </c>
      <c r="M10" s="5">
        <v>4951166.1900000004</v>
      </c>
      <c r="N10" s="5">
        <v>456480</v>
      </c>
      <c r="O10" s="5">
        <v>98281.8</v>
      </c>
      <c r="P10" s="5"/>
      <c r="Q10" s="5"/>
      <c r="R10" s="5">
        <v>1950668.37</v>
      </c>
      <c r="S10" s="5">
        <v>295093.96000000002</v>
      </c>
      <c r="T10" s="5"/>
      <c r="U10" s="5"/>
      <c r="V10" s="5">
        <v>14418351.77</v>
      </c>
      <c r="W10" s="5"/>
      <c r="X10" s="5">
        <v>-274112692.54000002</v>
      </c>
      <c r="Y10" s="5"/>
      <c r="Z10" s="5">
        <v>-922723508.51999998</v>
      </c>
      <c r="AA10" s="5">
        <v>347123922.70999998</v>
      </c>
      <c r="AB10" s="5">
        <v>18088365.48</v>
      </c>
      <c r="AC10" s="5"/>
      <c r="AD10" s="5"/>
      <c r="AE10" s="5"/>
      <c r="AF10" s="5"/>
    </row>
    <row r="11" spans="1:32" ht="16" x14ac:dyDescent="0.2">
      <c r="A11">
        <f t="shared" si="5"/>
        <v>2011</v>
      </c>
      <c r="B11" s="5">
        <v>1481012967.98</v>
      </c>
      <c r="C11" s="5">
        <v>1438035174.24</v>
      </c>
      <c r="D11" s="5">
        <v>1482482923.78</v>
      </c>
      <c r="E11" s="5">
        <v>1170461433.24</v>
      </c>
      <c r="F11" s="2">
        <f t="shared" si="0"/>
        <v>0.97001803607513526</v>
      </c>
      <c r="G11" s="2">
        <f t="shared" si="1"/>
        <v>0.78952776754796272</v>
      </c>
      <c r="H11" s="5">
        <f t="shared" si="2"/>
        <v>1170461433.2399998</v>
      </c>
      <c r="I11" s="5">
        <f t="shared" si="3"/>
        <v>0</v>
      </c>
      <c r="J11" s="5">
        <v>26063331.170000002</v>
      </c>
      <c r="K11" s="2">
        <f t="shared" si="4"/>
        <v>1.7580864340443352E-2</v>
      </c>
      <c r="L11" s="5">
        <v>34602088.369999997</v>
      </c>
      <c r="M11" s="5">
        <v>3289630.76</v>
      </c>
      <c r="N11" s="5"/>
      <c r="O11" s="5">
        <v>-994268.3</v>
      </c>
      <c r="P11" s="5"/>
      <c r="Q11" s="5"/>
      <c r="R11" s="11">
        <v>-81941409.480000004</v>
      </c>
      <c r="S11" s="5">
        <v>-1521343.94</v>
      </c>
      <c r="T11" s="5"/>
      <c r="U11" s="5"/>
      <c r="V11" s="5">
        <v>-5385247.4800000004</v>
      </c>
      <c r="W11" s="5"/>
      <c r="X11" s="5">
        <v>-122216981.42</v>
      </c>
      <c r="Y11" s="5"/>
      <c r="Z11" s="5">
        <v>-657589648.41999996</v>
      </c>
      <c r="AA11" s="5">
        <v>493672358.19999999</v>
      </c>
      <c r="AB11" s="5"/>
      <c r="AC11" s="5"/>
      <c r="AD11" s="5"/>
      <c r="AE11" s="5"/>
      <c r="AF11" s="5"/>
    </row>
    <row r="12" spans="1:32" x14ac:dyDescent="0.2">
      <c r="A12">
        <f>A11-1</f>
        <v>2010</v>
      </c>
      <c r="B12" s="5">
        <v>1051804319.23</v>
      </c>
      <c r="C12" s="5">
        <v>1030635202.54</v>
      </c>
      <c r="D12" s="5">
        <v>1052375236.76</v>
      </c>
      <c r="E12" s="5">
        <v>663926032.74000001</v>
      </c>
      <c r="F12" s="2">
        <f t="shared" si="0"/>
        <v>0.97934193673453196</v>
      </c>
      <c r="G12" s="2">
        <f t="shared" si="1"/>
        <v>0.63088336702416348</v>
      </c>
      <c r="H12" s="5">
        <f t="shared" si="2"/>
        <v>689224655.32000029</v>
      </c>
      <c r="I12" s="5">
        <f t="shared" si="3"/>
        <v>25298622.580000281</v>
      </c>
      <c r="J12" s="5">
        <v>49337089.689999998</v>
      </c>
      <c r="K12" s="2">
        <f t="shared" si="4"/>
        <v>4.6881652063475526E-2</v>
      </c>
      <c r="L12" s="5">
        <v>17916254.739999998</v>
      </c>
      <c r="M12" s="5">
        <v>2025971.64</v>
      </c>
      <c r="N12" s="5"/>
      <c r="O12" s="5">
        <v>195054.77</v>
      </c>
      <c r="P12" s="5"/>
      <c r="Q12" s="5"/>
      <c r="R12" s="5">
        <v>-21198480.52</v>
      </c>
      <c r="S12" s="5">
        <v>-3344701.73</v>
      </c>
      <c r="T12" s="5"/>
      <c r="U12" s="5"/>
      <c r="V12" s="5">
        <v>-26159608.43</v>
      </c>
      <c r="W12" s="5"/>
      <c r="X12" s="5">
        <v>-259685942.62</v>
      </c>
      <c r="Y12" s="5"/>
      <c r="Z12" s="5">
        <v>-386490001.5</v>
      </c>
      <c r="AA12" s="5">
        <v>238955159.94</v>
      </c>
      <c r="AB12" s="5">
        <v>25298622.579999998</v>
      </c>
      <c r="AC12" s="5"/>
      <c r="AD12" s="5"/>
      <c r="AE12" s="5"/>
      <c r="AF12" s="5"/>
    </row>
    <row r="13" spans="1:32" x14ac:dyDescent="0.2">
      <c r="A13" t="s">
        <v>10</v>
      </c>
      <c r="B13" s="5">
        <f>SUM(B4:B12)</f>
        <v>46177242935.337013</v>
      </c>
      <c r="C13" s="5">
        <f>SUM(C4:C12)</f>
        <v>43183831802.790001</v>
      </c>
      <c r="D13" s="5">
        <f>SUM(D4:D12)</f>
        <v>46494904175.860001</v>
      </c>
      <c r="E13" s="5">
        <f>SUM(E4:E12)</f>
        <v>34758551787.540009</v>
      </c>
      <c r="F13" s="2">
        <f t="shared" si="0"/>
        <v>0.92878633837922608</v>
      </c>
      <c r="G13" s="2">
        <f t="shared" si="1"/>
        <v>0.74757766262020886</v>
      </c>
      <c r="H13" s="5">
        <f t="shared" si="2"/>
        <v>34783850410.12001</v>
      </c>
      <c r="I13" s="5">
        <f t="shared" si="3"/>
        <v>25298622.580001831</v>
      </c>
      <c r="J13" s="5">
        <f>SUM(J4:J12)</f>
        <v>2033636266.7000003</v>
      </c>
      <c r="K13" s="2">
        <f t="shared" si="4"/>
        <v>4.3738906504852147E-2</v>
      </c>
      <c r="L13" s="5">
        <f t="shared" ref="L13:AB13" si="6">SUM(L4:L12)</f>
        <v>1334497624.73</v>
      </c>
      <c r="M13" s="5">
        <f t="shared" si="6"/>
        <v>181936776.79999998</v>
      </c>
      <c r="N13" s="5">
        <f t="shared" si="6"/>
        <v>1063802.69</v>
      </c>
      <c r="O13" s="5">
        <f t="shared" si="6"/>
        <v>-7532708.8200000012</v>
      </c>
      <c r="P13" s="5">
        <f t="shared" si="6"/>
        <v>-35554.46</v>
      </c>
      <c r="Q13" s="5">
        <f t="shared" si="6"/>
        <v>-2203733.9700000044</v>
      </c>
      <c r="R13" s="5">
        <f t="shared" si="6"/>
        <v>332764411.71999997</v>
      </c>
      <c r="S13" s="5">
        <f t="shared" si="6"/>
        <v>-480016038.90000004</v>
      </c>
      <c r="T13" s="5">
        <f t="shared" si="6"/>
        <v>615334703.18000007</v>
      </c>
      <c r="U13" s="5">
        <f t="shared" si="6"/>
        <v>-455196606.81</v>
      </c>
      <c r="V13" s="5">
        <f t="shared" si="6"/>
        <v>-513443918.69000012</v>
      </c>
      <c r="W13" s="5">
        <f t="shared" si="6"/>
        <v>0</v>
      </c>
      <c r="X13" s="5">
        <f t="shared" si="6"/>
        <v>-5788130395.5499992</v>
      </c>
      <c r="Y13" s="5">
        <f t="shared" si="6"/>
        <v>-1253407742.28</v>
      </c>
      <c r="Z13" s="5">
        <f t="shared" si="6"/>
        <v>-22679183759.73</v>
      </c>
      <c r="AA13" s="5">
        <f t="shared" si="6"/>
        <v>14526247100.039999</v>
      </c>
      <c r="AB13" s="5">
        <f t="shared" si="6"/>
        <v>442616007.60999995</v>
      </c>
      <c r="AC13" s="5"/>
      <c r="AD13" s="5"/>
      <c r="AE13" s="5"/>
      <c r="AF13" s="5"/>
    </row>
    <row r="14" spans="1:32" x14ac:dyDescent="0.2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x14ac:dyDescent="0.2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2" ht="170" customHeight="1" x14ac:dyDescent="0.2">
      <c r="A16" s="16" t="s">
        <v>56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2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</sheetData>
  <mergeCells count="1">
    <mergeCell ref="A16:N16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1"/>
  <sheetViews>
    <sheetView workbookViewId="0">
      <selection activeCell="G16" sqref="G16"/>
    </sheetView>
  </sheetViews>
  <sheetFormatPr baseColWidth="10" defaultColWidth="8.83203125" defaultRowHeight="15" x14ac:dyDescent="0.2"/>
  <cols>
    <col min="2" max="2" width="17.1640625" customWidth="1"/>
    <col min="3" max="3" width="20" customWidth="1"/>
  </cols>
  <sheetData>
    <row r="3" spans="1:4" x14ac:dyDescent="0.2">
      <c r="A3" t="s">
        <v>49</v>
      </c>
      <c r="B3" t="s">
        <v>50</v>
      </c>
      <c r="C3" t="s">
        <v>51</v>
      </c>
      <c r="D3" t="s">
        <v>52</v>
      </c>
    </row>
    <row r="4" spans="1:4" x14ac:dyDescent="0.2">
      <c r="A4">
        <v>2018</v>
      </c>
      <c r="B4" s="5">
        <v>2594592680.3400002</v>
      </c>
      <c r="C4" s="3">
        <v>12903265673.43</v>
      </c>
      <c r="D4" s="2">
        <f>B4*2/(C4+C5)</f>
        <v>0.22084933132346027</v>
      </c>
    </row>
    <row r="5" spans="1:4" x14ac:dyDescent="0.2">
      <c r="A5">
        <f>A4-1</f>
        <v>2017</v>
      </c>
      <c r="B5" s="5">
        <v>2376786346.0999999</v>
      </c>
      <c r="C5" s="3">
        <v>10593230012.49</v>
      </c>
      <c r="D5" s="2">
        <f t="shared" ref="D5:D13" si="0">B5*2/(C5+C6)</f>
        <v>0.24993790583979392</v>
      </c>
    </row>
    <row r="6" spans="1:4" x14ac:dyDescent="0.2">
      <c r="A6">
        <f t="shared" ref="A6:A13" si="1">A5-1</f>
        <v>2016</v>
      </c>
      <c r="B6" s="5">
        <v>1810152288.3099999</v>
      </c>
      <c r="C6" s="3">
        <v>8425784635.2799997</v>
      </c>
      <c r="D6" s="2">
        <f t="shared" si="0"/>
        <v>0.24147965875180533</v>
      </c>
    </row>
    <row r="7" spans="1:4" x14ac:dyDescent="0.2">
      <c r="A7">
        <f t="shared" si="1"/>
        <v>2015</v>
      </c>
      <c r="B7" s="5">
        <v>1381123509.9000001</v>
      </c>
      <c r="C7" s="3">
        <v>6566387356.8999996</v>
      </c>
      <c r="D7" s="2">
        <f t="shared" si="0"/>
        <v>0.23453741926343227</v>
      </c>
    </row>
    <row r="8" spans="1:4" x14ac:dyDescent="0.2">
      <c r="A8">
        <f t="shared" si="1"/>
        <v>2014</v>
      </c>
      <c r="B8" s="5">
        <v>1144264528.4000001</v>
      </c>
      <c r="C8" s="3">
        <v>5211038302.8299999</v>
      </c>
      <c r="D8" s="2">
        <f t="shared" si="0"/>
        <v>0.24385179611336147</v>
      </c>
    </row>
    <row r="9" spans="1:4" x14ac:dyDescent="0.2">
      <c r="A9">
        <f t="shared" si="1"/>
        <v>2013</v>
      </c>
      <c r="B9" s="4">
        <v>1130138728.3299999</v>
      </c>
      <c r="C9" s="3">
        <v>4173879476.23</v>
      </c>
      <c r="D9" s="2">
        <f t="shared" si="0"/>
        <v>0.35755213526579355</v>
      </c>
    </row>
    <row r="10" spans="1:4" x14ac:dyDescent="0.2">
      <c r="A10">
        <f t="shared" si="1"/>
        <v>2012</v>
      </c>
      <c r="B10" s="5">
        <v>696651234.15999997</v>
      </c>
      <c r="C10" s="3">
        <v>2147653060.5</v>
      </c>
      <c r="D10" s="2">
        <f t="shared" si="0"/>
        <v>0.38042083816289102</v>
      </c>
    </row>
    <row r="11" spans="1:4" x14ac:dyDescent="0.2">
      <c r="A11">
        <f t="shared" si="1"/>
        <v>2011</v>
      </c>
      <c r="B11" s="5">
        <v>375560849.13</v>
      </c>
      <c r="C11" s="3">
        <v>1514876245.3299999</v>
      </c>
      <c r="D11" s="2">
        <f t="shared" si="0"/>
        <v>0.28024960500969937</v>
      </c>
    </row>
    <row r="12" spans="1:4" x14ac:dyDescent="0.2">
      <c r="A12">
        <f t="shared" si="1"/>
        <v>2010</v>
      </c>
      <c r="B12" s="5">
        <v>259631611.78999999</v>
      </c>
      <c r="C12" s="3">
        <v>1165312004.1199999</v>
      </c>
      <c r="D12" s="2">
        <f t="shared" si="0"/>
        <v>0.26033340853605191</v>
      </c>
    </row>
    <row r="13" spans="1:4" x14ac:dyDescent="0.2">
      <c r="A13">
        <f t="shared" si="1"/>
        <v>2009</v>
      </c>
      <c r="C13" s="3">
        <v>829296473.13999999</v>
      </c>
      <c r="D13" s="2">
        <f t="shared" si="0"/>
        <v>0</v>
      </c>
    </row>
    <row r="22" spans="7:9" x14ac:dyDescent="0.2">
      <c r="G22" s="5"/>
      <c r="H22" s="5"/>
      <c r="I22" s="5"/>
    </row>
    <row r="23" spans="7:9" x14ac:dyDescent="0.2">
      <c r="G23" s="5"/>
      <c r="H23" s="5"/>
      <c r="I23" s="5"/>
    </row>
    <row r="24" spans="7:9" x14ac:dyDescent="0.2">
      <c r="G24" s="5"/>
      <c r="H24" s="5"/>
      <c r="I24" s="5"/>
    </row>
    <row r="25" spans="7:9" x14ac:dyDescent="0.2">
      <c r="G25" s="5"/>
      <c r="H25" s="5"/>
      <c r="I25" s="5"/>
    </row>
    <row r="26" spans="7:9" x14ac:dyDescent="0.2">
      <c r="G26" s="5"/>
      <c r="H26" s="5"/>
      <c r="I26" s="5"/>
    </row>
    <row r="27" spans="7:9" x14ac:dyDescent="0.2">
      <c r="G27" s="5"/>
      <c r="H27" s="5"/>
      <c r="I27" s="4"/>
    </row>
    <row r="28" spans="7:9" x14ac:dyDescent="0.2">
      <c r="G28" s="5"/>
      <c r="H28" s="5"/>
      <c r="I28" s="5"/>
    </row>
    <row r="29" spans="7:9" x14ac:dyDescent="0.2">
      <c r="G29" s="5"/>
      <c r="H29" s="5"/>
      <c r="I29" s="5"/>
    </row>
    <row r="30" spans="7:9" x14ac:dyDescent="0.2">
      <c r="G30" s="5"/>
      <c r="H30" s="5"/>
      <c r="I30" s="5"/>
    </row>
    <row r="31" spans="7:9" x14ac:dyDescent="0.2">
      <c r="G31" s="5"/>
      <c r="H31" s="5"/>
      <c r="I31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baseColWidth="10" defaultColWidth="11" defaultRowHeight="15" x14ac:dyDescent="0.2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3"/>
  <sheetViews>
    <sheetView workbookViewId="0">
      <selection activeCell="G20" sqref="G20"/>
    </sheetView>
  </sheetViews>
  <sheetFormatPr baseColWidth="10" defaultColWidth="11" defaultRowHeight="15" x14ac:dyDescent="0.2"/>
  <cols>
    <col min="2" max="4" width="12.33203125" bestFit="1" customWidth="1"/>
    <col min="5" max="6" width="16.6640625" customWidth="1"/>
    <col min="7" max="7" width="11.33203125" bestFit="1" customWidth="1"/>
    <col min="8" max="9" width="12.33203125" bestFit="1" customWidth="1"/>
    <col min="12" max="12" width="15.1640625" customWidth="1"/>
  </cols>
  <sheetData>
    <row r="3" spans="1:12" ht="34" customHeight="1" x14ac:dyDescent="0.2">
      <c r="A3" t="s">
        <v>1</v>
      </c>
      <c r="B3" t="s">
        <v>28</v>
      </c>
      <c r="C3" t="s">
        <v>29</v>
      </c>
      <c r="D3" t="s">
        <v>30</v>
      </c>
      <c r="E3" s="9" t="s">
        <v>31</v>
      </c>
      <c r="F3" s="9" t="s">
        <v>37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10</v>
      </c>
    </row>
    <row r="4" spans="1:12" x14ac:dyDescent="0.2">
      <c r="A4">
        <v>2018</v>
      </c>
      <c r="B4" s="3">
        <v>72003747.5</v>
      </c>
      <c r="C4" s="3">
        <v>53238712.119999997</v>
      </c>
      <c r="D4" s="3">
        <v>7922947.3099999996</v>
      </c>
      <c r="E4" s="3">
        <v>997057414.72000003</v>
      </c>
      <c r="F4" s="2">
        <f>E4/L4</f>
        <v>0.84508152461411701</v>
      </c>
      <c r="G4" s="3">
        <v>8599080.6999999993</v>
      </c>
      <c r="H4" s="3">
        <v>16958119.629999999</v>
      </c>
      <c r="I4" s="3">
        <v>23682753.109999999</v>
      </c>
      <c r="J4" s="3">
        <v>321378.61</v>
      </c>
      <c r="K4" s="3">
        <v>51620.34</v>
      </c>
      <c r="L4" s="3">
        <f>B4+C4+D4+E4+G4+H4+I4+J4+K4</f>
        <v>1179835774.04</v>
      </c>
    </row>
    <row r="5" spans="1:12" x14ac:dyDescent="0.2">
      <c r="A5">
        <f>A4-1</f>
        <v>2017</v>
      </c>
      <c r="B5" s="3">
        <v>56832958.149999999</v>
      </c>
      <c r="C5" s="3">
        <v>32394342.239999998</v>
      </c>
      <c r="D5" s="3">
        <v>11759343.59</v>
      </c>
      <c r="E5" s="3">
        <v>828560424.79999995</v>
      </c>
      <c r="F5" s="2">
        <f t="shared" ref="F5:F12" si="0">E5/L5</f>
        <v>0.84304721547189831</v>
      </c>
      <c r="G5" s="3">
        <v>6536592.2800000003</v>
      </c>
      <c r="H5" s="3">
        <v>41425942.5</v>
      </c>
      <c r="I5" s="3">
        <v>4867378.53</v>
      </c>
      <c r="J5" s="3">
        <v>410410.21</v>
      </c>
      <c r="K5" s="3">
        <v>28765.08</v>
      </c>
      <c r="L5" s="3">
        <f t="shared" ref="L5:L12" si="1">B5+C5+D5+E5+G5+H5+I5+J5+K5</f>
        <v>982816157.38</v>
      </c>
    </row>
    <row r="6" spans="1:12" x14ac:dyDescent="0.2">
      <c r="A6">
        <f t="shared" ref="A6:A12" si="2">A5-1</f>
        <v>2016</v>
      </c>
      <c r="F6" s="2" t="e">
        <f t="shared" si="0"/>
        <v>#DIV/0!</v>
      </c>
      <c r="L6" s="3">
        <f t="shared" si="1"/>
        <v>0</v>
      </c>
    </row>
    <row r="7" spans="1:12" x14ac:dyDescent="0.2">
      <c r="A7">
        <f t="shared" si="2"/>
        <v>2015</v>
      </c>
      <c r="F7" s="2" t="e">
        <f t="shared" si="0"/>
        <v>#DIV/0!</v>
      </c>
      <c r="L7" s="3">
        <f t="shared" si="1"/>
        <v>0</v>
      </c>
    </row>
    <row r="8" spans="1:12" x14ac:dyDescent="0.2">
      <c r="A8">
        <f t="shared" si="2"/>
        <v>2014</v>
      </c>
      <c r="F8" s="2" t="e">
        <f t="shared" si="0"/>
        <v>#DIV/0!</v>
      </c>
      <c r="L8" s="3">
        <f t="shared" si="1"/>
        <v>0</v>
      </c>
    </row>
    <row r="9" spans="1:12" x14ac:dyDescent="0.2">
      <c r="A9">
        <f t="shared" si="2"/>
        <v>2013</v>
      </c>
      <c r="F9" s="2" t="e">
        <f t="shared" si="0"/>
        <v>#DIV/0!</v>
      </c>
      <c r="L9" s="3">
        <f t="shared" si="1"/>
        <v>0</v>
      </c>
    </row>
    <row r="10" spans="1:12" x14ac:dyDescent="0.2">
      <c r="A10">
        <f t="shared" si="2"/>
        <v>2012</v>
      </c>
      <c r="F10" s="2" t="e">
        <f t="shared" si="0"/>
        <v>#DIV/0!</v>
      </c>
      <c r="L10" s="3">
        <f t="shared" si="1"/>
        <v>0</v>
      </c>
    </row>
    <row r="11" spans="1:12" x14ac:dyDescent="0.2">
      <c r="A11">
        <f t="shared" si="2"/>
        <v>2011</v>
      </c>
      <c r="B11" s="3">
        <v>20223578.75</v>
      </c>
      <c r="C11" s="3">
        <v>4618360.62</v>
      </c>
      <c r="E11" s="3">
        <v>117955881.43000001</v>
      </c>
      <c r="F11" s="2">
        <f t="shared" si="0"/>
        <v>0.80817708901607332</v>
      </c>
      <c r="I11" s="3">
        <v>3155192.51</v>
      </c>
      <c r="L11" s="3">
        <f t="shared" si="1"/>
        <v>145953013.31</v>
      </c>
    </row>
    <row r="12" spans="1:12" x14ac:dyDescent="0.2">
      <c r="A12">
        <f t="shared" si="2"/>
        <v>2010</v>
      </c>
      <c r="B12" s="3">
        <v>11516478.109999999</v>
      </c>
      <c r="E12" s="3">
        <v>58060945.969999999</v>
      </c>
      <c r="F12" s="2">
        <f t="shared" si="0"/>
        <v>0.83447967121119093</v>
      </c>
      <c r="L12" s="3">
        <f t="shared" si="1"/>
        <v>69577424.079999998</v>
      </c>
    </row>
    <row r="13" spans="1:12" x14ac:dyDescent="0.2">
      <c r="F13" s="2"/>
      <c r="L1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估值</vt:lpstr>
      <vt:lpstr>现金流净利润比</vt:lpstr>
      <vt:lpstr>roe</vt:lpstr>
      <vt:lpstr>应收</vt:lpstr>
      <vt:lpstr>存货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2019-07-24T06:40:20Z</dcterms:modified>
</cp:coreProperties>
</file>