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elipe Nora Godinho\epcafe-grupo5\Gerenciamento de Projeto\"/>
    </mc:Choice>
  </mc:AlternateContent>
  <bookViews>
    <workbookView xWindow="-120" yWindow="-120" windowWidth="21840" windowHeight="13290" tabRatio="552" activeTab="1"/>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4" l="1"/>
  <c r="D56" i="3"/>
  <c r="D46" i="3"/>
  <c r="D22" i="3"/>
  <c r="L19" i="3"/>
  <c r="L18" i="3"/>
  <c r="L17" i="3"/>
  <c r="L16" i="3"/>
  <c r="L15" i="3"/>
  <c r="L14" i="3"/>
  <c r="L13" i="3"/>
  <c r="L12" i="3"/>
  <c r="L11" i="3"/>
  <c r="D11" i="3"/>
  <c r="D57" i="3" s="1"/>
  <c r="B4" i="4" s="1"/>
  <c r="L10" i="3"/>
  <c r="L9" i="3"/>
  <c r="L8" i="3"/>
  <c r="L7" i="3"/>
  <c r="L6" i="3"/>
  <c r="L5" i="3"/>
  <c r="M15" i="16" l="1"/>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J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authors>
    <author>Murakami Edson</author>
  </authors>
  <commentList>
    <comment ref="A2" authorId="0" shapeId="0">
      <text>
        <r>
          <rPr>
            <b/>
            <sz val="9"/>
            <color indexed="81"/>
            <rFont val="Segoe UI"/>
            <family val="2"/>
          </rPr>
          <t>Preencher as células em amarelo.&lt;Sigla do Projeto&gt; - &lt;Nome do Projeto&gt;</t>
        </r>
      </text>
    </comment>
  </commentList>
</comments>
</file>

<file path=xl/comments2.xml><?xml version="1.0" encoding="utf-8"?>
<comments xmlns="http://schemas.openxmlformats.org/spreadsheetml/2006/main">
  <authors>
    <author>Murakami Edson</author>
  </authors>
  <commentList>
    <comment ref="A3" authorId="0" shapeId="0">
      <text>
        <r>
          <rPr>
            <sz val="9"/>
            <color indexed="81"/>
            <rFont val="Tahoma"/>
            <family val="2"/>
          </rPr>
          <t xml:space="preserve">O identificador da trefa auxilia na criação e uso dos "Post-it" dos quadros Kanban ou Scrum.
</t>
        </r>
      </text>
    </comment>
    <comment ref="B3" authorId="0" shapeId="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text>
        <r>
          <rPr>
            <sz val="9"/>
            <color indexed="81"/>
            <rFont val="Tahoma"/>
            <family val="2"/>
          </rPr>
          <t xml:space="preserve">Resultado do Planning Poker, convertido para horas.
</t>
        </r>
      </text>
    </comment>
    <comment ref="F3" authorId="0" shapeId="0">
      <text>
        <r>
          <rPr>
            <sz val="9"/>
            <color indexed="81"/>
            <rFont val="Tahoma"/>
            <family val="2"/>
          </rPr>
          <t xml:space="preserve">O identificador da trefa auxilia na criação e uso dos "Post-it" dos quadros Kanban ou Scrum.
</t>
        </r>
      </text>
    </comment>
    <comment ref="G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text>
        <r>
          <rPr>
            <sz val="9"/>
            <color indexed="81"/>
            <rFont val="Tahoma"/>
            <family val="2"/>
          </rPr>
          <t xml:space="preserve">Tem prioridade as de maior peso.
</t>
        </r>
      </text>
    </comment>
  </commentList>
</comments>
</file>

<file path=xl/comments3.xml><?xml version="1.0" encoding="utf-8"?>
<comments xmlns="http://schemas.openxmlformats.org/spreadsheetml/2006/main">
  <authors>
    <author>Murakami Edson</author>
    <author>tc={E9F19792-AE09-49E6-82FD-12140E2265AF}</author>
  </authors>
  <commentList>
    <comment ref="A3" authorId="0" shapeId="0">
      <text>
        <r>
          <rPr>
            <sz val="9"/>
            <color indexed="81"/>
            <rFont val="Segoe UI"/>
            <family val="2"/>
          </rPr>
          <t>Considerando a estimativa e capacidade da equipe sugere-se o seguinte plajenamento.</t>
        </r>
      </text>
    </comment>
    <comment ref="B4" authorId="1"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authors>
    <author>Murakami Edson</author>
    <author>luis.monteiro</author>
  </authors>
  <commentList>
    <comment ref="B48" authorId="0" shapeId="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authors>
    <author>tc={FBCB0187-CFE6-42D9-889B-D8BABA294980}</author>
    <author>Murakami Edson</author>
  </authors>
  <commentList>
    <comment ref="A1" authorId="0"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text>
        <r>
          <rPr>
            <b/>
            <sz val="9"/>
            <color indexed="81"/>
            <rFont val="Segoe UI"/>
            <family val="2"/>
          </rPr>
          <t>Data de início do sprint</t>
        </r>
        <r>
          <rPr>
            <sz val="9"/>
            <color indexed="81"/>
            <rFont val="Segoe UI"/>
            <family val="2"/>
          </rPr>
          <t xml:space="preserve">
</t>
        </r>
      </text>
    </comment>
    <comment ref="B12" authorId="1" shapeId="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authors>
    <author>Murakami Edson</author>
  </authors>
  <commentList>
    <comment ref="A7" authorId="0" shapeId="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authors>
    <author>Murakami Edson</author>
  </authors>
  <commentList>
    <comment ref="A3" authorId="0" shapeId="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<sst xmlns="http://schemas.openxmlformats.org/spreadsheetml/2006/main" count="387" uniqueCount="277">
  <si>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</si>
  <si>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</si>
  <si>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</si>
  <si>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</si>
  <si>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</si>
  <si>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</si>
  <si>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</si>
  <si>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</si>
  <si>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</si>
  <si>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</si>
  <si>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</si>
  <si>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</si>
  <si>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</si>
  <si>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</si>
  <si>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</si>
  <si>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</si>
  <si>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</si>
  <si>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</si>
  <si>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</si>
  <si>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</si>
  <si>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</si>
  <si>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</si>
  <si>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</si>
  <si>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</si>
  <si>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</si>
  <si>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</si>
  <si>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</si>
  <si>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</si>
  <si>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</si>
  <si>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</si>
  <si>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</si>
  <si>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</si>
  <si>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</si>
  <si>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</si>
  <si>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</si>
  <si>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</si>
  <si>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</si>
  <si>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</si>
  <si>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</si>
  <si>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</si>
  <si>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</si>
  <si>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</si>
  <si>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</si>
  <si>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</si>
  <si>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</si>
  <si>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</si>
  <si>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</si>
  <si>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</si>
  <si>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</si>
  <si>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</si>
  <si>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</si>
  <si>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</si>
  <si>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</si>
  <si>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</si>
  <si>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</si>
  <si>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</si>
  <si>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</si>
  <si>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</si>
  <si>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</si>
  <si>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</si>
  <si>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</si>
  <si>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</si>
  <si>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</si>
  <si>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</si>
  <si>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</si>
  <si>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</si>
  <si>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</si>
  <si>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</si>
  <si>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</si>
  <si>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</si>
  <si>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</si>
  <si>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</si>
  <si>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</si>
  <si>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</si>
  <si>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</si>
  <si>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</si>
  <si>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</si>
  <si>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</si>
  <si>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</si>
  <si>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</si>
  <si>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</si>
  <si>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</si>
  <si>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</si>
  <si>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</si>
  <si>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</si>
  <si>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</si>
  <si>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</si>
  <si>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</si>
  <si>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</si>
  <si>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</si>
  <si>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</si>
  <si>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</si>
  <si>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</si>
  <si>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</si>
  <si>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</si>
  <si>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</si>
  <si>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</si>
  <si>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</si>
  <si>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</si>
  <si>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</si>
  <si>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</si>
  <si>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</si>
  <si>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</si>
  <si>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</si>
  <si>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</si>
  <si>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</si>
  <si>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</si>
  <si>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</si>
  <si>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</si>
  <si>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</si>
  <si>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</si>
  <si>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</si>
  <si>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</si>
  <si>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</si>
  <si>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</si>
  <si>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</si>
  <si>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</si>
  <si>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</si>
  <si>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</si>
  <si>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</si>
  <si>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</si>
  <si>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</si>
  <si>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</si>
  <si>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</si>
  <si>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</si>
  <si>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</si>
  <si>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</si>
  <si>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</si>
  <si>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</si>
  <si>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</si>
  <si>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</si>
  <si>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</si>
  <si>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</si>
  <si>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</si>
  <si>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</si>
  <si>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</si>
  <si>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</si>
  <si>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</si>
  <si>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</si>
  <si>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</si>
  <si>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</si>
  <si>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</si>
  <si>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</si>
  <si>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</si>
  <si>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</si>
  <si>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</si>
  <si>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</si>
  <si>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</si>
  <si>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</si>
  <si>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</si>
  <si>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</si>
  <si>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</si>
  <si>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</si>
  <si>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</si>
  <si>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</si>
  <si>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</si>
  <si>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</si>
  <si>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</si>
  <si>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</si>
  <si>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</si>
  <si>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</si>
  <si>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</si>
  <si>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</si>
  <si>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</si>
  <si>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</si>
  <si>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</si>
  <si>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</si>
  <si>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</si>
  <si>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</si>
  <si>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</si>
  <si>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</si>
  <si>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</si>
  <si>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</si>
  <si>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</si>
  <si>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</si>
  <si>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</si>
  <si>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</si>
  <si>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</si>
  <si>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</si>
  <si>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</si>
  <si>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</si>
  <si>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</si>
  <si>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</si>
  <si>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</si>
  <si>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</si>
  <si>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</si>
  <si>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</si>
  <si>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</si>
  <si>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</si>
  <si>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</si>
  <si>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</si>
  <si>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</si>
  <si>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</si>
  <si>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</si>
  <si>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</si>
  <si>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</si>
  <si>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</si>
  <si>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</si>
  <si>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</si>
  <si>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</si>
  <si>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</si>
  <si>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</si>
  <si>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</si>
  <si>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</si>
  <si>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</si>
  <si>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</si>
  <si>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</si>
  <si>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</si>
  <si>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</si>
  <si>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</si>
  <si>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</si>
  <si>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</si>
  <si>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</si>
  <si>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</si>
  <si>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</si>
  <si>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</si>
  <si>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</si>
  <si>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</si>
  <si>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</si>
  <si>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</si>
  <si>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</si>
  <si>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</si>
  <si>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</si>
  <si>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</si>
  <si>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</si>
  <si>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</si>
  <si>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</si>
  <si>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</si>
  <si>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</si>
  <si>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</si>
  <si>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</si>
  <si>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</si>
  <si>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</si>
  <si>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</si>
  <si>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</si>
  <si>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</si>
  <si>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</si>
  <si>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</si>
  <si>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</si>
  <si>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</si>
  <si>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</si>
  <si>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</si>
  <si>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</si>
  <si>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</si>
  <si>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</si>
  <si>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</si>
  <si>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</si>
  <si>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</si>
  <si>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</si>
  <si>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</si>
  <si>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</si>
  <si>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</si>
  <si>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</si>
  <si>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</si>
  <si>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</si>
  <si>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</si>
  <si>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</si>
  <si>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</si>
  <si>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</si>
  <si>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Felipe Nora Godinho</t>
  </si>
  <si>
    <t>Lucas Teixeira de Freitas</t>
  </si>
  <si>
    <t>Vinicius Oliveira Valim</t>
  </si>
  <si>
    <t>Product Owner</t>
  </si>
  <si>
    <t>felipe.godinho@aluno.ifsp.edu.br</t>
  </si>
  <si>
    <t>Guilherme Quirino Pessoa De Araújo Cruz</t>
  </si>
  <si>
    <t>lucas.freitas@aluno.ifsp.edu.br</t>
  </si>
  <si>
    <t>guilherme.cruz@aluno.ifsp.edu.br</t>
  </si>
  <si>
    <t>vinicius.valim@aluno.ifsp.edu.br</t>
  </si>
  <si>
    <t>Sim</t>
  </si>
  <si>
    <t>RM#001 - Criação do Repositório GitHub</t>
  </si>
  <si>
    <t>RM#002 - Elaboração do Modelo de Caso de Uso</t>
  </si>
  <si>
    <t>RM#003 - Desenvolvimento do documento "Visão"</t>
  </si>
  <si>
    <t>RM#004 - Primeira versão da planilha de Planejamento e Controle</t>
  </si>
  <si>
    <t>ES1 - èpCafé</t>
  </si>
  <si>
    <t>Visão, modelo de caso de uso plainilha de controle</t>
  </si>
  <si>
    <t>Em execução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</si>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</sst>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0"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08">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NumberFormat="1" applyFont="1" applyFill="1" applyBorder="1" applyAlignment="1" applyProtection="1">
      <alignment horizontal="center"/>
      <protection locked="0"/>
    </xf>
    <xf numFmtId="0" fontId="27" fillId="4" borderId="1" xfId="0" applyNumberFormat="1"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29" fillId="4" borderId="1" xfId="0" applyFont="1" applyFill="1" applyBorder="1" applyAlignment="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29" fillId="4" borderId="1" xfId="0" applyFont="1" applyFill="1" applyBorder="1" applyProtection="1">
      <protection locked="0"/>
    </xf>
    <xf numFmtId="0" fontId="39" fillId="4" borderId="1" xfId="0" applyFont="1" applyFill="1" applyBorder="1" applyAlignment="1" applyProtection="1">
      <alignment horizontal="left"/>
      <protection locked="0"/>
    </xf>
    <xf numFmtId="0" fontId="37"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5"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4">
    <cellStyle name="Moeda" xfId="1" builtinId="4"/>
    <cellStyle name="Normal" xfId="0" builtinId="0"/>
    <cellStyle name="Porcentagem" xfId="2" builtinId="5"/>
    <cellStyle name="Vírgula" xfId="3" builtinId="3"/>
  </cellStyles>
  <dxfs count="14">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C7"/>
  <sheetViews>
    <sheetView workbookViewId="0">
      <selection activeCell="F9" sqref="F9"/>
    </sheetView>
  </sheetViews>
  <sheetFormatPr defaultRowHeight="15" x14ac:dyDescent="0.25"/>
  <cols>
    <col min="1" max="1" width="23.28515625" customWidth="1"/>
    <col min="2" max="2" width="48.140625" customWidth="1"/>
    <col min="3" max="3" width="31.7109375" customWidth="1"/>
  </cols>
  <sheetData>
    <row r="1" spans="1:3" ht="20.25" x14ac:dyDescent="0.25">
      <c r="A1" s="150" t="s">
        <v>43</v>
      </c>
      <c r="B1" s="150"/>
      <c r="C1" s="150"/>
    </row>
    <row r="2" spans="1:3" ht="25.5" x14ac:dyDescent="0.25">
      <c r="A2" s="151" t="s">
        <v>273</v>
      </c>
      <c r="B2" s="151"/>
      <c r="C2" s="151"/>
    </row>
    <row r="3" spans="1:3" x14ac:dyDescent="0.25">
      <c r="A3" s="13" t="s">
        <v>46</v>
      </c>
      <c r="B3" s="13" t="s">
        <v>47</v>
      </c>
      <c r="C3" s="13" t="s">
        <v>48</v>
      </c>
    </row>
    <row r="4" spans="1:3" x14ac:dyDescent="0.25">
      <c r="A4" s="18" t="s">
        <v>44</v>
      </c>
      <c r="B4" s="18" t="s">
        <v>264</v>
      </c>
      <c r="C4" s="18" t="s">
        <v>266</v>
      </c>
    </row>
    <row r="5" spans="1:3" x14ac:dyDescent="0.25">
      <c r="A5" s="18" t="s">
        <v>262</v>
      </c>
      <c r="B5" s="18" t="s">
        <v>259</v>
      </c>
      <c r="C5" s="18" t="s">
        <v>263</v>
      </c>
    </row>
    <row r="6" spans="1:3" x14ac:dyDescent="0.25">
      <c r="A6" s="18" t="s">
        <v>45</v>
      </c>
      <c r="B6" s="18" t="s">
        <v>260</v>
      </c>
      <c r="C6" s="18" t="s">
        <v>265</v>
      </c>
    </row>
    <row r="7" spans="1:3" x14ac:dyDescent="0.25">
      <c r="A7" s="18" t="s">
        <v>45</v>
      </c>
      <c r="B7" s="18" t="s">
        <v>261</v>
      </c>
      <c r="C7" s="18" t="s">
        <v>267</v>
      </c>
    </row>
  </sheetData>
  <mergeCells count="2">
    <mergeCell ref="A1:C1"/>
    <mergeCell ref="A2:C2"/>
  </mergeCell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L57"/>
  <sheetViews>
    <sheetView tabSelected="1" zoomScale="160" zoomScaleNormal="160" workbookViewId="0">
      <selection activeCell="C23" sqref="C23"/>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2" t="s">
        <v>59</v>
      </c>
      <c r="B1" s="163"/>
      <c r="C1" s="163"/>
      <c r="D1" s="163"/>
      <c r="F1" s="155" t="s">
        <v>220</v>
      </c>
      <c r="G1" s="156"/>
      <c r="H1" s="156"/>
      <c r="I1" s="156"/>
      <c r="J1" s="156"/>
      <c r="K1" s="156"/>
      <c r="L1" s="156"/>
    </row>
    <row r="2" spans="1:12" ht="42" customHeight="1" x14ac:dyDescent="0.2">
      <c r="A2" s="157" t="s">
        <v>227</v>
      </c>
      <c r="B2" s="158"/>
      <c r="C2" s="158"/>
      <c r="D2" s="158"/>
      <c r="F2" s="159" t="s">
        <v>252</v>
      </c>
      <c r="G2" s="160"/>
      <c r="H2" s="160"/>
      <c r="I2" s="160"/>
      <c r="J2" s="160"/>
      <c r="K2" s="160"/>
      <c r="L2" s="160"/>
    </row>
    <row r="3" spans="1:12" ht="24" x14ac:dyDescent="0.2">
      <c r="A3" s="138" t="s">
        <v>135</v>
      </c>
      <c r="B3" s="138" t="s">
        <v>199</v>
      </c>
      <c r="C3" s="138" t="s">
        <v>200</v>
      </c>
      <c r="D3" s="138" t="s">
        <v>219</v>
      </c>
      <c r="F3" s="138" t="s">
        <v>135</v>
      </c>
      <c r="G3" s="139" t="s">
        <v>217</v>
      </c>
      <c r="H3" s="161" t="s">
        <v>220</v>
      </c>
      <c r="I3" s="161"/>
      <c r="J3" s="161"/>
      <c r="K3" s="161"/>
      <c r="L3" s="161"/>
    </row>
    <row r="4" spans="1:12" ht="24" x14ac:dyDescent="0.2">
      <c r="A4" s="152" t="s">
        <v>0</v>
      </c>
      <c r="B4" s="153"/>
      <c r="C4" s="154"/>
      <c r="D4" s="131" t="s">
        <v>12</v>
      </c>
      <c r="F4" s="129" t="s">
        <v>226</v>
      </c>
      <c r="G4" s="129" t="s">
        <v>225</v>
      </c>
      <c r="H4" s="131" t="s">
        <v>221</v>
      </c>
      <c r="I4" s="131" t="s">
        <v>222</v>
      </c>
      <c r="J4" s="131" t="s">
        <v>223</v>
      </c>
      <c r="K4" s="136" t="s">
        <v>224</v>
      </c>
      <c r="L4" s="131" t="s">
        <v>25</v>
      </c>
    </row>
    <row r="5" spans="1:12" ht="12.75" x14ac:dyDescent="0.2">
      <c r="A5" s="126">
        <v>1</v>
      </c>
      <c r="B5" s="123" t="s">
        <v>0</v>
      </c>
      <c r="C5" s="140" t="s">
        <v>194</v>
      </c>
      <c r="D5" s="133">
        <v>10</v>
      </c>
      <c r="F5" s="127">
        <v>1</v>
      </c>
      <c r="G5" s="140" t="s">
        <v>189</v>
      </c>
      <c r="H5" s="130">
        <v>5</v>
      </c>
      <c r="I5" s="130">
        <v>0</v>
      </c>
      <c r="J5" s="130">
        <v>0</v>
      </c>
      <c r="K5" s="130">
        <v>3</v>
      </c>
      <c r="L5" s="132">
        <f>SUM(H5:K5)</f>
        <v>8</v>
      </c>
    </row>
    <row r="6" spans="1:12" ht="12.75" x14ac:dyDescent="0.2">
      <c r="A6" s="126">
        <v>2</v>
      </c>
      <c r="B6" s="123" t="s">
        <v>0</v>
      </c>
      <c r="C6" s="140" t="s">
        <v>192</v>
      </c>
      <c r="D6" s="133">
        <v>10</v>
      </c>
      <c r="F6" s="127">
        <v>2</v>
      </c>
      <c r="G6" s="140" t="s">
        <v>228</v>
      </c>
      <c r="H6" s="130">
        <v>5</v>
      </c>
      <c r="I6" s="130">
        <v>0</v>
      </c>
      <c r="J6" s="130">
        <v>5</v>
      </c>
      <c r="K6" s="130">
        <v>5</v>
      </c>
      <c r="L6" s="132">
        <f t="shared" ref="L6:L19" si="0">SUM(H6:K6)</f>
        <v>15</v>
      </c>
    </row>
    <row r="7" spans="1:12" ht="12.75" x14ac:dyDescent="0.2">
      <c r="A7" s="126">
        <v>3</v>
      </c>
      <c r="B7" s="123" t="s">
        <v>0</v>
      </c>
      <c r="C7" s="140" t="s">
        <v>191</v>
      </c>
      <c r="D7" s="133">
        <v>15</v>
      </c>
      <c r="F7" s="127">
        <v>3</v>
      </c>
      <c r="G7" s="140" t="s">
        <v>218</v>
      </c>
      <c r="H7" s="130">
        <v>3</v>
      </c>
      <c r="I7" s="130">
        <v>0</v>
      </c>
      <c r="J7" s="130">
        <v>0</v>
      </c>
      <c r="K7" s="130">
        <v>3</v>
      </c>
      <c r="L7" s="132">
        <f t="shared" si="0"/>
        <v>6</v>
      </c>
    </row>
    <row r="8" spans="1:12" ht="12.75" x14ac:dyDescent="0.2">
      <c r="A8" s="126">
        <v>4</v>
      </c>
      <c r="B8" s="123" t="s">
        <v>0</v>
      </c>
      <c r="C8" s="140" t="s">
        <v>193</v>
      </c>
      <c r="D8" s="133">
        <v>15</v>
      </c>
      <c r="F8" s="127"/>
      <c r="G8" s="140"/>
      <c r="H8" s="130"/>
      <c r="I8" s="130"/>
      <c r="J8" s="130"/>
      <c r="K8" s="130"/>
      <c r="L8" s="132">
        <f t="shared" si="0"/>
        <v>0</v>
      </c>
    </row>
    <row r="9" spans="1:12" ht="12.75" x14ac:dyDescent="0.2">
      <c r="A9" s="126">
        <v>5</v>
      </c>
      <c r="B9" s="123" t="s">
        <v>0</v>
      </c>
      <c r="C9" s="140" t="s">
        <v>197</v>
      </c>
      <c r="D9" s="133">
        <v>10</v>
      </c>
      <c r="F9" s="128"/>
      <c r="G9" s="140"/>
      <c r="H9" s="130"/>
      <c r="I9" s="130"/>
      <c r="J9" s="130"/>
      <c r="K9" s="130"/>
      <c r="L9" s="132">
        <f t="shared" si="0"/>
        <v>0</v>
      </c>
    </row>
    <row r="10" spans="1:12" ht="12.75" x14ac:dyDescent="0.2">
      <c r="A10" s="126">
        <v>6</v>
      </c>
      <c r="B10" s="123" t="s">
        <v>0</v>
      </c>
      <c r="C10" s="140" t="s">
        <v>202</v>
      </c>
      <c r="D10" s="133">
        <v>2</v>
      </c>
      <c r="F10" s="127"/>
      <c r="G10" s="140"/>
      <c r="H10" s="130"/>
      <c r="I10" s="130"/>
      <c r="J10" s="130"/>
      <c r="K10" s="130"/>
      <c r="L10" s="132">
        <f t="shared" si="0"/>
        <v>0</v>
      </c>
    </row>
    <row r="11" spans="1:12" ht="15" customHeight="1" x14ac:dyDescent="0.2">
      <c r="A11" s="152" t="s">
        <v>1</v>
      </c>
      <c r="B11" s="153"/>
      <c r="C11" s="154"/>
      <c r="D11" s="131">
        <f>SUM(D5:D10)</f>
        <v>62</v>
      </c>
      <c r="F11" s="128"/>
      <c r="G11" s="140"/>
      <c r="H11" s="130"/>
      <c r="I11" s="130"/>
      <c r="J11" s="130"/>
      <c r="K11" s="130"/>
      <c r="L11" s="132">
        <f t="shared" si="0"/>
        <v>0</v>
      </c>
    </row>
    <row r="12" spans="1:12" ht="12.75" x14ac:dyDescent="0.2">
      <c r="A12" s="126">
        <v>7</v>
      </c>
      <c r="B12" s="123" t="s">
        <v>1</v>
      </c>
      <c r="C12" s="140" t="s">
        <v>195</v>
      </c>
      <c r="D12" s="133"/>
      <c r="F12" s="128"/>
      <c r="G12" s="140"/>
      <c r="H12" s="130"/>
      <c r="I12" s="130"/>
      <c r="J12" s="130"/>
      <c r="K12" s="130"/>
      <c r="L12" s="132">
        <f t="shared" si="0"/>
        <v>0</v>
      </c>
    </row>
    <row r="13" spans="1:12" ht="12.75" x14ac:dyDescent="0.2">
      <c r="A13" s="126">
        <v>8</v>
      </c>
      <c r="B13" s="123" t="s">
        <v>1</v>
      </c>
      <c r="C13" s="140" t="s">
        <v>229</v>
      </c>
      <c r="D13" s="133"/>
      <c r="F13" s="128"/>
      <c r="G13" s="140"/>
      <c r="H13" s="130"/>
      <c r="I13" s="130"/>
      <c r="J13" s="130"/>
      <c r="K13" s="130"/>
      <c r="L13" s="132">
        <f t="shared" si="0"/>
        <v>0</v>
      </c>
    </row>
    <row r="14" spans="1:12" ht="12.75" x14ac:dyDescent="0.2">
      <c r="A14" s="126">
        <v>9</v>
      </c>
      <c r="B14" s="123" t="s">
        <v>1</v>
      </c>
      <c r="C14" s="125" t="s">
        <v>230</v>
      </c>
      <c r="D14" s="133"/>
      <c r="F14" s="128"/>
      <c r="G14" s="140"/>
      <c r="H14" s="130"/>
      <c r="I14" s="130"/>
      <c r="J14" s="130"/>
      <c r="K14" s="130"/>
      <c r="L14" s="132">
        <f t="shared" si="0"/>
        <v>0</v>
      </c>
    </row>
    <row r="15" spans="1:12" ht="12.75" x14ac:dyDescent="0.2">
      <c r="A15" s="126">
        <v>10</v>
      </c>
      <c r="B15" s="123" t="s">
        <v>1</v>
      </c>
      <c r="C15" s="141" t="s">
        <v>231</v>
      </c>
      <c r="D15" s="133"/>
      <c r="F15" s="128"/>
      <c r="G15" s="140"/>
      <c r="H15" s="130"/>
      <c r="I15" s="130"/>
      <c r="J15" s="130"/>
      <c r="K15" s="130"/>
      <c r="L15" s="132">
        <f t="shared" si="0"/>
        <v>0</v>
      </c>
    </row>
    <row r="16" spans="1:12" ht="12.75" x14ac:dyDescent="0.2">
      <c r="A16" s="126">
        <v>11</v>
      </c>
      <c r="B16" s="123" t="s">
        <v>1</v>
      </c>
      <c r="C16" s="142" t="s">
        <v>232</v>
      </c>
      <c r="D16" s="133"/>
      <c r="F16" s="128"/>
      <c r="G16" s="140"/>
      <c r="H16" s="130"/>
      <c r="I16" s="130"/>
      <c r="J16" s="130"/>
      <c r="K16" s="130"/>
      <c r="L16" s="132">
        <f t="shared" si="0"/>
        <v>0</v>
      </c>
    </row>
    <row r="17" spans="1:12" ht="12.75" x14ac:dyDescent="0.2">
      <c r="A17" s="126">
        <v>12</v>
      </c>
      <c r="B17" s="123" t="s">
        <v>1</v>
      </c>
      <c r="C17" s="142" t="s">
        <v>233</v>
      </c>
      <c r="D17" s="133"/>
      <c r="F17" s="128"/>
      <c r="G17" s="140"/>
      <c r="H17" s="130"/>
      <c r="I17" s="130"/>
      <c r="J17" s="130"/>
      <c r="K17" s="130"/>
      <c r="L17" s="132">
        <f t="shared" si="0"/>
        <v>0</v>
      </c>
    </row>
    <row r="18" spans="1:12" ht="12.75" x14ac:dyDescent="0.2">
      <c r="A18" s="126">
        <v>13</v>
      </c>
      <c r="B18" s="123" t="s">
        <v>1</v>
      </c>
      <c r="C18" s="125" t="s">
        <v>201</v>
      </c>
      <c r="D18" s="133"/>
      <c r="F18" s="128"/>
      <c r="G18" s="140"/>
      <c r="H18" s="130"/>
      <c r="I18" s="130"/>
      <c r="J18" s="130"/>
      <c r="K18" s="130"/>
      <c r="L18" s="132">
        <f t="shared" si="0"/>
        <v>0</v>
      </c>
    </row>
    <row r="19" spans="1:12" ht="12.75" x14ac:dyDescent="0.2">
      <c r="A19" s="126">
        <v>14</v>
      </c>
      <c r="B19" s="123" t="s">
        <v>1</v>
      </c>
      <c r="C19" s="125" t="s">
        <v>204</v>
      </c>
      <c r="D19" s="133"/>
      <c r="F19" s="128"/>
      <c r="G19" s="140"/>
      <c r="H19" s="130"/>
      <c r="I19" s="130"/>
      <c r="J19" s="130"/>
      <c r="K19" s="130"/>
      <c r="L19" s="132">
        <f t="shared" si="0"/>
        <v>0</v>
      </c>
    </row>
    <row r="20" spans="1:12" x14ac:dyDescent="0.25">
      <c r="A20" s="126">
        <v>15</v>
      </c>
      <c r="B20" s="123" t="s">
        <v>1</v>
      </c>
      <c r="C20" s="125" t="s">
        <v>198</v>
      </c>
      <c r="D20" s="133"/>
      <c r="F20"/>
      <c r="G20"/>
      <c r="H20" s="124"/>
      <c r="I20" s="124"/>
      <c r="J20" s="124"/>
      <c r="K20" s="124"/>
      <c r="L20" s="124"/>
    </row>
    <row r="21" spans="1:12" x14ac:dyDescent="0.25">
      <c r="A21" s="126">
        <v>16</v>
      </c>
      <c r="B21" s="123" t="s">
        <v>1</v>
      </c>
      <c r="C21" s="125" t="s">
        <v>203</v>
      </c>
      <c r="D21" s="133"/>
      <c r="F21"/>
      <c r="G21"/>
      <c r="H21" s="124"/>
      <c r="I21" s="124"/>
      <c r="J21" s="124"/>
      <c r="K21" s="124"/>
      <c r="L21" s="124"/>
    </row>
    <row r="22" spans="1:12" ht="15" customHeight="1" x14ac:dyDescent="0.25">
      <c r="A22" s="152" t="s">
        <v>2</v>
      </c>
      <c r="B22" s="153"/>
      <c r="C22" s="154"/>
      <c r="D22" s="131">
        <f>SUM(D12:D21)</f>
        <v>0</v>
      </c>
      <c r="F22"/>
      <c r="G22"/>
      <c r="H22" s="124"/>
      <c r="I22" s="124"/>
      <c r="J22" s="124"/>
      <c r="K22" s="124"/>
      <c r="L22" s="124"/>
    </row>
    <row r="23" spans="1:12" x14ac:dyDescent="0.25">
      <c r="A23" s="126">
        <v>17</v>
      </c>
      <c r="B23" s="123" t="s">
        <v>2</v>
      </c>
      <c r="C23" s="140" t="s">
        <v>195</v>
      </c>
      <c r="D23" s="133"/>
      <c r="F23"/>
      <c r="G23"/>
      <c r="H23" s="124"/>
      <c r="I23" s="124"/>
      <c r="J23" s="124"/>
      <c r="K23" s="124"/>
      <c r="L23" s="124"/>
    </row>
    <row r="24" spans="1:12" ht="12.75" x14ac:dyDescent="0.2">
      <c r="A24" s="126">
        <v>18</v>
      </c>
      <c r="B24" s="123" t="s">
        <v>2</v>
      </c>
      <c r="C24" s="141" t="s">
        <v>196</v>
      </c>
      <c r="D24" s="133"/>
    </row>
    <row r="25" spans="1:12" ht="12.75" x14ac:dyDescent="0.2">
      <c r="A25" s="126">
        <v>19</v>
      </c>
      <c r="B25" s="123" t="s">
        <v>2</v>
      </c>
      <c r="C25" s="142" t="s">
        <v>190</v>
      </c>
      <c r="D25" s="133"/>
    </row>
    <row r="26" spans="1:12" ht="12.75" x14ac:dyDescent="0.2">
      <c r="A26" s="126">
        <v>20</v>
      </c>
      <c r="B26" s="123" t="s">
        <v>2</v>
      </c>
      <c r="C26" s="142" t="s">
        <v>233</v>
      </c>
      <c r="D26" s="133"/>
    </row>
    <row r="27" spans="1:12" ht="12.75" x14ac:dyDescent="0.2">
      <c r="A27" s="126">
        <v>21</v>
      </c>
      <c r="B27" s="123" t="s">
        <v>2</v>
      </c>
      <c r="C27" s="142" t="s">
        <v>250</v>
      </c>
      <c r="D27" s="133"/>
    </row>
    <row r="28" spans="1:12" ht="12.75" x14ac:dyDescent="0.2">
      <c r="A28" s="126">
        <v>22</v>
      </c>
      <c r="B28" s="123" t="s">
        <v>2</v>
      </c>
      <c r="C28" s="142" t="s">
        <v>251</v>
      </c>
      <c r="D28" s="133"/>
    </row>
    <row r="29" spans="1:12" ht="12.75" x14ac:dyDescent="0.2">
      <c r="A29" s="126">
        <v>23</v>
      </c>
      <c r="B29" s="123" t="s">
        <v>2</v>
      </c>
      <c r="C29" s="141" t="s">
        <v>208</v>
      </c>
      <c r="D29" s="133"/>
    </row>
    <row r="30" spans="1:12" ht="12.75" x14ac:dyDescent="0.2">
      <c r="A30" s="126">
        <v>24</v>
      </c>
      <c r="B30" s="123" t="s">
        <v>2</v>
      </c>
      <c r="C30" s="142" t="s">
        <v>209</v>
      </c>
      <c r="D30" s="133"/>
    </row>
    <row r="31" spans="1:12" ht="12.75" x14ac:dyDescent="0.2">
      <c r="A31" s="126">
        <v>25</v>
      </c>
      <c r="B31" s="123" t="s">
        <v>2</v>
      </c>
      <c r="C31" s="142" t="s">
        <v>205</v>
      </c>
      <c r="D31" s="133"/>
    </row>
    <row r="32" spans="1:12" ht="12.75" x14ac:dyDescent="0.2">
      <c r="A32" s="126">
        <v>26</v>
      </c>
      <c r="B32" s="123" t="s">
        <v>2</v>
      </c>
      <c r="C32" s="142" t="s">
        <v>207</v>
      </c>
      <c r="D32" s="133"/>
    </row>
    <row r="33" spans="1:4" ht="12.75" x14ac:dyDescent="0.2">
      <c r="A33" s="126">
        <v>27</v>
      </c>
      <c r="B33" s="123" t="s">
        <v>2</v>
      </c>
      <c r="C33" s="142" t="s">
        <v>206</v>
      </c>
      <c r="D33" s="133"/>
    </row>
    <row r="34" spans="1:4" ht="12.75" x14ac:dyDescent="0.2">
      <c r="A34" s="126">
        <v>28</v>
      </c>
      <c r="B34" s="123" t="s">
        <v>2</v>
      </c>
      <c r="C34" s="141" t="s">
        <v>234</v>
      </c>
      <c r="D34" s="133"/>
    </row>
    <row r="35" spans="1:4" ht="12.75" x14ac:dyDescent="0.2">
      <c r="A35" s="126">
        <v>29</v>
      </c>
      <c r="B35" s="123" t="s">
        <v>2</v>
      </c>
      <c r="C35" s="142" t="s">
        <v>235</v>
      </c>
      <c r="D35" s="133"/>
    </row>
    <row r="36" spans="1:4" ht="12.75" x14ac:dyDescent="0.2">
      <c r="A36" s="126">
        <v>30</v>
      </c>
      <c r="B36" s="123" t="s">
        <v>2</v>
      </c>
      <c r="C36" s="142" t="s">
        <v>236</v>
      </c>
      <c r="D36" s="133"/>
    </row>
    <row r="37" spans="1:4" ht="12.75" x14ac:dyDescent="0.2">
      <c r="A37" s="126">
        <v>31</v>
      </c>
      <c r="B37" s="123" t="s">
        <v>2</v>
      </c>
      <c r="C37" s="142" t="s">
        <v>237</v>
      </c>
      <c r="D37" s="133"/>
    </row>
    <row r="38" spans="1:4" ht="12.75" x14ac:dyDescent="0.2">
      <c r="A38" s="126">
        <v>32</v>
      </c>
      <c r="B38" s="123" t="s">
        <v>2</v>
      </c>
      <c r="C38" s="142" t="s">
        <v>238</v>
      </c>
      <c r="D38" s="133"/>
    </row>
    <row r="39" spans="1:4" ht="12.75" x14ac:dyDescent="0.2">
      <c r="A39" s="126">
        <v>33</v>
      </c>
      <c r="B39" s="123" t="s">
        <v>2</v>
      </c>
      <c r="C39" s="141" t="s">
        <v>239</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198</v>
      </c>
      <c r="D44" s="133"/>
    </row>
    <row r="45" spans="1:4" ht="12.75" x14ac:dyDescent="0.2">
      <c r="A45" s="126">
        <v>35</v>
      </c>
      <c r="B45" s="123" t="s">
        <v>2</v>
      </c>
      <c r="C45" s="125" t="s">
        <v>203</v>
      </c>
      <c r="D45" s="133"/>
    </row>
    <row r="46" spans="1:4" ht="15" customHeight="1" x14ac:dyDescent="0.2">
      <c r="A46" s="152" t="s">
        <v>3</v>
      </c>
      <c r="B46" s="153"/>
      <c r="C46" s="154"/>
      <c r="D46" s="131">
        <f>SUM(D23:D45)</f>
        <v>0</v>
      </c>
    </row>
    <row r="47" spans="1:4" ht="12.75" x14ac:dyDescent="0.2">
      <c r="A47" s="126">
        <v>36</v>
      </c>
      <c r="B47" s="123" t="s">
        <v>3</v>
      </c>
      <c r="C47" s="140" t="s">
        <v>195</v>
      </c>
      <c r="D47" s="133"/>
    </row>
    <row r="48" spans="1:4" ht="12.75" x14ac:dyDescent="0.2">
      <c r="A48" s="126">
        <v>37</v>
      </c>
      <c r="B48" s="123" t="s">
        <v>3</v>
      </c>
      <c r="C48" s="125" t="s">
        <v>210</v>
      </c>
      <c r="D48" s="133"/>
    </row>
    <row r="49" spans="1:4" ht="12.75" x14ac:dyDescent="0.2">
      <c r="A49" s="126">
        <v>38</v>
      </c>
      <c r="B49" s="123" t="s">
        <v>3</v>
      </c>
      <c r="C49" s="125" t="s">
        <v>211</v>
      </c>
      <c r="D49" s="133"/>
    </row>
    <row r="50" spans="1:4" ht="12.75" x14ac:dyDescent="0.2">
      <c r="A50" s="126">
        <v>39</v>
      </c>
      <c r="B50" s="123" t="s">
        <v>3</v>
      </c>
      <c r="C50" s="125" t="s">
        <v>216</v>
      </c>
      <c r="D50" s="133"/>
    </row>
    <row r="51" spans="1:4" ht="12.75" x14ac:dyDescent="0.2">
      <c r="A51" s="126">
        <v>40</v>
      </c>
      <c r="B51" s="123" t="s">
        <v>3</v>
      </c>
      <c r="C51" s="140" t="s">
        <v>212</v>
      </c>
      <c r="D51" s="133"/>
    </row>
    <row r="52" spans="1:4" ht="12.75" x14ac:dyDescent="0.2">
      <c r="A52" s="126">
        <v>41</v>
      </c>
      <c r="B52" s="123" t="s">
        <v>3</v>
      </c>
      <c r="C52" s="140" t="s">
        <v>213</v>
      </c>
      <c r="D52" s="133"/>
    </row>
    <row r="53" spans="1:4" ht="12.75" x14ac:dyDescent="0.2">
      <c r="A53" s="126">
        <v>42</v>
      </c>
      <c r="B53" s="123" t="s">
        <v>3</v>
      </c>
      <c r="C53" s="140" t="s">
        <v>215</v>
      </c>
      <c r="D53" s="133"/>
    </row>
    <row r="54" spans="1:4" ht="12.75" x14ac:dyDescent="0.2">
      <c r="A54" s="126">
        <v>43</v>
      </c>
      <c r="B54" s="123" t="s">
        <v>3</v>
      </c>
      <c r="C54" s="140" t="s">
        <v>214</v>
      </c>
      <c r="D54" s="133"/>
    </row>
    <row r="55" spans="1:4" ht="12.75" x14ac:dyDescent="0.2">
      <c r="A55" s="126">
        <v>44</v>
      </c>
      <c r="B55" s="137" t="s">
        <v>3</v>
      </c>
      <c r="C55" s="125" t="s">
        <v>198</v>
      </c>
      <c r="D55" s="133"/>
    </row>
    <row r="56" spans="1:4" ht="12" x14ac:dyDescent="0.2">
      <c r="A56" s="152"/>
      <c r="B56" s="153"/>
      <c r="C56" s="154"/>
      <c r="D56" s="131">
        <f>SUM(D47:D55)</f>
        <v>0</v>
      </c>
    </row>
    <row r="57" spans="1:4" ht="15.75" x14ac:dyDescent="0.2">
      <c r="D57" s="143">
        <f>SUM(D11,D22,D46,D56)</f>
        <v>62</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2"/>
  <sheetViews>
    <sheetView workbookViewId="0">
      <selection activeCell="G14" sqref="G14"/>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4" t="s">
        <v>186</v>
      </c>
      <c r="B1" s="164"/>
      <c r="C1" s="164"/>
    </row>
    <row r="2" spans="1:3" ht="7.5" customHeight="1" x14ac:dyDescent="0.25"/>
    <row r="3" spans="1:3" ht="15.75" x14ac:dyDescent="0.25">
      <c r="A3" s="165" t="s">
        <v>55</v>
      </c>
      <c r="B3" s="165"/>
      <c r="C3" s="165"/>
    </row>
    <row r="4" spans="1:3" ht="18.75" x14ac:dyDescent="0.3">
      <c r="A4" s="27" t="s">
        <v>254</v>
      </c>
      <c r="B4" s="147">
        <f>'Backlog Produto'!$D$57</f>
        <v>62</v>
      </c>
      <c r="C4" s="27" t="s">
        <v>13</v>
      </c>
    </row>
    <row r="5" spans="1:3" x14ac:dyDescent="0.25">
      <c r="A5" s="56" t="s">
        <v>188</v>
      </c>
      <c r="B5" s="26">
        <v>0</v>
      </c>
      <c r="C5" s="56" t="s">
        <v>242</v>
      </c>
    </row>
    <row r="6" spans="1:3" x14ac:dyDescent="0.25">
      <c r="A6" s="8" t="s">
        <v>241</v>
      </c>
      <c r="B6" s="15">
        <v>1</v>
      </c>
      <c r="C6" s="29"/>
    </row>
    <row r="7" spans="1:3" x14ac:dyDescent="0.25">
      <c r="A7" s="29" t="s">
        <v>240</v>
      </c>
      <c r="B7" s="15">
        <v>10</v>
      </c>
      <c r="C7" s="29" t="s">
        <v>13</v>
      </c>
    </row>
    <row r="8" spans="1:3" x14ac:dyDescent="0.25">
      <c r="A8" s="29" t="s">
        <v>247</v>
      </c>
      <c r="B8" s="145">
        <f>B6*B7*2</f>
        <v>20</v>
      </c>
      <c r="C8" s="29" t="s">
        <v>13</v>
      </c>
    </row>
    <row r="9" spans="1:3" ht="18.75" x14ac:dyDescent="0.3">
      <c r="A9" s="27" t="s">
        <v>243</v>
      </c>
      <c r="B9" s="144">
        <f>B11/2</f>
        <v>3.1</v>
      </c>
      <c r="C9" s="27" t="s">
        <v>253</v>
      </c>
    </row>
    <row r="10" spans="1:3" x14ac:dyDescent="0.25">
      <c r="A10" s="56" t="s">
        <v>246</v>
      </c>
      <c r="B10" s="146">
        <f>B4+(B4*B5)</f>
        <v>62</v>
      </c>
      <c r="C10" s="56" t="s">
        <v>13</v>
      </c>
    </row>
    <row r="11" spans="1:3" x14ac:dyDescent="0.25">
      <c r="A11" s="29" t="s">
        <v>244</v>
      </c>
      <c r="B11" s="145">
        <f>B10/B8*2</f>
        <v>6.2</v>
      </c>
      <c r="C11" s="29" t="s">
        <v>28</v>
      </c>
    </row>
    <row r="12" spans="1:3" ht="18.75" x14ac:dyDescent="0.3">
      <c r="A12" s="27" t="s">
        <v>245</v>
      </c>
      <c r="B12" s="144">
        <f>B11/4</f>
        <v>1.55</v>
      </c>
      <c r="C12" s="27" t="s">
        <v>51</v>
      </c>
    </row>
    <row r="14" spans="1:3" ht="15.75" x14ac:dyDescent="0.25">
      <c r="A14" s="165" t="s">
        <v>14</v>
      </c>
      <c r="B14" s="165"/>
      <c r="C14" s="165"/>
    </row>
    <row r="15" spans="1:3" x14ac:dyDescent="0.25">
      <c r="A15" s="29" t="s">
        <v>17</v>
      </c>
      <c r="B15" s="149">
        <v>20</v>
      </c>
      <c r="C15" s="2"/>
    </row>
    <row r="16" spans="1:3" x14ac:dyDescent="0.25">
      <c r="A16" s="29" t="s">
        <v>15</v>
      </c>
      <c r="B16" s="5">
        <f>B10*B15</f>
        <v>1240</v>
      </c>
      <c r="C16" s="2"/>
    </row>
    <row r="17" spans="1:3" x14ac:dyDescent="0.25">
      <c r="A17" s="29" t="s">
        <v>20</v>
      </c>
      <c r="B17" s="26">
        <v>0</v>
      </c>
      <c r="C17" s="2"/>
    </row>
    <row r="18" spans="1:3" x14ac:dyDescent="0.25">
      <c r="A18" s="29" t="s">
        <v>16</v>
      </c>
      <c r="B18" s="6">
        <f>B16*B17</f>
        <v>0</v>
      </c>
      <c r="C18" s="2"/>
    </row>
    <row r="19" spans="1:3" ht="18.75" x14ac:dyDescent="0.3">
      <c r="A19" s="27" t="s">
        <v>248</v>
      </c>
      <c r="B19" s="148">
        <f>B16+B18</f>
        <v>1240</v>
      </c>
      <c r="C19" s="2"/>
    </row>
    <row r="20" spans="1:3" x14ac:dyDescent="0.25">
      <c r="A20" s="29" t="s">
        <v>21</v>
      </c>
      <c r="B20" s="26">
        <v>0.2</v>
      </c>
      <c r="C20" s="2"/>
    </row>
    <row r="21" spans="1:3" x14ac:dyDescent="0.25">
      <c r="A21" s="29" t="s">
        <v>23</v>
      </c>
      <c r="B21" s="7">
        <f>B19*B20</f>
        <v>248</v>
      </c>
      <c r="C21" s="2"/>
    </row>
    <row r="22" spans="1:3" ht="18.75" x14ac:dyDescent="0.3">
      <c r="A22" s="27" t="s">
        <v>249</v>
      </c>
      <c r="B22" s="148">
        <f>B19+B21</f>
        <v>1488</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workbookViewId="0">
      <selection activeCell="D43" sqref="D43"/>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6" t="s">
        <v>187</v>
      </c>
      <c r="B1" s="167"/>
      <c r="C1" s="167"/>
      <c r="D1" s="167"/>
      <c r="E1" s="167"/>
      <c r="F1" s="167"/>
      <c r="G1" s="167"/>
      <c r="H1" s="167"/>
      <c r="I1" s="167"/>
      <c r="J1" s="167"/>
      <c r="K1" s="167"/>
    </row>
    <row r="2" spans="1:11" ht="15.75" x14ac:dyDescent="0.25">
      <c r="A2" s="169" t="s">
        <v>74</v>
      </c>
      <c r="B2" s="171"/>
      <c r="C2" s="82" t="e">
        <f>Planejamento!#REF!</f>
        <v>#REF!</v>
      </c>
      <c r="D2" s="168" t="s">
        <v>58</v>
      </c>
      <c r="E2" s="168"/>
      <c r="F2" s="83" t="e">
        <f>Planejamento!#REF!</f>
        <v>#REF!</v>
      </c>
      <c r="G2" s="169" t="s">
        <v>75</v>
      </c>
      <c r="H2" s="170"/>
      <c r="I2" s="170"/>
      <c r="J2" s="171"/>
      <c r="K2" s="82">
        <f>Planejamento!$B$10</f>
        <v>62</v>
      </c>
    </row>
    <row r="3" spans="1:11" ht="12.75" x14ac:dyDescent="0.2">
      <c r="A3" s="84"/>
      <c r="B3" s="85"/>
      <c r="C3" s="172" t="s">
        <v>72</v>
      </c>
      <c r="D3" s="172"/>
      <c r="E3" s="172"/>
      <c r="F3" s="86"/>
      <c r="G3" s="173" t="s">
        <v>71</v>
      </c>
      <c r="H3" s="174"/>
      <c r="I3" s="175"/>
      <c r="J3" s="87"/>
      <c r="K3" s="88"/>
    </row>
    <row r="4" spans="1:11" ht="12.75" x14ac:dyDescent="0.2">
      <c r="A4" s="89" t="s">
        <v>50</v>
      </c>
      <c r="B4" s="89" t="s">
        <v>130</v>
      </c>
      <c r="C4" s="89" t="s">
        <v>61</v>
      </c>
      <c r="D4" s="89" t="s">
        <v>60</v>
      </c>
      <c r="E4" s="89" t="s">
        <v>12</v>
      </c>
      <c r="F4" s="89" t="s">
        <v>52</v>
      </c>
      <c r="G4" s="89" t="s">
        <v>61</v>
      </c>
      <c r="H4" s="89" t="s">
        <v>70</v>
      </c>
      <c r="I4" s="89" t="s">
        <v>12</v>
      </c>
      <c r="J4" s="90" t="s">
        <v>73</v>
      </c>
      <c r="K4" s="89" t="s">
        <v>68</v>
      </c>
    </row>
    <row r="5" spans="1:11" ht="12.75" x14ac:dyDescent="0.2">
      <c r="A5" s="91">
        <v>1</v>
      </c>
      <c r="B5" s="92" t="s">
        <v>274</v>
      </c>
      <c r="C5" s="93">
        <v>45168</v>
      </c>
      <c r="D5" s="93">
        <v>45182</v>
      </c>
      <c r="E5" s="94">
        <v>18</v>
      </c>
      <c r="F5" s="95" t="s">
        <v>275</v>
      </c>
      <c r="G5" s="93">
        <v>45168</v>
      </c>
      <c r="H5" s="93" t="s">
        <v>276</v>
      </c>
      <c r="I5" s="94" t="s">
        <v>276</v>
      </c>
      <c r="J5" s="96" t="e">
        <f>E5-I5</f>
        <v>#VALUE!</v>
      </c>
      <c r="K5" s="97" t="s">
        <v>69</v>
      </c>
    </row>
    <row r="6" spans="1:11" ht="12.75" x14ac:dyDescent="0.2">
      <c r="A6" s="91">
        <v>2</v>
      </c>
      <c r="B6" s="92"/>
      <c r="C6" s="93"/>
      <c r="D6" s="93"/>
      <c r="E6" s="98"/>
      <c r="F6" s="95"/>
      <c r="G6" s="93"/>
      <c r="H6" s="93"/>
      <c r="I6" s="98"/>
      <c r="J6" s="99"/>
      <c r="K6" s="97"/>
    </row>
    <row r="7" spans="1:11" ht="12.75" x14ac:dyDescent="0.2">
      <c r="A7" s="91">
        <v>3</v>
      </c>
      <c r="B7" s="92"/>
      <c r="C7" s="93"/>
      <c r="D7" s="93"/>
      <c r="E7" s="98"/>
      <c r="F7" s="95"/>
      <c r="G7" s="93"/>
      <c r="H7" s="93"/>
      <c r="I7" s="98"/>
      <c r="J7" s="99"/>
      <c r="K7" s="97"/>
    </row>
    <row r="8" spans="1:11" ht="12.75" x14ac:dyDescent="0.2">
      <c r="A8" s="91">
        <v>4</v>
      </c>
      <c r="B8" s="92"/>
      <c r="C8" s="93"/>
      <c r="D8" s="93"/>
      <c r="E8" s="98"/>
      <c r="F8" s="95"/>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c r="F15" s="31"/>
      <c r="G15" s="48"/>
      <c r="H15" s="48"/>
      <c r="I15" s="49"/>
      <c r="J15" s="50"/>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3" priority="19" stopIfTrue="1">
      <formula>$F5="Planned"</formula>
    </cfRule>
    <cfRule type="expression" dxfId="12" priority="20" stopIfTrue="1">
      <formula>$F5="Ongoing"</formula>
    </cfRule>
    <cfRule type="cellIs" dxfId="11" priority="21" stopIfTrue="1" operator="equal">
      <formula>"Unplanned"</formula>
    </cfRule>
  </conditionalFormatting>
  <conditionalFormatting sqref="A5:D14">
    <cfRule type="expression" dxfId="10" priority="22" stopIfTrue="1">
      <formula>OR($F5="Planned",$F5="Unplanned")</formula>
    </cfRule>
    <cfRule type="expression" dxfId="9" priority="23" stopIfTrue="1">
      <formula>$F5="Ongoing"</formula>
    </cfRule>
  </conditionalFormatting>
  <conditionalFormatting sqref="G6:H14 H5">
    <cfRule type="expression" dxfId="8" priority="3" stopIfTrue="1">
      <formula>OR($F5="Planned",$F5="Unplanned")</formula>
    </cfRule>
    <cfRule type="expression" dxfId="7" priority="4" stopIfTrue="1">
      <formula>$F5="Ongoing"</formula>
    </cfRule>
  </conditionalFormatting>
  <conditionalFormatting sqref="G5">
    <cfRule type="expression" dxfId="1" priority="1" stopIfTrue="1">
      <formula>OR($F5="Planned",$F5="Unplanned")</formula>
    </cfRule>
    <cfRule type="expression" dxfId="0" priority="2" stopIfTrue="1">
      <formula>$F5="Ongoing"</formula>
    </cfRule>
  </conditionalFormatting>
  <dataValidations count="1">
    <dataValidation type="list" allowBlank="1" showInputMessage="1" showErrorMessage="1" sqref="F5:F14">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K60"/>
  <sheetViews>
    <sheetView zoomScale="130" zoomScaleNormal="130" workbookViewId="0">
      <selection activeCell="D51" sqref="D51"/>
    </sheetView>
  </sheetViews>
  <sheetFormatPr defaultRowHeight="11.25" x14ac:dyDescent="0.2"/>
  <cols>
    <col min="1" max="1" width="6" style="58" customWidth="1"/>
    <col min="2" max="2" width="38.28515625" style="58" customWidth="1"/>
    <col min="3" max="3" width="7" style="58"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6" t="s">
        <v>79</v>
      </c>
      <c r="B1" s="167"/>
      <c r="C1" s="167"/>
      <c r="D1" s="167"/>
      <c r="E1" s="167"/>
      <c r="F1" s="167"/>
      <c r="G1" s="167"/>
      <c r="H1" s="167"/>
      <c r="I1" s="167"/>
      <c r="J1" s="167"/>
      <c r="K1" s="167"/>
    </row>
    <row r="2" spans="1:11" hidden="1" x14ac:dyDescent="0.2"/>
    <row r="3" spans="1:11" hidden="1" x14ac:dyDescent="0.2">
      <c r="D3" s="59" t="s">
        <v>80</v>
      </c>
    </row>
    <row r="4" spans="1:11" ht="22.5" hidden="1" x14ac:dyDescent="0.2">
      <c r="D4" s="60" t="s">
        <v>81</v>
      </c>
    </row>
    <row r="5" spans="1:11" ht="22.5" hidden="1" x14ac:dyDescent="0.2">
      <c r="D5" s="60" t="s">
        <v>82</v>
      </c>
    </row>
    <row r="6" spans="1:11" hidden="1" x14ac:dyDescent="0.2">
      <c r="D6" s="60" t="s">
        <v>83</v>
      </c>
    </row>
    <row r="7" spans="1:11" ht="22.5" hidden="1" x14ac:dyDescent="0.2">
      <c r="D7" s="60" t="s">
        <v>84</v>
      </c>
    </row>
    <row r="8" spans="1:11" hidden="1" x14ac:dyDescent="0.2">
      <c r="D8" s="60" t="s">
        <v>85</v>
      </c>
    </row>
    <row r="9" spans="1:11" hidden="1" x14ac:dyDescent="0.2">
      <c r="D9" s="60" t="s">
        <v>86</v>
      </c>
    </row>
    <row r="10" spans="1:11" ht="22.5" hidden="1" x14ac:dyDescent="0.2">
      <c r="D10" s="60" t="s">
        <v>87</v>
      </c>
    </row>
    <row r="11" spans="1:11" ht="22.5" hidden="1" x14ac:dyDescent="0.2">
      <c r="D11" s="60" t="s">
        <v>88</v>
      </c>
    </row>
    <row r="12" spans="1:11" hidden="1" x14ac:dyDescent="0.2">
      <c r="D12" s="60" t="s">
        <v>89</v>
      </c>
    </row>
    <row r="13" spans="1:11" ht="22.5" hidden="1" x14ac:dyDescent="0.2">
      <c r="D13" s="60" t="s">
        <v>90</v>
      </c>
    </row>
    <row r="14" spans="1:11" ht="22.5" hidden="1" x14ac:dyDescent="0.2">
      <c r="D14" s="61" t="s">
        <v>91</v>
      </c>
    </row>
    <row r="15" spans="1:11" hidden="1" x14ac:dyDescent="0.2">
      <c r="D15" s="60" t="s">
        <v>92</v>
      </c>
    </row>
    <row r="16" spans="1:11" hidden="1" x14ac:dyDescent="0.2">
      <c r="D16" s="60" t="s">
        <v>93</v>
      </c>
    </row>
    <row r="17" spans="1:11" hidden="1" x14ac:dyDescent="0.2">
      <c r="D17" s="60" t="s">
        <v>94</v>
      </c>
    </row>
    <row r="18" spans="1:11" hidden="1" x14ac:dyDescent="0.2">
      <c r="D18" s="61" t="s">
        <v>95</v>
      </c>
    </row>
    <row r="19" spans="1:11" hidden="1" x14ac:dyDescent="0.2">
      <c r="D19" s="60" t="s">
        <v>96</v>
      </c>
    </row>
    <row r="20" spans="1:11" hidden="1" x14ac:dyDescent="0.2">
      <c r="D20" s="60" t="s">
        <v>97</v>
      </c>
    </row>
    <row r="21" spans="1:11" hidden="1" x14ac:dyDescent="0.2">
      <c r="D21" s="60" t="s">
        <v>98</v>
      </c>
    </row>
    <row r="22" spans="1:11" hidden="1" x14ac:dyDescent="0.2">
      <c r="D22" s="61" t="s">
        <v>99</v>
      </c>
    </row>
    <row r="23" spans="1:11" hidden="1" x14ac:dyDescent="0.2">
      <c r="D23" s="60" t="s">
        <v>100</v>
      </c>
    </row>
    <row r="24" spans="1:11" hidden="1" x14ac:dyDescent="0.2">
      <c r="D24" s="60" t="s">
        <v>101</v>
      </c>
    </row>
    <row r="25" spans="1:11" hidden="1" x14ac:dyDescent="0.2">
      <c r="D25" s="60" t="s">
        <v>102</v>
      </c>
    </row>
    <row r="26" spans="1:11" hidden="1" x14ac:dyDescent="0.2">
      <c r="D26" s="60" t="s">
        <v>103</v>
      </c>
    </row>
    <row r="27" spans="1:11" hidden="1" x14ac:dyDescent="0.2">
      <c r="D27" s="61" t="s">
        <v>104</v>
      </c>
    </row>
    <row r="28" spans="1:11" hidden="1" x14ac:dyDescent="0.2">
      <c r="D28" s="60" t="s">
        <v>105</v>
      </c>
    </row>
    <row r="29" spans="1:11" hidden="1" x14ac:dyDescent="0.2">
      <c r="D29" s="60" t="s">
        <v>106</v>
      </c>
    </row>
    <row r="30" spans="1:11" hidden="1" x14ac:dyDescent="0.2">
      <c r="D30" s="60" t="s">
        <v>107</v>
      </c>
    </row>
    <row r="31" spans="1:11" s="64" customFormat="1" hidden="1" x14ac:dyDescent="0.2">
      <c r="A31" s="62"/>
      <c r="B31" s="62"/>
      <c r="C31" s="62"/>
      <c r="D31" s="63" t="s">
        <v>108</v>
      </c>
      <c r="E31" s="62"/>
      <c r="F31" s="62"/>
      <c r="G31" s="62"/>
      <c r="H31" s="62"/>
      <c r="I31" s="62"/>
      <c r="J31" s="62"/>
      <c r="K31" s="62"/>
    </row>
    <row r="32" spans="1:11" hidden="1" x14ac:dyDescent="0.2">
      <c r="A32" s="65"/>
      <c r="B32" s="65"/>
      <c r="C32" s="65"/>
      <c r="D32" s="66" t="s">
        <v>109</v>
      </c>
      <c r="E32" s="65"/>
      <c r="F32" s="65"/>
      <c r="G32" s="65"/>
      <c r="H32" s="65"/>
      <c r="I32" s="65"/>
      <c r="J32" s="65"/>
      <c r="K32" s="65"/>
    </row>
    <row r="33" spans="1:11" ht="22.5" hidden="1" customHeight="1" x14ac:dyDescent="0.2">
      <c r="A33" s="65"/>
      <c r="B33" s="65"/>
      <c r="C33" s="65"/>
      <c r="D33" s="176" t="s">
        <v>110</v>
      </c>
      <c r="E33" s="177"/>
      <c r="F33" s="65"/>
      <c r="G33" s="65"/>
      <c r="H33" s="65"/>
      <c r="I33" s="65"/>
      <c r="J33" s="65"/>
      <c r="K33" s="65"/>
    </row>
    <row r="34" spans="1:11" hidden="1" x14ac:dyDescent="0.2">
      <c r="A34" s="65"/>
      <c r="B34" s="65"/>
      <c r="C34" s="65"/>
      <c r="D34" s="67">
        <v>4290</v>
      </c>
      <c r="E34" s="68" t="s">
        <v>111</v>
      </c>
      <c r="F34" s="65"/>
      <c r="G34" s="65"/>
      <c r="H34" s="65"/>
      <c r="I34" s="65"/>
      <c r="J34" s="65"/>
      <c r="K34" s="65"/>
    </row>
    <row r="35" spans="1:11" ht="22.5" hidden="1" x14ac:dyDescent="0.2">
      <c r="A35" s="65"/>
      <c r="B35" s="65"/>
      <c r="C35" s="65"/>
      <c r="D35" s="67">
        <v>5082</v>
      </c>
      <c r="E35" s="68" t="s">
        <v>112</v>
      </c>
      <c r="F35" s="65"/>
      <c r="G35" s="65"/>
      <c r="H35" s="65"/>
      <c r="I35" s="65"/>
      <c r="J35" s="65"/>
      <c r="K35" s="65"/>
    </row>
    <row r="36" spans="1:11" ht="22.5" hidden="1" x14ac:dyDescent="0.2">
      <c r="A36" s="65"/>
      <c r="B36" s="65"/>
      <c r="C36" s="65"/>
      <c r="D36" s="67">
        <v>4356</v>
      </c>
      <c r="E36" s="68" t="s">
        <v>113</v>
      </c>
      <c r="F36" s="65"/>
      <c r="G36" s="65"/>
      <c r="H36" s="65"/>
      <c r="I36" s="65"/>
      <c r="J36" s="65"/>
      <c r="K36" s="65"/>
    </row>
    <row r="37" spans="1:11" ht="22.5" hidden="1" x14ac:dyDescent="0.2">
      <c r="A37" s="65"/>
      <c r="B37" s="65"/>
      <c r="C37" s="65"/>
      <c r="D37" s="67">
        <v>5929</v>
      </c>
      <c r="E37" s="68" t="s">
        <v>114</v>
      </c>
      <c r="F37" s="65"/>
      <c r="G37" s="65"/>
      <c r="H37" s="65"/>
      <c r="I37" s="65"/>
      <c r="J37" s="65"/>
      <c r="K37" s="65"/>
    </row>
    <row r="38" spans="1:11" hidden="1" x14ac:dyDescent="0.2">
      <c r="A38" s="65"/>
      <c r="B38" s="65"/>
      <c r="C38" s="65"/>
      <c r="D38" s="67">
        <v>5005</v>
      </c>
      <c r="E38" s="68" t="s">
        <v>115</v>
      </c>
      <c r="F38" s="65"/>
      <c r="G38" s="65"/>
      <c r="H38" s="65"/>
      <c r="I38" s="65"/>
      <c r="J38" s="65"/>
      <c r="K38" s="65"/>
    </row>
    <row r="39" spans="1:11" ht="12" hidden="1" thickBot="1" x14ac:dyDescent="0.25">
      <c r="A39" s="65"/>
      <c r="B39" s="65"/>
      <c r="C39" s="65"/>
      <c r="D39" s="69">
        <v>4225</v>
      </c>
      <c r="E39" s="70" t="s">
        <v>116</v>
      </c>
      <c r="F39" s="65"/>
      <c r="G39" s="65"/>
      <c r="H39" s="65"/>
      <c r="I39" s="65"/>
      <c r="J39" s="65"/>
      <c r="K39" s="65"/>
    </row>
    <row r="40" spans="1:11" ht="8.25" customHeight="1" x14ac:dyDescent="0.2"/>
    <row r="41" spans="1:11" s="57" customFormat="1" ht="12.75" customHeight="1" x14ac:dyDescent="0.25">
      <c r="A41" s="184" t="s">
        <v>117</v>
      </c>
      <c r="B41" s="184"/>
      <c r="C41" s="184"/>
      <c r="D41" s="184"/>
      <c r="E41" s="184"/>
      <c r="F41" s="184"/>
      <c r="G41" s="184"/>
      <c r="H41" s="184"/>
      <c r="I41" s="184"/>
      <c r="J41" s="184"/>
      <c r="K41" s="184"/>
    </row>
    <row r="42" spans="1:11" s="57" customFormat="1" ht="12.75" customHeight="1" x14ac:dyDescent="0.25">
      <c r="A42" s="185" t="s">
        <v>118</v>
      </c>
      <c r="B42" s="185"/>
      <c r="C42" s="185"/>
      <c r="D42" s="185"/>
      <c r="E42" s="185"/>
      <c r="F42" s="185"/>
      <c r="G42" s="185"/>
      <c r="H42" s="185"/>
      <c r="I42" s="185"/>
      <c r="J42" s="185"/>
      <c r="K42" s="185"/>
    </row>
    <row r="43" spans="1:11" s="57" customFormat="1" ht="15" customHeight="1" x14ac:dyDescent="0.25">
      <c r="A43" s="186" t="s">
        <v>132</v>
      </c>
      <c r="B43" s="186"/>
      <c r="C43" s="186"/>
      <c r="D43" s="186"/>
      <c r="E43" s="186"/>
      <c r="F43" s="186"/>
      <c r="G43" s="186"/>
      <c r="H43" s="186"/>
      <c r="I43" s="186"/>
      <c r="J43" s="186"/>
      <c r="K43" s="186"/>
    </row>
    <row r="44" spans="1:11" s="57" customFormat="1" ht="15.75" customHeight="1" x14ac:dyDescent="0.25">
      <c r="A44" s="187" t="s">
        <v>119</v>
      </c>
      <c r="B44" s="187"/>
      <c r="C44" s="187"/>
      <c r="D44" s="187"/>
      <c r="E44" s="187"/>
      <c r="F44" s="187"/>
      <c r="G44" s="187"/>
      <c r="H44" s="187"/>
      <c r="I44" s="187"/>
      <c r="J44" s="187"/>
      <c r="K44" s="187"/>
    </row>
    <row r="45" spans="1:11" ht="9" customHeight="1" x14ac:dyDescent="0.2"/>
    <row r="46" spans="1:11" ht="15.75" thickBot="1" x14ac:dyDescent="0.3">
      <c r="A46" s="178" t="s">
        <v>120</v>
      </c>
      <c r="B46" s="179"/>
      <c r="C46" s="179"/>
      <c r="D46" s="179"/>
      <c r="E46" s="179"/>
      <c r="F46" s="179"/>
      <c r="G46" s="179"/>
      <c r="H46" s="179"/>
      <c r="I46" s="179"/>
      <c r="J46" s="179"/>
      <c r="K46" s="179"/>
    </row>
    <row r="47" spans="1:11" s="71" customFormat="1" ht="12.75" customHeight="1" x14ac:dyDescent="0.25">
      <c r="A47" s="81" t="s">
        <v>121</v>
      </c>
      <c r="B47" s="80"/>
      <c r="C47" s="180" t="s">
        <v>122</v>
      </c>
      <c r="D47" s="180"/>
      <c r="E47" s="180"/>
      <c r="F47" s="180"/>
      <c r="G47" s="180"/>
      <c r="H47" s="180"/>
      <c r="I47" s="180"/>
      <c r="J47" s="180"/>
      <c r="K47" s="180"/>
    </row>
    <row r="48" spans="1:11" s="72" customFormat="1" ht="11.25" customHeight="1" x14ac:dyDescent="0.25">
      <c r="A48" s="183"/>
      <c r="B48" s="183" t="s">
        <v>131</v>
      </c>
      <c r="C48" s="183" t="s">
        <v>123</v>
      </c>
      <c r="D48" s="183" t="s">
        <v>124</v>
      </c>
      <c r="E48" s="183" t="s">
        <v>95</v>
      </c>
      <c r="F48" s="183" t="s">
        <v>125</v>
      </c>
      <c r="G48" s="183" t="s">
        <v>99</v>
      </c>
      <c r="H48" s="190" t="s">
        <v>126</v>
      </c>
      <c r="I48" s="191"/>
      <c r="J48" s="191"/>
      <c r="K48" s="191"/>
    </row>
    <row r="49" spans="1:11" s="72" customFormat="1" ht="11.25" customHeight="1" x14ac:dyDescent="0.25">
      <c r="A49" s="183"/>
      <c r="B49" s="183"/>
      <c r="C49" s="183"/>
      <c r="D49" s="183"/>
      <c r="E49" s="183"/>
      <c r="F49" s="183"/>
      <c r="G49" s="183"/>
      <c r="H49" s="181" t="s">
        <v>127</v>
      </c>
      <c r="I49" s="182"/>
      <c r="J49" s="73" t="s">
        <v>128</v>
      </c>
      <c r="K49" s="73" t="s">
        <v>129</v>
      </c>
    </row>
    <row r="50" spans="1:11" s="72" customFormat="1" ht="33.75" x14ac:dyDescent="0.25">
      <c r="A50" s="100">
        <v>1</v>
      </c>
      <c r="B50" s="101" t="s">
        <v>133</v>
      </c>
      <c r="C50" s="74">
        <v>45174</v>
      </c>
      <c r="D50" s="75" t="s">
        <v>93</v>
      </c>
      <c r="E50" s="75" t="s">
        <v>97</v>
      </c>
      <c r="F50" s="76" t="str">
        <f>IF(OR((CODE($D50)*CODE($E50))=$D$36,(CODE($D50)*CODE($E50))=$D$35),$D$15,IF(OR((CODE($D50)*CODE($E50))=$D$34,(CODE($D50)*CODE($E50))=$D$37),$D$16,IF(OR((CODE($D50)*CODE($E50))=$D$38,(CODE($D50)*CODE($E50))=$D$39),$D$17,)))</f>
        <v>Média</v>
      </c>
      <c r="G50" s="75" t="s">
        <v>100</v>
      </c>
      <c r="H50" s="188"/>
      <c r="I50" s="189"/>
      <c r="J50" s="79"/>
      <c r="K50" s="79" t="s">
        <v>134</v>
      </c>
    </row>
    <row r="51" spans="1:11" s="72" customFormat="1" ht="11.25" customHeight="1" x14ac:dyDescent="0.25">
      <c r="A51" s="100">
        <v>2</v>
      </c>
      <c r="B51" s="101"/>
      <c r="C51" s="74"/>
      <c r="D51" s="75"/>
      <c r="E51" s="75"/>
      <c r="F51" s="76" t="e">
        <f t="shared" ref="F51:F58" si="0">IF(OR((CODE($D51)*CODE($E51))=$D$36,(CODE($D51)*CODE($E51))=$D$35),$D$15,IF(OR((CODE($D51)*CODE($E51))=$D$34,(CODE($D51)*CODE($E51))=$D$37),$D$16,IF(OR((CODE($D51)*CODE($E51))=$D$38,(CODE($D51)*CODE($E51))=$D$39),$D$17,)))</f>
        <v>#VALUE!</v>
      </c>
      <c r="G51" s="75"/>
      <c r="H51" s="77"/>
      <c r="I51" s="78"/>
      <c r="J51" s="79"/>
      <c r="K51" s="79"/>
    </row>
    <row r="52" spans="1:11" s="72" customFormat="1" ht="11.25" customHeight="1" x14ac:dyDescent="0.25">
      <c r="A52" s="100">
        <v>3</v>
      </c>
      <c r="B52" s="101"/>
      <c r="C52" s="74"/>
      <c r="D52" s="75"/>
      <c r="E52" s="75"/>
      <c r="F52" s="76" t="e">
        <f t="shared" si="0"/>
        <v>#VALUE!</v>
      </c>
      <c r="G52" s="75"/>
      <c r="H52" s="77"/>
      <c r="I52" s="78"/>
      <c r="J52" s="79"/>
      <c r="K52" s="79"/>
    </row>
    <row r="53" spans="1:11" s="72" customFormat="1" ht="11.25" customHeight="1" x14ac:dyDescent="0.25">
      <c r="A53" s="100">
        <v>4</v>
      </c>
      <c r="B53" s="101"/>
      <c r="C53" s="74"/>
      <c r="D53" s="75"/>
      <c r="E53" s="75"/>
      <c r="F53" s="76" t="e">
        <f t="shared" si="0"/>
        <v>#VALUE!</v>
      </c>
      <c r="G53" s="75"/>
      <c r="H53" s="77"/>
      <c r="I53" s="78"/>
      <c r="J53" s="79"/>
      <c r="K53" s="79"/>
    </row>
    <row r="54" spans="1:11" s="72" customFormat="1" ht="11.25" customHeight="1" x14ac:dyDescent="0.25">
      <c r="A54" s="100">
        <v>5</v>
      </c>
      <c r="B54" s="101"/>
      <c r="C54" s="74"/>
      <c r="D54" s="75"/>
      <c r="E54" s="75"/>
      <c r="F54" s="76" t="e">
        <f t="shared" si="0"/>
        <v>#VALUE!</v>
      </c>
      <c r="G54" s="75"/>
      <c r="H54" s="77"/>
      <c r="I54" s="78"/>
      <c r="J54" s="79"/>
      <c r="K54" s="79"/>
    </row>
    <row r="55" spans="1:11" s="72" customFormat="1" ht="11.25" customHeight="1" x14ac:dyDescent="0.25">
      <c r="A55" s="100">
        <v>6</v>
      </c>
      <c r="B55" s="101"/>
      <c r="C55" s="74"/>
      <c r="D55" s="75"/>
      <c r="E55" s="75"/>
      <c r="F55" s="76" t="e">
        <f t="shared" si="0"/>
        <v>#VALUE!</v>
      </c>
      <c r="G55" s="75"/>
      <c r="H55" s="77"/>
      <c r="I55" s="78"/>
      <c r="J55" s="79"/>
      <c r="K55" s="79"/>
    </row>
    <row r="56" spans="1:11" s="72" customFormat="1" ht="11.25" customHeight="1" x14ac:dyDescent="0.25">
      <c r="A56" s="100">
        <v>7</v>
      </c>
      <c r="B56" s="101"/>
      <c r="C56" s="74"/>
      <c r="D56" s="75"/>
      <c r="E56" s="75"/>
      <c r="F56" s="76" t="e">
        <f t="shared" si="0"/>
        <v>#VALUE!</v>
      </c>
      <c r="G56" s="75"/>
      <c r="H56" s="77"/>
      <c r="I56" s="78"/>
      <c r="J56" s="79"/>
      <c r="K56" s="79"/>
    </row>
    <row r="57" spans="1:11" s="72" customFormat="1" ht="11.25" customHeight="1" x14ac:dyDescent="0.25">
      <c r="A57" s="100">
        <v>8</v>
      </c>
      <c r="B57" s="101"/>
      <c r="C57" s="74"/>
      <c r="D57" s="75"/>
      <c r="E57" s="75"/>
      <c r="F57" s="76" t="e">
        <f t="shared" si="0"/>
        <v>#VALUE!</v>
      </c>
      <c r="G57" s="75"/>
      <c r="H57" s="77"/>
      <c r="I57" s="78"/>
      <c r="J57" s="79"/>
      <c r="K57" s="79"/>
    </row>
    <row r="58" spans="1:11" s="72" customFormat="1" ht="11.25" customHeight="1" x14ac:dyDescent="0.25">
      <c r="A58" s="100">
        <v>9</v>
      </c>
      <c r="B58" s="101"/>
      <c r="C58" s="74"/>
      <c r="D58" s="75"/>
      <c r="E58" s="75"/>
      <c r="F58" s="76" t="e">
        <f t="shared" si="0"/>
        <v>#VALUE!</v>
      </c>
      <c r="G58" s="75"/>
      <c r="H58" s="77"/>
      <c r="I58" s="78"/>
      <c r="J58" s="79"/>
      <c r="K58" s="79"/>
    </row>
    <row r="59" spans="1:11" s="72" customFormat="1" ht="11.25" customHeight="1" x14ac:dyDescent="0.25">
      <c r="A59" s="100">
        <v>10</v>
      </c>
      <c r="B59" s="101"/>
      <c r="C59" s="74"/>
      <c r="D59" s="75"/>
      <c r="E59" s="75"/>
      <c r="F59" s="76" t="e">
        <f>IF(OR((CODE($D59)*CODE($E59))=$D$36,(CODE($D59)*CODE($E59))=$D$35),$D$15,IF(OR((CODE($D59)*CODE($E59))=$D$34,(CODE($D59)*CODE($E59))=$D$37),$D$16,IF(OR((CODE($D59)*CODE($E59))=$D$38,(CODE($D59)*CODE($E59))=$D$39),$D$17,)))</f>
        <v>#VALUE!</v>
      </c>
      <c r="G59" s="75"/>
      <c r="H59" s="188"/>
      <c r="I59" s="189"/>
      <c r="J59" s="79"/>
      <c r="K59" s="79"/>
    </row>
    <row r="60" spans="1:11" s="72" customFormat="1" ht="11.25" customHeight="1" x14ac:dyDescent="0.25">
      <c r="A60" s="100">
        <v>11</v>
      </c>
      <c r="B60" s="101"/>
      <c r="C60" s="74"/>
      <c r="D60" s="75"/>
      <c r="E60" s="75"/>
      <c r="F60" s="76" t="e">
        <f>IF(OR((CODE($D60)*CODE($E60))=$D$36,(CODE($D60)*CODE($E60))=$D$35),$D$15,IF(OR((CODE($D60)*CODE($E60))=$D$34,(CODE($D60)*CODE($E60))=$D$37),$D$16,IF(OR((CODE($D60)*CODE($E60))=$D$38,(CODE($D60)*CODE($E60))=$D$39),$D$17,)))</f>
        <v>#VALUE!</v>
      </c>
      <c r="G60" s="75"/>
      <c r="H60" s="188"/>
      <c r="I60" s="189"/>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6" priority="1" stopIfTrue="1" operator="equal">
      <formula>$D$15</formula>
    </cfRule>
    <cfRule type="cellIs" dxfId="5" priority="2" stopIfTrue="1" operator="equal">
      <formula>$D$16</formula>
    </cfRule>
    <cfRule type="cellIs" dxfId="4"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5"/>
  <sheetViews>
    <sheetView zoomScale="160" zoomScaleNormal="160" workbookViewId="0">
      <selection activeCell="E6" sqref="E6"/>
    </sheetView>
  </sheetViews>
  <sheetFormatPr defaultRowHeight="12" x14ac:dyDescent="0.2"/>
  <cols>
    <col min="1" max="1" width="6.5703125" style="23" customWidth="1"/>
    <col min="2" max="2" width="54.5703125" style="22" bestFit="1" customWidth="1"/>
    <col min="3" max="3" width="14.85546875" style="23" bestFit="1" customWidth="1"/>
    <col min="4" max="4" width="14.140625" style="22" customWidth="1"/>
    <col min="5" max="16384" width="9.140625" style="22"/>
  </cols>
  <sheetData>
    <row r="1" spans="1:4" ht="18.75" x14ac:dyDescent="0.3">
      <c r="A1" s="192" t="s">
        <v>255</v>
      </c>
      <c r="B1" s="193"/>
      <c r="C1" s="193"/>
      <c r="D1" s="193"/>
    </row>
    <row r="2" spans="1:4" ht="12.75" x14ac:dyDescent="0.2">
      <c r="A2" s="84"/>
      <c r="B2" s="85"/>
      <c r="C2" s="172" t="s">
        <v>72</v>
      </c>
      <c r="D2" s="172"/>
    </row>
    <row r="3" spans="1:4" ht="12.75" x14ac:dyDescent="0.2">
      <c r="A3" s="89" t="s">
        <v>226</v>
      </c>
      <c r="B3" s="89" t="s">
        <v>256</v>
      </c>
      <c r="C3" s="89" t="s">
        <v>257</v>
      </c>
      <c r="D3" s="89" t="s">
        <v>258</v>
      </c>
    </row>
    <row r="4" spans="1:4" ht="12.75" x14ac:dyDescent="0.2">
      <c r="A4" s="91">
        <v>1</v>
      </c>
      <c r="B4" s="92" t="s">
        <v>269</v>
      </c>
      <c r="C4" s="93">
        <v>45168</v>
      </c>
      <c r="D4" s="75" t="s">
        <v>268</v>
      </c>
    </row>
    <row r="5" spans="1:4" ht="12.75" x14ac:dyDescent="0.2">
      <c r="A5" s="91">
        <v>2</v>
      </c>
      <c r="B5" s="92" t="s">
        <v>270</v>
      </c>
      <c r="C5" s="93">
        <v>45175</v>
      </c>
      <c r="D5" s="75"/>
    </row>
    <row r="6" spans="1:4" ht="12.75" x14ac:dyDescent="0.2">
      <c r="A6" s="91">
        <v>3</v>
      </c>
      <c r="B6" s="92" t="s">
        <v>271</v>
      </c>
      <c r="C6" s="93">
        <v>45175</v>
      </c>
      <c r="D6" s="75"/>
    </row>
    <row r="7" spans="1:4" ht="12.75" x14ac:dyDescent="0.2">
      <c r="A7" s="91">
        <v>4</v>
      </c>
      <c r="B7" s="92" t="s">
        <v>272</v>
      </c>
      <c r="C7" s="93">
        <v>45182</v>
      </c>
      <c r="D7" s="75" t="s">
        <v>268</v>
      </c>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3" priority="22" stopIfTrue="1">
      <formula>OR(#REF!="Planned",#REF!="Unplanned")</formula>
    </cfRule>
    <cfRule type="expression" dxfId="2" priority="23" stopIfTrue="1">
      <formula>#REF!="Ongoing"</formula>
    </cfRule>
  </conditionalFormatting>
  <dataValidations count="1">
    <dataValidation type="list" allowBlank="1" showInputMessage="1" showErrorMessage="1" sqref="D4:D13">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9"/>
  <sheetViews>
    <sheetView workbookViewId="0">
      <selection activeCell="S26" sqref="S2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4">
        <v>43130</v>
      </c>
      <c r="D1" s="43" t="s">
        <v>32</v>
      </c>
      <c r="E1" s="43" t="s">
        <v>33</v>
      </c>
      <c r="F1" s="43" t="s">
        <v>34</v>
      </c>
      <c r="G1" s="43" t="s">
        <v>35</v>
      </c>
      <c r="H1" s="43" t="s">
        <v>36</v>
      </c>
      <c r="I1" s="43" t="s">
        <v>37</v>
      </c>
      <c r="J1" s="43" t="s">
        <v>38</v>
      </c>
      <c r="K1" s="43" t="s">
        <v>39</v>
      </c>
      <c r="L1" s="43" t="s">
        <v>40</v>
      </c>
    </row>
    <row r="2" spans="1:13" x14ac:dyDescent="0.25">
      <c r="A2" s="122" t="s">
        <v>194</v>
      </c>
      <c r="B2" s="15"/>
      <c r="C2" s="15"/>
      <c r="D2" s="15"/>
      <c r="E2" s="15"/>
      <c r="F2" s="15"/>
      <c r="G2" s="15"/>
      <c r="H2" s="15"/>
      <c r="I2" s="15"/>
      <c r="J2" s="15"/>
      <c r="K2" s="15"/>
      <c r="L2" s="15"/>
    </row>
    <row r="3" spans="1:13" x14ac:dyDescent="0.25">
      <c r="A3" s="122" t="s">
        <v>192</v>
      </c>
      <c r="B3" s="15"/>
      <c r="C3" s="15"/>
      <c r="D3" s="15"/>
      <c r="E3" s="15"/>
      <c r="F3" s="15"/>
      <c r="G3" s="15"/>
      <c r="H3" s="15"/>
      <c r="I3" s="15"/>
      <c r="J3" s="15"/>
      <c r="K3" s="15"/>
      <c r="L3" s="15"/>
    </row>
    <row r="4" spans="1:13" x14ac:dyDescent="0.25">
      <c r="A4" s="122" t="s">
        <v>191</v>
      </c>
      <c r="B4" s="15"/>
      <c r="C4" s="15"/>
      <c r="D4" s="15"/>
      <c r="E4" s="15"/>
      <c r="F4" s="15"/>
      <c r="G4" s="15"/>
      <c r="H4" s="15"/>
      <c r="I4" s="15"/>
      <c r="J4" s="15"/>
      <c r="K4" s="15"/>
      <c r="L4" s="15"/>
    </row>
    <row r="5" spans="1:13" x14ac:dyDescent="0.25">
      <c r="A5" s="122" t="s">
        <v>193</v>
      </c>
      <c r="B5" s="15"/>
      <c r="C5" s="15"/>
      <c r="D5" s="15"/>
      <c r="E5" s="15"/>
      <c r="F5" s="15"/>
      <c r="G5" s="15"/>
      <c r="H5" s="15"/>
      <c r="I5" s="15"/>
      <c r="J5" s="15"/>
      <c r="K5" s="15"/>
      <c r="L5" s="15"/>
    </row>
    <row r="6" spans="1:13" x14ac:dyDescent="0.25">
      <c r="A6" s="122" t="s">
        <v>197</v>
      </c>
      <c r="B6" s="15"/>
      <c r="C6" s="15"/>
      <c r="D6" s="15"/>
      <c r="E6" s="15"/>
      <c r="F6" s="15"/>
      <c r="G6" s="15"/>
      <c r="H6" s="15"/>
      <c r="I6" s="15"/>
      <c r="J6" s="15"/>
      <c r="K6" s="15"/>
      <c r="L6" s="15"/>
    </row>
    <row r="7" spans="1:13" x14ac:dyDescent="0.25">
      <c r="A7" s="122" t="s">
        <v>202</v>
      </c>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0</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0</v>
      </c>
      <c r="C13" s="37">
        <f>B13-($B$13/COUNTA($C$1:$L$1))</f>
        <v>0</v>
      </c>
      <c r="D13" s="37">
        <f t="shared" ref="D13:L13" si="1">C13-($B$13/COUNTA($C$1:$L$1))</f>
        <v>0</v>
      </c>
      <c r="E13" s="37">
        <f t="shared" si="1"/>
        <v>0</v>
      </c>
      <c r="F13" s="37">
        <f t="shared" si="1"/>
        <v>0</v>
      </c>
      <c r="G13" s="37">
        <f t="shared" si="1"/>
        <v>0</v>
      </c>
      <c r="H13" s="37">
        <f t="shared" si="1"/>
        <v>0</v>
      </c>
      <c r="I13" s="37">
        <f t="shared" si="1"/>
        <v>0</v>
      </c>
      <c r="J13" s="37">
        <f t="shared" si="1"/>
        <v>0</v>
      </c>
      <c r="K13" s="37">
        <f t="shared" si="1"/>
        <v>0</v>
      </c>
      <c r="L13" s="37">
        <f t="shared" si="1"/>
        <v>0</v>
      </c>
    </row>
    <row r="14" spans="1:13" x14ac:dyDescent="0.25">
      <c r="A14" s="40" t="s">
        <v>62</v>
      </c>
      <c r="B14" s="41">
        <f ca="1">OFFSET(Sprint1!$B$12,0,0,1,COUNT(Sprint1!$B$12:$L$12))</f>
        <v>0</v>
      </c>
      <c r="C14" s="41">
        <f ca="1">OFFSET(Sprint1!$B$12,0,0,1,COUNT(Sprint1!$B$12:$L$12))</f>
        <v>0</v>
      </c>
      <c r="D14" s="41">
        <f ca="1">OFFSET(Sprint1!$B$12,0,0,1,COUNT(Sprint1!$B$12:$L$12))</f>
        <v>0</v>
      </c>
      <c r="E14" s="41">
        <f ca="1">OFFSET(Sprint1!$B$12,0,0,1,COUNT(Sprint1!$B$12:$L$12))</f>
        <v>0</v>
      </c>
      <c r="F14" s="41">
        <f ca="1">OFFSET(Sprint1!$B$12,0,0,1,COUNT(Sprint1!$B$12:$L$12))</f>
        <v>0</v>
      </c>
      <c r="G14" s="41">
        <f ca="1">OFFSET(Sprint1!$B$12,0,0,1,COUNT(Sprint1!$B$12:$L$12))</f>
        <v>0</v>
      </c>
      <c r="H14" s="41">
        <f ca="1">OFFSET(Sprint1!$B$12,0,0,1,COUNT(Sprint1!$B$12:$L$12))</f>
        <v>0</v>
      </c>
      <c r="I14" s="41">
        <f ca="1">OFFSET(Sprint1!$B$12,0,0,1,COUNT(Sprint1!$B$12:$L$12))</f>
        <v>0</v>
      </c>
      <c r="J14" s="41">
        <f ca="1">OFFSET(Sprint1!$B$12,0,0,1,COUNT(Sprint1!$B$12:$L$12))</f>
        <v>0</v>
      </c>
      <c r="K14" s="41">
        <f ca="1">OFFSET(Sprint1!$B$12,0,0,1,COUNT(Sprint1!$B$12:$L$12))</f>
        <v>0</v>
      </c>
      <c r="L14" s="41">
        <f ca="1">OFFSET(Sprint1!$B$12,0,0,1,COUNT(Sprint1!$B$12:$L$12))</f>
        <v>0</v>
      </c>
    </row>
    <row r="15" spans="1:13" x14ac:dyDescent="0.25">
      <c r="A15" s="40" t="s">
        <v>63</v>
      </c>
      <c r="B15" s="42" t="e">
        <f ca="1">B14/$B$13</f>
        <v>#DIV/0!</v>
      </c>
      <c r="C15" s="42" t="e">
        <f ca="1">100%-(C14/$B$13)</f>
        <v>#DIV/0!</v>
      </c>
      <c r="D15" s="42" t="e">
        <f t="shared" ref="D15:L15" ca="1" si="2">100%-(D14/$B$13)</f>
        <v>#DIV/0!</v>
      </c>
      <c r="E15" s="42" t="e">
        <f t="shared" ca="1" si="2"/>
        <v>#DIV/0!</v>
      </c>
      <c r="F15" s="42" t="e">
        <f t="shared" ca="1" si="2"/>
        <v>#DIV/0!</v>
      </c>
      <c r="G15" s="42" t="e">
        <f t="shared" ca="1" si="2"/>
        <v>#DIV/0!</v>
      </c>
      <c r="H15" s="42" t="e">
        <f t="shared" ca="1" si="2"/>
        <v>#DIV/0!</v>
      </c>
      <c r="I15" s="42" t="e">
        <f t="shared" ca="1" si="2"/>
        <v>#DIV/0!</v>
      </c>
      <c r="J15" s="42" t="e">
        <f t="shared" ca="1" si="2"/>
        <v>#DIV/0!</v>
      </c>
      <c r="K15" s="42" t="e">
        <f t="shared" ca="1" si="2"/>
        <v>#DIV/0!</v>
      </c>
      <c r="L15" s="42" t="e">
        <f t="shared" ca="1" si="2"/>
        <v>#DIV/0!</v>
      </c>
    </row>
    <row r="16" spans="1:13" ht="18.75" x14ac:dyDescent="0.3">
      <c r="A16" s="45" t="s">
        <v>66</v>
      </c>
      <c r="B16" s="45">
        <f>Planejamento!B8</f>
        <v>20</v>
      </c>
      <c r="C16" s="45" t="s">
        <v>12</v>
      </c>
    </row>
    <row r="19" spans="14:15" x14ac:dyDescent="0.25">
      <c r="N19" s="14" t="s">
        <v>42</v>
      </c>
      <c r="O19" s="47"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0" t="s">
        <v>182</v>
      </c>
      <c r="B1" s="200"/>
      <c r="C1" s="200"/>
      <c r="D1" s="200"/>
      <c r="E1" s="200"/>
      <c r="F1" s="200"/>
      <c r="G1" s="200"/>
      <c r="H1" s="200"/>
      <c r="I1" s="200"/>
      <c r="J1" s="200"/>
      <c r="K1" s="200"/>
      <c r="L1" s="200"/>
      <c r="M1" s="200"/>
      <c r="N1" s="200"/>
    </row>
    <row r="2" spans="1:23" s="103" customFormat="1" ht="12.75" customHeight="1" x14ac:dyDescent="0.2">
      <c r="A2" s="201" t="s">
        <v>117</v>
      </c>
      <c r="B2" s="201"/>
      <c r="C2" s="201"/>
      <c r="D2" s="201"/>
      <c r="E2" s="201"/>
      <c r="F2" s="201"/>
      <c r="G2" s="201"/>
      <c r="H2" s="201"/>
      <c r="I2" s="201"/>
      <c r="J2" s="201"/>
      <c r="K2" s="201"/>
      <c r="L2" s="201"/>
      <c r="M2" s="201"/>
      <c r="N2" s="201"/>
    </row>
    <row r="3" spans="1:23" s="103" customFormat="1" ht="15" customHeight="1" x14ac:dyDescent="0.2">
      <c r="A3" s="202" t="s">
        <v>169</v>
      </c>
      <c r="B3" s="202"/>
      <c r="C3" s="202"/>
      <c r="D3" s="202"/>
      <c r="E3" s="202"/>
      <c r="F3" s="202"/>
      <c r="G3" s="202"/>
      <c r="H3" s="202"/>
      <c r="I3" s="202"/>
      <c r="J3" s="202"/>
      <c r="K3" s="202"/>
      <c r="L3" s="202"/>
      <c r="M3" s="202"/>
      <c r="N3" s="202"/>
    </row>
    <row r="4" spans="1:23" s="103" customFormat="1" ht="15" customHeight="1" x14ac:dyDescent="0.2">
      <c r="A4" s="203" t="s">
        <v>136</v>
      </c>
      <c r="B4" s="203"/>
      <c r="C4" s="203"/>
      <c r="D4" s="203"/>
      <c r="E4" s="203"/>
      <c r="F4" s="203"/>
      <c r="G4" s="203"/>
      <c r="H4" s="203"/>
      <c r="I4" s="203"/>
      <c r="J4" s="203"/>
      <c r="K4" s="203"/>
      <c r="L4" s="203"/>
      <c r="M4" s="203"/>
      <c r="N4" s="203"/>
    </row>
    <row r="5" spans="1:23" s="103" customFormat="1" ht="15.75" customHeight="1" x14ac:dyDescent="0.2">
      <c r="A5" s="204" t="s">
        <v>170</v>
      </c>
      <c r="B5" s="204"/>
      <c r="C5" s="204"/>
      <c r="D5" s="204"/>
      <c r="E5" s="204"/>
      <c r="F5" s="204"/>
      <c r="G5" s="204"/>
      <c r="H5" s="204"/>
      <c r="I5" s="204"/>
      <c r="J5" s="204"/>
      <c r="K5" s="204"/>
      <c r="L5" s="204"/>
      <c r="M5" s="204"/>
      <c r="N5" s="204"/>
    </row>
    <row r="6" spans="1:23" s="22" customFormat="1" ht="20.25" customHeight="1" x14ac:dyDescent="0.2"/>
    <row r="7" spans="1:23" s="22" customFormat="1" ht="12" x14ac:dyDescent="0.2">
      <c r="A7" s="198" t="s">
        <v>153</v>
      </c>
      <c r="B7" s="199"/>
      <c r="D7" s="198" t="s">
        <v>171</v>
      </c>
      <c r="E7" s="199"/>
      <c r="G7" s="194" t="s">
        <v>138</v>
      </c>
      <c r="H7" s="194"/>
      <c r="I7" s="194"/>
      <c r="J7" s="194"/>
      <c r="K7" s="194"/>
      <c r="M7" s="198" t="s">
        <v>172</v>
      </c>
      <c r="N7" s="199"/>
    </row>
    <row r="8" spans="1:23" s="22" customFormat="1" ht="17.25" customHeight="1" x14ac:dyDescent="0.2">
      <c r="A8" s="104" t="s">
        <v>150</v>
      </c>
      <c r="B8" s="105" t="s">
        <v>140</v>
      </c>
      <c r="D8" s="104" t="s">
        <v>154</v>
      </c>
      <c r="E8" s="105" t="s">
        <v>140</v>
      </c>
      <c r="G8" s="104" t="s">
        <v>142</v>
      </c>
      <c r="H8" s="104" t="s">
        <v>148</v>
      </c>
      <c r="I8" s="104" t="s">
        <v>93</v>
      </c>
      <c r="J8" s="105" t="s">
        <v>149</v>
      </c>
      <c r="K8" s="105" t="s">
        <v>141</v>
      </c>
      <c r="M8" s="105" t="s">
        <v>174</v>
      </c>
      <c r="N8" s="105" t="s">
        <v>173</v>
      </c>
    </row>
    <row r="9" spans="1:23" s="22" customFormat="1" ht="12" x14ac:dyDescent="0.2">
      <c r="A9" s="102" t="s">
        <v>151</v>
      </c>
      <c r="B9" s="106" t="s">
        <v>148</v>
      </c>
      <c r="D9" s="102" t="s">
        <v>155</v>
      </c>
      <c r="E9" s="106" t="s">
        <v>148</v>
      </c>
      <c r="G9" s="104" t="s">
        <v>137</v>
      </c>
      <c r="H9" s="102">
        <v>2</v>
      </c>
      <c r="I9" s="102">
        <v>0</v>
      </c>
      <c r="J9" s="102">
        <v>0</v>
      </c>
      <c r="K9" s="105">
        <f>(H9*4)+(I9*6)+(J9*8)</f>
        <v>8</v>
      </c>
      <c r="M9" s="108" t="s">
        <v>156</v>
      </c>
      <c r="N9" s="110"/>
    </row>
    <row r="10" spans="1:23" s="22" customFormat="1" ht="12" x14ac:dyDescent="0.2">
      <c r="A10" s="102" t="s">
        <v>152</v>
      </c>
      <c r="B10" s="106" t="s">
        <v>148</v>
      </c>
      <c r="D10" s="102"/>
      <c r="E10" s="106"/>
      <c r="G10" s="104" t="s">
        <v>139</v>
      </c>
      <c r="H10" s="102"/>
      <c r="I10" s="102"/>
      <c r="J10" s="102"/>
      <c r="K10" s="105">
        <f>(H10*3)+(I10*4)+(J10*6)</f>
        <v>0</v>
      </c>
      <c r="M10" s="108" t="s">
        <v>157</v>
      </c>
      <c r="N10" s="110"/>
    </row>
    <row r="11" spans="1:23" s="22" customFormat="1" ht="12" x14ac:dyDescent="0.2">
      <c r="A11" s="102"/>
      <c r="B11" s="106"/>
      <c r="D11" s="102"/>
      <c r="E11" s="106"/>
      <c r="G11" s="194" t="s">
        <v>143</v>
      </c>
      <c r="H11" s="194"/>
      <c r="I11" s="194"/>
      <c r="J11" s="194"/>
      <c r="K11" s="194"/>
      <c r="M11" s="108" t="s">
        <v>158</v>
      </c>
      <c r="N11" s="110"/>
    </row>
    <row r="12" spans="1:23" s="22" customFormat="1" ht="12" x14ac:dyDescent="0.2">
      <c r="A12" s="102"/>
      <c r="B12" s="106"/>
      <c r="D12" s="102"/>
      <c r="E12" s="106"/>
      <c r="G12" s="104" t="s">
        <v>142</v>
      </c>
      <c r="H12" s="104" t="s">
        <v>148</v>
      </c>
      <c r="I12" s="104" t="s">
        <v>93</v>
      </c>
      <c r="J12" s="105" t="s">
        <v>149</v>
      </c>
      <c r="K12" s="105" t="s">
        <v>141</v>
      </c>
      <c r="M12" s="108" t="s">
        <v>181</v>
      </c>
      <c r="N12" s="110"/>
    </row>
    <row r="13" spans="1:23" s="22" customFormat="1" ht="12" x14ac:dyDescent="0.2">
      <c r="A13" s="102"/>
      <c r="B13" s="106"/>
      <c r="D13" s="102"/>
      <c r="E13" s="106"/>
      <c r="G13" s="104" t="s">
        <v>144</v>
      </c>
      <c r="H13" s="102">
        <v>1</v>
      </c>
      <c r="I13" s="102"/>
      <c r="J13" s="102"/>
      <c r="K13" s="105">
        <f>(H13*3)+(I13*4)+(J13*6)</f>
        <v>3</v>
      </c>
      <c r="M13" s="108" t="s">
        <v>159</v>
      </c>
      <c r="N13" s="110"/>
      <c r="W13" s="22" t="s">
        <v>180</v>
      </c>
    </row>
    <row r="14" spans="1:23" s="22" customFormat="1" ht="12" x14ac:dyDescent="0.2">
      <c r="A14" s="102"/>
      <c r="B14" s="106"/>
      <c r="D14" s="102"/>
      <c r="E14" s="106"/>
      <c r="G14" s="104" t="s">
        <v>145</v>
      </c>
      <c r="H14" s="102"/>
      <c r="I14" s="102"/>
      <c r="J14" s="102"/>
      <c r="K14" s="105">
        <f>(H14*4)+(I14*5)+(J14*7)</f>
        <v>0</v>
      </c>
      <c r="M14" s="108" t="s">
        <v>160</v>
      </c>
      <c r="N14" s="110"/>
    </row>
    <row r="15" spans="1:23" s="22" customFormat="1" ht="12" x14ac:dyDescent="0.2">
      <c r="A15" s="102"/>
      <c r="B15" s="106"/>
      <c r="D15" s="102"/>
      <c r="E15" s="106"/>
      <c r="G15" s="104" t="s">
        <v>146</v>
      </c>
      <c r="H15" s="102">
        <v>1</v>
      </c>
      <c r="I15" s="102"/>
      <c r="J15" s="102"/>
      <c r="K15" s="105">
        <f>(H15*3)+(I15*4)+(J15*6)</f>
        <v>3</v>
      </c>
      <c r="M15" s="108" t="s">
        <v>161</v>
      </c>
      <c r="N15" s="110"/>
    </row>
    <row r="16" spans="1:23" s="22" customFormat="1" ht="12" customHeight="1" x14ac:dyDescent="0.2">
      <c r="A16" s="102"/>
      <c r="B16" s="106"/>
      <c r="D16" s="102"/>
      <c r="E16" s="106"/>
      <c r="G16" s="195" t="s">
        <v>147</v>
      </c>
      <c r="H16" s="196"/>
      <c r="I16" s="196"/>
      <c r="J16" s="197"/>
      <c r="K16" s="107">
        <f>SUM(K9,K10,K13,K14,K15)</f>
        <v>14</v>
      </c>
      <c r="M16" s="108" t="s">
        <v>162</v>
      </c>
      <c r="N16" s="110"/>
    </row>
    <row r="17" spans="1:14" s="22" customFormat="1" ht="12" x14ac:dyDescent="0.2">
      <c r="A17" s="102"/>
      <c r="B17" s="106"/>
      <c r="D17" s="102"/>
      <c r="E17" s="106"/>
      <c r="M17" s="108" t="s">
        <v>163</v>
      </c>
      <c r="N17" s="110"/>
    </row>
    <row r="18" spans="1:14" s="22" customFormat="1" ht="12" x14ac:dyDescent="0.2">
      <c r="A18" s="102"/>
      <c r="B18" s="106"/>
      <c r="D18" s="102"/>
      <c r="E18" s="106"/>
      <c r="M18" s="108" t="s">
        <v>164</v>
      </c>
      <c r="N18" s="110"/>
    </row>
    <row r="19" spans="1:14" s="22" customFormat="1" ht="12" x14ac:dyDescent="0.2">
      <c r="A19" s="102"/>
      <c r="B19" s="106"/>
      <c r="D19" s="102"/>
      <c r="E19" s="106"/>
      <c r="M19" s="108" t="s">
        <v>165</v>
      </c>
      <c r="N19" s="110"/>
    </row>
    <row r="20" spans="1:14" s="22" customFormat="1" ht="12" x14ac:dyDescent="0.2">
      <c r="A20" s="102"/>
      <c r="B20" s="106"/>
      <c r="D20" s="102"/>
      <c r="E20" s="106"/>
      <c r="M20" s="108" t="s">
        <v>166</v>
      </c>
      <c r="N20" s="110"/>
    </row>
    <row r="21" spans="1:14" s="22" customFormat="1" ht="12" x14ac:dyDescent="0.2">
      <c r="M21" s="108" t="s">
        <v>167</v>
      </c>
      <c r="N21" s="110"/>
    </row>
    <row r="22" spans="1:14" s="22" customFormat="1" ht="12" x14ac:dyDescent="0.2">
      <c r="M22" s="108" t="s">
        <v>168</v>
      </c>
      <c r="N22" s="110"/>
    </row>
    <row r="23" spans="1:14" s="22" customFormat="1" ht="12" x14ac:dyDescent="0.2">
      <c r="M23" s="109" t="s">
        <v>175</v>
      </c>
      <c r="N23" s="111">
        <f>SUM(N9:N22)</f>
        <v>0</v>
      </c>
    </row>
    <row r="24" spans="1:14" x14ac:dyDescent="0.25">
      <c r="M24" s="109" t="s">
        <v>176</v>
      </c>
      <c r="N24" s="107">
        <f>(N23*0.01)+0.65</f>
        <v>0.65</v>
      </c>
    </row>
    <row r="25" spans="1:14" x14ac:dyDescent="0.25">
      <c r="M25" s="109" t="s">
        <v>177</v>
      </c>
      <c r="N25" s="112">
        <f>K16*N24</f>
        <v>9.1</v>
      </c>
    </row>
    <row r="26" spans="1:14" x14ac:dyDescent="0.25">
      <c r="M26" s="109" t="s">
        <v>178</v>
      </c>
      <c r="N26" s="113">
        <v>19</v>
      </c>
    </row>
    <row r="27" spans="1:14" ht="21" x14ac:dyDescent="0.25">
      <c r="M27" s="114" t="s">
        <v>179</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formula1>"Simples,Média,Complexa"</formula1>
    </dataValidation>
    <dataValidation type="list" allowBlank="1" showInputMessage="1" showErrorMessage="1" sqref="N9:N22">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0" t="s">
        <v>186</v>
      </c>
      <c r="B1" s="200"/>
      <c r="C1" s="200"/>
      <c r="D1" s="200"/>
      <c r="E1" s="200"/>
      <c r="F1" s="200"/>
      <c r="G1" s="200"/>
      <c r="H1" s="200"/>
      <c r="I1" s="200"/>
      <c r="J1" s="200"/>
      <c r="K1" s="200"/>
      <c r="L1" s="200"/>
      <c r="M1" s="200"/>
      <c r="N1" s="200"/>
    </row>
    <row r="2" spans="1:14" ht="7.5" customHeight="1" x14ac:dyDescent="0.25"/>
    <row r="3" spans="1:14" ht="18.75" x14ac:dyDescent="0.3">
      <c r="A3" s="206" t="s">
        <v>55</v>
      </c>
      <c r="B3" s="206"/>
      <c r="C3" s="206"/>
      <c r="E3" s="193" t="s">
        <v>76</v>
      </c>
      <c r="F3" s="193"/>
      <c r="G3" s="193"/>
      <c r="H3" s="193"/>
      <c r="I3" s="193"/>
      <c r="J3" s="193"/>
      <c r="K3" s="193"/>
      <c r="L3" s="193"/>
      <c r="M3" s="193"/>
      <c r="N3" s="193"/>
    </row>
    <row r="4" spans="1:14" x14ac:dyDescent="0.25">
      <c r="A4" s="9" t="s">
        <v>78</v>
      </c>
      <c r="B4" s="134">
        <f>'#Estimativa-APF#'!$N$27</f>
        <v>172.9</v>
      </c>
      <c r="C4" s="8" t="s">
        <v>13</v>
      </c>
      <c r="E4" s="207" t="s">
        <v>11</v>
      </c>
      <c r="F4" s="205" t="s">
        <v>0</v>
      </c>
      <c r="G4" s="205"/>
      <c r="H4" s="205" t="s">
        <v>1</v>
      </c>
      <c r="I4" s="205"/>
      <c r="J4" s="205" t="s">
        <v>2</v>
      </c>
      <c r="K4" s="205"/>
      <c r="L4" s="205" t="s">
        <v>3</v>
      </c>
      <c r="M4" s="205"/>
      <c r="N4" s="120"/>
    </row>
    <row r="5" spans="1:14" ht="18.75" x14ac:dyDescent="0.3">
      <c r="A5" s="56" t="s">
        <v>188</v>
      </c>
      <c r="B5" s="26">
        <v>0</v>
      </c>
      <c r="C5" s="2" t="s">
        <v>53</v>
      </c>
      <c r="E5" s="207"/>
      <c r="F5" s="205" t="s">
        <v>12</v>
      </c>
      <c r="G5" s="205"/>
      <c r="H5" s="205" t="s">
        <v>12</v>
      </c>
      <c r="I5" s="205"/>
      <c r="J5" s="205" t="s">
        <v>12</v>
      </c>
      <c r="K5" s="205"/>
      <c r="L5" s="205" t="s">
        <v>12</v>
      </c>
      <c r="M5" s="205"/>
      <c r="N5" s="27" t="s">
        <v>184</v>
      </c>
    </row>
    <row r="6" spans="1:14" x14ac:dyDescent="0.25">
      <c r="A6" s="55" t="s">
        <v>77</v>
      </c>
      <c r="B6" s="135">
        <f>B4+(B4*B5)</f>
        <v>172.9</v>
      </c>
      <c r="C6" s="2" t="s">
        <v>13</v>
      </c>
      <c r="E6" s="207"/>
      <c r="F6" s="116">
        <f>B6*G6</f>
        <v>8.6450000000000014</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1</v>
      </c>
      <c r="C7" s="8"/>
      <c r="E7" s="4" t="s">
        <v>4</v>
      </c>
      <c r="F7" s="116">
        <f>F6*G7</f>
        <v>4.7547500000000014</v>
      </c>
      <c r="G7" s="17">
        <v>0.55000000000000004</v>
      </c>
      <c r="H7" s="116">
        <f>H6*I7</f>
        <v>10.374000000000001</v>
      </c>
      <c r="I7" s="17">
        <v>0.3</v>
      </c>
      <c r="J7" s="116">
        <f>J6*K7</f>
        <v>13.4862</v>
      </c>
      <c r="K7" s="17">
        <v>0.12</v>
      </c>
      <c r="L7" s="116">
        <f>L6*M7</f>
        <v>0.86450000000000016</v>
      </c>
      <c r="M7" s="17">
        <v>0.05</v>
      </c>
      <c r="N7" s="119">
        <f>SUM(F7,H7,J7,L7)</f>
        <v>29.47945</v>
      </c>
    </row>
    <row r="8" spans="1:14" ht="15.75" x14ac:dyDescent="0.25">
      <c r="A8" s="8" t="s">
        <v>56</v>
      </c>
      <c r="B8" s="15">
        <v>40</v>
      </c>
      <c r="C8" s="8" t="s">
        <v>29</v>
      </c>
      <c r="E8" s="4" t="s">
        <v>5</v>
      </c>
      <c r="F8" s="116">
        <f>F6*G8</f>
        <v>1.2967500000000001</v>
      </c>
      <c r="G8" s="17">
        <v>0.15</v>
      </c>
      <c r="H8" s="116">
        <f>H6*I8</f>
        <v>6.9160000000000013</v>
      </c>
      <c r="I8" s="17">
        <v>0.2</v>
      </c>
      <c r="J8" s="116">
        <f>J6*K8</f>
        <v>11.238500000000002</v>
      </c>
      <c r="K8" s="17">
        <v>0.1</v>
      </c>
      <c r="L8" s="116">
        <f>L6*M8</f>
        <v>0.86450000000000016</v>
      </c>
      <c r="M8" s="17">
        <v>0.05</v>
      </c>
      <c r="N8" s="119">
        <f t="shared" ref="N8:N14" si="0">SUM(F8,H8,J8,L8)</f>
        <v>20.315750000000001</v>
      </c>
    </row>
    <row r="9" spans="1:14" ht="15.75" x14ac:dyDescent="0.25">
      <c r="A9" s="29" t="s">
        <v>57</v>
      </c>
      <c r="B9" s="30">
        <v>2</v>
      </c>
      <c r="C9" s="29" t="s">
        <v>28</v>
      </c>
      <c r="E9" s="4" t="s">
        <v>6</v>
      </c>
      <c r="F9" s="116">
        <f>F6*G9</f>
        <v>0.17290000000000003</v>
      </c>
      <c r="G9" s="17">
        <v>0.02</v>
      </c>
      <c r="H9" s="116">
        <f>H6*I9</f>
        <v>6.9160000000000013</v>
      </c>
      <c r="I9" s="17">
        <v>0.2</v>
      </c>
      <c r="J9" s="116">
        <f>J6*K9</f>
        <v>44.954000000000008</v>
      </c>
      <c r="K9" s="17">
        <v>0.4</v>
      </c>
      <c r="L9" s="116">
        <f>L6*M9</f>
        <v>2.5935000000000001</v>
      </c>
      <c r="M9" s="17">
        <v>0.15</v>
      </c>
      <c r="N9" s="119">
        <f t="shared" si="0"/>
        <v>54.636400000000009</v>
      </c>
    </row>
    <row r="10" spans="1:14" ht="15.75" x14ac:dyDescent="0.25">
      <c r="A10" s="10" t="s">
        <v>65</v>
      </c>
      <c r="B10" s="11">
        <f>(B7*B8)*B9</f>
        <v>80</v>
      </c>
      <c r="C10" s="10" t="s">
        <v>13</v>
      </c>
      <c r="E10" s="4" t="s">
        <v>7</v>
      </c>
      <c r="F10" s="116">
        <f>F6*G10</f>
        <v>0.43225000000000008</v>
      </c>
      <c r="G10" s="17">
        <v>0.05</v>
      </c>
      <c r="H10" s="116">
        <f>H6*I10</f>
        <v>2.7664000000000004</v>
      </c>
      <c r="I10" s="17">
        <v>0.08</v>
      </c>
      <c r="J10" s="116">
        <f>J6*K10</f>
        <v>11.238500000000002</v>
      </c>
      <c r="K10" s="17">
        <v>0.1</v>
      </c>
      <c r="L10" s="116">
        <f>L6*M10</f>
        <v>1.7290000000000003</v>
      </c>
      <c r="M10" s="17">
        <v>0.1</v>
      </c>
      <c r="N10" s="119">
        <f t="shared" si="0"/>
        <v>16.166150000000002</v>
      </c>
    </row>
    <row r="11" spans="1:14" ht="15.75" x14ac:dyDescent="0.25">
      <c r="A11" s="9" t="s">
        <v>27</v>
      </c>
      <c r="B11" s="46">
        <f>B6/B10*2</f>
        <v>4.3224999999999998</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54</v>
      </c>
      <c r="B12" s="46">
        <f>B11/4</f>
        <v>1.0806249999999999</v>
      </c>
      <c r="C12" s="9" t="s">
        <v>51</v>
      </c>
      <c r="E12" s="53" t="s">
        <v>18</v>
      </c>
      <c r="F12" s="117">
        <f>SUM(F7:F11)</f>
        <v>6.6566500000000017</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183</v>
      </c>
      <c r="B13" s="52">
        <f>B11/B9</f>
        <v>2.1612499999999999</v>
      </c>
      <c r="C13" s="10" t="s">
        <v>49</v>
      </c>
      <c r="E13" s="4" t="s">
        <v>9</v>
      </c>
      <c r="F13" s="116">
        <f>F6*G13</f>
        <v>0.25935000000000002</v>
      </c>
      <c r="G13" s="17">
        <v>0.03</v>
      </c>
      <c r="H13" s="116">
        <f>H6*I13</f>
        <v>2.7664000000000004</v>
      </c>
      <c r="I13" s="17">
        <v>0.08</v>
      </c>
      <c r="J13" s="116">
        <f>J6*K13</f>
        <v>14.610050000000001</v>
      </c>
      <c r="K13" s="17">
        <v>0.13</v>
      </c>
      <c r="L13" s="116">
        <f>L6*M13</f>
        <v>5.1870000000000003</v>
      </c>
      <c r="M13" s="17">
        <v>0.3</v>
      </c>
      <c r="N13" s="119">
        <f t="shared" si="0"/>
        <v>22.822800000000004</v>
      </c>
    </row>
    <row r="14" spans="1:14" ht="15.75" x14ac:dyDescent="0.25">
      <c r="E14" s="4" t="s">
        <v>10</v>
      </c>
      <c r="F14" s="116">
        <f>F6*G14</f>
        <v>1.7290000000000003</v>
      </c>
      <c r="G14" s="17">
        <v>0.2</v>
      </c>
      <c r="H14" s="116">
        <f>H6*I14</f>
        <v>4.1496000000000004</v>
      </c>
      <c r="I14" s="17">
        <v>0.12</v>
      </c>
      <c r="J14" s="116">
        <f>J6*K14</f>
        <v>11.238500000000002</v>
      </c>
      <c r="K14" s="17">
        <v>0.1</v>
      </c>
      <c r="L14" s="116">
        <f>L6*M14</f>
        <v>4.3225000000000007</v>
      </c>
      <c r="M14" s="17">
        <v>0.25</v>
      </c>
      <c r="N14" s="119">
        <f t="shared" si="0"/>
        <v>21.439600000000002</v>
      </c>
    </row>
    <row r="15" spans="1:14" x14ac:dyDescent="0.25">
      <c r="E15" s="53" t="s">
        <v>19</v>
      </c>
      <c r="F15" s="117">
        <f>SUM(F13:F14)</f>
        <v>1.9883500000000003</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6" t="s">
        <v>14</v>
      </c>
      <c r="B16" s="206"/>
      <c r="C16" s="206"/>
      <c r="E16" s="27" t="s">
        <v>185</v>
      </c>
      <c r="F16" s="118">
        <f>F12+F15</f>
        <v>8.6450000000000014</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172.90000000000003</v>
      </c>
    </row>
    <row r="17" spans="1:14" x14ac:dyDescent="0.25">
      <c r="A17" s="29" t="s">
        <v>17</v>
      </c>
      <c r="B17" s="16">
        <v>20</v>
      </c>
      <c r="C17" s="2"/>
      <c r="N17" s="1"/>
    </row>
    <row r="18" spans="1:14" x14ac:dyDescent="0.25">
      <c r="A18" s="29" t="s">
        <v>15</v>
      </c>
      <c r="B18" s="5">
        <f>B6*B17</f>
        <v>3458</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3458</v>
      </c>
      <c r="C21" s="2"/>
      <c r="N21" s="1"/>
    </row>
    <row r="22" spans="1:14" x14ac:dyDescent="0.25">
      <c r="A22" s="29" t="s">
        <v>21</v>
      </c>
      <c r="B22" s="26">
        <v>0.2</v>
      </c>
      <c r="C22" s="2"/>
      <c r="J22" s="1"/>
    </row>
    <row r="23" spans="1:14" x14ac:dyDescent="0.25">
      <c r="A23" s="29"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Nora Godinho</dc:creator>
  <cp:lastModifiedBy>Felipe Nora Godinho</cp:lastModifiedBy>
  <dcterms:created xsi:type="dcterms:W3CDTF">2010-08-26T13:25:48Z</dcterms:created>
  <dcterms:modified xsi:type="dcterms:W3CDTF">2023-09-06T03:04:32Z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