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beliefs_climate_policies\"/>
    </mc:Choice>
  </mc:AlternateContent>
  <bookViews>
    <workbookView xWindow="0" yWindow="0" windowWidth="16380" windowHeight="8190" tabRatio="500"/>
  </bookViews>
  <sheets>
    <sheet name="Montants" sheetId="1" r:id="rId1"/>
    <sheet name="Feuille 1" sheetId="2" r:id="rId2"/>
    <sheet name="Quotas" sheetId="3" r:id="rId3"/>
    <sheet name="Agrégats" sheetId="4" r:id="rId4"/>
    <sheet name="Taxes" sheetId="5" r:id="rId5"/>
    <sheet name="Prix" sheetId="6" r:id="rId6"/>
    <sheet name="Précision estimation" sheetId="7" r:id="rId7"/>
    <sheet name="Gaz de schiste" sheetId="8" r:id="rId8"/>
  </sheets>
  <calcPr calcId="162913" iterateDelta="1E-4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" i="8" l="1"/>
  <c r="A2" i="8" s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K14" i="5"/>
  <c r="K19" i="5" s="1"/>
  <c r="J14" i="5"/>
  <c r="J19" i="5" s="1"/>
  <c r="I14" i="5"/>
  <c r="I19" i="5" s="1"/>
  <c r="H14" i="5"/>
  <c r="H19" i="5" s="1"/>
  <c r="G14" i="5"/>
  <c r="G19" i="5" s="1"/>
  <c r="D24" i="5" s="1"/>
  <c r="F14" i="5"/>
  <c r="F19" i="5" s="1"/>
  <c r="E14" i="5"/>
  <c r="E19" i="5" s="1"/>
  <c r="D14" i="5"/>
  <c r="D19" i="5" s="1"/>
  <c r="K13" i="5"/>
  <c r="K18" i="5" s="1"/>
  <c r="J13" i="5"/>
  <c r="J18" i="5" s="1"/>
  <c r="I13" i="5"/>
  <c r="I18" i="5" s="1"/>
  <c r="H13" i="5"/>
  <c r="H18" i="5" s="1"/>
  <c r="G13" i="5"/>
  <c r="G18" i="5" s="1"/>
  <c r="D23" i="5" s="1"/>
  <c r="F13" i="5"/>
  <c r="F18" i="5" s="1"/>
  <c r="E13" i="5"/>
  <c r="E18" i="5" s="1"/>
  <c r="D13" i="5"/>
  <c r="D18" i="5" s="1"/>
  <c r="K11" i="5"/>
  <c r="K12" i="5" s="1"/>
  <c r="K17" i="5" s="1"/>
  <c r="J11" i="5"/>
  <c r="J12" i="5" s="1"/>
  <c r="J17" i="5" s="1"/>
  <c r="I11" i="5"/>
  <c r="I12" i="5" s="1"/>
  <c r="I17" i="5" s="1"/>
  <c r="H11" i="5"/>
  <c r="H12" i="5" s="1"/>
  <c r="H17" i="5" s="1"/>
  <c r="G11" i="5"/>
  <c r="G12" i="5" s="1"/>
  <c r="G17" i="5" s="1"/>
  <c r="D22" i="5" s="1"/>
  <c r="F11" i="5"/>
  <c r="F12" i="5" s="1"/>
  <c r="F17" i="5" s="1"/>
  <c r="E11" i="5"/>
  <c r="E12" i="5" s="1"/>
  <c r="E17" i="5" s="1"/>
  <c r="D11" i="5"/>
  <c r="D12" i="5" s="1"/>
  <c r="D17" i="5" s="1"/>
  <c r="K10" i="5"/>
  <c r="K16" i="5" s="1"/>
  <c r="J10" i="5"/>
  <c r="J16" i="5" s="1"/>
  <c r="I10" i="5"/>
  <c r="I16" i="5" s="1"/>
  <c r="H10" i="5"/>
  <c r="H16" i="5" s="1"/>
  <c r="G10" i="5"/>
  <c r="G16" i="5" s="1"/>
  <c r="D21" i="5" s="1"/>
  <c r="F10" i="5"/>
  <c r="F16" i="5" s="1"/>
  <c r="E10" i="5"/>
  <c r="E16" i="5" s="1"/>
  <c r="D10" i="5"/>
  <c r="D16" i="5" s="1"/>
  <c r="K8" i="5"/>
  <c r="J8" i="5"/>
  <c r="I8" i="5"/>
  <c r="H8" i="5"/>
  <c r="G8" i="5"/>
  <c r="F8" i="5"/>
  <c r="E8" i="5"/>
  <c r="D8" i="5"/>
  <c r="H9" i="4"/>
  <c r="I9" i="4" s="1"/>
  <c r="I8" i="4"/>
  <c r="H8" i="4"/>
  <c r="B7" i="4"/>
  <c r="I6" i="4"/>
  <c r="H6" i="4"/>
  <c r="H5" i="4"/>
  <c r="I5" i="4" s="1"/>
  <c r="I7" i="4" s="1"/>
  <c r="AH17" i="3"/>
  <c r="AG17" i="3"/>
  <c r="AF17" i="3"/>
  <c r="AE17" i="3"/>
  <c r="W17" i="3"/>
  <c r="V17" i="3"/>
  <c r="U17" i="3"/>
  <c r="T17" i="3"/>
  <c r="S17" i="3"/>
  <c r="C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1" i="3"/>
  <c r="AG13" i="3" s="1"/>
  <c r="AG14" i="3" s="1"/>
  <c r="Y11" i="3"/>
  <c r="Y13" i="3" s="1"/>
  <c r="Q11" i="3"/>
  <c r="Q13" i="3" s="1"/>
  <c r="I11" i="3"/>
  <c r="I13" i="3" s="1"/>
  <c r="AH9" i="3"/>
  <c r="AH11" i="3" s="1"/>
  <c r="AH13" i="3" s="1"/>
  <c r="AH14" i="3" s="1"/>
  <c r="AG9" i="3"/>
  <c r="AF9" i="3"/>
  <c r="AF11" i="3" s="1"/>
  <c r="AF13" i="3" s="1"/>
  <c r="AF14" i="3" s="1"/>
  <c r="AE9" i="3"/>
  <c r="AE11" i="3" s="1"/>
  <c r="AE13" i="3" s="1"/>
  <c r="AE14" i="3" s="1"/>
  <c r="AD9" i="3"/>
  <c r="AD11" i="3" s="1"/>
  <c r="AC9" i="3"/>
  <c r="AC11" i="3" s="1"/>
  <c r="AC14" i="3" s="1"/>
  <c r="AB9" i="3"/>
  <c r="AB11" i="3" s="1"/>
  <c r="AB13" i="3" s="1"/>
  <c r="AA9" i="3"/>
  <c r="AA11" i="3" s="1"/>
  <c r="AA13" i="3" s="1"/>
  <c r="Z9" i="3"/>
  <c r="Z11" i="3" s="1"/>
  <c r="Z13" i="3" s="1"/>
  <c r="Y9" i="3"/>
  <c r="X9" i="3"/>
  <c r="X11" i="3" s="1"/>
  <c r="X13" i="3" s="1"/>
  <c r="W9" i="3"/>
  <c r="W11" i="3" s="1"/>
  <c r="W13" i="3" s="1"/>
  <c r="V9" i="3"/>
  <c r="V11" i="3" s="1"/>
  <c r="V13" i="3" s="1"/>
  <c r="U9" i="3"/>
  <c r="U11" i="3" s="1"/>
  <c r="U13" i="3" s="1"/>
  <c r="T9" i="3"/>
  <c r="T11" i="3" s="1"/>
  <c r="T13" i="3" s="1"/>
  <c r="S9" i="3"/>
  <c r="S11" i="3" s="1"/>
  <c r="S13" i="3" s="1"/>
  <c r="R9" i="3"/>
  <c r="R11" i="3" s="1"/>
  <c r="R13" i="3" s="1"/>
  <c r="Q9" i="3"/>
  <c r="P9" i="3"/>
  <c r="P11" i="3" s="1"/>
  <c r="P13" i="3" s="1"/>
  <c r="O9" i="3"/>
  <c r="O11" i="3" s="1"/>
  <c r="O13" i="3" s="1"/>
  <c r="N9" i="3"/>
  <c r="N11" i="3" s="1"/>
  <c r="N13" i="3" s="1"/>
  <c r="M9" i="3"/>
  <c r="M11" i="3" s="1"/>
  <c r="M13" i="3" s="1"/>
  <c r="L9" i="3"/>
  <c r="L11" i="3" s="1"/>
  <c r="L13" i="3" s="1"/>
  <c r="K9" i="3"/>
  <c r="K11" i="3" s="1"/>
  <c r="K13" i="3" s="1"/>
  <c r="J9" i="3"/>
  <c r="J11" i="3" s="1"/>
  <c r="J13" i="3" s="1"/>
  <c r="I9" i="3"/>
  <c r="H9" i="3"/>
  <c r="H11" i="3" s="1"/>
  <c r="H13" i="3" s="1"/>
  <c r="G9" i="3"/>
  <c r="G11" i="3" s="1"/>
  <c r="G13" i="3" s="1"/>
  <c r="F9" i="3"/>
  <c r="F11" i="3" s="1"/>
  <c r="F13" i="3" s="1"/>
  <c r="E9" i="3"/>
  <c r="E11" i="3" s="1"/>
  <c r="E13" i="3" s="1"/>
  <c r="D9" i="3"/>
  <c r="D11" i="3" s="1"/>
  <c r="D13" i="3" s="1"/>
  <c r="C9" i="3"/>
  <c r="C11" i="3" s="1"/>
  <c r="C13" i="3" s="1"/>
  <c r="B9" i="3"/>
  <c r="B11" i="3" s="1"/>
  <c r="B13" i="3" s="1"/>
  <c r="A6" i="3"/>
  <c r="A5" i="3"/>
  <c r="Z3" i="3"/>
  <c r="Z17" i="3" s="1"/>
  <c r="Y3" i="3"/>
  <c r="Y17" i="3" s="1"/>
  <c r="X3" i="3"/>
  <c r="X17" i="3" s="1"/>
  <c r="I3" i="3"/>
  <c r="I17" i="3" s="1"/>
  <c r="H3" i="3"/>
  <c r="H17" i="3" s="1"/>
  <c r="G3" i="3"/>
  <c r="G17" i="3" s="1"/>
  <c r="F3" i="3"/>
  <c r="F17" i="3" s="1"/>
  <c r="E3" i="3"/>
  <c r="E17" i="3" s="1"/>
  <c r="D3" i="3"/>
  <c r="D17" i="3" s="1"/>
  <c r="C3" i="3"/>
  <c r="B3" i="3"/>
  <c r="B17" i="3" s="1"/>
  <c r="AL2" i="3"/>
  <c r="AC3" i="3" s="1"/>
  <c r="AC17" i="3" s="1"/>
  <c r="V2" i="3"/>
  <c r="U2" i="3"/>
  <c r="T2" i="3"/>
  <c r="R2" i="3"/>
  <c r="R3" i="3" s="1"/>
  <c r="R17" i="3" s="1"/>
  <c r="O2" i="3"/>
  <c r="N2" i="3"/>
  <c r="N3" i="3" s="1"/>
  <c r="N17" i="3" s="1"/>
  <c r="L2" i="3"/>
  <c r="AI2" i="3" s="1"/>
  <c r="B38" i="2"/>
  <c r="N28" i="2" s="1"/>
  <c r="O28" i="2"/>
  <c r="M28" i="2"/>
  <c r="L28" i="2"/>
  <c r="K28" i="2"/>
  <c r="V27" i="2"/>
  <c r="U27" i="2"/>
  <c r="T27" i="2"/>
  <c r="H24" i="2"/>
  <c r="J24" i="2" s="1"/>
  <c r="L24" i="2" s="1"/>
  <c r="F24" i="2"/>
  <c r="N23" i="2"/>
  <c r="M23" i="2"/>
  <c r="L23" i="2"/>
  <c r="F23" i="2"/>
  <c r="E23" i="2"/>
  <c r="D23" i="2"/>
  <c r="C23" i="2"/>
  <c r="B23" i="2"/>
  <c r="F22" i="2"/>
  <c r="E22" i="2"/>
  <c r="D22" i="2"/>
  <c r="C22" i="2"/>
  <c r="B22" i="2"/>
  <c r="B21" i="2"/>
  <c r="E12" i="2"/>
  <c r="F12" i="2" s="1"/>
  <c r="AO11" i="2"/>
  <c r="AN11" i="2"/>
  <c r="AM11" i="2"/>
  <c r="AL11" i="2"/>
  <c r="AK11" i="2"/>
  <c r="AJ11" i="2"/>
  <c r="AF11" i="2"/>
  <c r="AE11" i="2"/>
  <c r="AC11" i="2"/>
  <c r="AB11" i="2"/>
  <c r="AA11" i="2"/>
  <c r="Y11" i="2"/>
  <c r="AI11" i="2" s="1"/>
  <c r="X11" i="2"/>
  <c r="AQ11" i="2" s="1"/>
  <c r="W11" i="2"/>
  <c r="AP11" i="2" s="1"/>
  <c r="V11" i="2"/>
  <c r="U11" i="2"/>
  <c r="T11" i="2"/>
  <c r="AD11" i="2" s="1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Z10" i="2" s="1"/>
  <c r="AE10" i="2"/>
  <c r="AD10" i="2"/>
  <c r="AC10" i="2"/>
  <c r="AB10" i="2"/>
  <c r="AA10" i="2"/>
  <c r="G10" i="2"/>
  <c r="L10" i="2" s="1"/>
  <c r="F10" i="2"/>
  <c r="E10" i="2"/>
  <c r="AQ9" i="2"/>
  <c r="AP9" i="2"/>
  <c r="AO9" i="2"/>
  <c r="AH9" i="2"/>
  <c r="AG9" i="2"/>
  <c r="Y9" i="2"/>
  <c r="AI9" i="2" s="1"/>
  <c r="X9" i="2"/>
  <c r="W9" i="2"/>
  <c r="V9" i="2"/>
  <c r="AF9" i="2" s="1"/>
  <c r="U9" i="2"/>
  <c r="AN9" i="2" s="1"/>
  <c r="T9" i="2"/>
  <c r="AM9" i="2" s="1"/>
  <c r="S9" i="2"/>
  <c r="AC9" i="2" s="1"/>
  <c r="R9" i="2"/>
  <c r="AK9" i="2" s="1"/>
  <c r="Q9" i="2"/>
  <c r="AA9" i="2" s="1"/>
  <c r="P9" i="2"/>
  <c r="G9" i="2"/>
  <c r="L9" i="2" s="1"/>
  <c r="E9" i="2"/>
  <c r="D9" i="2"/>
  <c r="F9" i="2" s="1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Z8" i="2" s="1"/>
  <c r="M8" i="2" s="1"/>
  <c r="AD8" i="2"/>
  <c r="AC8" i="2"/>
  <c r="AB8" i="2"/>
  <c r="AA8" i="2"/>
  <c r="E8" i="2"/>
  <c r="F8" i="2" s="1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Z7" i="2" s="1"/>
  <c r="M7" i="2" s="1"/>
  <c r="AE7" i="2"/>
  <c r="AD7" i="2"/>
  <c r="AC7" i="2"/>
  <c r="AB7" i="2"/>
  <c r="AA7" i="2"/>
  <c r="F7" i="2"/>
  <c r="E7" i="2"/>
  <c r="AR6" i="2"/>
  <c r="AQ6" i="2"/>
  <c r="AP6" i="2"/>
  <c r="AO6" i="2"/>
  <c r="AN6" i="2"/>
  <c r="AM6" i="2"/>
  <c r="AL6" i="2"/>
  <c r="AK6" i="2"/>
  <c r="AJ6" i="2"/>
  <c r="AI6" i="2"/>
  <c r="AH6" i="2"/>
  <c r="AG6" i="2"/>
  <c r="Z6" i="2" s="1"/>
  <c r="M6" i="2" s="1"/>
  <c r="AF6" i="2"/>
  <c r="AE6" i="2"/>
  <c r="AD6" i="2"/>
  <c r="AC6" i="2"/>
  <c r="AB6" i="2"/>
  <c r="AA6" i="2"/>
  <c r="F6" i="2"/>
  <c r="E6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Z5" i="2" s="1"/>
  <c r="M5" i="2" s="1"/>
  <c r="O5" i="2" s="1"/>
  <c r="AD5" i="2"/>
  <c r="AC5" i="2"/>
  <c r="AB5" i="2"/>
  <c r="AA5" i="2"/>
  <c r="L5" i="2"/>
  <c r="F5" i="2"/>
  <c r="E5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Z4" i="2" s="1"/>
  <c r="AD4" i="2"/>
  <c r="AC4" i="2"/>
  <c r="AB4" i="2"/>
  <c r="AA4" i="2"/>
  <c r="G4" i="2"/>
  <c r="L4" i="2" s="1"/>
  <c r="E4" i="2"/>
  <c r="F4" i="2" s="1"/>
  <c r="D4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Z3" i="2" s="1"/>
  <c r="AE3" i="2"/>
  <c r="AD3" i="2"/>
  <c r="AC3" i="2"/>
  <c r="AB3" i="2"/>
  <c r="AA3" i="2"/>
  <c r="E3" i="2"/>
  <c r="F3" i="2" s="1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Z2" i="2" s="1"/>
  <c r="AD2" i="2"/>
  <c r="AC2" i="2"/>
  <c r="AB2" i="2"/>
  <c r="AA2" i="2"/>
  <c r="E2" i="2"/>
  <c r="F2" i="2" s="1"/>
  <c r="D20" i="1"/>
  <c r="C20" i="1"/>
  <c r="D19" i="1"/>
  <c r="C19" i="1"/>
  <c r="B19" i="1"/>
  <c r="G18" i="1"/>
  <c r="D18" i="1"/>
  <c r="C18" i="1"/>
  <c r="B18" i="1"/>
  <c r="G15" i="1"/>
  <c r="G20" i="1" s="1"/>
  <c r="F15" i="1"/>
  <c r="F20" i="1" s="1"/>
  <c r="E15" i="1"/>
  <c r="E20" i="1" s="1"/>
  <c r="D15" i="1"/>
  <c r="D21" i="1" s="1"/>
  <c r="C15" i="1"/>
  <c r="C21" i="1" s="1"/>
  <c r="B15" i="1"/>
  <c r="B20" i="1" s="1"/>
  <c r="G14" i="1"/>
  <c r="F14" i="1"/>
  <c r="E14" i="1"/>
  <c r="D14" i="1"/>
  <c r="C14" i="1"/>
  <c r="B14" i="1"/>
  <c r="G13" i="1"/>
  <c r="F13" i="1"/>
  <c r="E13" i="1"/>
  <c r="D13" i="1"/>
  <c r="C13" i="1"/>
  <c r="B13" i="1"/>
  <c r="P3" i="3" l="1"/>
  <c r="P17" i="3" s="1"/>
  <c r="L3" i="3"/>
  <c r="L17" i="3" s="1"/>
  <c r="M3" i="3"/>
  <c r="M17" i="3" s="1"/>
  <c r="K3" i="3"/>
  <c r="K17" i="3" s="1"/>
  <c r="J3" i="3"/>
  <c r="J17" i="3" s="1"/>
  <c r="Q3" i="3"/>
  <c r="Q17" i="3" s="1"/>
  <c r="O3" i="3"/>
  <c r="O17" i="3" s="1"/>
  <c r="AB9" i="2"/>
  <c r="AJ9" i="2"/>
  <c r="AR9" i="2"/>
  <c r="F19" i="1"/>
  <c r="B21" i="1"/>
  <c r="E18" i="1"/>
  <c r="G19" i="1"/>
  <c r="E19" i="1"/>
  <c r="AD9" i="2"/>
  <c r="AL9" i="2"/>
  <c r="AR11" i="2"/>
  <c r="AD3" i="3"/>
  <c r="AD17" i="3" s="1"/>
  <c r="F18" i="1"/>
  <c r="AE9" i="2"/>
  <c r="Z9" i="2" s="1"/>
  <c r="M9" i="2" s="1"/>
  <c r="E21" i="1"/>
  <c r="G21" i="1"/>
  <c r="M4" i="2"/>
  <c r="AA3" i="3"/>
  <c r="AA17" i="3" s="1"/>
  <c r="F21" i="1"/>
  <c r="AG11" i="2"/>
  <c r="Z11" i="2" s="1"/>
  <c r="M10" i="2" s="1"/>
  <c r="AH11" i="2"/>
  <c r="AB3" i="3"/>
  <c r="AB17" i="3" s="1"/>
  <c r="M14" i="2" l="1"/>
  <c r="O9" i="2"/>
  <c r="M13" i="2"/>
  <c r="O10" i="2"/>
  <c r="M15" i="2"/>
  <c r="O4" i="2"/>
  <c r="O15" i="2" s="1"/>
  <c r="O13" i="2" l="1"/>
  <c r="M22" i="2"/>
  <c r="K22" i="2"/>
  <c r="W26" i="2"/>
  <c r="L22" i="2"/>
  <c r="V26" i="2"/>
  <c r="U26" i="2"/>
  <c r="T26" i="2"/>
  <c r="S26" i="2"/>
  <c r="O22" i="2"/>
  <c r="N22" i="2"/>
  <c r="S23" i="2"/>
  <c r="O19" i="2"/>
  <c r="N19" i="2"/>
  <c r="M19" i="2"/>
  <c r="L19" i="2"/>
  <c r="V23" i="2"/>
  <c r="U23" i="2"/>
  <c r="T23" i="2"/>
  <c r="W23" i="2"/>
  <c r="K19" i="2"/>
  <c r="O14" i="2"/>
  <c r="L18" i="2"/>
  <c r="L17" i="2" s="1"/>
  <c r="W22" i="2"/>
  <c r="K18" i="2"/>
  <c r="U22" i="2"/>
  <c r="T22" i="2"/>
  <c r="T21" i="2" s="1"/>
  <c r="S22" i="2"/>
  <c r="S21" i="2" s="1"/>
  <c r="O18" i="2"/>
  <c r="O17" i="2" s="1"/>
  <c r="N18" i="2"/>
  <c r="N17" i="2" s="1"/>
  <c r="M18" i="2"/>
  <c r="M17" i="2" s="1"/>
  <c r="V22" i="2"/>
  <c r="V21" i="2" s="1"/>
  <c r="W21" i="2" l="1"/>
  <c r="U25" i="2"/>
  <c r="U24" i="2" s="1"/>
  <c r="L21" i="2"/>
  <c r="L20" i="2" s="1"/>
  <c r="T25" i="2"/>
  <c r="T24" i="2" s="1"/>
  <c r="K21" i="2"/>
  <c r="K20" i="2" s="1"/>
  <c r="S25" i="2"/>
  <c r="S24" i="2" s="1"/>
  <c r="O21" i="2"/>
  <c r="O20" i="2" s="1"/>
  <c r="W25" i="2"/>
  <c r="W24" i="2" s="1"/>
  <c r="N21" i="2"/>
  <c r="N20" i="2" s="1"/>
  <c r="V25" i="2"/>
  <c r="V24" i="2" s="1"/>
  <c r="M21" i="2"/>
  <c r="M20" i="2" s="1"/>
  <c r="U21" i="2"/>
  <c r="K17" i="2"/>
</calcChain>
</file>

<file path=xl/sharedStrings.xml><?xml version="1.0" encoding="utf-8"?>
<sst xmlns="http://schemas.openxmlformats.org/spreadsheetml/2006/main" count="525" uniqueCount="325">
  <si>
    <t>Recettes totales en milliards d'euros</t>
  </si>
  <si>
    <t>et = 0 / eh = 0 / i = 1</t>
  </si>
  <si>
    <t>et = -0.3 / eh = -0.1 / i = 1</t>
  </si>
  <si>
    <t>et = -0.45 / eh = -0.2 / i = 1</t>
  </si>
  <si>
    <t>et = 0 / eh = 0 / i = 0.8</t>
  </si>
  <si>
    <t>et = -0.3 / eh = -0.1 / i = 0.8</t>
  </si>
  <si>
    <t>et = -0.4 / eh = -0.2 / i = 0.8</t>
  </si>
  <si>
    <t>Transport</t>
  </si>
  <si>
    <t>Logement</t>
  </si>
  <si>
    <t>Transport + Logement</t>
  </si>
  <si>
    <t>Recettes taxe carbone sans TVA en milliards d'euros</t>
  </si>
  <si>
    <t>Nombre d'adultes :</t>
  </si>
  <si>
    <t>Transferts par adulte</t>
  </si>
  <si>
    <t>Transferts aux x% des adultes les plus pauvres (Transport + Logement)</t>
  </si>
  <si>
    <t>et : élasticité transports        eh : élasticité logement        i : incidence sur les consommateurs en %</t>
  </si>
  <si>
    <t>Notes :</t>
  </si>
  <si>
    <t>Ces montants sont calculées d'après BdF 2011 inflaté pour 2017 via la comptabilité nationale.</t>
  </si>
  <si>
    <t>Les parts fixes des contrats de gaz sont déduites des dépenses des ménages.</t>
  </si>
  <si>
    <t>Pour ce faire, le contrat optimal (parmi les tarifs réglementés) est imputé.</t>
  </si>
  <si>
    <t>Sources :</t>
  </si>
  <si>
    <t>Nombre d'adultes</t>
  </si>
  <si>
    <t>https://www.insee.fr/fr/statistiques/1892086?sommaire=1912926</t>
  </si>
  <si>
    <t>Autres</t>
  </si>
  <si>
    <t>Calculs du modèle</t>
  </si>
  <si>
    <t>combustible</t>
  </si>
  <si>
    <t>unité</t>
  </si>
  <si>
    <t>contenu kgCO2eq (ADEME)</t>
  </si>
  <si>
    <t>prix (29/12/18</t>
  </si>
  <si>
    <t>hausse prix</t>
  </si>
  <si>
    <t>variation prix (moyenne)</t>
  </si>
  <si>
    <t>consommation agrégée (2016)</t>
  </si>
  <si>
    <t>consommation 2017 (Mt)</t>
  </si>
  <si>
    <t>recettes 2014 (M€)</t>
  </si>
  <si>
    <t>recettes 2015</t>
  </si>
  <si>
    <t>recettes 2016</t>
  </si>
  <si>
    <t>taxe déduite 2016</t>
  </si>
  <si>
    <t>recettes taxe sans réaction (G€)</t>
  </si>
  <si>
    <t>élasticité</t>
  </si>
  <si>
    <t>recettes taxe avec réaction</t>
  </si>
  <si>
    <t>taxe 2013</t>
  </si>
  <si>
    <t>kgCO2 implicite</t>
  </si>
  <si>
    <t>kgCO2 implicite 2014</t>
  </si>
  <si>
    <t>kgCO2 implicite 2015</t>
  </si>
  <si>
    <t>kgCO2 implicite 2016</t>
  </si>
  <si>
    <t>kgCO2 implicite 2017</t>
  </si>
  <si>
    <t>kgCO2 implicite 2018</t>
  </si>
  <si>
    <t>kgCO2 implicite 2019</t>
  </si>
  <si>
    <t>kgCO2 implicite 2020</t>
  </si>
  <si>
    <t>kgCO2 implicite 2021</t>
  </si>
  <si>
    <t>kgCO2 implicite 2022</t>
  </si>
  <si>
    <t>gaz naturel (zone 1)</t>
  </si>
  <si>
    <t>kWh PCS</t>
  </si>
  <si>
    <t>gaz naturel (zone 6)</t>
  </si>
  <si>
    <t>gaz naturel (moyenne)</t>
  </si>
  <si>
    <t>fioul domestique</t>
  </si>
  <si>
    <t>L</t>
  </si>
  <si>
    <t>essence SP95 (E10)</t>
  </si>
  <si>
    <t>essence SP95 (E5)</t>
  </si>
  <si>
    <t>essence SP98 (E5)</t>
  </si>
  <si>
    <t>essence (moyenne)</t>
  </si>
  <si>
    <t>gazole</t>
  </si>
  <si>
    <t>gazole sans rattrapage</t>
  </si>
  <si>
    <t>GPL</t>
  </si>
  <si>
    <t>calculé avec (T_t - T_t-1) / (TCO2_t - TCO2_t-1)</t>
  </si>
  <si>
    <t>calculé avec (T_t - T_0) / TCO2_t</t>
  </si>
  <si>
    <t>total</t>
  </si>
  <si>
    <t>total carburants</t>
  </si>
  <si>
    <t>total chauffage</t>
  </si>
  <si>
    <t>en €/an</t>
  </si>
  <si>
    <t>dividende par adulte en fonction de la cible</t>
  </si>
  <si>
    <t>&lt;20%</t>
  </si>
  <si>
    <t>&lt;30%</t>
  </si>
  <si>
    <t>&lt;40%</t>
  </si>
  <si>
    <t>&lt;50%</t>
  </si>
  <si>
    <t>&lt;100%</t>
  </si>
  <si>
    <t>taxe (€/tCO2eq):</t>
  </si>
  <si>
    <t xml:space="preserve">
sans réaction
</t>
  </si>
  <si>
    <t>taxe CO2</t>
  </si>
  <si>
    <t>conversion kWh /m^3</t>
  </si>
  <si>
    <t>https://www.fournisseurs-electricite.com/france/169-infos/18441-coefficient-de-conversion-du-gaz</t>
  </si>
  <si>
    <t>taxe carburants</t>
  </si>
  <si>
    <t>densité fioul (kg/L):</t>
  </si>
  <si>
    <t>0,83-0,88</t>
  </si>
  <si>
    <t>taxe chauffage</t>
  </si>
  <si>
    <t>population (2018):</t>
  </si>
  <si>
    <t>(2014):</t>
  </si>
  <si>
    <t xml:space="preserve">nombre d'adultes (2018 métropole) : </t>
  </si>
  <si>
    <t xml:space="preserve">avec réaction 
</t>
  </si>
  <si>
    <t>en €/mois</t>
  </si>
  <si>
    <t>dividende par ménage en fonction de la cible</t>
  </si>
  <si>
    <t>nombre de ménages (2014):</t>
  </si>
  <si>
    <t>déciles de niveau de vie (2016), €/mois</t>
  </si>
  <si>
    <t>niveau vie</t>
  </si>
  <si>
    <t>Sources:</t>
  </si>
  <si>
    <t>dividende TVA</t>
  </si>
  <si>
    <t>recette TVA 2018 (en G€), taux normal</t>
  </si>
  <si>
    <t>hausse recettes eq</t>
  </si>
  <si>
    <t>hausse TVA eq (taux normal)</t>
  </si>
  <si>
    <t>soit hausse du taux normal:</t>
  </si>
  <si>
    <t>ventes 2016:</t>
  </si>
  <si>
    <t>http://www.statistiques.developpement-durable.gouv.fr/fileadmin/documents/Produits_editoriaux/Publications/Datalab_essentiel/2017/datalab-essentiel-124-ventes-de-produits-petroliers-en-2016-nov2017.pdf</t>
  </si>
  <si>
    <t>rev_tot_i (presta aux min)</t>
  </si>
  <si>
    <t xml:space="preserve">conso 2017 (Mt): </t>
  </si>
  <si>
    <t>https://www.insee.fr/fr/statistiques/2119673</t>
  </si>
  <si>
    <t>https://www.cpdp.org/fr/le-marche-petrolier</t>
  </si>
  <si>
    <t>http://www.grtgaz.com/fileadmin/medias/communiques/2018/FR/Presentation-bilan-gaz-2017.pdf</t>
  </si>
  <si>
    <t>rev_tot_i_eq (" à part égales)</t>
  </si>
  <si>
    <t>prix carburants:</t>
  </si>
  <si>
    <t>https://carbu.com/france/index.php/prixmoyens</t>
  </si>
  <si>
    <t>http://www.prix-carburants.developpement-durable.gouv.fr/petrole/se_cons_fr.htm</t>
  </si>
  <si>
    <t>rev_tot_i_par (" aux parents)</t>
  </si>
  <si>
    <t>taxe et recettes:</t>
  </si>
  <si>
    <t>https://www.ecologique-solidaire.gouv.fr/fiscalite-des-energies</t>
  </si>
  <si>
    <t>rev_tot_i_par inflaté</t>
  </si>
  <si>
    <t>population, adultes, ménages:</t>
  </si>
  <si>
    <t>https://www.insee.fr/fr/statistiques/1906663?sommaire=1906743</t>
  </si>
  <si>
    <t>https://www.insee.fr/fr/statistiques/3303344?sommaire=3353488</t>
  </si>
  <si>
    <t>déciles niveau vie</t>
  </si>
  <si>
    <t>https://www.insee.fr/fr/statistiques/2416808#tableau-Donnes</t>
  </si>
  <si>
    <t>recettes TVA:</t>
  </si>
  <si>
    <t>https://www.performance-publique.budget.gouv.fr/budget-comptes-etat/budget-etat/approfondir/recettes-etat/recettes-fiscales#.XCfNAcZ7mis</t>
  </si>
  <si>
    <t>www2.impots.gouv.fr/documentation/statistiques/annuaire2013/tab101_2013.xls</t>
  </si>
  <si>
    <t>https://www.ccomptes.fr/sites/default/files/EzPublish/20151216-rapport-Fouilleron-TVA-et-depenses-publiques.pdf</t>
  </si>
  <si>
    <t>contenu CO2:</t>
  </si>
  <si>
    <t>http://bilans-ges.ademe.fr</t>
  </si>
  <si>
    <t>prix gaz:</t>
  </si>
  <si>
    <t>https://selectra.info/energie/guides/tarifs/gaz/base-b0-b1-b2i-b2s-tel</t>
  </si>
  <si>
    <t>les factures de gaz naturel sont usuellement exprimées en PCS et non en PCI comme pour les autres combustibles</t>
  </si>
  <si>
    <t>chèque énergie barème:</t>
  </si>
  <si>
    <t>https://argent.boursier.com/quotidien/actualites/tout-savoir-sur-les-baremes-pour-beneficier-du-cheque-energie-4865.html</t>
  </si>
  <si>
    <t>SNBC:</t>
  </si>
  <si>
    <t>https://www.ecologique-solidaire.gouv.fr/sites/default/files/Projet%20strategie%20nationale%20bas%20carbone.pdf</t>
  </si>
  <si>
    <t>code postal - INSEE:</t>
  </si>
  <si>
    <t>https://public.opendatasoft.com/explore/dataset/correspondance-code-insee-code-postal/table/</t>
  </si>
  <si>
    <t>code INSEE - tranche d'unité urbaine</t>
  </si>
  <si>
    <t xml:space="preserve"> </t>
  </si>
  <si>
    <t>croissance PIB 2014-2018</t>
  </si>
  <si>
    <t>https://www.insee.fr/fr/statistiques/2830613#tableau-Tableau1</t>
  </si>
  <si>
    <t>https://www.insee.fr/fr/statistiques/2107840#titre-croissance</t>
  </si>
  <si>
    <t>Conso moyenne au 100km</t>
  </si>
  <si>
    <t>https://fr.statista.com/statistiques/486554/consommation-de-carburant-moyenne-voiture-france/</t>
  </si>
  <si>
    <t>pâtes</t>
  </si>
  <si>
    <t>1.3 kgCO2eq/kg</t>
  </si>
  <si>
    <t>2*/semaine</t>
  </si>
  <si>
    <t>16,9 kgCO2</t>
  </si>
  <si>
    <t>boeuf</t>
  </si>
  <si>
    <t>60 kgCO2eq/kg</t>
  </si>
  <si>
    <t>1*/semaine</t>
  </si>
  <si>
    <t>343 kgCO2</t>
  </si>
  <si>
    <t>agriculteurs</t>
  </si>
  <si>
    <t>indépendants</t>
  </si>
  <si>
    <t>cadres</t>
  </si>
  <si>
    <t>intermédiaires</t>
  </si>
  <si>
    <t>employés</t>
  </si>
  <si>
    <t>ouvriers</t>
  </si>
  <si>
    <t>retraités</t>
  </si>
  <si>
    <t>inactifs</t>
  </si>
  <si>
    <t>Île-de-France</t>
  </si>
  <si>
    <t>Hauts-de-France</t>
  </si>
  <si>
    <t>Grand Est et Bourgogne-Franche-Comté</t>
  </si>
  <si>
    <t>Nouvelle-Aquitaine</t>
  </si>
  <si>
    <t>Centre-Val de Loire et Pays de la Loire</t>
  </si>
  <si>
    <t>Bretagne et Normandie</t>
  </si>
  <si>
    <t>Occitanie</t>
  </si>
  <si>
    <t>Auvergne-Rhône-Alpes</t>
  </si>
  <si>
    <t>Provence-Alpes-Côte d'Azur</t>
  </si>
  <si>
    <t>rural</t>
  </si>
  <si>
    <t>20-99</t>
  </si>
  <si>
    <t>&gt;100</t>
  </si>
  <si>
    <t>Paris</t>
  </si>
  <si>
    <t>femmes</t>
  </si>
  <si>
    <t>hommes</t>
  </si>
  <si>
    <t>18-24</t>
  </si>
  <si>
    <t>25-34</t>
  </si>
  <si>
    <t>35-49</t>
  </si>
  <si>
    <t>50-64</t>
  </si>
  <si>
    <t>&gt;65</t>
  </si>
  <si>
    <t>Aucun diplôme ou Brevet</t>
  </si>
  <si>
    <t>CAP ou BEP</t>
  </si>
  <si>
    <t>Bac</t>
  </si>
  <si>
    <t>Supérieur</t>
  </si>
  <si>
    <t>Total région</t>
  </si>
  <si>
    <t>Total sexe</t>
  </si>
  <si>
    <t>Total agglo</t>
  </si>
  <si>
    <t>Total age</t>
  </si>
  <si>
    <t>Total (Insee)</t>
  </si>
  <si>
    <t>Fraction</t>
  </si>
  <si>
    <t>quotas en trop (au 04/03 7h (Est)</t>
  </si>
  <si>
    <t>nouveaux quotas</t>
  </si>
  <si>
    <t>quotas assouplis</t>
  </si>
  <si>
    <t>échantillon final (3002)</t>
  </si>
  <si>
    <t>échantillon final (proportion)</t>
  </si>
  <si>
    <t>écart échantillon final - réalité</t>
  </si>
  <si>
    <t>sources:</t>
  </si>
  <si>
    <t>CSP</t>
  </si>
  <si>
    <t>région</t>
  </si>
  <si>
    <t>taille agglo</t>
  </si>
  <si>
    <t>taille agglo bis</t>
  </si>
  <si>
    <t>sexe</t>
  </si>
  <si>
    <t>age</t>
  </si>
  <si>
    <t>diplôme</t>
  </si>
  <si>
    <t>35-44</t>
  </si>
  <si>
    <t>45-54</t>
  </si>
  <si>
    <t>55-64</t>
  </si>
  <si>
    <t>65-74</t>
  </si>
  <si>
    <t>&gt;75</t>
  </si>
  <si>
    <t>https://www.insee.fr/fr/statistiques/2381478</t>
  </si>
  <si>
    <t>https://www.insee.fr/fr/statistiques/1893198</t>
  </si>
  <si>
    <t>own calculation</t>
  </si>
  <si>
    <t>https://www.insee.fr/fr/statistiques/1280970</t>
  </si>
  <si>
    <t>https://www.insee.fr/fr/statistiques/1892088?sommaire=1912926</t>
  </si>
  <si>
    <t>https://www.insee.fr/fr/statistiques/2381474</t>
  </si>
  <si>
    <t>https://www.insee.fr/fr/statistiques/3568823?sommaire=3568833&amp;geo=METRO-1</t>
  </si>
  <si>
    <t>ligne 3</t>
  </si>
  <si>
    <t>ligne 2</t>
  </si>
  <si>
    <t>utilisée</t>
  </si>
  <si>
    <t>inutilisée</t>
  </si>
  <si>
    <t>BdF inflaté (M€)</t>
  </si>
  <si>
    <t>EL non-inflaté (M€)</t>
  </si>
  <si>
    <t>Compta nat 2017 (M€ courants)</t>
  </si>
  <si>
    <t>Compta nat 2016 (M€ courants)</t>
  </si>
  <si>
    <t>Compta nat 2013 (M€ courants)</t>
  </si>
  <si>
    <t>Compta nat 2011 (M€ courants)</t>
  </si>
  <si>
    <t>Agrégats feuille 1 (quantité)</t>
  </si>
  <si>
    <t>Agrégats feuille 1 (dépenses)</t>
  </si>
  <si>
    <t>Essence Sp 95</t>
  </si>
  <si>
    <t>-</t>
  </si>
  <si>
    <t>Essence SP 98</t>
  </si>
  <si>
    <t>Essence E85</t>
  </si>
  <si>
    <t>Essence (somme)</t>
  </si>
  <si>
    <t>Diesel</t>
  </si>
  <si>
    <t>Carburants (somme)</t>
  </si>
  <si>
    <t>Fioul domestique</t>
  </si>
  <si>
    <t>Gaz naturel</t>
  </si>
  <si>
    <t>Comptabilité nationale :</t>
  </si>
  <si>
    <t>Consommation effective des ménages par fonction aux prix courants : https://www.insee.fr/fr/statistiques/3547386?sommaire=3547646#titre-bloc-20</t>
  </si>
  <si>
    <t>NB : les données BdF inflatées représentent l'année 2016. Entre temps, les montants de la comptabilité nationale ont changé.</t>
  </si>
  <si>
    <t>Note : les données de la feuille 1 incluent toutes les consommations, pas exclusivement les ménages. Elles surestiment donc largement les montants.</t>
  </si>
  <si>
    <t>Et ce, sans compter que les dépenses en gaz de la feuille 1 ne prennent pas en compte le prix fixe des contrats</t>
  </si>
  <si>
    <t>Prix carbone</t>
  </si>
  <si>
    <t>Augmentation prix carbone</t>
  </si>
  <si>
    <t>Augmentation taxe SP</t>
  </si>
  <si>
    <t>Augmentation taxe diesel</t>
  </si>
  <si>
    <t>Augmentation taxe diesel sans rattrapage</t>
  </si>
  <si>
    <t>Augmentation taxe fioul domestique</t>
  </si>
  <si>
    <t>Augmentation taxe gaz naturel</t>
  </si>
  <si>
    <t>Contenu carbone implicite SP</t>
  </si>
  <si>
    <t>Contenu carbone implicite diesel</t>
  </si>
  <si>
    <t>Contenu carbone implicite fioul domestique</t>
  </si>
  <si>
    <t>Contenu carbone implicite gaz naturel</t>
  </si>
  <si>
    <t>Accise sans CCE SP</t>
  </si>
  <si>
    <t>Ces calculs correspondent au prix de l'accise (TICPE et TICGN si la CCE était nulle)</t>
  </si>
  <si>
    <t>Accise sans CCE diesel</t>
  </si>
  <si>
    <t>Accise sans CCE fioul domestique</t>
  </si>
  <si>
    <t>Accise sans CCE gaz naturel</t>
  </si>
  <si>
    <t>Note : la TICPE s'applique au diesel, à l'essence et au fioul domestique. La TICGN au gaz naturel.</t>
  </si>
  <si>
    <t>Ces deux taxes incorporent la composante carbone de la contribution climat énergie (CCE), mais peuvent potentiellement changer pour d'autres raisons :</t>
  </si>
  <si>
    <t>2014 :</t>
  </si>
  <si>
    <t>La TICPE pré-existante absorbe l'introduction de la CCE, la TICPE totale reste donc inchangée</t>
  </si>
  <si>
    <t>2015 :</t>
  </si>
  <si>
    <t>Augmmentation de deux centimes supplémentaires sur le diesel.</t>
  </si>
  <si>
    <t>2016 :</t>
  </si>
  <si>
    <t>La TICGN absorbe la CTSSG et la CSPG, d'où l'augmentation plus élevée. Augmentation d'un centime supplémentaire sur le diesel</t>
  </si>
  <si>
    <t>2017 :</t>
  </si>
  <si>
    <t>Augmentation d'un centime supplémentaire sur le diesel. Une baisse symmétrique de 1c sur l'essence permet bien de retrouver le contenu carbone attendu</t>
  </si>
  <si>
    <t>2018 :</t>
  </si>
  <si>
    <t>RAS</t>
  </si>
  <si>
    <t>2019 :</t>
  </si>
  <si>
    <t>2020 :</t>
  </si>
  <si>
    <t>2021 :</t>
  </si>
  <si>
    <t>2022 :</t>
  </si>
  <si>
    <t>TICPE : Code des douanes (art. 265)</t>
  </si>
  <si>
    <t>https://www.legifrance.gouv.fr/affichCodeArticle.do;jsessionid=4337AF4921843AB2063817AB97F65FAB.tplgfr21s_1?idArticle=LEGIARTI000037094636&amp;cidTexte=LEGITEXT000006071570&amp;categorieLien=id&amp;dateTexte=</t>
  </si>
  <si>
    <t>TICGN : Ministère de l'écologie</t>
  </si>
  <si>
    <t>TICGN : Code des douanes (art. 266)</t>
  </si>
  <si>
    <t>https://www.legifrance.gouv.fr/affichCodeArticle.do?cidTexte=LEGITEXT000006071570&amp;idArticle=LEGIARTI000006615168&amp;dateTexte=&amp;categorieLien=cid</t>
  </si>
  <si>
    <t>Prix janvier 2019</t>
  </si>
  <si>
    <t>Prix après taxe, i = 1</t>
  </si>
  <si>
    <t>Prix après taxe, i = 0,9</t>
  </si>
  <si>
    <t>Prix après taxe, i = 0,8</t>
  </si>
  <si>
    <t>Prix après taxe, i = 0,5</t>
  </si>
  <si>
    <t>% var. prix SP</t>
  </si>
  <si>
    <t>% var. prix diesel</t>
  </si>
  <si>
    <t>% var. prix fioul domestique</t>
  </si>
  <si>
    <t>% var. prix gaz naturel</t>
  </si>
  <si>
    <t>Diff. prix SP</t>
  </si>
  <si>
    <t>Diff. prix diesel</t>
  </si>
  <si>
    <t>Diff. prix fioul domestique</t>
  </si>
  <si>
    <t>Diff. prix gaz naturel</t>
  </si>
  <si>
    <t>Prix du gaz :</t>
  </si>
  <si>
    <t>0,651 correspond au prix unitaire pour un contrat B1 (i.e. avec chauffage) en zone 3</t>
  </si>
  <si>
    <t>Prix des carburants :</t>
  </si>
  <si>
    <t xml:space="preserve">Moyenne nationale en temps réel sur les dernières 48h ici : https://www.zagaz.com/stats_departement.php </t>
  </si>
  <si>
    <t>Prix du fioul :</t>
  </si>
  <si>
    <t>Moyenne nationale au jour le jour : https://www.fioulmarket.fr/prix-fioul</t>
  </si>
  <si>
    <t>Calculs de l'incidence :</t>
  </si>
  <si>
    <t>Modèle accessible du Github</t>
  </si>
  <si>
    <t>l'augmentation du prix du gaz sera en fait légèrement plus faible car elle ne portera pas sur les 10% de coûts fixes. ça justifie l'arrondi à la baisse pour la colonne F.</t>
  </si>
  <si>
    <t>Méthode</t>
  </si>
  <si>
    <t>Réforme</t>
  </si>
  <si>
    <t>% erreurs</t>
  </si>
  <si>
    <t>% gagnants predits perdants</t>
  </si>
  <si>
    <t>% perdants predits gagnants</t>
  </si>
  <si>
    <t>Logit</t>
  </si>
  <si>
    <t>Probit</t>
  </si>
  <si>
    <t>OLS binaire</t>
  </si>
  <si>
    <t>OLS binaire, seuil 0,43</t>
  </si>
  <si>
    <t>OLS</t>
  </si>
  <si>
    <t>Logement + transports</t>
  </si>
  <si>
    <t>OLS, transfert +122€</t>
  </si>
  <si>
    <t>Matching par categ</t>
  </si>
  <si>
    <t>Matching distance</t>
  </si>
  <si>
    <t>Note : "% gagnants predits perdants" donne la probabilité qu'un gagnant soit prédit perdant.</t>
  </si>
  <si>
    <t>"% perdants predits gagnants" donne la probabilité qu'un perdant soit prédit gagnant.</t>
  </si>
  <si>
    <t>Méthodologie : les prédictions sont réalisées via l'Enquête Logement (2013). Elles sont ensuite appliquées aux ménages de l'enquête Budget de Famille (2011).</t>
  </si>
  <si>
    <t>On compare ensuite ces prédictions avec les résultats "objectifs" (au sens où les consommations sont renseignées) de BdF.</t>
  </si>
  <si>
    <t>Hypothèse : toutes les informations renseignées par les ménages sont correctes.</t>
  </si>
  <si>
    <t>Les élasticités et l'incidence supposées sont correctes également.</t>
  </si>
  <si>
    <t>Oui</t>
  </si>
  <si>
    <t>NON</t>
  </si>
  <si>
    <t>NON (A) et NON (B)</t>
  </si>
  <si>
    <t>Non</t>
  </si>
  <si>
    <t>oui</t>
  </si>
  <si>
    <t>non</t>
  </si>
  <si>
    <t>https://nonaugazdeschistelyon.files.wordpress.com/2018/02/france-tm-05_02_2018.pdf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</si>
</sst>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%"/>
    <numFmt numFmtId="167" formatCode="0.0%"/>
  </numFmts>
  <fonts count="16">
    <font>
      <sz val="10"/>
      <color rgb="FF000000"/>
      <name val="Arial"/>
      <charset val="1"/>
    </font>
    <font>
      <b/>
      <sz val="11"/>
      <name val="Cambria"/>
      <charset val="1"/>
    </font>
    <font>
      <sz val="11"/>
      <name val="Cambria"/>
      <charset val="1"/>
    </font>
    <font>
      <sz val="11"/>
      <color rgb="FF000000"/>
      <name val="Cambria"/>
      <charset val="1"/>
    </font>
    <font>
      <sz val="11"/>
      <color rgb="FF000000"/>
      <name val="Arial"/>
      <charset val="1"/>
    </font>
    <font>
      <u/>
      <sz val="11"/>
      <color rgb="FF0000FF"/>
      <name val="Cambria"/>
      <charset val="1"/>
    </font>
    <font>
      <i/>
      <sz val="11"/>
      <color rgb="FF000000"/>
      <name val="Arial"/>
      <charset val="1"/>
    </font>
    <font>
      <i/>
      <sz val="11"/>
      <name val="Cambria"/>
      <charset val="1"/>
    </font>
    <font>
      <b/>
      <u/>
      <sz val="11"/>
      <name val="Cambria"/>
      <charset val="1"/>
    </font>
    <font>
      <sz val="11"/>
      <color rgb="FF58595B"/>
      <name val="Arial"/>
      <charset val="1"/>
    </font>
    <font>
      <u/>
      <sz val="11"/>
      <color rgb="FF000000"/>
      <name val="Cambria"/>
      <charset val="1"/>
    </font>
    <font>
      <sz val="11"/>
      <color rgb="FF000000"/>
      <name val="Roboto"/>
      <charset val="1"/>
    </font>
    <font>
      <sz val="10"/>
      <color rgb="FF202328"/>
      <name val="Arial"/>
      <charset val="1"/>
    </font>
    <font>
      <sz val="11"/>
      <color rgb="FFFF0000"/>
      <name val="Cambria"/>
      <charset val="1"/>
    </font>
    <font>
      <b/>
      <sz val="11"/>
      <color rgb="FF4A86E8"/>
      <name val="Cambria"/>
      <charset val="1"/>
    </font>
    <font>
      <b/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EFEFE"/>
      </patternFill>
    </fill>
    <fill>
      <patternFill patternType="solid">
        <fgColor rgb="FFFEFEFE"/>
        <bgColor rgb="FFFFFFFF"/>
      </patternFill>
    </fill>
    <fill>
      <patternFill patternType="solid">
        <fgColor rgb="FF4A86E8"/>
        <bgColor rgb="FF808080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Border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2" fillId="0" borderId="1" xfId="0" applyFont="1" applyBorder="1" applyAlignment="1"/>
    <xf numFmtId="0" fontId="2" fillId="0" borderId="2" xfId="0" applyFont="1" applyBorder="1" applyAlignment="1"/>
    <xf numFmtId="1" fontId="2" fillId="0" borderId="0" xfId="0" applyNumberFormat="1" applyFont="1"/>
    <xf numFmtId="1" fontId="2" fillId="0" borderId="1" xfId="0" applyNumberFormat="1" applyFont="1" applyBorder="1" applyAlignment="1">
      <alignment horizontal="right"/>
    </xf>
    <xf numFmtId="1" fontId="2" fillId="0" borderId="2" xfId="0" applyNumberFormat="1" applyFont="1" applyBorder="1" applyAlignment="1"/>
    <xf numFmtId="9" fontId="2" fillId="0" borderId="0" xfId="0" applyNumberFormat="1" applyFont="1" applyAlignment="1"/>
    <xf numFmtId="1" fontId="1" fillId="0" borderId="0" xfId="0" applyNumberFormat="1" applyFont="1"/>
    <xf numFmtId="9" fontId="2" fillId="0" borderId="2" xfId="0" applyNumberFormat="1" applyFont="1" applyBorder="1" applyAlignment="1"/>
    <xf numFmtId="0" fontId="4" fillId="0" borderId="0" xfId="0" applyFont="1" applyAlignment="1"/>
    <xf numFmtId="0" fontId="0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164" fontId="2" fillId="0" borderId="0" xfId="0" applyNumberFormat="1" applyFont="1"/>
    <xf numFmtId="2" fontId="2" fillId="0" borderId="0" xfId="0" applyNumberFormat="1" applyFont="1" applyAlignment="1"/>
    <xf numFmtId="0" fontId="7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/>
    <xf numFmtId="2" fontId="1" fillId="0" borderId="0" xfId="0" applyNumberFormat="1" applyFont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2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9" fontId="2" fillId="0" borderId="0" xfId="0" applyNumberFormat="1" applyFont="1"/>
    <xf numFmtId="9" fontId="1" fillId="0" borderId="0" xfId="0" applyNumberFormat="1" applyFo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0" fillId="2" borderId="0" xfId="0" applyFont="1" applyFill="1" applyAlignment="1">
      <alignment horizontal="right"/>
    </xf>
    <xf numFmtId="0" fontId="12" fillId="3" borderId="0" xfId="0" applyFont="1" applyFill="1" applyAlignment="1">
      <alignment horizontal="right"/>
    </xf>
    <xf numFmtId="0" fontId="13" fillId="0" borderId="0" xfId="0" applyFont="1" applyAlignment="1"/>
    <xf numFmtId="0" fontId="14" fillId="0" borderId="0" xfId="0" applyFont="1"/>
    <xf numFmtId="10" fontId="2" fillId="0" borderId="0" xfId="0" applyNumberFormat="1" applyFont="1"/>
    <xf numFmtId="166" fontId="1" fillId="0" borderId="0" xfId="0" applyNumberFormat="1" applyFont="1"/>
    <xf numFmtId="167" fontId="2" fillId="0" borderId="0" xfId="0" applyNumberFormat="1" applyFont="1" applyAlignment="1"/>
    <xf numFmtId="167" fontId="2" fillId="0" borderId="0" xfId="0" applyNumberFormat="1" applyFont="1"/>
    <xf numFmtId="0" fontId="2" fillId="4" borderId="0" xfId="0" applyFont="1" applyFill="1" applyAlignment="1"/>
    <xf numFmtId="1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EF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58595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32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see.fr/fr/statistiques/1892086?sommaire=191292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logique-solidaire.gouv.fr/fiscalite-des-energies" TargetMode="External"/><Relationship Id="rId13" Type="http://schemas.openxmlformats.org/officeDocument/2006/relationships/hyperlink" Target="https://www.performance-publique.budget.gouv.fr/budget-comptes-etat/budget-etat/approfondir/recettes-etat/recettes-fiscales" TargetMode="External"/><Relationship Id="rId18" Type="http://schemas.openxmlformats.org/officeDocument/2006/relationships/hyperlink" Target="https://argent.boursier.com/quotidien/actualites/tout-savoir-sur-les-baremes-pour-beneficier-du-cheque-energie-4865.html" TargetMode="External"/><Relationship Id="rId3" Type="http://schemas.openxmlformats.org/officeDocument/2006/relationships/hyperlink" Target="https://www.insee.fr/fr/statistiques/2119673" TargetMode="External"/><Relationship Id="rId21" Type="http://schemas.openxmlformats.org/officeDocument/2006/relationships/hyperlink" Target="https://www.insee.fr/fr/statistiques/2830613" TargetMode="External"/><Relationship Id="rId7" Type="http://schemas.openxmlformats.org/officeDocument/2006/relationships/hyperlink" Target="http://www.prix-carburants.developpement-durable.gouv.fr/petrole/se_cons_fr.htm" TargetMode="External"/><Relationship Id="rId12" Type="http://schemas.openxmlformats.org/officeDocument/2006/relationships/hyperlink" Target="https://www.insee.fr/fr/statistiques/2416808" TargetMode="External"/><Relationship Id="rId17" Type="http://schemas.openxmlformats.org/officeDocument/2006/relationships/hyperlink" Target="https://selectra.info/energie/guides/tarifs/gaz/base-b0-b1-b2i-b2s-tel" TargetMode="External"/><Relationship Id="rId2" Type="http://schemas.openxmlformats.org/officeDocument/2006/relationships/hyperlink" Target="http://www.statistiques.developpement-durable.gouv.fr/fileadmin/documents/Produits_editoriaux/Publications/Datalab_essentiel/2017/datalab-essentiel-124-ventes-de-produits-petroliers-en-2016-nov2017.pdf" TargetMode="External"/><Relationship Id="rId16" Type="http://schemas.openxmlformats.org/officeDocument/2006/relationships/hyperlink" Target="http://bilans-ges.ademe.fr/" TargetMode="External"/><Relationship Id="rId20" Type="http://schemas.openxmlformats.org/officeDocument/2006/relationships/hyperlink" Target="https://public.opendatasoft.com/explore/dataset/correspondance-code-insee-code-postal/table/" TargetMode="External"/><Relationship Id="rId1" Type="http://schemas.openxmlformats.org/officeDocument/2006/relationships/hyperlink" Target="https://www.fournisseurs-electricite.com/france/169-infos/18441-coefficient-de-conversion-du-gaz" TargetMode="External"/><Relationship Id="rId6" Type="http://schemas.openxmlformats.org/officeDocument/2006/relationships/hyperlink" Target="https://carbu.com/france/index.php/prixmoyens" TargetMode="External"/><Relationship Id="rId11" Type="http://schemas.openxmlformats.org/officeDocument/2006/relationships/hyperlink" Target="https://www.insee.fr/fr/statistiques/3303344?sommaire=3353488" TargetMode="External"/><Relationship Id="rId5" Type="http://schemas.openxmlformats.org/officeDocument/2006/relationships/hyperlink" Target="http://www.grtgaz.com/fileadmin/medias/communiques/2018/FR/Presentation-bilan-gaz-2017.pdf" TargetMode="External"/><Relationship Id="rId15" Type="http://schemas.openxmlformats.org/officeDocument/2006/relationships/hyperlink" Target="https://www.ccomptes.fr/sites/default/files/EzPublish/20151216-rapport-Fouilleron-TVA-et-depenses-publiques.pdf" TargetMode="External"/><Relationship Id="rId23" Type="http://schemas.openxmlformats.org/officeDocument/2006/relationships/hyperlink" Target="https://fr.statista.com/statistiques/486554/consommation-de-carburant-moyenne-voiture-france/" TargetMode="External"/><Relationship Id="rId10" Type="http://schemas.openxmlformats.org/officeDocument/2006/relationships/hyperlink" Target="https://www.insee.fr/fr/statistiques/1906663?sommaire=1906743" TargetMode="External"/><Relationship Id="rId19" Type="http://schemas.openxmlformats.org/officeDocument/2006/relationships/hyperlink" Target="https://www.ecologique-solidaire.gouv.fr/sites/default/files/Projet%20strategie%20nationale%20bas%20carbone.pdf" TargetMode="External"/><Relationship Id="rId4" Type="http://schemas.openxmlformats.org/officeDocument/2006/relationships/hyperlink" Target="https://www.cpdp.org/fr/le-marche-petrolier" TargetMode="External"/><Relationship Id="rId9" Type="http://schemas.openxmlformats.org/officeDocument/2006/relationships/hyperlink" Target="https://www.insee.fr/fr/statistiques/1892086?sommaire=1912926" TargetMode="External"/><Relationship Id="rId14" Type="http://schemas.openxmlformats.org/officeDocument/2006/relationships/hyperlink" Target="http://www2.impots.gouv.fr/documentation/statistiques/annuaire2013/tab101_2013.xls" TargetMode="External"/><Relationship Id="rId22" Type="http://schemas.openxmlformats.org/officeDocument/2006/relationships/hyperlink" Target="https://www.insee.fr/fr/statistiques/21078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ee.fr/fr/statistiques/1893198" TargetMode="External"/><Relationship Id="rId3" Type="http://schemas.openxmlformats.org/officeDocument/2006/relationships/hyperlink" Target="https://fr.wikipedia.org/wiki/Pays_de_la_Loire" TargetMode="External"/><Relationship Id="rId7" Type="http://schemas.openxmlformats.org/officeDocument/2006/relationships/hyperlink" Target="https://www.insee.fr/fr/statistiques/2381478" TargetMode="External"/><Relationship Id="rId12" Type="http://schemas.openxmlformats.org/officeDocument/2006/relationships/hyperlink" Target="https://www.insee.fr/fr/statistiques/3568823?sommaire=3568833&amp;geo=METRO-1" TargetMode="External"/><Relationship Id="rId2" Type="http://schemas.openxmlformats.org/officeDocument/2006/relationships/hyperlink" Target="https://fr.wikipedia.org/wiki/Bourgogne-Franche-Comt&#233;" TargetMode="External"/><Relationship Id="rId1" Type="http://schemas.openxmlformats.org/officeDocument/2006/relationships/hyperlink" Target="https://fr.wikipedia.org/wiki/&#206;le-de-France" TargetMode="External"/><Relationship Id="rId6" Type="http://schemas.openxmlformats.org/officeDocument/2006/relationships/hyperlink" Target="https://fr.wikipedia.org/wiki/Provence-Alpes-C&#244;te_d%27Azur" TargetMode="External"/><Relationship Id="rId11" Type="http://schemas.openxmlformats.org/officeDocument/2006/relationships/hyperlink" Target="https://www.insee.fr/fr/statistiques/2381474" TargetMode="External"/><Relationship Id="rId5" Type="http://schemas.openxmlformats.org/officeDocument/2006/relationships/hyperlink" Target="https://fr.wikipedia.org/wiki/Auvergne-Rh&#244;ne-Alpes" TargetMode="External"/><Relationship Id="rId10" Type="http://schemas.openxmlformats.org/officeDocument/2006/relationships/hyperlink" Target="https://www.insee.fr/fr/statistiques/1892088?sommaire=1912926" TargetMode="External"/><Relationship Id="rId4" Type="http://schemas.openxmlformats.org/officeDocument/2006/relationships/hyperlink" Target="https://fr.wikipedia.org/wiki/Normandie_(r&#233;gion_administrative)" TargetMode="External"/><Relationship Id="rId9" Type="http://schemas.openxmlformats.org/officeDocument/2006/relationships/hyperlink" Target="https://www.insee.fr/fr/statistiques/128097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gifrance.gouv.fr/affichCodeArticle.do?cidTexte=LEGITEXT000006071570&amp;idArticle=LEGIARTI000006615168&amp;dateTexte=&amp;categorieLien=cid" TargetMode="External"/><Relationship Id="rId2" Type="http://schemas.openxmlformats.org/officeDocument/2006/relationships/hyperlink" Target="https://www.ecologique-solidaire.gouv.fr/fiscalite-des-energies" TargetMode="External"/><Relationship Id="rId1" Type="http://schemas.openxmlformats.org/officeDocument/2006/relationships/hyperlink" Target="https://www.legifrance.gouv.fr/affichCodeArticle.do;jsessionid=4337AF4921843AB2063817AB97F65FAB.tplgfr21s_1?idArticle=LEGIARTI000037094636&amp;cidTexte=LEGITEXT000006071570&amp;categorieLien=id&amp;dateTexte=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nonaugazdeschistelyon.files.wordpress.com/2018/02/france-tm-05_02_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RowHeight="12.5"/>
  <cols>
    <col min="1" max="1" width="23.08984375" customWidth="1"/>
    <col min="2" max="2" width="19.81640625" customWidth="1"/>
    <col min="3" max="3" width="22.54296875" customWidth="1"/>
    <col min="4" max="4" width="23.26953125" customWidth="1"/>
    <col min="5" max="5" width="21.54296875" customWidth="1"/>
    <col min="6" max="6" width="24.26953125" customWidth="1"/>
    <col min="7" max="7" width="24" customWidth="1"/>
    <col min="8" max="1025" width="14.453125" customWidth="1"/>
  </cols>
  <sheetData>
    <row r="1" spans="1:9" ht="14">
      <c r="A1" s="2" t="s">
        <v>0</v>
      </c>
    </row>
    <row r="2" spans="1:9" ht="14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9" ht="14">
      <c r="A3" s="3" t="s">
        <v>7</v>
      </c>
      <c r="B3" s="4">
        <v>4.0199999999999996</v>
      </c>
      <c r="C3" s="4">
        <v>3.16</v>
      </c>
      <c r="D3" s="4">
        <v>2.73</v>
      </c>
      <c r="E3" s="4">
        <v>3.89</v>
      </c>
      <c r="F3" s="4">
        <v>3.2</v>
      </c>
      <c r="G3" s="4">
        <v>2.97</v>
      </c>
      <c r="H3" s="5"/>
      <c r="I3" s="5"/>
    </row>
    <row r="4" spans="1:9" ht="14">
      <c r="A4" s="3" t="s">
        <v>8</v>
      </c>
      <c r="B4" s="4">
        <v>2.92</v>
      </c>
      <c r="C4" s="4">
        <v>2.78</v>
      </c>
      <c r="D4" s="4">
        <v>2.63</v>
      </c>
      <c r="E4" s="4">
        <v>2.82</v>
      </c>
      <c r="F4" s="4">
        <v>2.71</v>
      </c>
      <c r="G4" s="4">
        <v>2.6</v>
      </c>
      <c r="H4" s="5"/>
      <c r="I4" s="5"/>
    </row>
    <row r="5" spans="1:9" ht="14">
      <c r="A5" s="3" t="s">
        <v>9</v>
      </c>
      <c r="B5" s="4">
        <v>6.93</v>
      </c>
      <c r="C5" s="4">
        <v>5.93</v>
      </c>
      <c r="D5" s="4">
        <v>5.36</v>
      </c>
      <c r="E5" s="4">
        <v>6.71</v>
      </c>
      <c r="F5" s="4">
        <v>5.91</v>
      </c>
      <c r="G5" s="4">
        <v>5.56</v>
      </c>
      <c r="H5" s="5"/>
      <c r="I5" s="5"/>
    </row>
    <row r="6" spans="1:9" ht="14">
      <c r="B6" s="3"/>
      <c r="C6" s="3"/>
      <c r="D6" s="3"/>
      <c r="E6" s="3"/>
      <c r="F6" s="3"/>
      <c r="G6" s="3"/>
    </row>
    <row r="7" spans="1:9" ht="14">
      <c r="A7" s="2" t="s">
        <v>10</v>
      </c>
      <c r="B7" s="3"/>
      <c r="C7" s="3"/>
      <c r="D7" s="6" t="s">
        <v>11</v>
      </c>
      <c r="E7" s="7">
        <v>50891106</v>
      </c>
      <c r="F7" s="3"/>
      <c r="G7" s="3"/>
    </row>
    <row r="8" spans="1:9" ht="14">
      <c r="A8" s="3" t="s">
        <v>7</v>
      </c>
      <c r="B8" s="3">
        <v>3.35</v>
      </c>
      <c r="C8" s="3">
        <v>2.82</v>
      </c>
      <c r="D8" s="3">
        <v>2.5499999999999998</v>
      </c>
      <c r="E8" s="3">
        <v>3.35</v>
      </c>
      <c r="F8" s="3">
        <v>2.93</v>
      </c>
      <c r="G8" s="3">
        <v>2.71</v>
      </c>
    </row>
    <row r="9" spans="1:9" ht="14">
      <c r="A9" s="3" t="s">
        <v>8</v>
      </c>
      <c r="B9" s="3">
        <v>2.4300000000000002</v>
      </c>
      <c r="C9" s="3">
        <v>2.36</v>
      </c>
      <c r="D9" s="3">
        <v>2.29</v>
      </c>
      <c r="E9" s="3">
        <v>2.4300000000000002</v>
      </c>
      <c r="F9" s="3">
        <v>2.37</v>
      </c>
      <c r="G9" s="3">
        <v>2.3199999999999998</v>
      </c>
    </row>
    <row r="10" spans="1:9" ht="14">
      <c r="A10" s="3" t="s">
        <v>9</v>
      </c>
      <c r="B10" s="3">
        <v>5.78</v>
      </c>
      <c r="C10" s="3">
        <v>5.18</v>
      </c>
      <c r="D10" s="3">
        <v>4.84</v>
      </c>
      <c r="E10" s="3">
        <v>5.78</v>
      </c>
      <c r="F10" s="3">
        <v>5.3</v>
      </c>
      <c r="G10" s="3">
        <v>5.03</v>
      </c>
    </row>
    <row r="12" spans="1:9" ht="14">
      <c r="A12" s="2" t="s">
        <v>12</v>
      </c>
    </row>
    <row r="13" spans="1:9" ht="14">
      <c r="A13" s="3" t="s">
        <v>7</v>
      </c>
      <c r="B13" s="8">
        <f t="shared" ref="B13:G15" si="0">B3/$E$7*1000000000</f>
        <v>78.992191680801739</v>
      </c>
      <c r="C13" s="8">
        <f t="shared" si="0"/>
        <v>62.093364604809338</v>
      </c>
      <c r="D13" s="8">
        <f t="shared" si="0"/>
        <v>53.643951066813123</v>
      </c>
      <c r="E13" s="8">
        <f t="shared" si="0"/>
        <v>76.437717820477317</v>
      </c>
      <c r="F13" s="8">
        <f t="shared" si="0"/>
        <v>62.879356561832239</v>
      </c>
      <c r="G13" s="45">
        <f t="shared" si="0"/>
        <v>58.359902808950551</v>
      </c>
    </row>
    <row r="14" spans="1:9" ht="14">
      <c r="A14" s="3" t="s">
        <v>8</v>
      </c>
      <c r="B14" s="8">
        <f t="shared" si="0"/>
        <v>57.377412862671918</v>
      </c>
      <c r="C14" s="8">
        <f t="shared" si="0"/>
        <v>54.626441013091757</v>
      </c>
      <c r="D14" s="8">
        <f t="shared" si="0"/>
        <v>51.678971174255871</v>
      </c>
      <c r="E14" s="8">
        <f t="shared" si="0"/>
        <v>55.412432970114658</v>
      </c>
      <c r="F14" s="8">
        <f t="shared" si="0"/>
        <v>53.250955088301673</v>
      </c>
      <c r="G14" s="45">
        <f t="shared" si="0"/>
        <v>51.089477206488695</v>
      </c>
    </row>
    <row r="15" spans="1:9" ht="14">
      <c r="A15" s="3" t="s">
        <v>9</v>
      </c>
      <c r="B15" s="8">
        <f t="shared" si="0"/>
        <v>136.17310655421795</v>
      </c>
      <c r="C15" s="8">
        <f t="shared" si="0"/>
        <v>116.52330762864536</v>
      </c>
      <c r="D15" s="8">
        <f t="shared" si="0"/>
        <v>105.32292224106901</v>
      </c>
      <c r="E15" s="8">
        <f t="shared" si="0"/>
        <v>131.85015079059198</v>
      </c>
      <c r="F15" s="8">
        <f t="shared" si="0"/>
        <v>116.13031165013392</v>
      </c>
      <c r="G15" s="45">
        <f t="shared" si="0"/>
        <v>109.25288202618351</v>
      </c>
    </row>
    <row r="16" spans="1:9" ht="14">
      <c r="B16" s="8"/>
      <c r="C16" s="8"/>
      <c r="D16" s="8"/>
      <c r="E16" s="8"/>
      <c r="F16" s="8"/>
      <c r="G16" s="8"/>
    </row>
    <row r="17" spans="1:7" ht="14">
      <c r="A17" s="2" t="s">
        <v>13</v>
      </c>
      <c r="B17" s="8"/>
      <c r="C17" s="8"/>
      <c r="D17" s="9"/>
      <c r="E17" s="10"/>
      <c r="F17" s="8"/>
      <c r="G17" s="8"/>
    </row>
    <row r="18" spans="1:7" ht="14">
      <c r="A18" s="11">
        <v>0.5</v>
      </c>
      <c r="B18" s="8">
        <f>$B$15/$A18</f>
        <v>272.3462131084359</v>
      </c>
      <c r="C18" s="8">
        <f>$C$15/$A18</f>
        <v>233.04661525729071</v>
      </c>
      <c r="D18" s="8">
        <f>$D$15/$A18</f>
        <v>210.64584448213802</v>
      </c>
      <c r="E18" s="8">
        <f>$E$15/$A18</f>
        <v>263.70030158118396</v>
      </c>
      <c r="F18" s="8">
        <f>$F$15/$A18</f>
        <v>232.26062330026784</v>
      </c>
      <c r="G18" s="12">
        <f>$G$15/$A18</f>
        <v>218.50576405236703</v>
      </c>
    </row>
    <row r="19" spans="1:7" ht="14">
      <c r="A19" s="11">
        <v>0.4</v>
      </c>
      <c r="B19" s="8">
        <f>$B$15/$A19</f>
        <v>340.43276638554488</v>
      </c>
      <c r="C19" s="8">
        <f>$C$15/$A19</f>
        <v>291.30826907161338</v>
      </c>
      <c r="D19" s="8">
        <f>$D$15/$A19</f>
        <v>263.3073056026725</v>
      </c>
      <c r="E19" s="8">
        <f>$E$15/$A19</f>
        <v>329.62537697647991</v>
      </c>
      <c r="F19" s="8">
        <f>$F$15/$A19</f>
        <v>290.3257791253348</v>
      </c>
      <c r="G19" s="12">
        <f>$G$15/$A19</f>
        <v>273.13220506545878</v>
      </c>
    </row>
    <row r="20" spans="1:7" ht="14">
      <c r="A20" s="13">
        <v>0.3</v>
      </c>
      <c r="B20" s="8">
        <f>$B$15/$A20</f>
        <v>453.91035518072653</v>
      </c>
      <c r="C20" s="8">
        <f>$C$15/$A20</f>
        <v>388.41102542881788</v>
      </c>
      <c r="D20" s="8">
        <f>$D$15/$A20</f>
        <v>351.07640747023004</v>
      </c>
      <c r="E20" s="8">
        <f>$E$15/$A20</f>
        <v>439.50050263530665</v>
      </c>
      <c r="F20" s="8">
        <f>$F$15/$A20</f>
        <v>387.10103883377974</v>
      </c>
      <c r="G20" s="12">
        <f>$G$15/$A20</f>
        <v>364.17627342061172</v>
      </c>
    </row>
    <row r="21" spans="1:7" ht="14">
      <c r="A21" s="13">
        <v>0.2</v>
      </c>
      <c r="B21" s="8">
        <f>$B$15/$A21</f>
        <v>680.86553277108976</v>
      </c>
      <c r="C21" s="8">
        <f>$C$15/$A21</f>
        <v>582.61653814322676</v>
      </c>
      <c r="D21" s="8">
        <f>$D$15/$A21</f>
        <v>526.614611205345</v>
      </c>
      <c r="E21" s="8">
        <f>$E$15/$A21</f>
        <v>659.25075395295983</v>
      </c>
      <c r="F21" s="8">
        <f>$F$15/$A21</f>
        <v>580.65155825066961</v>
      </c>
      <c r="G21" s="12">
        <f>$G$15/$A21</f>
        <v>546.26441013091755</v>
      </c>
    </row>
    <row r="23" spans="1:7" ht="14">
      <c r="A23" s="3" t="s">
        <v>14</v>
      </c>
    </row>
    <row r="26" spans="1:7" ht="14">
      <c r="A26" s="4" t="s">
        <v>15</v>
      </c>
      <c r="B26" s="14" t="s">
        <v>16</v>
      </c>
    </row>
    <row r="27" spans="1:7" ht="14">
      <c r="B27" s="14" t="s">
        <v>17</v>
      </c>
    </row>
    <row r="28" spans="1:7">
      <c r="B28" s="15" t="s">
        <v>18</v>
      </c>
    </row>
    <row r="30" spans="1:7" ht="14">
      <c r="A30" s="3" t="s">
        <v>19</v>
      </c>
    </row>
    <row r="31" spans="1:7" ht="14">
      <c r="A31" s="3" t="s">
        <v>20</v>
      </c>
      <c r="B31" s="16" t="s">
        <v>21</v>
      </c>
    </row>
    <row r="32" spans="1:7" ht="14">
      <c r="A32" s="3" t="s">
        <v>22</v>
      </c>
      <c r="B32" s="3" t="s">
        <v>23</v>
      </c>
    </row>
  </sheetData>
  <hyperlinks>
    <hyperlink ref="B31" r:id="rId1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zoomScaleNormal="100" workbookViewId="0">
      <pane xSplit="1" topLeftCell="H1" activePane="topRight" state="frozen"/>
      <selection pane="topRight" activeCell="J16" sqref="J16"/>
    </sheetView>
  </sheetViews>
  <sheetFormatPr defaultRowHeight="12.5"/>
  <cols>
    <col min="1" max="1" width="17.7265625" customWidth="1"/>
    <col min="2" max="2" width="9" customWidth="1"/>
    <col min="3" max="3" width="15.90625" customWidth="1"/>
    <col min="4" max="4" width="14" customWidth="1"/>
    <col min="5" max="5" width="10.54296875" customWidth="1"/>
    <col min="6" max="6" width="12.453125" customWidth="1"/>
    <col min="7" max="9" width="14.453125" customWidth="1"/>
    <col min="10" max="10" width="20.81640625" customWidth="1"/>
    <col min="11" max="1025" width="14.453125" customWidth="1"/>
  </cols>
  <sheetData>
    <row r="1" spans="1:44" ht="14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>
        <v>2014</v>
      </c>
      <c r="R1" s="2">
        <v>2015</v>
      </c>
      <c r="S1" s="2">
        <v>2016</v>
      </c>
      <c r="T1" s="2">
        <v>2017</v>
      </c>
      <c r="U1" s="2">
        <v>2018</v>
      </c>
      <c r="V1" s="2">
        <v>2019</v>
      </c>
      <c r="W1" s="2">
        <v>2020</v>
      </c>
      <c r="X1" s="2">
        <v>2021</v>
      </c>
      <c r="Y1" s="2">
        <v>2022</v>
      </c>
      <c r="Z1" s="2" t="s">
        <v>40</v>
      </c>
      <c r="AA1" s="3" t="s">
        <v>41</v>
      </c>
      <c r="AB1" s="3" t="s">
        <v>42</v>
      </c>
      <c r="AC1" s="3" t="s">
        <v>43</v>
      </c>
      <c r="AD1" s="3" t="s">
        <v>44</v>
      </c>
      <c r="AE1" s="3" t="s">
        <v>45</v>
      </c>
      <c r="AF1" s="3" t="s">
        <v>46</v>
      </c>
      <c r="AG1" s="3" t="s">
        <v>47</v>
      </c>
      <c r="AH1" s="3" t="s">
        <v>48</v>
      </c>
      <c r="AI1" s="3" t="s">
        <v>49</v>
      </c>
      <c r="AJ1" s="3" t="s">
        <v>41</v>
      </c>
      <c r="AK1" s="3" t="s">
        <v>42</v>
      </c>
      <c r="AL1" s="3" t="s">
        <v>43</v>
      </c>
      <c r="AM1" s="3" t="s">
        <v>44</v>
      </c>
      <c r="AN1" s="3" t="s">
        <v>45</v>
      </c>
      <c r="AO1" s="3" t="s">
        <v>46</v>
      </c>
      <c r="AP1" s="3" t="s">
        <v>47</v>
      </c>
      <c r="AQ1" s="3" t="s">
        <v>48</v>
      </c>
      <c r="AR1" s="3" t="s">
        <v>49</v>
      </c>
    </row>
    <row r="2" spans="1:44" ht="14.5">
      <c r="A2" s="17" t="s">
        <v>50</v>
      </c>
      <c r="B2" s="3" t="s">
        <v>51</v>
      </c>
      <c r="C2" s="3">
        <v>0.20499999999999999</v>
      </c>
      <c r="D2" s="3">
        <v>6.5100000000000005E-2</v>
      </c>
      <c r="E2">
        <f t="shared" ref="E2:E10" si="0">C2*$B$17/1000</f>
        <v>1.025E-2</v>
      </c>
      <c r="F2" s="18">
        <f t="shared" ref="F2:F10" si="1">E2/D2</f>
        <v>0.15745007680491552</v>
      </c>
      <c r="I2" s="3">
        <v>232</v>
      </c>
      <c r="J2" s="3">
        <v>679</v>
      </c>
      <c r="M2" s="3">
        <v>1104</v>
      </c>
      <c r="O2" s="3"/>
      <c r="P2" s="3">
        <v>0</v>
      </c>
      <c r="Q2" s="3">
        <v>1.27</v>
      </c>
      <c r="R2" s="3">
        <v>2.64</v>
      </c>
      <c r="S2" s="3">
        <v>4.34</v>
      </c>
      <c r="T2" s="3">
        <v>5.88</v>
      </c>
      <c r="U2" s="3">
        <v>8.4499999999999993</v>
      </c>
      <c r="V2" s="3">
        <v>10.34</v>
      </c>
      <c r="W2" s="3">
        <v>12.24</v>
      </c>
      <c r="X2" s="3">
        <v>14.13</v>
      </c>
      <c r="Y2" s="3">
        <v>16.02</v>
      </c>
      <c r="Z2" s="19">
        <f>AVERAGE(AE2:AI2)</f>
        <v>0.18203082378614294</v>
      </c>
      <c r="AA2" s="3">
        <f t="shared" ref="AA2:AA11" si="2">(Q2-P2)/(Q$17-P$17)</f>
        <v>0.18142857142857144</v>
      </c>
      <c r="AB2" s="3">
        <f t="shared" ref="AB2:AB11" si="3">(R2-Q2)/(R$17-Q$17)</f>
        <v>0.18266666666666667</v>
      </c>
      <c r="AC2" s="3">
        <f t="shared" ref="AC2:AC11" si="4">(S2-R2)/(S$17-R$17)</f>
        <v>0.22666666666666663</v>
      </c>
      <c r="AD2" s="3">
        <f t="shared" ref="AD2:AD11" si="5">(T2-S2)/(T$17-S$17)</f>
        <v>0.1811764705882353</v>
      </c>
      <c r="AE2" s="3">
        <f t="shared" ref="AE2:AE11" si="6">(U2-T2)/(U$17-T$17)</f>
        <v>0.18226950354609922</v>
      </c>
      <c r="AF2" s="3">
        <f t="shared" ref="AF2:AF11" si="7">(V2-U2)/(V$17-U$17)</f>
        <v>0.18173076923076931</v>
      </c>
      <c r="AG2" s="3">
        <f t="shared" ref="AG2:AG11" si="8">(W2-V2)/(W$17-V$17)</f>
        <v>0.18269230769230763</v>
      </c>
      <c r="AH2" s="3">
        <f t="shared" ref="AH2:AH11" si="9">(X2-W2)/(X$17-W$17)</f>
        <v>0.18173076923076945</v>
      </c>
      <c r="AI2" s="3">
        <f t="shared" ref="AI2:AI11" si="10">(Y2-X2)/(Y$17-X$17)</f>
        <v>0.181730769230769</v>
      </c>
      <c r="AJ2">
        <f t="shared" ref="AJ2:AJ11" si="11">(Q2-$P2)/Q$17</f>
        <v>0.18142857142857144</v>
      </c>
      <c r="AK2">
        <f t="shared" ref="AK2:AK11" si="12">(R2-$P2)/R$17</f>
        <v>0.18206896551724139</v>
      </c>
      <c r="AL2">
        <f t="shared" ref="AL2:AL11" si="13">(S2-$P2)/S$17</f>
        <v>0.19727272727272727</v>
      </c>
      <c r="AM2">
        <f t="shared" ref="AM2:AM11" si="14">(T2-$P2)/T$17</f>
        <v>0.19278688524590162</v>
      </c>
      <c r="AN2">
        <f t="shared" ref="AN2:AN11" si="15">(U2-$P2)/U$17</f>
        <v>0.18946188340807174</v>
      </c>
      <c r="AO2">
        <f t="shared" ref="AO2:AO11" si="16">(V2-$P2)/V$17</f>
        <v>0.188</v>
      </c>
      <c r="AP2">
        <f t="shared" ref="AP2:AP11" si="17">(W2-$P2)/W$17</f>
        <v>0.18715596330275228</v>
      </c>
      <c r="AQ2">
        <f t="shared" ref="AQ2:AQ11" si="18">(X2-$P2)/X$17</f>
        <v>0.18641160949868077</v>
      </c>
      <c r="AR2">
        <f t="shared" ref="AR2:AR11" si="19">(Y2-$P2)/Y$17</f>
        <v>0.18584686774941994</v>
      </c>
    </row>
    <row r="3" spans="1:44" ht="14">
      <c r="A3" s="20" t="s">
        <v>52</v>
      </c>
      <c r="B3" s="3" t="s">
        <v>51</v>
      </c>
      <c r="C3" s="3">
        <v>0.20499999999999999</v>
      </c>
      <c r="D3" s="3">
        <v>6.8699999999999997E-2</v>
      </c>
      <c r="E3">
        <f t="shared" si="0"/>
        <v>1.025E-2</v>
      </c>
      <c r="F3" s="18">
        <f t="shared" si="1"/>
        <v>0.14919941775836973</v>
      </c>
      <c r="I3" s="3">
        <v>232</v>
      </c>
      <c r="J3" s="3">
        <v>679</v>
      </c>
      <c r="K3" s="3">
        <v>1104</v>
      </c>
      <c r="O3" s="3"/>
      <c r="P3" s="3">
        <v>0</v>
      </c>
      <c r="Q3" s="3">
        <v>1.27</v>
      </c>
      <c r="R3" s="3">
        <v>2.64</v>
      </c>
      <c r="S3" s="3">
        <v>4.34</v>
      </c>
      <c r="T3" s="3">
        <v>5.88</v>
      </c>
      <c r="U3" s="3">
        <v>8.4499999999999993</v>
      </c>
      <c r="V3" s="3">
        <v>10.34</v>
      </c>
      <c r="W3" s="3">
        <v>12.24</v>
      </c>
      <c r="X3" s="3">
        <v>14.13</v>
      </c>
      <c r="Y3" s="3">
        <v>16.02</v>
      </c>
      <c r="Z3" s="19">
        <f>AVERAGE(AE3:AI3)</f>
        <v>0.18203082378614294</v>
      </c>
      <c r="AA3" s="3">
        <f t="shared" si="2"/>
        <v>0.18142857142857144</v>
      </c>
      <c r="AB3" s="3">
        <f t="shared" si="3"/>
        <v>0.18266666666666667</v>
      </c>
      <c r="AC3" s="3">
        <f t="shared" si="4"/>
        <v>0.22666666666666663</v>
      </c>
      <c r="AD3" s="3">
        <f t="shared" si="5"/>
        <v>0.1811764705882353</v>
      </c>
      <c r="AE3" s="3">
        <f t="shared" si="6"/>
        <v>0.18226950354609922</v>
      </c>
      <c r="AF3" s="3">
        <f t="shared" si="7"/>
        <v>0.18173076923076931</v>
      </c>
      <c r="AG3" s="3">
        <f t="shared" si="8"/>
        <v>0.18269230769230763</v>
      </c>
      <c r="AH3" s="3">
        <f t="shared" si="9"/>
        <v>0.18173076923076945</v>
      </c>
      <c r="AI3" s="3">
        <f t="shared" si="10"/>
        <v>0.181730769230769</v>
      </c>
      <c r="AJ3">
        <f t="shared" si="11"/>
        <v>0.18142857142857144</v>
      </c>
      <c r="AK3">
        <f t="shared" si="12"/>
        <v>0.18206896551724139</v>
      </c>
      <c r="AL3">
        <f t="shared" si="13"/>
        <v>0.19727272727272727</v>
      </c>
      <c r="AM3">
        <f t="shared" si="14"/>
        <v>0.19278688524590162</v>
      </c>
      <c r="AN3">
        <f t="shared" si="15"/>
        <v>0.18946188340807174</v>
      </c>
      <c r="AO3">
        <f t="shared" si="16"/>
        <v>0.188</v>
      </c>
      <c r="AP3">
        <f t="shared" si="17"/>
        <v>0.18715596330275228</v>
      </c>
      <c r="AQ3">
        <f t="shared" si="18"/>
        <v>0.18641160949868077</v>
      </c>
      <c r="AR3">
        <f t="shared" si="19"/>
        <v>0.18584686774941994</v>
      </c>
    </row>
    <row r="4" spans="1:44" ht="14">
      <c r="A4" s="20" t="s">
        <v>53</v>
      </c>
      <c r="B4" s="3" t="s">
        <v>51</v>
      </c>
      <c r="C4" s="3">
        <v>0.20499999999999999</v>
      </c>
      <c r="D4" s="3">
        <f>(D2+D3)/2</f>
        <v>6.6900000000000001E-2</v>
      </c>
      <c r="E4" s="21">
        <f t="shared" si="0"/>
        <v>1.025E-2</v>
      </c>
      <c r="F4" s="22">
        <f t="shared" si="1"/>
        <v>0.1532137518684604</v>
      </c>
      <c r="G4">
        <f>463*10^9</f>
        <v>463000000000</v>
      </c>
      <c r="H4" s="3"/>
      <c r="I4" s="3">
        <v>232</v>
      </c>
      <c r="J4" s="3">
        <v>679</v>
      </c>
      <c r="K4" s="3">
        <v>1104</v>
      </c>
      <c r="L4">
        <f>K4*10^9/G4</f>
        <v>2.384449244060475</v>
      </c>
      <c r="M4" s="23">
        <f t="shared" ref="M4:M9" si="20">G4*Z4*$B$17/10^12</f>
        <v>4.2140135706492092</v>
      </c>
      <c r="N4" s="3">
        <v>0.15</v>
      </c>
      <c r="O4" s="24">
        <f>M4*(1-N4*F4)</f>
        <v>4.1171668462116431</v>
      </c>
      <c r="P4" s="3">
        <v>0</v>
      </c>
      <c r="Q4" s="3">
        <v>1.27</v>
      </c>
      <c r="R4" s="3">
        <v>2.64</v>
      </c>
      <c r="S4" s="3">
        <v>4.34</v>
      </c>
      <c r="T4" s="3">
        <v>5.88</v>
      </c>
      <c r="U4" s="3">
        <v>8.4499999999999993</v>
      </c>
      <c r="V4" s="3">
        <v>10.34</v>
      </c>
      <c r="W4" s="3">
        <v>12.24</v>
      </c>
      <c r="X4" s="3">
        <v>14.13</v>
      </c>
      <c r="Y4" s="3">
        <v>16.02</v>
      </c>
      <c r="Z4" s="25">
        <f>AVERAGE(AE4:AI4)</f>
        <v>0.18203082378614294</v>
      </c>
      <c r="AA4" s="3">
        <f t="shared" si="2"/>
        <v>0.18142857142857144</v>
      </c>
      <c r="AB4" s="3">
        <f t="shared" si="3"/>
        <v>0.18266666666666667</v>
      </c>
      <c r="AC4" s="3">
        <f t="shared" si="4"/>
        <v>0.22666666666666663</v>
      </c>
      <c r="AD4" s="3">
        <f t="shared" si="5"/>
        <v>0.1811764705882353</v>
      </c>
      <c r="AE4" s="3">
        <f t="shared" si="6"/>
        <v>0.18226950354609922</v>
      </c>
      <c r="AF4" s="3">
        <f t="shared" si="7"/>
        <v>0.18173076923076931</v>
      </c>
      <c r="AG4" s="3">
        <f t="shared" si="8"/>
        <v>0.18269230769230763</v>
      </c>
      <c r="AH4" s="3">
        <f t="shared" si="9"/>
        <v>0.18173076923076945</v>
      </c>
      <c r="AI4" s="3">
        <f t="shared" si="10"/>
        <v>0.181730769230769</v>
      </c>
      <c r="AJ4">
        <f t="shared" si="11"/>
        <v>0.18142857142857144</v>
      </c>
      <c r="AK4">
        <f t="shared" si="12"/>
        <v>0.18206896551724139</v>
      </c>
      <c r="AL4">
        <f t="shared" si="13"/>
        <v>0.19727272727272727</v>
      </c>
      <c r="AM4">
        <f t="shared" si="14"/>
        <v>0.19278688524590162</v>
      </c>
      <c r="AN4">
        <f t="shared" si="15"/>
        <v>0.18946188340807174</v>
      </c>
      <c r="AO4">
        <f t="shared" si="16"/>
        <v>0.188</v>
      </c>
      <c r="AP4">
        <f t="shared" si="17"/>
        <v>0.18715596330275228</v>
      </c>
      <c r="AQ4">
        <f t="shared" si="18"/>
        <v>0.18641160949868077</v>
      </c>
      <c r="AR4">
        <f t="shared" si="19"/>
        <v>0.18584686774941994</v>
      </c>
    </row>
    <row r="5" spans="1:44" ht="14">
      <c r="A5" s="20" t="s">
        <v>54</v>
      </c>
      <c r="B5" s="3" t="s">
        <v>55</v>
      </c>
      <c r="C5" s="3">
        <v>3.25</v>
      </c>
      <c r="D5" s="3">
        <v>0.85599999999999998</v>
      </c>
      <c r="E5" s="21">
        <f t="shared" si="0"/>
        <v>0.16250000000000001</v>
      </c>
      <c r="F5" s="22">
        <f t="shared" si="1"/>
        <v>0.18983644859813084</v>
      </c>
      <c r="G5" s="3">
        <v>7500000000</v>
      </c>
      <c r="H5" s="3">
        <v>6.3</v>
      </c>
      <c r="I5" s="3">
        <v>424</v>
      </c>
      <c r="J5" s="3">
        <v>593</v>
      </c>
      <c r="K5" s="3">
        <v>709</v>
      </c>
      <c r="L5">
        <f>K5*10^8/G5</f>
        <v>9.4533333333333331</v>
      </c>
      <c r="M5" s="23">
        <f t="shared" si="20"/>
        <v>0.99383694762684083</v>
      </c>
      <c r="N5" s="3">
        <v>0.15</v>
      </c>
      <c r="O5" s="24">
        <f>M5*(1-N5*F5)</f>
        <v>0.96553697613337797</v>
      </c>
      <c r="P5" s="3">
        <v>5.66</v>
      </c>
      <c r="Q5" s="3">
        <v>5.66</v>
      </c>
      <c r="R5" s="3">
        <v>7.64</v>
      </c>
      <c r="S5" s="3">
        <v>9.6300000000000008</v>
      </c>
      <c r="T5" s="3">
        <v>11.89</v>
      </c>
      <c r="U5" s="3">
        <v>15.62</v>
      </c>
      <c r="V5" s="3">
        <v>18.38</v>
      </c>
      <c r="W5" s="3">
        <v>21.14</v>
      </c>
      <c r="X5" s="3">
        <v>23.89</v>
      </c>
      <c r="Y5" s="3">
        <v>26.65</v>
      </c>
      <c r="Z5" s="25">
        <f t="shared" ref="Z5:Z11" si="21">AVERAGE(AE5:AI5)*10</f>
        <v>2.6502318603382422</v>
      </c>
      <c r="AA5" s="3">
        <f t="shared" si="2"/>
        <v>0</v>
      </c>
      <c r="AB5" s="3">
        <f t="shared" si="3"/>
        <v>0.26399999999999996</v>
      </c>
      <c r="AC5" s="3">
        <f t="shared" si="4"/>
        <v>0.26533333333333348</v>
      </c>
      <c r="AD5" s="3">
        <f t="shared" si="5"/>
        <v>0.26588235294117646</v>
      </c>
      <c r="AE5" s="3">
        <f t="shared" si="6"/>
        <v>0.26453900709219846</v>
      </c>
      <c r="AF5" s="3">
        <f t="shared" si="7"/>
        <v>0.26538461538461539</v>
      </c>
      <c r="AG5" s="3">
        <f t="shared" si="8"/>
        <v>0.26538461538461539</v>
      </c>
      <c r="AH5" s="3">
        <f t="shared" si="9"/>
        <v>0.26442307692307715</v>
      </c>
      <c r="AI5" s="3">
        <f t="shared" si="10"/>
        <v>0.26538461538461505</v>
      </c>
      <c r="AJ5">
        <f t="shared" si="11"/>
        <v>0</v>
      </c>
      <c r="AK5">
        <f t="shared" si="12"/>
        <v>0.13655172413793101</v>
      </c>
      <c r="AL5">
        <f t="shared" si="13"/>
        <v>0.18045454545454548</v>
      </c>
      <c r="AM5">
        <f t="shared" si="14"/>
        <v>0.20426229508196722</v>
      </c>
      <c r="AN5">
        <f t="shared" si="15"/>
        <v>0.22331838565022419</v>
      </c>
      <c r="AO5">
        <f t="shared" si="16"/>
        <v>0.23127272727272724</v>
      </c>
      <c r="AP5">
        <f t="shared" si="17"/>
        <v>0.236697247706422</v>
      </c>
      <c r="AQ5">
        <f t="shared" si="18"/>
        <v>0.24050131926121374</v>
      </c>
      <c r="AR5">
        <f t="shared" si="19"/>
        <v>0.24350348027842225</v>
      </c>
    </row>
    <row r="6" spans="1:44" ht="14">
      <c r="A6" s="20" t="s">
        <v>56</v>
      </c>
      <c r="B6" s="3" t="s">
        <v>55</v>
      </c>
      <c r="C6" s="3">
        <v>2.8</v>
      </c>
      <c r="D6" s="3">
        <v>1.3859999999999999</v>
      </c>
      <c r="E6">
        <f t="shared" si="0"/>
        <v>0.14000000000000001</v>
      </c>
      <c r="F6" s="18">
        <f t="shared" si="1"/>
        <v>0.10101010101010102</v>
      </c>
      <c r="G6" s="3">
        <v>3496940000</v>
      </c>
      <c r="I6" s="3">
        <v>1846</v>
      </c>
      <c r="J6" s="3">
        <v>2017</v>
      </c>
      <c r="K6" s="3">
        <v>2180</v>
      </c>
      <c r="M6" s="23">
        <f t="shared" si="20"/>
        <v>0.39962746062465893</v>
      </c>
      <c r="O6" s="24"/>
      <c r="P6" s="3">
        <v>60.69</v>
      </c>
      <c r="Q6" s="3">
        <v>60.69</v>
      </c>
      <c r="R6" s="3">
        <v>62.41</v>
      </c>
      <c r="S6" s="3">
        <v>62.12</v>
      </c>
      <c r="T6" s="3">
        <v>63.07</v>
      </c>
      <c r="U6" s="3">
        <v>66.290000000000006</v>
      </c>
      <c r="V6" s="3">
        <v>68.67</v>
      </c>
      <c r="W6" s="3">
        <v>71.05</v>
      </c>
      <c r="X6" s="3">
        <v>73.430000000000007</v>
      </c>
      <c r="Y6" s="3">
        <v>75.8</v>
      </c>
      <c r="Z6" s="26">
        <f t="shared" si="21"/>
        <v>2.2855837424986354</v>
      </c>
      <c r="AA6" s="3">
        <f t="shared" si="2"/>
        <v>0</v>
      </c>
      <c r="AB6" s="3">
        <f t="shared" si="3"/>
        <v>0.22933333333333319</v>
      </c>
      <c r="AC6" s="3">
        <f t="shared" si="4"/>
        <v>-3.8666666666666551E-2</v>
      </c>
      <c r="AD6" s="3">
        <f t="shared" si="5"/>
        <v>0.11176470588235328</v>
      </c>
      <c r="AE6" s="3">
        <f t="shared" si="6"/>
        <v>0.22836879432624155</v>
      </c>
      <c r="AF6" s="3">
        <f t="shared" si="7"/>
        <v>0.22884615384615345</v>
      </c>
      <c r="AG6" s="3">
        <f t="shared" si="8"/>
        <v>0.22884615384615328</v>
      </c>
      <c r="AH6" s="3">
        <f t="shared" si="9"/>
        <v>0.22884615384615498</v>
      </c>
      <c r="AI6" s="3">
        <f t="shared" si="10"/>
        <v>0.22788461538461433</v>
      </c>
      <c r="AJ6">
        <f t="shared" si="11"/>
        <v>0</v>
      </c>
      <c r="AK6">
        <f t="shared" si="12"/>
        <v>0.11862068965517233</v>
      </c>
      <c r="AL6">
        <f t="shared" si="13"/>
        <v>6.4999999999999988E-2</v>
      </c>
      <c r="AM6">
        <f t="shared" si="14"/>
        <v>7.8032786885245981E-2</v>
      </c>
      <c r="AN6">
        <f t="shared" si="15"/>
        <v>0.12556053811659212</v>
      </c>
      <c r="AO6">
        <f t="shared" si="16"/>
        <v>0.14509090909090916</v>
      </c>
      <c r="AP6">
        <f t="shared" si="17"/>
        <v>0.1584097859327217</v>
      </c>
      <c r="AQ6">
        <f t="shared" si="18"/>
        <v>0.16807387862796846</v>
      </c>
      <c r="AR6">
        <f t="shared" si="19"/>
        <v>0.17529002320185613</v>
      </c>
    </row>
    <row r="7" spans="1:44" ht="14">
      <c r="A7" s="20" t="s">
        <v>57</v>
      </c>
      <c r="B7" s="3" t="s">
        <v>55</v>
      </c>
      <c r="C7" s="3">
        <v>2.8</v>
      </c>
      <c r="D7" s="3">
        <v>1.405</v>
      </c>
      <c r="E7">
        <f t="shared" si="0"/>
        <v>0.14000000000000001</v>
      </c>
      <c r="F7" s="18">
        <f t="shared" si="1"/>
        <v>9.9644128113879016E-2</v>
      </c>
      <c r="G7" s="3">
        <v>4050981000</v>
      </c>
      <c r="M7" s="23">
        <f t="shared" si="20"/>
        <v>0.4629428157385434</v>
      </c>
      <c r="O7" s="24"/>
      <c r="P7" s="3">
        <v>60.69</v>
      </c>
      <c r="Q7" s="3">
        <v>60.69</v>
      </c>
      <c r="R7" s="3">
        <v>62.41</v>
      </c>
      <c r="S7" s="3">
        <v>64.12</v>
      </c>
      <c r="T7" s="3">
        <v>65.069999999999993</v>
      </c>
      <c r="U7" s="3">
        <v>68.290000000000006</v>
      </c>
      <c r="V7" s="3">
        <v>70.67</v>
      </c>
      <c r="W7" s="3">
        <v>73.05</v>
      </c>
      <c r="X7" s="3">
        <v>75.430000000000007</v>
      </c>
      <c r="Y7" s="3">
        <v>77.8</v>
      </c>
      <c r="Z7" s="26">
        <f t="shared" si="21"/>
        <v>2.2855837424986363</v>
      </c>
      <c r="AA7" s="3">
        <f t="shared" si="2"/>
        <v>0</v>
      </c>
      <c r="AB7" s="3">
        <f t="shared" si="3"/>
        <v>0.22933333333333319</v>
      </c>
      <c r="AC7" s="3">
        <f t="shared" si="4"/>
        <v>0.22800000000000106</v>
      </c>
      <c r="AD7" s="3">
        <f t="shared" si="5"/>
        <v>0.1117647058823516</v>
      </c>
      <c r="AE7" s="3">
        <f t="shared" si="6"/>
        <v>0.22836879432624205</v>
      </c>
      <c r="AF7" s="3">
        <f t="shared" si="7"/>
        <v>0.22884615384615345</v>
      </c>
      <c r="AG7" s="3">
        <f t="shared" si="8"/>
        <v>0.22884615384615328</v>
      </c>
      <c r="AH7" s="3">
        <f t="shared" si="9"/>
        <v>0.22884615384615498</v>
      </c>
      <c r="AI7" s="3">
        <f t="shared" si="10"/>
        <v>0.22788461538461433</v>
      </c>
      <c r="AJ7">
        <f t="shared" si="11"/>
        <v>0</v>
      </c>
      <c r="AK7">
        <f t="shared" si="12"/>
        <v>0.11862068965517233</v>
      </c>
      <c r="AL7">
        <f t="shared" si="13"/>
        <v>0.15590909090909122</v>
      </c>
      <c r="AM7">
        <f t="shared" si="14"/>
        <v>0.14360655737704903</v>
      </c>
      <c r="AN7">
        <f t="shared" si="15"/>
        <v>0.17040358744394637</v>
      </c>
      <c r="AO7">
        <f t="shared" si="16"/>
        <v>0.18145454545454553</v>
      </c>
      <c r="AP7">
        <f t="shared" si="17"/>
        <v>0.18899082568807338</v>
      </c>
      <c r="AQ7">
        <f t="shared" si="18"/>
        <v>0.19445910290237481</v>
      </c>
      <c r="AR7">
        <f t="shared" si="19"/>
        <v>0.19849187935034801</v>
      </c>
    </row>
    <row r="8" spans="1:44" ht="14">
      <c r="A8" s="20" t="s">
        <v>58</v>
      </c>
      <c r="B8" s="3" t="s">
        <v>55</v>
      </c>
      <c r="C8" s="3">
        <v>2.8</v>
      </c>
      <c r="D8" s="3">
        <v>1.4710000000000001</v>
      </c>
      <c r="E8">
        <f t="shared" si="0"/>
        <v>0.14000000000000001</v>
      </c>
      <c r="F8" s="18">
        <f t="shared" si="1"/>
        <v>9.5173351461590755E-2</v>
      </c>
      <c r="G8" s="3">
        <v>2178507000</v>
      </c>
      <c r="H8" s="3"/>
      <c r="M8" s="23">
        <f t="shared" si="20"/>
        <v>0.24895800910597382</v>
      </c>
      <c r="O8" s="24"/>
      <c r="P8" s="3">
        <v>60.69</v>
      </c>
      <c r="Q8" s="3">
        <v>60.69</v>
      </c>
      <c r="R8" s="3">
        <v>62.41</v>
      </c>
      <c r="S8" s="3">
        <v>64.12</v>
      </c>
      <c r="T8" s="3">
        <v>65.069999999999993</v>
      </c>
      <c r="U8" s="3">
        <v>68.290000000000006</v>
      </c>
      <c r="V8" s="3">
        <v>70.67</v>
      </c>
      <c r="W8" s="3">
        <v>73.05</v>
      </c>
      <c r="X8" s="3">
        <v>75.430000000000007</v>
      </c>
      <c r="Y8" s="3">
        <v>77.8</v>
      </c>
      <c r="Z8" s="26">
        <f t="shared" si="21"/>
        <v>2.2855837424986363</v>
      </c>
      <c r="AA8" s="3">
        <f t="shared" si="2"/>
        <v>0</v>
      </c>
      <c r="AB8" s="3">
        <f t="shared" si="3"/>
        <v>0.22933333333333319</v>
      </c>
      <c r="AC8" s="3">
        <f t="shared" si="4"/>
        <v>0.22800000000000106</v>
      </c>
      <c r="AD8" s="3">
        <f t="shared" si="5"/>
        <v>0.1117647058823516</v>
      </c>
      <c r="AE8" s="3">
        <f t="shared" si="6"/>
        <v>0.22836879432624205</v>
      </c>
      <c r="AF8" s="3">
        <f t="shared" si="7"/>
        <v>0.22884615384615345</v>
      </c>
      <c r="AG8" s="3">
        <f t="shared" si="8"/>
        <v>0.22884615384615328</v>
      </c>
      <c r="AH8" s="3">
        <f t="shared" si="9"/>
        <v>0.22884615384615498</v>
      </c>
      <c r="AI8" s="3">
        <f t="shared" si="10"/>
        <v>0.22788461538461433</v>
      </c>
      <c r="AJ8">
        <f t="shared" si="11"/>
        <v>0</v>
      </c>
      <c r="AK8">
        <f t="shared" si="12"/>
        <v>0.11862068965517233</v>
      </c>
      <c r="AL8">
        <f t="shared" si="13"/>
        <v>0.15590909090909122</v>
      </c>
      <c r="AM8">
        <f t="shared" si="14"/>
        <v>0.14360655737704903</v>
      </c>
      <c r="AN8">
        <f t="shared" si="15"/>
        <v>0.17040358744394637</v>
      </c>
      <c r="AO8">
        <f t="shared" si="16"/>
        <v>0.18145454545454553</v>
      </c>
      <c r="AP8">
        <f t="shared" si="17"/>
        <v>0.18899082568807338</v>
      </c>
      <c r="AQ8">
        <f t="shared" si="18"/>
        <v>0.19445910290237481</v>
      </c>
      <c r="AR8">
        <f t="shared" si="19"/>
        <v>0.19849187935034801</v>
      </c>
    </row>
    <row r="9" spans="1:44" ht="14">
      <c r="A9" s="20" t="s">
        <v>59</v>
      </c>
      <c r="B9" s="3" t="s">
        <v>55</v>
      </c>
      <c r="C9" s="3">
        <v>2.8</v>
      </c>
      <c r="D9" s="3">
        <f>(D6*G6+D7*G7+D8*G8)/(G6+G7+G8)</f>
        <v>1.4129514907219793</v>
      </c>
      <c r="E9" s="21">
        <f t="shared" si="0"/>
        <v>0.14000000000000001</v>
      </c>
      <c r="F9" s="18">
        <f t="shared" si="1"/>
        <v>9.9083373292924493E-2</v>
      </c>
      <c r="G9">
        <f>9822394*1000</f>
        <v>9822394000</v>
      </c>
      <c r="H9" s="3">
        <v>7.7</v>
      </c>
      <c r="I9" s="3">
        <v>5695</v>
      </c>
      <c r="J9" s="3">
        <v>5931</v>
      </c>
      <c r="K9" s="3">
        <v>6185</v>
      </c>
      <c r="L9">
        <f>100000000*K9/G9</f>
        <v>62.968355779660236</v>
      </c>
      <c r="M9" s="23">
        <f t="shared" si="20"/>
        <v>1.1224952019408077</v>
      </c>
      <c r="N9" s="3">
        <v>0.45</v>
      </c>
      <c r="O9" s="24">
        <f>M9*(1-N9*F9)</f>
        <v>1.0724459269397697</v>
      </c>
      <c r="P9">
        <f t="shared" ref="P9:Y9" si="22">(P6*$G$6+P7*$G$7+P8*$G$8)/($G$6+$G$7+$G$8)</f>
        <v>60.69</v>
      </c>
      <c r="Q9">
        <f t="shared" si="22"/>
        <v>60.69</v>
      </c>
      <c r="R9">
        <f t="shared" si="22"/>
        <v>62.41</v>
      </c>
      <c r="S9">
        <f t="shared" si="22"/>
        <v>63.400940546724861</v>
      </c>
      <c r="T9">
        <f t="shared" si="22"/>
        <v>64.350940546724857</v>
      </c>
      <c r="U9">
        <f t="shared" si="22"/>
        <v>67.570940546724856</v>
      </c>
      <c r="V9">
        <f t="shared" si="22"/>
        <v>69.950940546724865</v>
      </c>
      <c r="W9">
        <f t="shared" si="22"/>
        <v>72.330940546724861</v>
      </c>
      <c r="X9">
        <f t="shared" si="22"/>
        <v>74.710940546724856</v>
      </c>
      <c r="Y9">
        <f t="shared" si="22"/>
        <v>77.080940546724861</v>
      </c>
      <c r="Z9" s="25">
        <f t="shared" si="21"/>
        <v>2.2855837424986367</v>
      </c>
      <c r="AA9" s="3">
        <f t="shared" si="2"/>
        <v>0</v>
      </c>
      <c r="AB9" s="3">
        <f t="shared" si="3"/>
        <v>0.22933333333333319</v>
      </c>
      <c r="AC9" s="3">
        <f t="shared" si="4"/>
        <v>0.13212540622998195</v>
      </c>
      <c r="AD9" s="3">
        <f t="shared" si="5"/>
        <v>0.11176470588235243</v>
      </c>
      <c r="AE9" s="3">
        <f t="shared" si="6"/>
        <v>0.22836879432624102</v>
      </c>
      <c r="AF9" s="3">
        <f t="shared" si="7"/>
        <v>0.22884615384615481</v>
      </c>
      <c r="AG9" s="3">
        <f t="shared" si="8"/>
        <v>0.22884615384615328</v>
      </c>
      <c r="AH9" s="3">
        <f t="shared" si="9"/>
        <v>0.22884615384615359</v>
      </c>
      <c r="AI9" s="3">
        <f t="shared" si="10"/>
        <v>0.22788461538461569</v>
      </c>
      <c r="AJ9">
        <f t="shared" si="11"/>
        <v>0</v>
      </c>
      <c r="AK9">
        <f t="shared" si="12"/>
        <v>0.11862068965517233</v>
      </c>
      <c r="AL9">
        <f t="shared" si="13"/>
        <v>0.12322457030567562</v>
      </c>
      <c r="AM9">
        <f t="shared" si="14"/>
        <v>0.12003083759753637</v>
      </c>
      <c r="AN9">
        <f t="shared" si="15"/>
        <v>0.15428117817768738</v>
      </c>
      <c r="AO9">
        <f t="shared" si="16"/>
        <v>0.16838073721317942</v>
      </c>
      <c r="AP9">
        <f t="shared" si="17"/>
        <v>0.17799603282453919</v>
      </c>
      <c r="AQ9">
        <f t="shared" si="18"/>
        <v>0.18497283043172638</v>
      </c>
      <c r="AR9">
        <f t="shared" si="19"/>
        <v>0.19015012235179654</v>
      </c>
    </row>
    <row r="10" spans="1:44" ht="14">
      <c r="A10" s="20" t="s">
        <v>60</v>
      </c>
      <c r="B10" s="3" t="s">
        <v>55</v>
      </c>
      <c r="C10" s="3">
        <v>3.16</v>
      </c>
      <c r="D10" s="3">
        <v>1.393</v>
      </c>
      <c r="E10" s="21">
        <f t="shared" si="0"/>
        <v>0.158</v>
      </c>
      <c r="F10" s="18">
        <f t="shared" si="1"/>
        <v>0.11342426417803302</v>
      </c>
      <c r="G10">
        <f>41173766*1000</f>
        <v>41173766000</v>
      </c>
      <c r="H10" s="3">
        <v>34.700000000000003</v>
      </c>
      <c r="I10" s="3">
        <v>17846</v>
      </c>
      <c r="J10" s="3">
        <v>19619</v>
      </c>
      <c r="K10" s="3">
        <v>20861</v>
      </c>
      <c r="L10">
        <f>100000000*K10/G10</f>
        <v>50.665756443071054</v>
      </c>
      <c r="M10" s="23">
        <f>G10*Z11*$B$17/10^12</f>
        <v>5.4560013231655748</v>
      </c>
      <c r="N10" s="3">
        <v>0.45</v>
      </c>
      <c r="O10" s="24">
        <f>M10*(1-N10*F10)</f>
        <v>5.1775220022200816</v>
      </c>
      <c r="P10" s="3">
        <v>42.84</v>
      </c>
      <c r="Q10" s="3">
        <v>42.84</v>
      </c>
      <c r="R10" s="3">
        <v>46.82</v>
      </c>
      <c r="S10" s="3">
        <v>49.81</v>
      </c>
      <c r="T10" s="3">
        <v>53.07</v>
      </c>
      <c r="U10" s="3">
        <v>59.4</v>
      </c>
      <c r="V10" s="3">
        <v>64.760000000000005</v>
      </c>
      <c r="W10" s="3">
        <v>70.12</v>
      </c>
      <c r="X10" s="3">
        <v>75.47</v>
      </c>
      <c r="Y10" s="3">
        <v>78.23</v>
      </c>
      <c r="Z10" s="26">
        <f t="shared" si="21"/>
        <v>4.5190261865793788</v>
      </c>
      <c r="AA10" s="3">
        <f t="shared" si="2"/>
        <v>0</v>
      </c>
      <c r="AB10" s="3">
        <f t="shared" si="3"/>
        <v>0.53066666666666629</v>
      </c>
      <c r="AC10" s="3">
        <f t="shared" si="4"/>
        <v>0.39866666666666695</v>
      </c>
      <c r="AD10" s="3">
        <f t="shared" si="5"/>
        <v>0.38352941176470567</v>
      </c>
      <c r="AE10" s="3">
        <f t="shared" si="6"/>
        <v>0.44893617021276577</v>
      </c>
      <c r="AF10" s="3">
        <f t="shared" si="7"/>
        <v>0.51538461538461611</v>
      </c>
      <c r="AG10" s="3">
        <f t="shared" si="8"/>
        <v>0.515384615384615</v>
      </c>
      <c r="AH10" s="3">
        <f t="shared" si="9"/>
        <v>0.51442307692307676</v>
      </c>
      <c r="AI10" s="3">
        <f t="shared" si="10"/>
        <v>0.26538461538461572</v>
      </c>
      <c r="AJ10">
        <f t="shared" si="11"/>
        <v>0</v>
      </c>
      <c r="AK10">
        <f t="shared" si="12"/>
        <v>0.27448275862068944</v>
      </c>
      <c r="AL10">
        <f t="shared" si="13"/>
        <v>0.31681818181818178</v>
      </c>
      <c r="AM10">
        <f t="shared" si="14"/>
        <v>0.33540983606557367</v>
      </c>
      <c r="AN10">
        <f t="shared" si="15"/>
        <v>0.37130044843049315</v>
      </c>
      <c r="AO10">
        <f t="shared" si="16"/>
        <v>0.39854545454545459</v>
      </c>
      <c r="AP10">
        <f t="shared" si="17"/>
        <v>0.41712538226299695</v>
      </c>
      <c r="AQ10">
        <f t="shared" si="18"/>
        <v>0.43047493403693926</v>
      </c>
      <c r="AR10">
        <f t="shared" si="19"/>
        <v>0.4105568445475638</v>
      </c>
    </row>
    <row r="11" spans="1:44" ht="14">
      <c r="A11" s="20" t="s">
        <v>61</v>
      </c>
      <c r="B11" s="3"/>
      <c r="C11" s="3"/>
      <c r="D11" s="3"/>
      <c r="F11" s="18"/>
      <c r="H11" s="3"/>
      <c r="P11" s="3">
        <v>42.84</v>
      </c>
      <c r="Q11" s="3">
        <v>42.84</v>
      </c>
      <c r="R11" s="3">
        <v>46.82</v>
      </c>
      <c r="S11" s="3">
        <v>49.81</v>
      </c>
      <c r="T11" s="3">
        <f>53.07-2.6*0</f>
        <v>53.07</v>
      </c>
      <c r="U11" s="3">
        <f>59.4-2.6*1</f>
        <v>56.8</v>
      </c>
      <c r="V11" s="3">
        <f>64.76-2.6*2</f>
        <v>59.56</v>
      </c>
      <c r="W11" s="3">
        <f>70.12-2.6*3</f>
        <v>62.320000000000007</v>
      </c>
      <c r="X11" s="3">
        <f>75.47-2.6*4</f>
        <v>65.069999999999993</v>
      </c>
      <c r="Y11" s="3">
        <f>78.23-2.6*4</f>
        <v>67.83</v>
      </c>
      <c r="Z11" s="25">
        <f t="shared" si="21"/>
        <v>2.6502318603382431</v>
      </c>
      <c r="AA11" s="3">
        <f t="shared" si="2"/>
        <v>0</v>
      </c>
      <c r="AB11" s="3">
        <f t="shared" si="3"/>
        <v>0.53066666666666629</v>
      </c>
      <c r="AC11" s="3">
        <f t="shared" si="4"/>
        <v>0.39866666666666695</v>
      </c>
      <c r="AD11" s="3">
        <f t="shared" si="5"/>
        <v>0.38352941176470567</v>
      </c>
      <c r="AE11" s="3">
        <f t="shared" si="6"/>
        <v>0.26453900709219835</v>
      </c>
      <c r="AF11" s="3">
        <f t="shared" si="7"/>
        <v>0.26538461538461589</v>
      </c>
      <c r="AG11" s="3">
        <f t="shared" si="8"/>
        <v>0.26538461538461572</v>
      </c>
      <c r="AH11" s="3">
        <f t="shared" si="9"/>
        <v>0.26442307692307576</v>
      </c>
      <c r="AI11" s="3">
        <f t="shared" si="10"/>
        <v>0.26538461538461572</v>
      </c>
      <c r="AJ11">
        <f t="shared" si="11"/>
        <v>0</v>
      </c>
      <c r="AK11">
        <f t="shared" si="12"/>
        <v>0.27448275862068944</v>
      </c>
      <c r="AL11">
        <f t="shared" si="13"/>
        <v>0.31681818181818178</v>
      </c>
      <c r="AM11">
        <f t="shared" si="14"/>
        <v>0.33540983606557367</v>
      </c>
      <c r="AN11">
        <f t="shared" si="15"/>
        <v>0.31300448430493261</v>
      </c>
      <c r="AO11">
        <f t="shared" si="16"/>
        <v>0.30399999999999999</v>
      </c>
      <c r="AP11">
        <f t="shared" si="17"/>
        <v>0.29785932721712544</v>
      </c>
      <c r="AQ11">
        <f t="shared" si="18"/>
        <v>0.29327176781002628</v>
      </c>
      <c r="AR11">
        <f t="shared" si="19"/>
        <v>0.28990719257540598</v>
      </c>
    </row>
    <row r="12" spans="1:44" ht="14">
      <c r="A12" s="20" t="s">
        <v>62</v>
      </c>
      <c r="B12" s="3" t="s">
        <v>55</v>
      </c>
      <c r="C12" s="3">
        <v>1.86</v>
      </c>
      <c r="D12" s="3">
        <v>0.86</v>
      </c>
      <c r="E12">
        <f>C12*$B$17/1000</f>
        <v>9.2999999999999999E-2</v>
      </c>
      <c r="F12" s="18">
        <f>E12/D12</f>
        <v>0.10813953488372093</v>
      </c>
      <c r="H12" s="3">
        <v>1.8</v>
      </c>
      <c r="AB12" s="3" t="s">
        <v>63</v>
      </c>
      <c r="AK12" s="3" t="s">
        <v>64</v>
      </c>
    </row>
    <row r="13" spans="1:44" ht="14">
      <c r="A13" s="3" t="s">
        <v>65</v>
      </c>
      <c r="J13" s="3"/>
      <c r="K13" s="3"/>
      <c r="L13" s="3"/>
      <c r="M13" s="23">
        <f>M10+M9+M5+M4</f>
        <v>11.786347043382433</v>
      </c>
      <c r="N13" s="3"/>
      <c r="O13" s="23">
        <f>O10+O9+O5+O4</f>
        <v>11.332671751504872</v>
      </c>
    </row>
    <row r="14" spans="1:44" ht="14">
      <c r="A14" s="3" t="s">
        <v>66</v>
      </c>
      <c r="I14" s="2"/>
      <c r="J14" s="2"/>
      <c r="K14" s="3"/>
      <c r="L14" s="3"/>
      <c r="M14" s="24">
        <f>M9+M10</f>
        <v>6.5784965251063827</v>
      </c>
      <c r="O14" s="24">
        <f>O9+O10</f>
        <v>6.2499679291598511</v>
      </c>
    </row>
    <row r="15" spans="1:44" ht="14">
      <c r="A15" s="3" t="s">
        <v>67</v>
      </c>
      <c r="I15" s="2"/>
      <c r="J15" s="2"/>
      <c r="K15" s="3"/>
      <c r="L15" s="3"/>
      <c r="M15" s="24">
        <f>M4+M5</f>
        <v>5.2078505182760502</v>
      </c>
      <c r="O15" s="24">
        <f>O4+O5</f>
        <v>5.0827038223450209</v>
      </c>
    </row>
    <row r="16" spans="1:44" ht="14">
      <c r="I16" s="2" t="s">
        <v>68</v>
      </c>
      <c r="J16" s="2" t="s">
        <v>69</v>
      </c>
      <c r="K16" s="3" t="s">
        <v>70</v>
      </c>
      <c r="L16" s="3" t="s">
        <v>71</v>
      </c>
      <c r="M16" s="3" t="s">
        <v>72</v>
      </c>
      <c r="N16" s="3" t="s">
        <v>73</v>
      </c>
      <c r="O16" s="3" t="s">
        <v>74</v>
      </c>
    </row>
    <row r="17" spans="1:25" ht="15.75" customHeight="1">
      <c r="A17" s="2" t="s">
        <v>75</v>
      </c>
      <c r="B17" s="2">
        <v>50</v>
      </c>
      <c r="I17" s="1" t="s">
        <v>76</v>
      </c>
      <c r="J17" s="3" t="s">
        <v>77</v>
      </c>
      <c r="K17" s="8">
        <f>K18+K19</f>
        <v>1157.996747347408</v>
      </c>
      <c r="L17" s="8">
        <f>L18+L19</f>
        <v>1024.3689613584881</v>
      </c>
      <c r="M17" s="8">
        <f>M18+M19</f>
        <v>818.09259228046483</v>
      </c>
      <c r="N17" s="8">
        <f>N18+N19</f>
        <v>654.474073824372</v>
      </c>
      <c r="O17" s="8">
        <f>O18+O19</f>
        <v>327.237036912186</v>
      </c>
      <c r="Q17" s="3">
        <v>7</v>
      </c>
      <c r="R17" s="3">
        <v>14.5</v>
      </c>
      <c r="S17" s="3">
        <v>22</v>
      </c>
      <c r="T17" s="3">
        <v>30.5</v>
      </c>
      <c r="U17" s="3">
        <v>44.6</v>
      </c>
      <c r="V17" s="3">
        <v>55</v>
      </c>
      <c r="W17" s="3">
        <v>65.400000000000006</v>
      </c>
      <c r="X17" s="3">
        <v>75.8</v>
      </c>
      <c r="Y17" s="3">
        <v>86.2</v>
      </c>
    </row>
    <row r="18" spans="1:25" ht="14">
      <c r="A18" s="3" t="s">
        <v>78</v>
      </c>
      <c r="B18" s="3">
        <v>11.2</v>
      </c>
      <c r="C18" s="16" t="s">
        <v>79</v>
      </c>
      <c r="I18" s="1"/>
      <c r="J18" s="3" t="s">
        <v>80</v>
      </c>
      <c r="K18" s="8">
        <f>10^9*($M$14)/(1*0.2*$G$20)</f>
        <v>646.33066975459144</v>
      </c>
      <c r="L18" s="8">
        <f>10^9*($M$14)/(1*0.3*$G$20)</f>
        <v>430.88711316972774</v>
      </c>
      <c r="M18" s="8">
        <f>10^9*($M$14)/(1*0.4*$B$21)</f>
        <v>562.2595534840566</v>
      </c>
      <c r="N18" s="8">
        <f>10^9*($M$14)/(1*0.5*$B$21)</f>
        <v>449.80764278724536</v>
      </c>
      <c r="O18" s="8">
        <f>10^9*($M$14)/(1*$B$21)</f>
        <v>224.90382139362268</v>
      </c>
    </row>
    <row r="19" spans="1:25" ht="14">
      <c r="A19" s="3" t="s">
        <v>81</v>
      </c>
      <c r="B19" s="3" t="s">
        <v>82</v>
      </c>
      <c r="I19" s="1"/>
      <c r="J19" s="3" t="s">
        <v>83</v>
      </c>
      <c r="K19" s="8">
        <f>10^9*($M$15)/(1*0.2*$G$20)</f>
        <v>511.66607759281652</v>
      </c>
      <c r="L19" s="8">
        <f>10^9*($M$15)/(1*0.3*$B$21)</f>
        <v>593.48184818876041</v>
      </c>
      <c r="M19" s="8">
        <f>10^9*($M$15)/(1*0.4*$G$20)</f>
        <v>255.83303879640826</v>
      </c>
      <c r="N19" s="8">
        <f>10^9*($M$15)/(1*0.5*$G$20)</f>
        <v>204.66643103712661</v>
      </c>
      <c r="O19" s="8">
        <f>10^9*($M$15)/(1*$G$20)</f>
        <v>102.33321551856331</v>
      </c>
    </row>
    <row r="20" spans="1:25" ht="15.75" customHeight="1">
      <c r="A20" s="3" t="s">
        <v>84</v>
      </c>
      <c r="B20" s="3">
        <v>67186638</v>
      </c>
      <c r="C20" s="3" t="s">
        <v>85</v>
      </c>
      <c r="D20" s="3">
        <v>66074300</v>
      </c>
      <c r="E20" s="3" t="s">
        <v>86</v>
      </c>
      <c r="G20" s="3">
        <v>50891106</v>
      </c>
      <c r="I20" s="1" t="s">
        <v>87</v>
      </c>
      <c r="J20" s="3" t="s">
        <v>77</v>
      </c>
      <c r="K20" s="12">
        <f>K21+K22</f>
        <v>1113.4236060329354</v>
      </c>
      <c r="L20" s="12">
        <f>L21+L22</f>
        <v>742.28240402195706</v>
      </c>
      <c r="M20" s="12">
        <f>M21+M22</f>
        <v>556.71180301646768</v>
      </c>
      <c r="N20" s="12">
        <f>N21+N22</f>
        <v>445.36944241317423</v>
      </c>
      <c r="O20" s="12">
        <f>O21+O22</f>
        <v>222.68472120658711</v>
      </c>
      <c r="Q20" s="2" t="s">
        <v>88</v>
      </c>
      <c r="R20" s="2" t="s">
        <v>89</v>
      </c>
      <c r="S20" s="3" t="s">
        <v>70</v>
      </c>
      <c r="T20" s="3" t="s">
        <v>71</v>
      </c>
      <c r="U20" s="3" t="s">
        <v>72</v>
      </c>
      <c r="V20" s="3" t="s">
        <v>73</v>
      </c>
      <c r="W20" s="3" t="s">
        <v>74</v>
      </c>
    </row>
    <row r="21" spans="1:25" ht="15.75" customHeight="1">
      <c r="A21" s="3" t="s">
        <v>90</v>
      </c>
      <c r="B21">
        <f>D21*B20/D20</f>
        <v>29250265.666196994</v>
      </c>
      <c r="C21" s="3" t="s">
        <v>85</v>
      </c>
      <c r="D21" s="3">
        <v>28766000</v>
      </c>
      <c r="I21" s="1"/>
      <c r="J21" s="3" t="s">
        <v>80</v>
      </c>
      <c r="K21" s="12">
        <f>10^9*($O$14)/(1*0.2*$G$20)</f>
        <v>614.05306549634133</v>
      </c>
      <c r="L21" s="12">
        <f>10^9*($O$14)/(1*0.3*$G$20)</f>
        <v>409.36871033089432</v>
      </c>
      <c r="M21" s="12">
        <f>10^9*($O$14)/(1*0.4*$G$20)</f>
        <v>307.02653274817067</v>
      </c>
      <c r="N21" s="12">
        <f>10^9*($O$14)/(1*0.5*$G$20)</f>
        <v>245.62122619853659</v>
      </c>
      <c r="O21" s="12">
        <f>10^9*($O$14)/(1*$G$20)</f>
        <v>122.81061309926829</v>
      </c>
      <c r="Q21" s="1" t="s">
        <v>76</v>
      </c>
      <c r="R21" s="3" t="s">
        <v>77</v>
      </c>
      <c r="S21" s="8">
        <f>S22+S23</f>
        <v>167.89515660427114</v>
      </c>
      <c r="T21" s="8">
        <f>T22+T23</f>
        <v>111.93010440284745</v>
      </c>
      <c r="U21" s="8">
        <f>U22+U23</f>
        <v>83.947578302135568</v>
      </c>
      <c r="V21" s="8">
        <f>V22+V23</f>
        <v>67.158062641708469</v>
      </c>
      <c r="W21" s="8">
        <f>W22+W23</f>
        <v>33.579031320854234</v>
      </c>
    </row>
    <row r="22" spans="1:25" ht="14">
      <c r="A22" s="3" t="s">
        <v>91</v>
      </c>
      <c r="B22" s="8">
        <f>11040/12</f>
        <v>920</v>
      </c>
      <c r="C22" s="8">
        <f>13900/12</f>
        <v>1158.3333333333333</v>
      </c>
      <c r="D22" s="8">
        <f>16220/12</f>
        <v>1351.6666666666667</v>
      </c>
      <c r="E22" s="8">
        <f>18360/12</f>
        <v>1530</v>
      </c>
      <c r="F22" s="8">
        <f>20520/12</f>
        <v>1710</v>
      </c>
      <c r="I22" s="1"/>
      <c r="J22" s="3" t="s">
        <v>83</v>
      </c>
      <c r="K22" s="12">
        <f>10^9*($O$15)/(1*0.2*$G$20)</f>
        <v>499.37054053659404</v>
      </c>
      <c r="L22" s="12">
        <f>10^9*($O$15)/(1*0.3*$G$20)</f>
        <v>332.91369369106275</v>
      </c>
      <c r="M22" s="12">
        <f>10^9*($O$15)/(1*0.4*$G$20)</f>
        <v>249.68527026829702</v>
      </c>
      <c r="N22" s="12">
        <f>10^9*($O$15)/(1*0.5*$G$20)</f>
        <v>199.74821621463764</v>
      </c>
      <c r="O22" s="12">
        <f>10^9*($O$15)/(1*$G$20)</f>
        <v>99.874108107318818</v>
      </c>
      <c r="Q22" s="1"/>
      <c r="R22" s="3" t="s">
        <v>80</v>
      </c>
      <c r="S22" s="8">
        <f>10^9*($M$14)/(12*0.2*$B$21)</f>
        <v>93.709925580676099</v>
      </c>
      <c r="T22" s="8">
        <f>10^9*($M$14)/(12*0.3*$B$21)</f>
        <v>62.473283720450745</v>
      </c>
      <c r="U22" s="8">
        <f>10^9*($M$14)/(12*0.4*$B$21)</f>
        <v>46.85496279033805</v>
      </c>
      <c r="V22" s="8">
        <f>10^9*($M$14)/(12*0.5*$B$21)</f>
        <v>37.483970232270451</v>
      </c>
      <c r="W22" s="8">
        <f>10^9*($M$14)/(12*$B$21)</f>
        <v>18.741985116135226</v>
      </c>
    </row>
    <row r="23" spans="1:25" ht="14">
      <c r="A23" s="3"/>
      <c r="B23" s="8">
        <f>22880/12</f>
        <v>1906.6666666666667</v>
      </c>
      <c r="C23" s="8">
        <f>25780/12</f>
        <v>2148.3333333333335</v>
      </c>
      <c r="D23" s="8">
        <f>29850/12</f>
        <v>2487.5</v>
      </c>
      <c r="E23" s="8">
        <f>37570/12</f>
        <v>3130.8333333333335</v>
      </c>
      <c r="F23" s="8">
        <f>47010/12</f>
        <v>3917.5</v>
      </c>
      <c r="J23" s="3" t="s">
        <v>92</v>
      </c>
      <c r="K23" s="3">
        <v>1158</v>
      </c>
      <c r="L23" s="8">
        <f>16220/12</f>
        <v>1351.6666666666667</v>
      </c>
      <c r="M23" s="8">
        <f>18360/12</f>
        <v>1530</v>
      </c>
      <c r="N23" s="8">
        <f>20520/12</f>
        <v>1710</v>
      </c>
      <c r="Q23" s="1"/>
      <c r="R23" s="3" t="s">
        <v>83</v>
      </c>
      <c r="S23" s="8">
        <f>10^9*($M$15)/(12*0.2*$B$21)</f>
        <v>74.185231023595037</v>
      </c>
      <c r="T23" s="8">
        <f>10^9*($M$15)/(12*0.3*$B$21)</f>
        <v>49.456820682396703</v>
      </c>
      <c r="U23" s="8">
        <f>10^9*($M$15)/(12*0.4*$B$21)</f>
        <v>37.092615511797518</v>
      </c>
      <c r="V23" s="8">
        <f>10^9*($M$15)/(12*0.5*$B$21)</f>
        <v>29.674092409438021</v>
      </c>
      <c r="W23" s="8">
        <f>10^9*($M$15)/(12*$B$21)</f>
        <v>14.837046204719011</v>
      </c>
    </row>
    <row r="24" spans="1:25" ht="15.75" customHeight="1">
      <c r="A24" s="27" t="s">
        <v>93</v>
      </c>
      <c r="C24" s="3" t="s">
        <v>94</v>
      </c>
      <c r="D24" s="3">
        <v>21</v>
      </c>
      <c r="E24" s="3" t="s">
        <v>95</v>
      </c>
      <c r="F24" s="3">
        <f>154.6*0.84</f>
        <v>129.864</v>
      </c>
      <c r="G24" s="3" t="s">
        <v>96</v>
      </c>
      <c r="H24">
        <f>D24*12*G20/10^9</f>
        <v>12.824558712</v>
      </c>
      <c r="I24" s="3" t="s">
        <v>97</v>
      </c>
      <c r="J24">
        <f>H24/F24</f>
        <v>9.875376326002587E-2</v>
      </c>
      <c r="K24" s="3" t="s">
        <v>98</v>
      </c>
      <c r="L24">
        <f>20*J24</f>
        <v>1.9750752652005175</v>
      </c>
      <c r="Q24" s="1" t="s">
        <v>87</v>
      </c>
      <c r="R24" s="3" t="s">
        <v>77</v>
      </c>
      <c r="S24" s="12">
        <f>S25+S26</f>
        <v>161.43260430567426</v>
      </c>
      <c r="T24" s="12">
        <f>T25+T26</f>
        <v>107.62173620378287</v>
      </c>
      <c r="U24" s="12">
        <f>U25+U26</f>
        <v>80.71630215283713</v>
      </c>
      <c r="V24" s="12">
        <f>V25+V26</f>
        <v>64.573041722269721</v>
      </c>
      <c r="W24" s="12">
        <f>W25+W26</f>
        <v>32.286520861134861</v>
      </c>
    </row>
    <row r="25" spans="1:25" ht="14">
      <c r="A25" s="3" t="s">
        <v>99</v>
      </c>
      <c r="B25" s="16" t="s">
        <v>100</v>
      </c>
      <c r="J25" s="3" t="s">
        <v>101</v>
      </c>
      <c r="K25" s="3">
        <v>778</v>
      </c>
      <c r="L25" s="3">
        <v>1085</v>
      </c>
      <c r="M25" s="3">
        <v>1342</v>
      </c>
      <c r="N25" s="3">
        <v>1560</v>
      </c>
      <c r="O25" s="3">
        <v>2067</v>
      </c>
      <c r="Q25" s="1"/>
      <c r="R25" s="3" t="s">
        <v>80</v>
      </c>
      <c r="S25" s="12">
        <f>10^9*($O$14)/(12*0.2*$B$21)</f>
        <v>89.030073556770745</v>
      </c>
      <c r="T25" s="12">
        <f>10^9*($O$14)/(12*0.3*$B$21)</f>
        <v>59.353382371180508</v>
      </c>
      <c r="U25" s="12">
        <f>10^9*($O$14)/(12*0.4*$B$21)</f>
        <v>44.515036778385372</v>
      </c>
      <c r="V25" s="12">
        <f>10^9*($O$14)/(12*0.5*$B$21)</f>
        <v>35.612029422708304</v>
      </c>
      <c r="W25" s="12">
        <f>10^9*($O$14)/(12*$B$21)</f>
        <v>17.806014711354152</v>
      </c>
    </row>
    <row r="26" spans="1:25" ht="14">
      <c r="A26" s="3" t="s">
        <v>102</v>
      </c>
      <c r="B26" s="16" t="s">
        <v>103</v>
      </c>
      <c r="D26" s="16" t="s">
        <v>104</v>
      </c>
      <c r="F26" s="16" t="s">
        <v>105</v>
      </c>
      <c r="J26" s="3" t="s">
        <v>106</v>
      </c>
      <c r="K26" s="3">
        <v>729</v>
      </c>
      <c r="L26" s="3">
        <v>1073</v>
      </c>
      <c r="M26" s="3">
        <v>1343</v>
      </c>
      <c r="N26" s="3">
        <v>1572</v>
      </c>
      <c r="O26" s="3">
        <v>2090</v>
      </c>
      <c r="Q26" s="1"/>
      <c r="R26" s="3" t="s">
        <v>83</v>
      </c>
      <c r="S26" s="12">
        <f>10^9*($O$15)/(12*0.2*$B$21)</f>
        <v>72.40253074890353</v>
      </c>
      <c r="T26" s="12">
        <f>10^9*($O$15)/(12*0.3*$B$21)</f>
        <v>48.268353832602365</v>
      </c>
      <c r="U26" s="12">
        <f>10^9*($O$15)/(12*0.4*$B$21)</f>
        <v>36.201265374451765</v>
      </c>
      <c r="V26" s="12">
        <f>10^9*($O$15)/(12*0.5*$B$21)</f>
        <v>28.961012299561421</v>
      </c>
      <c r="W26" s="12">
        <f>10^9*($O$15)/(12*$B$21)</f>
        <v>14.480506149780711</v>
      </c>
    </row>
    <row r="27" spans="1:25" ht="14">
      <c r="A27" s="3" t="s">
        <v>107</v>
      </c>
      <c r="B27" s="16" t="s">
        <v>108</v>
      </c>
      <c r="I27" s="16" t="s">
        <v>109</v>
      </c>
      <c r="J27" s="3" t="s">
        <v>110</v>
      </c>
      <c r="K27" s="3">
        <v>734</v>
      </c>
      <c r="L27" s="3">
        <v>1077</v>
      </c>
      <c r="M27" s="3">
        <v>1347</v>
      </c>
      <c r="N27" s="3">
        <v>1575</v>
      </c>
      <c r="O27" s="3">
        <v>2095</v>
      </c>
      <c r="R27" s="3" t="s">
        <v>92</v>
      </c>
      <c r="S27" s="3">
        <v>1158</v>
      </c>
      <c r="T27" s="8">
        <f>16220/12</f>
        <v>1351.6666666666667</v>
      </c>
      <c r="U27" s="8">
        <f>18360/12</f>
        <v>1530</v>
      </c>
      <c r="V27" s="8">
        <f>20520/12</f>
        <v>1710</v>
      </c>
    </row>
    <row r="28" spans="1:25" ht="14">
      <c r="A28" s="3" t="s">
        <v>111</v>
      </c>
      <c r="B28" s="16" t="s">
        <v>112</v>
      </c>
      <c r="J28" s="2" t="s">
        <v>113</v>
      </c>
      <c r="K28" s="12">
        <f>K27*$B$38</f>
        <v>778.59055121406629</v>
      </c>
      <c r="L28" s="12">
        <f>L27*$B$38</f>
        <v>1142.427825146525</v>
      </c>
      <c r="M28" s="12">
        <f>M27*$B$38</f>
        <v>1428.8303439854867</v>
      </c>
      <c r="N28" s="12">
        <f>N27*$B$38</f>
        <v>1670.6813598939434</v>
      </c>
      <c r="O28" s="12">
        <f>O27*$B$38</f>
        <v>2222.271396176388</v>
      </c>
    </row>
    <row r="29" spans="1:25" ht="14">
      <c r="A29" s="3" t="s">
        <v>114</v>
      </c>
      <c r="B29" s="16" t="s">
        <v>21</v>
      </c>
      <c r="F29" s="16" t="s">
        <v>115</v>
      </c>
      <c r="H29" s="16" t="s">
        <v>116</v>
      </c>
    </row>
    <row r="30" spans="1:25" ht="14">
      <c r="A30" s="3" t="s">
        <v>117</v>
      </c>
      <c r="H30" s="16" t="s">
        <v>118</v>
      </c>
    </row>
    <row r="31" spans="1:25" ht="14">
      <c r="A31" s="3" t="s">
        <v>119</v>
      </c>
      <c r="B31" s="16" t="s">
        <v>120</v>
      </c>
      <c r="F31" s="16" t="s">
        <v>121</v>
      </c>
      <c r="J31" s="16" t="s">
        <v>122</v>
      </c>
    </row>
    <row r="32" spans="1:25" ht="14">
      <c r="A32" s="3" t="s">
        <v>123</v>
      </c>
      <c r="B32" s="16" t="s">
        <v>124</v>
      </c>
    </row>
    <row r="33" spans="1:8" ht="14">
      <c r="A33" s="3" t="s">
        <v>125</v>
      </c>
      <c r="B33" s="16" t="s">
        <v>126</v>
      </c>
      <c r="H33" s="28" t="s">
        <v>127</v>
      </c>
    </row>
    <row r="34" spans="1:8" ht="14">
      <c r="A34" s="3" t="s">
        <v>128</v>
      </c>
      <c r="B34" s="16" t="s">
        <v>129</v>
      </c>
    </row>
    <row r="35" spans="1:8" ht="14">
      <c r="A35" s="3" t="s">
        <v>130</v>
      </c>
      <c r="B35" s="16" t="s">
        <v>131</v>
      </c>
    </row>
    <row r="36" spans="1:8" ht="14">
      <c r="A36" s="3" t="s">
        <v>132</v>
      </c>
      <c r="B36" s="16" t="s">
        <v>133</v>
      </c>
    </row>
    <row r="37" spans="1:8" ht="14">
      <c r="A37" s="3" t="s">
        <v>134</v>
      </c>
      <c r="B37" s="3" t="s">
        <v>135</v>
      </c>
    </row>
    <row r="38" spans="1:8" ht="14">
      <c r="A38" s="3" t="s">
        <v>136</v>
      </c>
      <c r="B38">
        <f>1.015*2246.7/2149.8</f>
        <v>1.0607500697739323</v>
      </c>
      <c r="C38" s="16" t="s">
        <v>137</v>
      </c>
      <c r="E38" s="16" t="s">
        <v>138</v>
      </c>
    </row>
    <row r="39" spans="1:8" ht="14">
      <c r="A39" s="3" t="s">
        <v>139</v>
      </c>
      <c r="B39" s="16" t="s">
        <v>140</v>
      </c>
    </row>
    <row r="41" spans="1:8" ht="14">
      <c r="A41" s="3" t="s">
        <v>141</v>
      </c>
      <c r="B41" s="3" t="s">
        <v>142</v>
      </c>
      <c r="C41" s="3">
        <v>0.125</v>
      </c>
      <c r="D41" s="3" t="s">
        <v>143</v>
      </c>
      <c r="E41" s="3" t="s">
        <v>144</v>
      </c>
    </row>
    <row r="42" spans="1:8" ht="14">
      <c r="A42" s="3" t="s">
        <v>145</v>
      </c>
      <c r="B42" s="3" t="s">
        <v>146</v>
      </c>
      <c r="C42" s="3">
        <v>0.11</v>
      </c>
      <c r="D42" s="3" t="s">
        <v>147</v>
      </c>
      <c r="E42" s="3" t="s">
        <v>148</v>
      </c>
    </row>
  </sheetData>
  <mergeCells count="4">
    <mergeCell ref="I17:I19"/>
    <mergeCell ref="I20:I22"/>
    <mergeCell ref="Q21:Q23"/>
    <mergeCell ref="Q24:Q26"/>
  </mergeCells>
  <hyperlinks>
    <hyperlink ref="C18" r:id="rId1"/>
    <hyperlink ref="B25" r:id="rId2"/>
    <hyperlink ref="B26" r:id="rId3"/>
    <hyperlink ref="D26" r:id="rId4"/>
    <hyperlink ref="F26" r:id="rId5"/>
    <hyperlink ref="B27" r:id="rId6"/>
    <hyperlink ref="I27" r:id="rId7"/>
    <hyperlink ref="B28" r:id="rId8"/>
    <hyperlink ref="B29" r:id="rId9"/>
    <hyperlink ref="F29" r:id="rId10"/>
    <hyperlink ref="H29" r:id="rId11"/>
    <hyperlink ref="H30" r:id="rId12" location="tableau-Donnes"/>
    <hyperlink ref="B31" r:id="rId13" location=".XCfNAcZ7mis"/>
    <hyperlink ref="F31" r:id="rId14"/>
    <hyperlink ref="J31" r:id="rId15"/>
    <hyperlink ref="B32" r:id="rId16"/>
    <hyperlink ref="B33" r:id="rId17"/>
    <hyperlink ref="B34" r:id="rId18"/>
    <hyperlink ref="B35" r:id="rId19"/>
    <hyperlink ref="B36" r:id="rId20"/>
    <hyperlink ref="C38" r:id="rId21" location="tableau-Tableau1"/>
    <hyperlink ref="E38" r:id="rId22" location="titre-croissance"/>
    <hyperlink ref="B39" r:id="rId23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zoomScaleNormal="100" workbookViewId="0"/>
  </sheetViews>
  <sheetFormatPr defaultRowHeight="12.5"/>
  <cols>
    <col min="1" max="1025" width="14.453125" customWidth="1"/>
  </cols>
  <sheetData>
    <row r="1" spans="1:38" ht="14">
      <c r="A1" s="29"/>
      <c r="B1" s="29" t="s">
        <v>149</v>
      </c>
      <c r="C1" s="29" t="s">
        <v>150</v>
      </c>
      <c r="D1" s="29" t="s">
        <v>151</v>
      </c>
      <c r="E1" s="29" t="s">
        <v>152</v>
      </c>
      <c r="F1" s="29" t="s">
        <v>153</v>
      </c>
      <c r="G1" s="29" t="s">
        <v>154</v>
      </c>
      <c r="H1" s="29" t="s">
        <v>155</v>
      </c>
      <c r="I1" s="29" t="s">
        <v>156</v>
      </c>
      <c r="J1" s="30" t="s">
        <v>157</v>
      </c>
      <c r="K1" s="30" t="s">
        <v>158</v>
      </c>
      <c r="L1" s="30" t="s">
        <v>159</v>
      </c>
      <c r="M1" s="30" t="s">
        <v>160</v>
      </c>
      <c r="N1" s="30" t="s">
        <v>161</v>
      </c>
      <c r="O1" s="30" t="s">
        <v>162</v>
      </c>
      <c r="P1" s="30" t="s">
        <v>163</v>
      </c>
      <c r="Q1" s="30" t="s">
        <v>164</v>
      </c>
      <c r="R1" s="30" t="s">
        <v>165</v>
      </c>
      <c r="S1" s="29" t="s">
        <v>166</v>
      </c>
      <c r="T1" s="31">
        <v>-20</v>
      </c>
      <c r="U1" s="29" t="s">
        <v>167</v>
      </c>
      <c r="V1" s="29" t="s">
        <v>168</v>
      </c>
      <c r="W1" s="29" t="s">
        <v>169</v>
      </c>
      <c r="X1" s="29" t="s">
        <v>170</v>
      </c>
      <c r="Y1" s="29" t="s">
        <v>171</v>
      </c>
      <c r="Z1" s="29" t="s">
        <v>172</v>
      </c>
      <c r="AA1" s="29" t="s">
        <v>173</v>
      </c>
      <c r="AB1" s="29" t="s">
        <v>174</v>
      </c>
      <c r="AC1" s="29" t="s">
        <v>175</v>
      </c>
      <c r="AD1" s="29" t="s">
        <v>176</v>
      </c>
      <c r="AE1" s="29" t="s">
        <v>177</v>
      </c>
      <c r="AF1" s="29" t="s">
        <v>178</v>
      </c>
      <c r="AG1" s="29" t="s">
        <v>179</v>
      </c>
      <c r="AH1" s="29" t="s">
        <v>180</v>
      </c>
      <c r="AI1" s="29" t="s">
        <v>181</v>
      </c>
      <c r="AJ1" s="29" t="s">
        <v>182</v>
      </c>
      <c r="AK1" s="29" t="s">
        <v>183</v>
      </c>
      <c r="AL1" s="29" t="s">
        <v>184</v>
      </c>
    </row>
    <row r="2" spans="1:38" ht="14">
      <c r="A2" s="3" t="s">
        <v>185</v>
      </c>
      <c r="J2" s="3">
        <v>12213364</v>
      </c>
      <c r="K2" s="3">
        <v>5978266</v>
      </c>
      <c r="L2" s="3">
        <f>5518188+2795301</f>
        <v>8313489</v>
      </c>
      <c r="M2" s="3">
        <v>5987014</v>
      </c>
      <c r="N2">
        <f>2566759+3786545</f>
        <v>6353304</v>
      </c>
      <c r="O2">
        <f>3329395+3319067</f>
        <v>6648462</v>
      </c>
      <c r="P2" s="3">
        <v>5892817</v>
      </c>
      <c r="Q2" s="3">
        <v>8026685</v>
      </c>
      <c r="R2">
        <f>5059473</f>
        <v>5059473</v>
      </c>
      <c r="S2" s="3">
        <v>13912000</v>
      </c>
      <c r="T2">
        <f>4145000+3516000+3077000</f>
        <v>10738000</v>
      </c>
      <c r="U2">
        <f>3878000+4498000</f>
        <v>8376000</v>
      </c>
      <c r="V2">
        <f>3260000+15205000</f>
        <v>18465000</v>
      </c>
      <c r="W2" s="3">
        <v>10303000</v>
      </c>
      <c r="X2" s="3">
        <v>33450613</v>
      </c>
      <c r="Y2" s="3">
        <v>31361439</v>
      </c>
      <c r="Z2" s="3">
        <v>6233624</v>
      </c>
      <c r="AA2" s="3">
        <v>7860624</v>
      </c>
      <c r="AB2" s="3">
        <v>12900046</v>
      </c>
      <c r="AC2" s="3">
        <v>12910137</v>
      </c>
      <c r="AD2" s="3">
        <v>13413337</v>
      </c>
      <c r="AE2" s="3"/>
      <c r="AF2" s="3"/>
      <c r="AG2" s="3"/>
      <c r="AH2" s="3"/>
      <c r="AI2" s="3">
        <f>SUM(J2:R2)</f>
        <v>64472874</v>
      </c>
      <c r="AJ2" s="3">
        <v>64812052</v>
      </c>
      <c r="AK2" s="3">
        <v>61795000</v>
      </c>
      <c r="AL2" s="3">
        <f>SUM(Z2:AD2)</f>
        <v>53317768</v>
      </c>
    </row>
    <row r="3" spans="1:38" ht="14">
      <c r="A3" s="3" t="s">
        <v>186</v>
      </c>
      <c r="B3" s="11">
        <f>0.008/0.997</f>
        <v>8.0240722166499499E-3</v>
      </c>
      <c r="C3" s="11">
        <f>0.034/0.997</f>
        <v>3.4102306920762292E-2</v>
      </c>
      <c r="D3" s="11">
        <f>0.094/0.997</f>
        <v>9.4282848545636913E-2</v>
      </c>
      <c r="E3" s="11">
        <f>0.136/0.997</f>
        <v>0.13640922768304917</v>
      </c>
      <c r="F3" s="11">
        <f>0.153/0.997</f>
        <v>0.1534603811434303</v>
      </c>
      <c r="G3" s="11">
        <f>0.121/0.997</f>
        <v>0.12136409227683048</v>
      </c>
      <c r="H3" s="11">
        <f>0.327/0.997</f>
        <v>0.32798395185556672</v>
      </c>
      <c r="I3" s="11">
        <f>0.124/0.997</f>
        <v>0.12437311935807423</v>
      </c>
      <c r="J3" s="32">
        <f t="shared" ref="J3:R3" si="0">J2/$AI$2</f>
        <v>0.18943414869329386</v>
      </c>
      <c r="K3" s="32">
        <f t="shared" si="0"/>
        <v>9.2725290949492958E-2</v>
      </c>
      <c r="L3" s="32">
        <f t="shared" si="0"/>
        <v>0.12894553141837606</v>
      </c>
      <c r="M3" s="32">
        <f t="shared" si="0"/>
        <v>9.2860975919888414E-2</v>
      </c>
      <c r="N3" s="32">
        <f t="shared" si="0"/>
        <v>9.8542279967230875E-2</v>
      </c>
      <c r="O3" s="32">
        <f t="shared" si="0"/>
        <v>0.1031202983133651</v>
      </c>
      <c r="P3" s="32">
        <f t="shared" si="0"/>
        <v>9.1399942865894271E-2</v>
      </c>
      <c r="Q3" s="32">
        <f t="shared" si="0"/>
        <v>0.12449708694543382</v>
      </c>
      <c r="R3" s="32">
        <f t="shared" si="0"/>
        <v>7.8474444927024656E-2</v>
      </c>
      <c r="S3" s="11">
        <v>0.21655679999999999</v>
      </c>
      <c r="T3" s="11">
        <v>0.17103740000000001</v>
      </c>
      <c r="U3" s="11">
        <v>0.1407523</v>
      </c>
      <c r="V3" s="11">
        <v>0.30832809999999999</v>
      </c>
      <c r="W3" s="11">
        <v>0.16332540000000001</v>
      </c>
      <c r="X3" s="32">
        <f>X2/$AJ$2</f>
        <v>0.51611717215804243</v>
      </c>
      <c r="Y3" s="32">
        <f>Y2/$AJ$2</f>
        <v>0.48388282784195752</v>
      </c>
      <c r="Z3" s="32">
        <f>Z2/$AL$2</f>
        <v>0.11691457151769744</v>
      </c>
      <c r="AA3" s="32">
        <f>AA2/$AL$2</f>
        <v>0.14742972736593174</v>
      </c>
      <c r="AB3" s="32">
        <f>AB2/$AL$2</f>
        <v>0.24194647457860577</v>
      </c>
      <c r="AC3" s="32">
        <f>AC2/$AL$2</f>
        <v>0.24213573606457045</v>
      </c>
      <c r="AD3" s="32">
        <f>AD2/$AL$2</f>
        <v>0.25157349047319461</v>
      </c>
      <c r="AE3" s="11">
        <v>0.30099999999999999</v>
      </c>
      <c r="AF3" s="11">
        <v>0.246</v>
      </c>
      <c r="AG3" s="11">
        <v>0.16800000000000001</v>
      </c>
      <c r="AH3" s="11">
        <v>0.28499999999999998</v>
      </c>
    </row>
    <row r="4" spans="1:38" ht="14">
      <c r="A4" s="3">
        <v>3000</v>
      </c>
      <c r="B4" t="e">
        <v>#VALUE!</v>
      </c>
      <c r="C4" t="e">
        <v>#VALUE!</v>
      </c>
      <c r="D4" t="e">
        <v>#VALUE!</v>
      </c>
      <c r="E4" t="e">
        <v>#VALUE!</v>
      </c>
      <c r="F4" t="e">
        <v>#VALUE!</v>
      </c>
      <c r="G4" t="e">
        <v>#VALUE!</v>
      </c>
      <c r="H4" t="e">
        <v>#VALUE!</v>
      </c>
      <c r="I4" t="e">
        <v>#VALUE!</v>
      </c>
      <c r="J4" t="e">
        <v>#VALUE!</v>
      </c>
      <c r="K4" t="e">
        <v>#VALUE!</v>
      </c>
      <c r="L4" t="e">
        <v>#VALUE!</v>
      </c>
      <c r="M4" t="e">
        <v>#VALUE!</v>
      </c>
      <c r="N4" t="e">
        <v>#VALUE!</v>
      </c>
      <c r="O4" t="e">
        <v>#VALUE!</v>
      </c>
      <c r="P4" t="e">
        <v>#VALUE!</v>
      </c>
      <c r="Q4" t="e">
        <v>#VALUE!</v>
      </c>
      <c r="R4" t="e">
        <v>#VALUE!</v>
      </c>
      <c r="S4" t="e">
        <v>#VALUE!</v>
      </c>
      <c r="T4" t="e">
        <v>#VALUE!</v>
      </c>
      <c r="U4" t="e">
        <v>#VALUE!</v>
      </c>
      <c r="V4" t="e">
        <v>#VALUE!</v>
      </c>
      <c r="W4" t="e">
        <v>#VALUE!</v>
      </c>
      <c r="X4" t="e">
        <v>#VALUE!</v>
      </c>
      <c r="Y4" t="e">
        <v>#VALUE!</v>
      </c>
      <c r="Z4" t="e">
        <v>#VALUE!</v>
      </c>
      <c r="AA4" t="e">
        <v>#VALUE!</v>
      </c>
      <c r="AB4" t="e">
        <v>#VALUE!</v>
      </c>
      <c r="AC4" t="e">
        <v>#VALUE!</v>
      </c>
      <c r="AD4" t="e">
        <v>#VALUE!</v>
      </c>
      <c r="AE4" t="e">
        <v>#VALUE!</v>
      </c>
      <c r="AF4" t="e">
        <v>#VALUE!</v>
      </c>
      <c r="AG4" t="e">
        <v>#VALUE!</v>
      </c>
      <c r="AH4" t="e">
        <v>#VALUE!</v>
      </c>
    </row>
    <row r="5" spans="1:38" ht="14">
      <c r="A5" s="21">
        <f>3000*1.05</f>
        <v>3150</v>
      </c>
      <c r="B5" s="21" t="e">
        <v>#VALUE!</v>
      </c>
      <c r="C5" s="21" t="e">
        <v>#VALUE!</v>
      </c>
      <c r="D5" s="21" t="e">
        <v>#VALUE!</v>
      </c>
      <c r="E5" s="21" t="e">
        <v>#VALUE!</v>
      </c>
      <c r="F5" s="21" t="e">
        <v>#VALUE!</v>
      </c>
      <c r="G5" s="21" t="e">
        <v>#VALUE!</v>
      </c>
      <c r="H5" s="21" t="e">
        <v>#VALUE!</v>
      </c>
      <c r="I5" s="21" t="e">
        <v>#VALUE!</v>
      </c>
      <c r="J5" s="21" t="e">
        <v>#VALUE!</v>
      </c>
      <c r="K5" s="21" t="e">
        <v>#VALUE!</v>
      </c>
      <c r="L5" s="21" t="e">
        <v>#VALUE!</v>
      </c>
      <c r="M5" s="21" t="e">
        <v>#VALUE!</v>
      </c>
      <c r="N5" s="21" t="e">
        <v>#VALUE!</v>
      </c>
      <c r="O5" s="21" t="e">
        <v>#VALUE!</v>
      </c>
      <c r="P5" s="21" t="e">
        <v>#VALUE!</v>
      </c>
      <c r="Q5" s="21" t="e">
        <v>#VALUE!</v>
      </c>
      <c r="R5" s="21" t="e">
        <v>#VALUE!</v>
      </c>
      <c r="S5" s="21" t="e">
        <v>#VALUE!</v>
      </c>
      <c r="T5" s="21" t="e">
        <v>#VALUE!</v>
      </c>
      <c r="U5" s="21" t="e">
        <v>#VALUE!</v>
      </c>
      <c r="V5" s="21" t="e">
        <v>#VALUE!</v>
      </c>
      <c r="W5" s="21" t="e">
        <v>#VALUE!</v>
      </c>
      <c r="X5" s="21" t="e">
        <v>#VALUE!</v>
      </c>
      <c r="Y5" s="21" t="e">
        <v>#VALUE!</v>
      </c>
      <c r="Z5" s="21" t="e">
        <v>#VALUE!</v>
      </c>
      <c r="AA5" s="21" t="e">
        <v>#VALUE!</v>
      </c>
      <c r="AB5" s="21" t="e">
        <v>#VALUE!</v>
      </c>
      <c r="AC5" s="21" t="e">
        <v>#VALUE!</v>
      </c>
      <c r="AD5" s="21" t="e">
        <v>#VALUE!</v>
      </c>
      <c r="AE5" s="21" t="e">
        <v>#VALUE!</v>
      </c>
      <c r="AF5" s="21" t="e">
        <v>#VALUE!</v>
      </c>
      <c r="AG5" s="21" t="e">
        <v>#VALUE!</v>
      </c>
      <c r="AH5" s="21" t="e">
        <v>#VALUE!</v>
      </c>
    </row>
    <row r="6" spans="1:38">
      <c r="A6">
        <f>3000*1.1</f>
        <v>3300.0000000000005</v>
      </c>
      <c r="B6" t="e">
        <v>#VALUE!</v>
      </c>
      <c r="C6" t="e">
        <v>#VALUE!</v>
      </c>
      <c r="D6" t="e">
        <v>#VALUE!</v>
      </c>
      <c r="E6" t="e">
        <v>#VALUE!</v>
      </c>
      <c r="F6" t="e">
        <v>#VALUE!</v>
      </c>
      <c r="G6" t="e">
        <v>#VALUE!</v>
      </c>
      <c r="H6" t="e">
        <v>#VALUE!</v>
      </c>
      <c r="I6" t="e">
        <v>#VALUE!</v>
      </c>
      <c r="J6" t="e">
        <v>#VALUE!</v>
      </c>
      <c r="K6" t="e">
        <v>#VALUE!</v>
      </c>
      <c r="L6" t="e">
        <v>#VALUE!</v>
      </c>
      <c r="M6" t="e">
        <v>#VALUE!</v>
      </c>
      <c r="N6" t="e">
        <v>#VALUE!</v>
      </c>
      <c r="O6" t="e">
        <v>#VALUE!</v>
      </c>
      <c r="P6" t="e">
        <v>#VALUE!</v>
      </c>
      <c r="Q6" t="e">
        <v>#VALUE!</v>
      </c>
      <c r="R6" t="e">
        <v>#VALUE!</v>
      </c>
      <c r="S6" t="e">
        <v>#VALUE!</v>
      </c>
      <c r="T6" t="e">
        <v>#VALUE!</v>
      </c>
      <c r="U6" t="e">
        <v>#VALUE!</v>
      </c>
      <c r="V6" t="e">
        <v>#VALUE!</v>
      </c>
      <c r="W6" t="e">
        <v>#VALUE!</v>
      </c>
      <c r="X6" t="e">
        <v>#VALUE!</v>
      </c>
      <c r="Y6" t="e">
        <v>#VALUE!</v>
      </c>
      <c r="Z6" t="e">
        <v>#VALUE!</v>
      </c>
      <c r="AA6" t="e">
        <v>#VALUE!</v>
      </c>
      <c r="AB6" t="e">
        <v>#VALUE!</v>
      </c>
      <c r="AC6" t="e">
        <v>#VALUE!</v>
      </c>
      <c r="AD6" t="e">
        <v>#VALUE!</v>
      </c>
      <c r="AE6" t="e">
        <v>#VALUE!</v>
      </c>
      <c r="AF6" t="e">
        <v>#VALUE!</v>
      </c>
      <c r="AG6" t="e">
        <v>#VALUE!</v>
      </c>
      <c r="AH6" t="e">
        <v>#VALUE!</v>
      </c>
    </row>
    <row r="8" spans="1:38" ht="14">
      <c r="A8" s="3" t="s">
        <v>187</v>
      </c>
      <c r="B8" s="3">
        <v>0</v>
      </c>
      <c r="C8" s="3">
        <v>0</v>
      </c>
      <c r="D8" s="3">
        <v>0</v>
      </c>
      <c r="E8" s="3">
        <v>0</v>
      </c>
      <c r="F8" s="3">
        <v>115</v>
      </c>
      <c r="G8" s="3">
        <v>0</v>
      </c>
      <c r="H8" s="3">
        <v>0</v>
      </c>
      <c r="I8" s="3">
        <v>0</v>
      </c>
      <c r="J8" s="3">
        <v>22</v>
      </c>
      <c r="K8" s="3">
        <v>11</v>
      </c>
      <c r="L8" s="3">
        <v>16</v>
      </c>
      <c r="M8" s="3">
        <v>12</v>
      </c>
      <c r="N8" s="3">
        <v>15</v>
      </c>
      <c r="O8" s="3">
        <v>12</v>
      </c>
      <c r="P8" s="3">
        <v>6</v>
      </c>
      <c r="Q8" s="3">
        <v>15</v>
      </c>
      <c r="R8" s="3">
        <v>6</v>
      </c>
      <c r="S8" s="3">
        <v>35</v>
      </c>
      <c r="T8" s="3">
        <v>19</v>
      </c>
      <c r="U8" s="3">
        <v>19</v>
      </c>
      <c r="V8" s="3">
        <v>22</v>
      </c>
      <c r="W8" s="3">
        <v>20</v>
      </c>
      <c r="X8" s="3">
        <v>61</v>
      </c>
      <c r="Y8" s="3">
        <v>54</v>
      </c>
      <c r="Z8" s="3">
        <v>6</v>
      </c>
      <c r="AA8" s="3">
        <v>52</v>
      </c>
      <c r="AB8" s="3">
        <v>21</v>
      </c>
      <c r="AC8" s="3">
        <v>30</v>
      </c>
      <c r="AD8" s="3">
        <v>6</v>
      </c>
      <c r="AE8" s="3">
        <v>21</v>
      </c>
      <c r="AF8" s="3">
        <v>28</v>
      </c>
      <c r="AG8" s="3">
        <v>16</v>
      </c>
      <c r="AH8" s="3">
        <v>50</v>
      </c>
    </row>
    <row r="9" spans="1:38" ht="14">
      <c r="A9" s="3" t="s">
        <v>188</v>
      </c>
      <c r="B9" t="e">
        <f t="shared" ref="B9:AH9" si="1">B5+B8</f>
        <v>#VALUE!</v>
      </c>
      <c r="C9" t="e">
        <f t="shared" si="1"/>
        <v>#VALUE!</v>
      </c>
      <c r="D9" t="e">
        <f t="shared" si="1"/>
        <v>#VALUE!</v>
      </c>
      <c r="E9" t="e">
        <f t="shared" si="1"/>
        <v>#VALUE!</v>
      </c>
      <c r="F9" t="e">
        <f t="shared" si="1"/>
        <v>#VALUE!</v>
      </c>
      <c r="G9" t="e">
        <f t="shared" si="1"/>
        <v>#VALUE!</v>
      </c>
      <c r="H9" t="e">
        <f t="shared" si="1"/>
        <v>#VALUE!</v>
      </c>
      <c r="I9" t="e">
        <f t="shared" si="1"/>
        <v>#VALUE!</v>
      </c>
      <c r="J9" t="e">
        <f t="shared" si="1"/>
        <v>#VALUE!</v>
      </c>
      <c r="K9" t="e">
        <f t="shared" si="1"/>
        <v>#VALUE!</v>
      </c>
      <c r="L9" t="e">
        <f t="shared" si="1"/>
        <v>#VALUE!</v>
      </c>
      <c r="M9" t="e">
        <f t="shared" si="1"/>
        <v>#VALUE!</v>
      </c>
      <c r="N9" t="e">
        <f t="shared" si="1"/>
        <v>#VALUE!</v>
      </c>
      <c r="O9" t="e">
        <f t="shared" si="1"/>
        <v>#VALUE!</v>
      </c>
      <c r="P9" t="e">
        <f t="shared" si="1"/>
        <v>#VALUE!</v>
      </c>
      <c r="Q9" t="e">
        <f t="shared" si="1"/>
        <v>#VALUE!</v>
      </c>
      <c r="R9" t="e">
        <f t="shared" si="1"/>
        <v>#VALUE!</v>
      </c>
      <c r="S9" t="e">
        <f t="shared" si="1"/>
        <v>#VALUE!</v>
      </c>
      <c r="T9" t="e">
        <f t="shared" si="1"/>
        <v>#VALUE!</v>
      </c>
      <c r="U9" t="e">
        <f t="shared" si="1"/>
        <v>#VALUE!</v>
      </c>
      <c r="V9" t="e">
        <f t="shared" si="1"/>
        <v>#VALUE!</v>
      </c>
      <c r="W9" t="e">
        <f t="shared" si="1"/>
        <v>#VALUE!</v>
      </c>
      <c r="X9" t="e">
        <f t="shared" si="1"/>
        <v>#VALUE!</v>
      </c>
      <c r="Y9" t="e">
        <f t="shared" si="1"/>
        <v>#VALUE!</v>
      </c>
      <c r="Z9" t="e">
        <f t="shared" si="1"/>
        <v>#VALUE!</v>
      </c>
      <c r="AA9" t="e">
        <f t="shared" si="1"/>
        <v>#VALUE!</v>
      </c>
      <c r="AB9" t="e">
        <f t="shared" si="1"/>
        <v>#VALUE!</v>
      </c>
      <c r="AC9" t="e">
        <f t="shared" si="1"/>
        <v>#VALUE!</v>
      </c>
      <c r="AD9" t="e">
        <f t="shared" si="1"/>
        <v>#VALUE!</v>
      </c>
      <c r="AE9" t="e">
        <f t="shared" si="1"/>
        <v>#VALUE!</v>
      </c>
      <c r="AF9" t="e">
        <f t="shared" si="1"/>
        <v>#VALUE!</v>
      </c>
      <c r="AG9" t="e">
        <f t="shared" si="1"/>
        <v>#VALUE!</v>
      </c>
      <c r="AH9" t="e">
        <f t="shared" si="1"/>
        <v>#VALUE!</v>
      </c>
    </row>
    <row r="10" spans="1:38" ht="14">
      <c r="A10" s="3" t="s">
        <v>187</v>
      </c>
      <c r="B10" s="3">
        <v>0</v>
      </c>
      <c r="C10" s="3">
        <v>2</v>
      </c>
      <c r="D10" s="3">
        <v>9</v>
      </c>
      <c r="E10" s="3">
        <v>18</v>
      </c>
      <c r="F10" s="3">
        <v>0</v>
      </c>
      <c r="G10" s="3">
        <v>39</v>
      </c>
      <c r="H10" s="3">
        <v>6</v>
      </c>
      <c r="I10" s="3">
        <v>14</v>
      </c>
      <c r="J10" s="3">
        <v>16</v>
      </c>
      <c r="K10" s="3">
        <v>5</v>
      </c>
      <c r="L10" s="3">
        <v>11</v>
      </c>
      <c r="M10" s="3">
        <v>5</v>
      </c>
      <c r="N10" s="3">
        <v>15</v>
      </c>
      <c r="O10" s="3">
        <v>13</v>
      </c>
      <c r="P10" s="3">
        <v>3</v>
      </c>
      <c r="Q10" s="3">
        <v>11</v>
      </c>
      <c r="R10" s="3">
        <v>9</v>
      </c>
      <c r="S10" s="3">
        <v>24</v>
      </c>
      <c r="T10" s="3">
        <v>13</v>
      </c>
      <c r="U10" s="3">
        <v>14</v>
      </c>
      <c r="V10" s="3">
        <v>25</v>
      </c>
      <c r="W10" s="3">
        <v>12</v>
      </c>
      <c r="X10" s="3">
        <v>44</v>
      </c>
      <c r="Y10" s="3">
        <v>44</v>
      </c>
      <c r="Z10" s="3">
        <v>15</v>
      </c>
      <c r="AA10" s="3">
        <v>25</v>
      </c>
      <c r="AB10" s="3">
        <v>34</v>
      </c>
      <c r="AC10" s="3">
        <v>11</v>
      </c>
      <c r="AD10" s="3">
        <v>3</v>
      </c>
      <c r="AE10" s="3">
        <v>10</v>
      </c>
      <c r="AF10" s="3">
        <v>19</v>
      </c>
      <c r="AG10" s="3">
        <v>12</v>
      </c>
      <c r="AH10" s="3">
        <v>47</v>
      </c>
    </row>
    <row r="11" spans="1:38" ht="14">
      <c r="A11" s="3" t="s">
        <v>188</v>
      </c>
      <c r="B11" t="e">
        <f t="shared" ref="B11:AH11" si="2">B9+B10</f>
        <v>#VALUE!</v>
      </c>
      <c r="C11" t="e">
        <f t="shared" si="2"/>
        <v>#VALUE!</v>
      </c>
      <c r="D11" t="e">
        <f t="shared" si="2"/>
        <v>#VALUE!</v>
      </c>
      <c r="E11" t="e">
        <f t="shared" si="2"/>
        <v>#VALUE!</v>
      </c>
      <c r="F11" t="e">
        <f t="shared" si="2"/>
        <v>#VALUE!</v>
      </c>
      <c r="G11" t="e">
        <f t="shared" si="2"/>
        <v>#VALUE!</v>
      </c>
      <c r="H11" t="e">
        <f t="shared" si="2"/>
        <v>#VALUE!</v>
      </c>
      <c r="I11" t="e">
        <f t="shared" si="2"/>
        <v>#VALUE!</v>
      </c>
      <c r="J11" t="e">
        <f t="shared" si="2"/>
        <v>#VALUE!</v>
      </c>
      <c r="K11" t="e">
        <f t="shared" si="2"/>
        <v>#VALUE!</v>
      </c>
      <c r="L11" t="e">
        <f t="shared" si="2"/>
        <v>#VALUE!</v>
      </c>
      <c r="M11" t="e">
        <f t="shared" si="2"/>
        <v>#VALUE!</v>
      </c>
      <c r="N11" t="e">
        <f t="shared" si="2"/>
        <v>#VALUE!</v>
      </c>
      <c r="O11" t="e">
        <f t="shared" si="2"/>
        <v>#VALUE!</v>
      </c>
      <c r="P11" t="e">
        <f t="shared" si="2"/>
        <v>#VALUE!</v>
      </c>
      <c r="Q11" t="e">
        <f t="shared" si="2"/>
        <v>#VALUE!</v>
      </c>
      <c r="R11" t="e">
        <f t="shared" si="2"/>
        <v>#VALUE!</v>
      </c>
      <c r="S11" t="e">
        <f t="shared" si="2"/>
        <v>#VALUE!</v>
      </c>
      <c r="T11" t="e">
        <f t="shared" si="2"/>
        <v>#VALUE!</v>
      </c>
      <c r="U11" t="e">
        <f t="shared" si="2"/>
        <v>#VALUE!</v>
      </c>
      <c r="V11" t="e">
        <f t="shared" si="2"/>
        <v>#VALUE!</v>
      </c>
      <c r="W11" t="e">
        <f t="shared" si="2"/>
        <v>#VALUE!</v>
      </c>
      <c r="X11" t="e">
        <f t="shared" si="2"/>
        <v>#VALUE!</v>
      </c>
      <c r="Y11" t="e">
        <f t="shared" si="2"/>
        <v>#VALUE!</v>
      </c>
      <c r="Z11" t="e">
        <f t="shared" si="2"/>
        <v>#VALUE!</v>
      </c>
      <c r="AA11" t="e">
        <f t="shared" si="2"/>
        <v>#VALUE!</v>
      </c>
      <c r="AB11" t="e">
        <f t="shared" si="2"/>
        <v>#VALUE!</v>
      </c>
      <c r="AC11" t="e">
        <f t="shared" si="2"/>
        <v>#VALUE!</v>
      </c>
      <c r="AD11" t="e">
        <f t="shared" si="2"/>
        <v>#VALUE!</v>
      </c>
      <c r="AE11" t="e">
        <f t="shared" si="2"/>
        <v>#VALUE!</v>
      </c>
      <c r="AF11" t="e">
        <f t="shared" si="2"/>
        <v>#VALUE!</v>
      </c>
      <c r="AG11" t="e">
        <f t="shared" si="2"/>
        <v>#VALUE!</v>
      </c>
      <c r="AH11" t="e">
        <f t="shared" si="2"/>
        <v>#VALUE!</v>
      </c>
    </row>
    <row r="13" spans="1:38" ht="14">
      <c r="A13" s="3" t="s">
        <v>189</v>
      </c>
      <c r="B13" t="e">
        <f t="shared" ref="B13:AB13" si="3">B11</f>
        <v>#VALUE!</v>
      </c>
      <c r="C13" t="e">
        <f t="shared" si="3"/>
        <v>#VALUE!</v>
      </c>
      <c r="D13" t="e">
        <f t="shared" si="3"/>
        <v>#VALUE!</v>
      </c>
      <c r="E13" t="e">
        <f t="shared" si="3"/>
        <v>#VALUE!</v>
      </c>
      <c r="F13" t="e">
        <f t="shared" si="3"/>
        <v>#VALUE!</v>
      </c>
      <c r="G13" t="e">
        <f t="shared" si="3"/>
        <v>#VALUE!</v>
      </c>
      <c r="H13" t="e">
        <f t="shared" si="3"/>
        <v>#VALUE!</v>
      </c>
      <c r="I13" t="e">
        <f t="shared" si="3"/>
        <v>#VALUE!</v>
      </c>
      <c r="J13" t="e">
        <f t="shared" si="3"/>
        <v>#VALUE!</v>
      </c>
      <c r="K13" t="e">
        <f t="shared" si="3"/>
        <v>#VALUE!</v>
      </c>
      <c r="L13" t="e">
        <f t="shared" si="3"/>
        <v>#VALUE!</v>
      </c>
      <c r="M13" t="e">
        <f t="shared" si="3"/>
        <v>#VALUE!</v>
      </c>
      <c r="N13" t="e">
        <f t="shared" si="3"/>
        <v>#VALUE!</v>
      </c>
      <c r="O13" t="e">
        <f t="shared" si="3"/>
        <v>#VALUE!</v>
      </c>
      <c r="P13" t="e">
        <f t="shared" si="3"/>
        <v>#VALUE!</v>
      </c>
      <c r="Q13" t="e">
        <f t="shared" si="3"/>
        <v>#VALUE!</v>
      </c>
      <c r="R13" t="e">
        <f t="shared" si="3"/>
        <v>#VALUE!</v>
      </c>
      <c r="S13" t="e">
        <f t="shared" si="3"/>
        <v>#VALUE!</v>
      </c>
      <c r="T13" t="e">
        <f t="shared" si="3"/>
        <v>#VALUE!</v>
      </c>
      <c r="U13" t="e">
        <f t="shared" si="3"/>
        <v>#VALUE!</v>
      </c>
      <c r="V13" t="e">
        <f t="shared" si="3"/>
        <v>#VALUE!</v>
      </c>
      <c r="W13" t="e">
        <f t="shared" si="3"/>
        <v>#VALUE!</v>
      </c>
      <c r="X13" t="e">
        <f t="shared" si="3"/>
        <v>#VALUE!</v>
      </c>
      <c r="Y13" t="e">
        <f t="shared" si="3"/>
        <v>#VALUE!</v>
      </c>
      <c r="Z13" t="e">
        <f t="shared" si="3"/>
        <v>#VALUE!</v>
      </c>
      <c r="AA13" t="e">
        <f t="shared" si="3"/>
        <v>#VALUE!</v>
      </c>
      <c r="AB13" t="e">
        <f t="shared" si="3"/>
        <v>#VALUE!</v>
      </c>
      <c r="AC13" s="3">
        <v>839</v>
      </c>
      <c r="AD13" s="3">
        <v>839</v>
      </c>
      <c r="AE13" t="e">
        <f>AE11</f>
        <v>#VALUE!</v>
      </c>
      <c r="AF13" t="e">
        <f>AF11</f>
        <v>#VALUE!</v>
      </c>
      <c r="AG13" t="e">
        <f>AG11</f>
        <v>#VALUE!</v>
      </c>
      <c r="AH13" t="e">
        <f>AH11</f>
        <v>#VALUE!</v>
      </c>
    </row>
    <row r="14" spans="1:38">
      <c r="AC14" t="e">
        <f>SUM(AC13:AD13)-SUM(AC11:AD11)</f>
        <v>#VALUE!</v>
      </c>
      <c r="AE14" t="e">
        <f>ROUND(AE13*1.03,0)</f>
        <v>#VALUE!</v>
      </c>
      <c r="AF14" t="e">
        <f>ROUND(AF13*1.03,0)</f>
        <v>#VALUE!</v>
      </c>
      <c r="AG14" t="e">
        <f>ROUND(AG13*1.03,0)</f>
        <v>#VALUE!</v>
      </c>
      <c r="AH14" t="e">
        <f>ROUND(AH13*1.03,0)</f>
        <v>#VALUE!</v>
      </c>
    </row>
    <row r="15" spans="1:38" ht="14">
      <c r="A15" s="3" t="s">
        <v>190</v>
      </c>
      <c r="B15" s="3">
        <v>23</v>
      </c>
      <c r="C15" s="3">
        <v>106</v>
      </c>
      <c r="D15" s="3">
        <v>266</v>
      </c>
      <c r="E15" s="3">
        <v>420</v>
      </c>
      <c r="F15" s="3">
        <v>484</v>
      </c>
      <c r="G15" s="3">
        <v>383</v>
      </c>
      <c r="H15" s="3">
        <v>986</v>
      </c>
      <c r="I15" s="3">
        <v>334</v>
      </c>
      <c r="J15" s="3">
        <v>498</v>
      </c>
      <c r="K15" s="3">
        <v>306</v>
      </c>
      <c r="L15" s="3">
        <v>366</v>
      </c>
      <c r="M15" s="3">
        <v>283</v>
      </c>
      <c r="N15" s="3">
        <v>354</v>
      </c>
      <c r="O15" s="3">
        <v>314</v>
      </c>
      <c r="P15" s="3">
        <v>252</v>
      </c>
      <c r="Q15" s="3">
        <v>392</v>
      </c>
      <c r="R15" s="3">
        <v>236</v>
      </c>
      <c r="S15" s="3">
        <v>721</v>
      </c>
      <c r="T15" s="3">
        <v>544</v>
      </c>
      <c r="U15" s="3">
        <v>403</v>
      </c>
      <c r="V15" s="3">
        <v>885</v>
      </c>
      <c r="W15" s="3">
        <v>449</v>
      </c>
      <c r="X15" s="3">
        <v>1578</v>
      </c>
      <c r="Y15" s="3">
        <v>1424</v>
      </c>
      <c r="Z15" s="3">
        <v>333</v>
      </c>
      <c r="AA15" s="3">
        <v>333</v>
      </c>
      <c r="AB15" s="3">
        <v>734</v>
      </c>
      <c r="AC15" s="3">
        <v>792</v>
      </c>
      <c r="AD15" s="3">
        <v>810</v>
      </c>
      <c r="AE15" s="3">
        <v>733</v>
      </c>
      <c r="AF15" s="3">
        <v>795</v>
      </c>
      <c r="AG15" s="3">
        <v>546</v>
      </c>
      <c r="AH15" s="3">
        <v>928</v>
      </c>
    </row>
    <row r="16" spans="1:38" ht="14">
      <c r="A16" s="3" t="s">
        <v>191</v>
      </c>
      <c r="B16" s="32">
        <f t="shared" ref="B16:AH16" si="4">B15/3002</f>
        <v>7.6615589606928713E-3</v>
      </c>
      <c r="C16" s="32">
        <f t="shared" si="4"/>
        <v>3.530979347101932E-2</v>
      </c>
      <c r="D16" s="32">
        <f t="shared" si="4"/>
        <v>8.8607594936708861E-2</v>
      </c>
      <c r="E16" s="32">
        <f t="shared" si="4"/>
        <v>0.13990672884743505</v>
      </c>
      <c r="F16" s="32">
        <f t="shared" si="4"/>
        <v>0.16122584943371085</v>
      </c>
      <c r="G16" s="32">
        <f t="shared" si="4"/>
        <v>0.12758161225849435</v>
      </c>
      <c r="H16" s="32">
        <f t="shared" si="4"/>
        <v>0.32844770153231179</v>
      </c>
      <c r="I16" s="32">
        <f t="shared" si="4"/>
        <v>0.11125916055962691</v>
      </c>
      <c r="J16" s="32">
        <f t="shared" si="4"/>
        <v>0.1658894070619587</v>
      </c>
      <c r="K16" s="32">
        <f t="shared" si="4"/>
        <v>0.10193204530313124</v>
      </c>
      <c r="L16" s="32">
        <f t="shared" si="4"/>
        <v>0.12191872085276483</v>
      </c>
      <c r="M16" s="32">
        <f t="shared" si="4"/>
        <v>9.427048634243837E-2</v>
      </c>
      <c r="N16" s="32">
        <f t="shared" si="4"/>
        <v>0.11792138574283811</v>
      </c>
      <c r="O16" s="32">
        <f t="shared" si="4"/>
        <v>0.10459693537641572</v>
      </c>
      <c r="P16" s="32">
        <f t="shared" si="4"/>
        <v>8.394403730846102E-2</v>
      </c>
      <c r="Q16" s="32">
        <f t="shared" si="4"/>
        <v>0.13057961359093936</v>
      </c>
      <c r="R16" s="32">
        <f t="shared" si="4"/>
        <v>7.8614257161892076E-2</v>
      </c>
      <c r="S16" s="32">
        <f t="shared" si="4"/>
        <v>0.2401732178547635</v>
      </c>
      <c r="T16" s="32">
        <f t="shared" si="4"/>
        <v>0.18121252498334445</v>
      </c>
      <c r="U16" s="32">
        <f t="shared" si="4"/>
        <v>0.13424383744170554</v>
      </c>
      <c r="V16" s="32">
        <f t="shared" si="4"/>
        <v>0.29480346435709526</v>
      </c>
      <c r="W16" s="32">
        <f t="shared" si="4"/>
        <v>0.14956695536309128</v>
      </c>
      <c r="X16" s="32">
        <f t="shared" si="4"/>
        <v>0.52564956695536313</v>
      </c>
      <c r="Y16" s="32">
        <f t="shared" si="4"/>
        <v>0.47435043304463692</v>
      </c>
      <c r="Z16" s="32">
        <f t="shared" si="4"/>
        <v>0.11092604930046636</v>
      </c>
      <c r="AA16" s="32">
        <f t="shared" si="4"/>
        <v>0.11092604930046636</v>
      </c>
      <c r="AB16" s="32">
        <f t="shared" si="4"/>
        <v>0.24450366422385075</v>
      </c>
      <c r="AC16" s="32">
        <f t="shared" si="4"/>
        <v>0.26382411725516325</v>
      </c>
      <c r="AD16" s="32">
        <f t="shared" si="4"/>
        <v>0.26982011992005328</v>
      </c>
      <c r="AE16" s="32">
        <f t="shared" si="4"/>
        <v>0.2441705529646902</v>
      </c>
      <c r="AF16" s="32">
        <f t="shared" si="4"/>
        <v>0.26482345103264493</v>
      </c>
      <c r="AG16" s="32">
        <f t="shared" si="4"/>
        <v>0.18187874750166555</v>
      </c>
      <c r="AH16" s="32">
        <f t="shared" si="4"/>
        <v>0.30912724850099932</v>
      </c>
    </row>
    <row r="17" spans="1:34" ht="14">
      <c r="A17" s="3" t="s">
        <v>192</v>
      </c>
      <c r="B17" s="32">
        <f t="shared" ref="B17:AH17" si="5">(B15/3002-B3)/B3</f>
        <v>-4.5178214523650909E-2</v>
      </c>
      <c r="C17" s="32">
        <f t="shared" si="5"/>
        <v>3.540776737077226E-2</v>
      </c>
      <c r="D17" s="32">
        <f t="shared" si="5"/>
        <v>-6.019391327767306E-2</v>
      </c>
      <c r="E17" s="32">
        <f t="shared" si="5"/>
        <v>2.563976956538766E-2</v>
      </c>
      <c r="F17" s="32">
        <f t="shared" si="5"/>
        <v>5.0602430623592841E-2</v>
      </c>
      <c r="G17" s="32">
        <f t="shared" si="5"/>
        <v>5.1230309270403923E-2</v>
      </c>
      <c r="H17" s="32">
        <f t="shared" si="5"/>
        <v>1.4139401459169021E-3</v>
      </c>
      <c r="I17" s="33">
        <f t="shared" si="5"/>
        <v>-0.10544045904880625</v>
      </c>
      <c r="J17" s="33">
        <f t="shared" si="5"/>
        <v>-0.12428984844467307</v>
      </c>
      <c r="K17" s="33">
        <f t="shared" si="5"/>
        <v>9.9290649394167554E-2</v>
      </c>
      <c r="L17" s="32">
        <f t="shared" si="5"/>
        <v>-5.4494409292960115E-2</v>
      </c>
      <c r="M17" s="32">
        <f t="shared" si="5"/>
        <v>1.5178716447756774E-2</v>
      </c>
      <c r="N17" s="33">
        <f t="shared" si="5"/>
        <v>0.19665777757579328</v>
      </c>
      <c r="O17" s="32">
        <f t="shared" si="5"/>
        <v>1.4319557712715042E-2</v>
      </c>
      <c r="P17" s="32">
        <f t="shared" si="5"/>
        <v>-8.1574510045075849E-2</v>
      </c>
      <c r="Q17" s="32">
        <f t="shared" si="5"/>
        <v>4.8856778859183027E-2</v>
      </c>
      <c r="R17" s="32">
        <f t="shared" si="5"/>
        <v>1.7816275731218629E-3</v>
      </c>
      <c r="S17" s="33">
        <f t="shared" si="5"/>
        <v>0.10905415048044445</v>
      </c>
      <c r="T17" s="32">
        <f t="shared" si="5"/>
        <v>5.9490643469465983E-2</v>
      </c>
      <c r="U17" s="32">
        <f t="shared" si="5"/>
        <v>-4.624054142130863E-2</v>
      </c>
      <c r="V17" s="32">
        <f t="shared" si="5"/>
        <v>-4.386442767592294E-2</v>
      </c>
      <c r="W17" s="32">
        <f t="shared" si="5"/>
        <v>-8.423946695926493E-2</v>
      </c>
      <c r="X17" s="32">
        <f t="shared" si="5"/>
        <v>1.8469439328017076E-2</v>
      </c>
      <c r="Y17" s="32">
        <f t="shared" si="5"/>
        <v>-1.9699799721832664E-2</v>
      </c>
      <c r="Z17" s="32">
        <f t="shared" si="5"/>
        <v>-5.1221350251662939E-2</v>
      </c>
      <c r="AA17" s="33">
        <f t="shared" si="5"/>
        <v>-0.24760052614667385</v>
      </c>
      <c r="AB17" s="32">
        <f t="shared" si="5"/>
        <v>1.0569237058315478E-2</v>
      </c>
      <c r="AC17" s="32">
        <f t="shared" si="5"/>
        <v>8.9571170051533186E-2</v>
      </c>
      <c r="AD17" s="32">
        <f t="shared" si="5"/>
        <v>7.253001662670365E-2</v>
      </c>
      <c r="AE17" s="33">
        <f t="shared" si="5"/>
        <v>-0.18880214961896941</v>
      </c>
      <c r="AF17" s="32">
        <f t="shared" si="5"/>
        <v>7.6518093628637943E-2</v>
      </c>
      <c r="AG17" s="32">
        <f t="shared" si="5"/>
        <v>8.2611592271818676E-2</v>
      </c>
      <c r="AH17" s="32">
        <f t="shared" si="5"/>
        <v>8.465701228420823E-2</v>
      </c>
    </row>
    <row r="20" spans="1:34" ht="14">
      <c r="A20" s="3" t="s">
        <v>193</v>
      </c>
      <c r="B20" s="3" t="s">
        <v>194</v>
      </c>
      <c r="C20" s="3" t="s">
        <v>195</v>
      </c>
      <c r="D20" s="3" t="s">
        <v>196</v>
      </c>
      <c r="E20" s="3" t="s">
        <v>197</v>
      </c>
      <c r="F20" s="3" t="s">
        <v>198</v>
      </c>
      <c r="G20" s="3" t="s">
        <v>199</v>
      </c>
      <c r="H20" s="3" t="s">
        <v>200</v>
      </c>
      <c r="Z20" s="29" t="s">
        <v>172</v>
      </c>
      <c r="AA20" s="29" t="s">
        <v>173</v>
      </c>
      <c r="AB20" s="29" t="s">
        <v>201</v>
      </c>
      <c r="AC20" s="29" t="s">
        <v>202</v>
      </c>
      <c r="AD20" s="29" t="s">
        <v>203</v>
      </c>
      <c r="AE20" s="29" t="s">
        <v>204</v>
      </c>
      <c r="AF20" s="29" t="s">
        <v>205</v>
      </c>
    </row>
    <row r="21" spans="1:34" ht="14">
      <c r="B21" s="34" t="s">
        <v>206</v>
      </c>
      <c r="C21" s="16" t="s">
        <v>207</v>
      </c>
      <c r="D21" s="3" t="s">
        <v>208</v>
      </c>
      <c r="E21" s="16" t="s">
        <v>209</v>
      </c>
      <c r="F21" s="16" t="s">
        <v>210</v>
      </c>
      <c r="G21" s="34" t="s">
        <v>211</v>
      </c>
      <c r="H21" s="34" t="s">
        <v>212</v>
      </c>
      <c r="Z21" s="3">
        <v>6233624</v>
      </c>
      <c r="AA21" s="3">
        <v>7860624</v>
      </c>
      <c r="AB21" s="3">
        <v>8336708</v>
      </c>
      <c r="AC21" s="3">
        <v>9039846</v>
      </c>
      <c r="AD21" s="3">
        <v>8433629</v>
      </c>
      <c r="AE21" s="3">
        <v>7194489</v>
      </c>
      <c r="AF21" s="3">
        <v>6218848</v>
      </c>
    </row>
    <row r="22" spans="1:34" ht="14">
      <c r="B22" s="3">
        <v>2017</v>
      </c>
      <c r="C22" s="3">
        <v>2019</v>
      </c>
      <c r="D22" s="3">
        <v>2013</v>
      </c>
      <c r="E22" s="3">
        <v>2007</v>
      </c>
      <c r="F22" s="3">
        <v>2019</v>
      </c>
      <c r="G22" s="3">
        <v>2019</v>
      </c>
      <c r="H22" s="3">
        <v>2015</v>
      </c>
    </row>
    <row r="23" spans="1:34" ht="14">
      <c r="D23" s="3" t="s">
        <v>213</v>
      </c>
      <c r="E23" s="3" t="s">
        <v>214</v>
      </c>
    </row>
    <row r="24" spans="1:34" ht="14">
      <c r="D24" s="3" t="s">
        <v>215</v>
      </c>
      <c r="E24" s="3" t="s">
        <v>216</v>
      </c>
      <c r="Z24" s="21"/>
      <c r="AA24" s="21"/>
      <c r="AB24" s="21"/>
      <c r="AC24" s="21"/>
      <c r="AD24" s="21"/>
      <c r="AE24" s="21"/>
      <c r="AF24" s="21"/>
    </row>
  </sheetData>
  <hyperlinks>
    <hyperlink ref="J1" r:id="rId1"/>
    <hyperlink ref="L1" r:id="rId2"/>
    <hyperlink ref="N1" r:id="rId3"/>
    <hyperlink ref="O1" r:id="rId4"/>
    <hyperlink ref="Q1" r:id="rId5"/>
    <hyperlink ref="R1" r:id="rId6"/>
    <hyperlink ref="B21" r:id="rId7"/>
    <hyperlink ref="C21" r:id="rId8"/>
    <hyperlink ref="E21" r:id="rId9"/>
    <hyperlink ref="F21" r:id="rId10"/>
    <hyperlink ref="G21" r:id="rId11"/>
    <hyperlink ref="H21" r:id="rId12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5"/>
  <cols>
    <col min="1" max="1" width="20.54296875" customWidth="1"/>
    <col min="2" max="2" width="16.7265625" customWidth="1"/>
    <col min="3" max="3" width="20.08984375" customWidth="1"/>
    <col min="4" max="5" width="28.08984375" customWidth="1"/>
    <col min="6" max="6" width="28.453125" customWidth="1"/>
    <col min="7" max="7" width="28" customWidth="1"/>
    <col min="8" max="8" width="29.81640625" customWidth="1"/>
    <col min="9" max="9" width="26" customWidth="1"/>
    <col min="10" max="1025" width="14.453125" customWidth="1"/>
  </cols>
  <sheetData>
    <row r="1" spans="1:9" ht="14">
      <c r="B1" s="3" t="s">
        <v>217</v>
      </c>
      <c r="C1" s="3" t="s">
        <v>218</v>
      </c>
      <c r="D1" s="3" t="s">
        <v>219</v>
      </c>
      <c r="E1" s="3" t="s">
        <v>220</v>
      </c>
      <c r="F1" s="3" t="s">
        <v>221</v>
      </c>
      <c r="G1" s="3" t="s">
        <v>222</v>
      </c>
      <c r="H1" s="3" t="s">
        <v>223</v>
      </c>
      <c r="I1" s="3" t="s">
        <v>224</v>
      </c>
    </row>
    <row r="2" spans="1:9" ht="14">
      <c r="A2" s="20" t="s">
        <v>225</v>
      </c>
      <c r="B2" s="31" t="s">
        <v>226</v>
      </c>
      <c r="C2" s="31" t="s">
        <v>226</v>
      </c>
      <c r="D2" s="31" t="s">
        <v>226</v>
      </c>
      <c r="E2" s="31" t="s">
        <v>226</v>
      </c>
      <c r="F2" s="31" t="s">
        <v>226</v>
      </c>
      <c r="G2" s="31" t="s">
        <v>226</v>
      </c>
      <c r="H2" s="31" t="s">
        <v>226</v>
      </c>
      <c r="I2" s="31" t="s">
        <v>226</v>
      </c>
    </row>
    <row r="3" spans="1:9" ht="14">
      <c r="A3" s="20" t="s">
        <v>227</v>
      </c>
      <c r="B3" s="31" t="s">
        <v>226</v>
      </c>
      <c r="C3" s="31" t="s">
        <v>226</v>
      </c>
      <c r="D3" s="31" t="s">
        <v>226</v>
      </c>
      <c r="E3" s="31" t="s">
        <v>226</v>
      </c>
      <c r="F3" s="31" t="s">
        <v>226</v>
      </c>
      <c r="G3" s="31" t="s">
        <v>226</v>
      </c>
      <c r="H3" s="31" t="s">
        <v>226</v>
      </c>
      <c r="I3" s="31" t="s">
        <v>226</v>
      </c>
    </row>
    <row r="4" spans="1:9" ht="14">
      <c r="A4" s="20" t="s">
        <v>228</v>
      </c>
      <c r="B4" s="31" t="s">
        <v>226</v>
      </c>
      <c r="C4" s="31" t="s">
        <v>226</v>
      </c>
      <c r="D4" s="31" t="s">
        <v>226</v>
      </c>
      <c r="E4" s="31" t="s">
        <v>226</v>
      </c>
      <c r="F4" s="31" t="s">
        <v>226</v>
      </c>
      <c r="G4" s="31" t="s">
        <v>226</v>
      </c>
      <c r="H4" s="31" t="s">
        <v>226</v>
      </c>
      <c r="I4" s="31" t="s">
        <v>226</v>
      </c>
    </row>
    <row r="5" spans="1:9" ht="14">
      <c r="A5" s="20" t="s">
        <v>229</v>
      </c>
      <c r="B5" s="3">
        <v>8604</v>
      </c>
      <c r="C5" s="31" t="s">
        <v>226</v>
      </c>
      <c r="D5" s="31" t="s">
        <v>226</v>
      </c>
      <c r="E5" s="31" t="s">
        <v>226</v>
      </c>
      <c r="F5" s="31" t="s">
        <v>226</v>
      </c>
      <c r="G5" s="31" t="s">
        <v>226</v>
      </c>
      <c r="H5">
        <f>9822394/1000</f>
        <v>9822.3940000000002</v>
      </c>
      <c r="I5">
        <f>H5*1.45</f>
        <v>14242.471299999999</v>
      </c>
    </row>
    <row r="6" spans="1:9" ht="14">
      <c r="A6" s="20" t="s">
        <v>230</v>
      </c>
      <c r="B6" s="3">
        <v>24808</v>
      </c>
      <c r="C6" s="31" t="s">
        <v>226</v>
      </c>
      <c r="D6" s="31" t="s">
        <v>226</v>
      </c>
      <c r="E6" s="31" t="s">
        <v>226</v>
      </c>
      <c r="F6" s="31" t="s">
        <v>226</v>
      </c>
      <c r="G6" s="31" t="s">
        <v>226</v>
      </c>
      <c r="H6">
        <f>41173766/1000</f>
        <v>41173.766000000003</v>
      </c>
      <c r="I6">
        <f>1.4*H6</f>
        <v>57643.272400000002</v>
      </c>
    </row>
    <row r="7" spans="1:9" ht="14">
      <c r="A7" s="20" t="s">
        <v>231</v>
      </c>
      <c r="B7" s="3">
        <f>B5+B6</f>
        <v>33412</v>
      </c>
      <c r="C7" s="31" t="s">
        <v>226</v>
      </c>
      <c r="D7" s="3">
        <v>36916</v>
      </c>
      <c r="E7" s="3">
        <v>33633</v>
      </c>
      <c r="F7" s="3">
        <v>38807</v>
      </c>
      <c r="G7" s="3">
        <v>39046</v>
      </c>
      <c r="I7">
        <f>I5+I6</f>
        <v>71885.743700000006</v>
      </c>
    </row>
    <row r="8" spans="1:9" ht="14">
      <c r="A8" s="20" t="s">
        <v>232</v>
      </c>
      <c r="B8" s="3">
        <v>4710</v>
      </c>
      <c r="C8" s="3">
        <v>7866</v>
      </c>
      <c r="D8" s="3">
        <v>6040</v>
      </c>
      <c r="E8" s="3">
        <v>5034</v>
      </c>
      <c r="F8" s="3">
        <v>7968</v>
      </c>
      <c r="G8" s="3">
        <v>7689</v>
      </c>
      <c r="H8" s="35">
        <f>7500000000/1000000</f>
        <v>7500</v>
      </c>
      <c r="I8">
        <f>H8*0.859</f>
        <v>6442.5</v>
      </c>
    </row>
    <row r="9" spans="1:9" ht="14">
      <c r="A9" s="20" t="s">
        <v>233</v>
      </c>
      <c r="B9" s="3">
        <v>12560</v>
      </c>
      <c r="C9" s="3">
        <v>15403</v>
      </c>
      <c r="D9" s="3">
        <v>12987</v>
      </c>
      <c r="E9" s="3">
        <v>12727</v>
      </c>
      <c r="F9" s="3">
        <v>15828</v>
      </c>
      <c r="G9" s="3">
        <v>13505</v>
      </c>
      <c r="H9">
        <f>463*10^3</f>
        <v>463000</v>
      </c>
      <c r="I9">
        <f>H9*0.0651</f>
        <v>30141.300000000003</v>
      </c>
    </row>
    <row r="15" spans="1:9" ht="14">
      <c r="A15" s="3" t="s">
        <v>19</v>
      </c>
    </row>
    <row r="16" spans="1:9" ht="14">
      <c r="A16" s="3" t="s">
        <v>234</v>
      </c>
      <c r="B16" s="3" t="s">
        <v>235</v>
      </c>
    </row>
    <row r="17" spans="2:2" ht="14">
      <c r="B17" s="3" t="s">
        <v>236</v>
      </c>
    </row>
    <row r="19" spans="2:2" ht="14">
      <c r="B19" s="3" t="s">
        <v>237</v>
      </c>
    </row>
    <row r="20" spans="2:2" ht="14">
      <c r="B20" s="3" t="s">
        <v>238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0" zoomScaleNormal="100" workbookViewId="0"/>
  </sheetViews>
  <sheetFormatPr defaultRowHeight="12.5"/>
  <cols>
    <col min="1" max="1" width="21.26953125" customWidth="1"/>
    <col min="2" max="1025" width="14.453125" customWidth="1"/>
  </cols>
  <sheetData>
    <row r="1" spans="1:12" ht="14">
      <c r="A1" s="20"/>
      <c r="B1" s="2" t="s">
        <v>39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</row>
    <row r="2" spans="1:12" ht="14">
      <c r="A2" s="20" t="s">
        <v>57</v>
      </c>
      <c r="B2" s="3">
        <v>60.69</v>
      </c>
      <c r="C2" s="3">
        <v>60.69</v>
      </c>
      <c r="D2" s="3">
        <v>62.41</v>
      </c>
      <c r="E2" s="3">
        <v>64.12</v>
      </c>
      <c r="F2" s="3">
        <v>65.069999999999993</v>
      </c>
      <c r="G2" s="3">
        <v>68.290000000000006</v>
      </c>
      <c r="H2" s="3">
        <v>70.67</v>
      </c>
      <c r="I2" s="3">
        <v>73.05</v>
      </c>
      <c r="J2" s="3">
        <v>75.430000000000007</v>
      </c>
      <c r="K2" s="3">
        <v>77.8</v>
      </c>
    </row>
    <row r="3" spans="1:12" ht="14">
      <c r="A3" s="20" t="s">
        <v>60</v>
      </c>
      <c r="B3" s="3">
        <v>42.84</v>
      </c>
      <c r="C3" s="3">
        <v>42.84</v>
      </c>
      <c r="D3" s="3">
        <v>46.82</v>
      </c>
      <c r="E3" s="3">
        <v>49.81</v>
      </c>
      <c r="F3" s="3">
        <v>53.07</v>
      </c>
      <c r="G3" s="3">
        <v>59.4</v>
      </c>
      <c r="H3" s="3">
        <v>64.760000000000005</v>
      </c>
      <c r="I3" s="3">
        <v>70.12</v>
      </c>
      <c r="J3" s="3">
        <v>75.47</v>
      </c>
      <c r="K3" s="3">
        <v>78.23</v>
      </c>
    </row>
    <row r="4" spans="1:12" ht="14">
      <c r="A4" s="20" t="s">
        <v>232</v>
      </c>
      <c r="C4" s="36">
        <v>5.66</v>
      </c>
      <c r="D4" s="36">
        <v>7.64</v>
      </c>
      <c r="E4" s="36">
        <v>9.6300000000000008</v>
      </c>
      <c r="F4" s="36">
        <v>11.89</v>
      </c>
      <c r="G4" s="36">
        <v>15.62</v>
      </c>
      <c r="H4" s="36">
        <v>18.38</v>
      </c>
      <c r="I4" s="36">
        <v>21.14</v>
      </c>
      <c r="J4" s="36">
        <v>23.89</v>
      </c>
      <c r="K4" s="36">
        <v>26.65</v>
      </c>
    </row>
    <row r="5" spans="1:12" ht="14">
      <c r="A5" s="20" t="s">
        <v>233</v>
      </c>
      <c r="C5" s="37">
        <v>1.27</v>
      </c>
      <c r="D5" s="37">
        <v>2.64</v>
      </c>
      <c r="E5" s="37">
        <v>4.34</v>
      </c>
      <c r="F5" s="37">
        <v>5.88</v>
      </c>
      <c r="G5" s="37">
        <v>8.4499999999999993</v>
      </c>
      <c r="H5" s="37">
        <v>10.34</v>
      </c>
      <c r="I5" s="37">
        <v>12.24</v>
      </c>
      <c r="J5" s="37">
        <v>14.13</v>
      </c>
      <c r="K5" s="37">
        <v>16.02</v>
      </c>
    </row>
    <row r="7" spans="1:12" ht="14">
      <c r="A7" s="3" t="s">
        <v>239</v>
      </c>
      <c r="B7" s="3">
        <v>0</v>
      </c>
      <c r="C7" s="3">
        <v>7</v>
      </c>
      <c r="D7" s="3">
        <v>14.5</v>
      </c>
      <c r="E7" s="3">
        <v>22</v>
      </c>
      <c r="F7" s="3">
        <v>30.5</v>
      </c>
      <c r="G7" s="3">
        <v>44.6</v>
      </c>
      <c r="H7" s="3">
        <v>55</v>
      </c>
      <c r="I7" s="3">
        <v>65.400000000000006</v>
      </c>
      <c r="J7" s="3">
        <v>75.8</v>
      </c>
      <c r="K7" s="3">
        <v>86.2</v>
      </c>
    </row>
    <row r="8" spans="1:12" ht="14">
      <c r="A8" s="3" t="s">
        <v>240</v>
      </c>
      <c r="D8">
        <f t="shared" ref="D8:K8" si="0">D7-C7</f>
        <v>7.5</v>
      </c>
      <c r="E8">
        <f t="shared" si="0"/>
        <v>7.5</v>
      </c>
      <c r="F8">
        <f t="shared" si="0"/>
        <v>8.5</v>
      </c>
      <c r="G8">
        <f t="shared" si="0"/>
        <v>14.100000000000001</v>
      </c>
      <c r="H8">
        <f t="shared" si="0"/>
        <v>10.399999999999999</v>
      </c>
      <c r="I8">
        <f t="shared" si="0"/>
        <v>10.400000000000006</v>
      </c>
      <c r="J8">
        <f t="shared" si="0"/>
        <v>10.399999999999991</v>
      </c>
      <c r="K8">
        <f t="shared" si="0"/>
        <v>10.400000000000006</v>
      </c>
    </row>
    <row r="10" spans="1:12" ht="14">
      <c r="A10" s="3" t="s">
        <v>241</v>
      </c>
      <c r="D10">
        <f t="shared" ref="D10:K11" si="1">D2-C2</f>
        <v>1.7199999999999989</v>
      </c>
      <c r="E10">
        <f t="shared" si="1"/>
        <v>1.710000000000008</v>
      </c>
      <c r="F10">
        <f t="shared" si="1"/>
        <v>0.94999999999998863</v>
      </c>
      <c r="G10">
        <f t="shared" si="1"/>
        <v>3.2200000000000131</v>
      </c>
      <c r="H10">
        <f t="shared" si="1"/>
        <v>2.3799999999999955</v>
      </c>
      <c r="I10">
        <f t="shared" si="1"/>
        <v>2.3799999999999955</v>
      </c>
      <c r="J10">
        <f t="shared" si="1"/>
        <v>2.3800000000000097</v>
      </c>
      <c r="K10">
        <f t="shared" si="1"/>
        <v>2.3699999999999903</v>
      </c>
    </row>
    <row r="11" spans="1:12" ht="14">
      <c r="A11" s="3" t="s">
        <v>242</v>
      </c>
      <c r="D11">
        <f t="shared" si="1"/>
        <v>3.9799999999999969</v>
      </c>
      <c r="E11">
        <f t="shared" si="1"/>
        <v>2.990000000000002</v>
      </c>
      <c r="F11">
        <f t="shared" si="1"/>
        <v>3.259999999999998</v>
      </c>
      <c r="G11">
        <f t="shared" si="1"/>
        <v>6.3299999999999983</v>
      </c>
      <c r="H11">
        <f t="shared" si="1"/>
        <v>5.3600000000000065</v>
      </c>
      <c r="I11">
        <f t="shared" si="1"/>
        <v>5.3599999999999994</v>
      </c>
      <c r="J11">
        <f t="shared" si="1"/>
        <v>5.3499999999999943</v>
      </c>
      <c r="K11">
        <f t="shared" si="1"/>
        <v>2.7600000000000051</v>
      </c>
    </row>
    <row r="12" spans="1:12" ht="14">
      <c r="A12" s="3" t="s">
        <v>243</v>
      </c>
      <c r="D12">
        <f>D11</f>
        <v>3.9799999999999969</v>
      </c>
      <c r="E12">
        <f>E11-1</f>
        <v>1.990000000000002</v>
      </c>
      <c r="F12">
        <f>F11-1</f>
        <v>2.259999999999998</v>
      </c>
      <c r="G12">
        <f>G11-2.6</f>
        <v>3.7299999999999982</v>
      </c>
      <c r="H12">
        <f>H11-2.6</f>
        <v>2.7600000000000064</v>
      </c>
      <c r="I12">
        <f>I11-2.6</f>
        <v>2.7599999999999993</v>
      </c>
      <c r="J12">
        <f>J11-2.6</f>
        <v>2.7499999999999942</v>
      </c>
      <c r="K12">
        <f>K11</f>
        <v>2.7600000000000051</v>
      </c>
      <c r="L12" s="38"/>
    </row>
    <row r="13" spans="1:12" ht="14">
      <c r="A13" s="3" t="s">
        <v>244</v>
      </c>
      <c r="D13">
        <f t="shared" ref="D13:K14" si="2">D4-C4</f>
        <v>1.9799999999999995</v>
      </c>
      <c r="E13">
        <f t="shared" si="2"/>
        <v>1.9900000000000011</v>
      </c>
      <c r="F13">
        <f t="shared" si="2"/>
        <v>2.2599999999999998</v>
      </c>
      <c r="G13">
        <f t="shared" si="2"/>
        <v>3.7299999999999986</v>
      </c>
      <c r="H13">
        <f t="shared" si="2"/>
        <v>2.76</v>
      </c>
      <c r="I13">
        <f t="shared" si="2"/>
        <v>2.7600000000000016</v>
      </c>
      <c r="J13">
        <f t="shared" si="2"/>
        <v>2.75</v>
      </c>
      <c r="K13">
        <f t="shared" si="2"/>
        <v>2.759999999999998</v>
      </c>
    </row>
    <row r="14" spans="1:12" ht="14">
      <c r="A14" s="3" t="s">
        <v>245</v>
      </c>
      <c r="D14">
        <f t="shared" si="2"/>
        <v>1.37</v>
      </c>
      <c r="E14">
        <f t="shared" si="2"/>
        <v>1.6999999999999997</v>
      </c>
      <c r="F14">
        <f t="shared" si="2"/>
        <v>1.54</v>
      </c>
      <c r="G14">
        <f t="shared" si="2"/>
        <v>2.5699999999999994</v>
      </c>
      <c r="H14">
        <f t="shared" si="2"/>
        <v>1.8900000000000006</v>
      </c>
      <c r="I14">
        <f t="shared" si="2"/>
        <v>1.9000000000000004</v>
      </c>
      <c r="J14">
        <f t="shared" si="2"/>
        <v>1.8900000000000006</v>
      </c>
      <c r="K14">
        <f t="shared" si="2"/>
        <v>1.8899999999999988</v>
      </c>
    </row>
    <row r="16" spans="1:12" ht="14">
      <c r="A16" s="3" t="s">
        <v>246</v>
      </c>
      <c r="D16" s="39">
        <f t="shared" ref="D16:K16" si="3">D10/D8</f>
        <v>0.22933333333333319</v>
      </c>
      <c r="E16" s="39">
        <f t="shared" si="3"/>
        <v>0.22800000000000106</v>
      </c>
      <c r="F16" s="5">
        <f t="shared" si="3"/>
        <v>0.1117647058823516</v>
      </c>
      <c r="G16" s="39">
        <f t="shared" si="3"/>
        <v>0.22836879432624205</v>
      </c>
      <c r="H16" s="39">
        <f t="shared" si="3"/>
        <v>0.22884615384615345</v>
      </c>
      <c r="I16" s="39">
        <f t="shared" si="3"/>
        <v>0.22884615384615328</v>
      </c>
      <c r="J16" s="39">
        <f t="shared" si="3"/>
        <v>0.22884615384615498</v>
      </c>
      <c r="K16" s="39">
        <f t="shared" si="3"/>
        <v>0.22788461538461433</v>
      </c>
    </row>
    <row r="17" spans="1:11" ht="14">
      <c r="A17" s="3" t="s">
        <v>247</v>
      </c>
      <c r="D17" s="5">
        <f t="shared" ref="D17:K17" si="4">D12/D8</f>
        <v>0.53066666666666629</v>
      </c>
      <c r="E17" s="39">
        <f t="shared" si="4"/>
        <v>0.26533333333333359</v>
      </c>
      <c r="F17" s="39">
        <f t="shared" si="4"/>
        <v>0.26588235294117624</v>
      </c>
      <c r="G17" s="39">
        <f t="shared" si="4"/>
        <v>0.26453900709219841</v>
      </c>
      <c r="H17" s="39">
        <f t="shared" si="4"/>
        <v>0.26538461538461605</v>
      </c>
      <c r="I17" s="39">
        <f t="shared" si="4"/>
        <v>0.26538461538461516</v>
      </c>
      <c r="J17" s="39">
        <f t="shared" si="4"/>
        <v>0.26442307692307659</v>
      </c>
      <c r="K17" s="39">
        <f t="shared" si="4"/>
        <v>0.26538461538461572</v>
      </c>
    </row>
    <row r="18" spans="1:11" ht="14">
      <c r="A18" s="3" t="s">
        <v>248</v>
      </c>
      <c r="D18" s="39">
        <f t="shared" ref="D18:K18" si="5">D13/D8</f>
        <v>0.26399999999999996</v>
      </c>
      <c r="E18" s="39">
        <f t="shared" si="5"/>
        <v>0.26533333333333348</v>
      </c>
      <c r="F18" s="39">
        <f t="shared" si="5"/>
        <v>0.26588235294117646</v>
      </c>
      <c r="G18" s="39">
        <f t="shared" si="5"/>
        <v>0.26453900709219846</v>
      </c>
      <c r="H18" s="39">
        <f t="shared" si="5"/>
        <v>0.26538461538461539</v>
      </c>
      <c r="I18" s="39">
        <f t="shared" si="5"/>
        <v>0.26538461538461539</v>
      </c>
      <c r="J18" s="39">
        <f t="shared" si="5"/>
        <v>0.26442307692307715</v>
      </c>
      <c r="K18" s="39">
        <f t="shared" si="5"/>
        <v>0.26538461538461505</v>
      </c>
    </row>
    <row r="19" spans="1:11" ht="14">
      <c r="A19" s="3" t="s">
        <v>249</v>
      </c>
      <c r="D19" s="39">
        <f t="shared" ref="D19:K19" si="6">D14/D8</f>
        <v>0.18266666666666667</v>
      </c>
      <c r="E19" s="5">
        <f t="shared" si="6"/>
        <v>0.22666666666666663</v>
      </c>
      <c r="F19" s="39">
        <f t="shared" si="6"/>
        <v>0.1811764705882353</v>
      </c>
      <c r="G19" s="39">
        <f t="shared" si="6"/>
        <v>0.18226950354609922</v>
      </c>
      <c r="H19" s="39">
        <f t="shared" si="6"/>
        <v>0.18173076923076931</v>
      </c>
      <c r="I19" s="39">
        <f t="shared" si="6"/>
        <v>0.18269230769230763</v>
      </c>
      <c r="J19" s="39">
        <f t="shared" si="6"/>
        <v>0.18173076923076945</v>
      </c>
      <c r="K19" s="39">
        <f t="shared" si="6"/>
        <v>0.181730769230769</v>
      </c>
    </row>
    <row r="20" spans="1:11" ht="14">
      <c r="A20" s="3"/>
    </row>
    <row r="21" spans="1:11" ht="14">
      <c r="A21" s="3" t="s">
        <v>250</v>
      </c>
      <c r="D21">
        <f>G2-G7*G16</f>
        <v>58.104751773049614</v>
      </c>
      <c r="F21" s="3" t="s">
        <v>251</v>
      </c>
    </row>
    <row r="22" spans="1:11" ht="14">
      <c r="A22" s="3" t="s">
        <v>252</v>
      </c>
      <c r="D22">
        <f>G3-G7*G17</f>
        <v>47.601560283687945</v>
      </c>
    </row>
    <row r="23" spans="1:11" ht="14">
      <c r="A23" s="3" t="s">
        <v>253</v>
      </c>
      <c r="D23">
        <f>G4-G7*G18</f>
        <v>3.8215602836879476</v>
      </c>
    </row>
    <row r="24" spans="1:11" ht="14">
      <c r="A24" s="3" t="s">
        <v>254</v>
      </c>
      <c r="D24">
        <f>G5-G7*G19</f>
        <v>0.32078014184397396</v>
      </c>
    </row>
    <row r="25" spans="1:11" ht="14">
      <c r="A25" s="3"/>
    </row>
    <row r="26" spans="1:11" ht="14">
      <c r="A26" s="3" t="s">
        <v>255</v>
      </c>
    </row>
    <row r="27" spans="1:11" ht="14">
      <c r="A27" s="15" t="s">
        <v>256</v>
      </c>
      <c r="C27" s="3"/>
      <c r="D27" s="3"/>
    </row>
    <row r="28" spans="1:11" ht="14">
      <c r="A28" s="3"/>
      <c r="B28" s="3"/>
    </row>
    <row r="29" spans="1:11" ht="14">
      <c r="B29" s="3" t="s">
        <v>257</v>
      </c>
      <c r="C29" s="3" t="s">
        <v>258</v>
      </c>
    </row>
    <row r="30" spans="1:11" ht="14">
      <c r="B30" s="3" t="s">
        <v>259</v>
      </c>
      <c r="C30" s="3" t="s">
        <v>260</v>
      </c>
    </row>
    <row r="31" spans="1:11" ht="14">
      <c r="B31" s="3" t="s">
        <v>261</v>
      </c>
      <c r="C31" s="3" t="s">
        <v>262</v>
      </c>
    </row>
    <row r="32" spans="1:11" ht="14">
      <c r="B32" s="3" t="s">
        <v>263</v>
      </c>
      <c r="C32" s="15" t="s">
        <v>264</v>
      </c>
    </row>
    <row r="33" spans="1:3" ht="14">
      <c r="B33" s="3" t="s">
        <v>265</v>
      </c>
      <c r="C33" s="3" t="s">
        <v>266</v>
      </c>
    </row>
    <row r="34" spans="1:3" ht="14">
      <c r="B34" s="3" t="s">
        <v>267</v>
      </c>
      <c r="C34" s="3" t="s">
        <v>266</v>
      </c>
    </row>
    <row r="35" spans="1:3" ht="14">
      <c r="B35" s="3" t="s">
        <v>268</v>
      </c>
      <c r="C35" s="3" t="s">
        <v>266</v>
      </c>
    </row>
    <row r="36" spans="1:3" ht="14">
      <c r="B36" s="3" t="s">
        <v>269</v>
      </c>
      <c r="C36" s="3" t="s">
        <v>266</v>
      </c>
    </row>
    <row r="37" spans="1:3" ht="14">
      <c r="B37" s="3" t="s">
        <v>270</v>
      </c>
      <c r="C37" s="3" t="s">
        <v>266</v>
      </c>
    </row>
    <row r="39" spans="1:3" ht="14">
      <c r="A39" s="3" t="s">
        <v>19</v>
      </c>
    </row>
    <row r="40" spans="1:3" ht="14">
      <c r="A40" s="3" t="s">
        <v>271</v>
      </c>
      <c r="C40" s="16" t="s">
        <v>272</v>
      </c>
    </row>
    <row r="41" spans="1:3" ht="14">
      <c r="A41" s="3" t="s">
        <v>273</v>
      </c>
      <c r="C41" s="16" t="s">
        <v>112</v>
      </c>
    </row>
    <row r="42" spans="1:3" ht="14">
      <c r="A42" s="3" t="s">
        <v>274</v>
      </c>
      <c r="C42" s="16" t="s">
        <v>275</v>
      </c>
    </row>
  </sheetData>
  <hyperlinks>
    <hyperlink ref="C40" r:id="rId1"/>
    <hyperlink ref="C41" r:id="rId2"/>
    <hyperlink ref="C42" r:id="rId3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A10" zoomScaleNormal="100" workbookViewId="0"/>
  </sheetViews>
  <sheetFormatPr defaultRowHeight="12.5"/>
  <cols>
    <col min="1" max="2" width="14.453125" customWidth="1"/>
    <col min="3" max="3" width="17.54296875" customWidth="1"/>
    <col min="4" max="4" width="24.90625" customWidth="1"/>
    <col min="5" max="6" width="28.453125" customWidth="1"/>
    <col min="7" max="7" width="25" customWidth="1"/>
    <col min="8" max="1025" width="14.453125" customWidth="1"/>
  </cols>
  <sheetData>
    <row r="1" spans="1:7" ht="14">
      <c r="C1" s="3" t="s">
        <v>276</v>
      </c>
      <c r="D1" s="3" t="s">
        <v>277</v>
      </c>
      <c r="E1" s="3" t="s">
        <v>278</v>
      </c>
      <c r="F1" s="2" t="s">
        <v>279</v>
      </c>
      <c r="G1" s="3" t="s">
        <v>280</v>
      </c>
    </row>
    <row r="2" spans="1:7" ht="14">
      <c r="A2" s="20" t="s">
        <v>57</v>
      </c>
      <c r="C2" s="3">
        <v>1.4410000000000001</v>
      </c>
      <c r="D2" s="3">
        <v>1.5782</v>
      </c>
      <c r="E2" s="3">
        <v>1.5644</v>
      </c>
      <c r="F2" s="2">
        <v>1.5507</v>
      </c>
      <c r="G2" s="3">
        <v>1.5096000000000001</v>
      </c>
    </row>
    <row r="3" spans="1:7" ht="14">
      <c r="A3" s="20" t="s">
        <v>60</v>
      </c>
      <c r="C3" s="3">
        <v>1.399</v>
      </c>
      <c r="D3" s="3">
        <v>1.5581</v>
      </c>
      <c r="E3" s="3">
        <v>1.5422</v>
      </c>
      <c r="F3" s="2">
        <v>1.5262</v>
      </c>
      <c r="G3" s="3">
        <v>1.4784999999999999</v>
      </c>
    </row>
    <row r="4" spans="1:7" ht="14">
      <c r="A4" s="20" t="s">
        <v>232</v>
      </c>
      <c r="C4" s="3">
        <v>0.85899999999999999</v>
      </c>
      <c r="D4" s="3">
        <v>1.0181</v>
      </c>
      <c r="E4" s="3">
        <v>1.0022</v>
      </c>
      <c r="F4" s="2">
        <v>0.98619999999999997</v>
      </c>
      <c r="G4" s="3">
        <v>0.9385</v>
      </c>
    </row>
    <row r="5" spans="1:7" ht="14">
      <c r="A5" s="20" t="s">
        <v>233</v>
      </c>
      <c r="C5" s="3">
        <v>0.65100000000000002</v>
      </c>
      <c r="D5" s="3">
        <v>0.75960000000000005</v>
      </c>
      <c r="E5" s="3">
        <v>0.74873999999999996</v>
      </c>
      <c r="F5" s="2">
        <v>0.73787999999999998</v>
      </c>
      <c r="G5" s="3">
        <v>0.70530000000000004</v>
      </c>
    </row>
    <row r="6" spans="1:7" ht="14">
      <c r="F6" s="21"/>
    </row>
    <row r="7" spans="1:7" ht="14">
      <c r="A7" s="20" t="s">
        <v>281</v>
      </c>
      <c r="D7" s="40">
        <f>(D2-C2)/C2</f>
        <v>9.5211658570437188E-2</v>
      </c>
      <c r="E7" s="40">
        <f>(E2-C2)/C2</f>
        <v>8.5634975711311553E-2</v>
      </c>
      <c r="F7" s="41">
        <f>(F2-C2)/C2</f>
        <v>7.6127689104788274E-2</v>
      </c>
      <c r="G7" s="40">
        <f>(G2-C2)/C2</f>
        <v>4.7605829285218594E-2</v>
      </c>
    </row>
    <row r="8" spans="1:7" ht="14">
      <c r="A8" s="20" t="s">
        <v>282</v>
      </c>
      <c r="D8" s="40">
        <f>(D3-C3)/C3</f>
        <v>0.11372408863473911</v>
      </c>
      <c r="E8" s="40">
        <f>(E3-C3)/C3</f>
        <v>0.10235882773409578</v>
      </c>
      <c r="F8" s="41">
        <f>(F3-C3)/C3</f>
        <v>9.0922087205146523E-2</v>
      </c>
      <c r="G8" s="40">
        <f>(G3-C3)/C3</f>
        <v>5.6826304503216511E-2</v>
      </c>
    </row>
    <row r="9" spans="1:7" ht="14">
      <c r="A9" s="20" t="s">
        <v>283</v>
      </c>
      <c r="D9" s="40">
        <f>(D4-C4)/C4</f>
        <v>0.18521536670547151</v>
      </c>
      <c r="E9" s="40">
        <f>(E4-C4)/C4</f>
        <v>0.16670547147846332</v>
      </c>
      <c r="F9" s="41">
        <f>(F4-C4)/C4</f>
        <v>0.14807916181606517</v>
      </c>
      <c r="G9" s="40">
        <f>(G4-C4)/C4</f>
        <v>9.2549476135040762E-2</v>
      </c>
    </row>
    <row r="10" spans="1:7" ht="14">
      <c r="A10" s="20" t="s">
        <v>284</v>
      </c>
      <c r="D10" s="40">
        <f>(D5-C5)/C5</f>
        <v>0.1668202764976959</v>
      </c>
      <c r="E10" s="40">
        <f>(E5-C5)/C5</f>
        <v>0.15013824884792618</v>
      </c>
      <c r="F10" s="41">
        <f>(F5-C5)/C5</f>
        <v>0.13345622119815662</v>
      </c>
      <c r="G10" s="40">
        <f>(G5-C5)/C5</f>
        <v>8.3410138248847951E-2</v>
      </c>
    </row>
    <row r="11" spans="1:7" ht="14">
      <c r="F11" s="21"/>
    </row>
    <row r="12" spans="1:7" ht="14">
      <c r="A12" s="20" t="s">
        <v>285</v>
      </c>
      <c r="D12">
        <f>D2-$C$2</f>
        <v>0.13719999999999999</v>
      </c>
      <c r="E12">
        <f>E2-$C$2</f>
        <v>0.12339999999999995</v>
      </c>
      <c r="F12" s="21">
        <f>F2-$C$2</f>
        <v>0.10969999999999991</v>
      </c>
      <c r="G12">
        <f>G2-$C$2</f>
        <v>6.8599999999999994E-2</v>
      </c>
    </row>
    <row r="13" spans="1:7" ht="14">
      <c r="A13" s="20" t="s">
        <v>286</v>
      </c>
      <c r="D13">
        <f>D3-$C$3</f>
        <v>0.15910000000000002</v>
      </c>
      <c r="E13">
        <f>E3-$C$3</f>
        <v>0.14319999999999999</v>
      </c>
      <c r="F13" s="21">
        <f>F3-$C$3</f>
        <v>0.12719999999999998</v>
      </c>
      <c r="G13">
        <f>G3-$C$3</f>
        <v>7.9499999999999904E-2</v>
      </c>
    </row>
    <row r="14" spans="1:7" ht="14">
      <c r="A14" s="20" t="s">
        <v>287</v>
      </c>
      <c r="D14">
        <f>D4-$C$4</f>
        <v>0.15910000000000002</v>
      </c>
      <c r="E14">
        <f>E4-$C$4</f>
        <v>0.14319999999999999</v>
      </c>
      <c r="F14" s="21">
        <f>F4-$C$4</f>
        <v>0.12719999999999998</v>
      </c>
      <c r="G14">
        <f>G4-$C$4</f>
        <v>7.9500000000000015E-2</v>
      </c>
    </row>
    <row r="15" spans="1:7" ht="14">
      <c r="A15" s="20" t="s">
        <v>288</v>
      </c>
      <c r="D15">
        <f>D5-$C$5</f>
        <v>0.10860000000000003</v>
      </c>
      <c r="E15">
        <f>E5-$C$5</f>
        <v>9.7739999999999938E-2</v>
      </c>
      <c r="F15" s="21">
        <f>F5-$C$5</f>
        <v>8.6879999999999957E-2</v>
      </c>
      <c r="G15">
        <f>G5-$C$5</f>
        <v>5.4300000000000015E-2</v>
      </c>
    </row>
    <row r="16" spans="1:7" ht="14">
      <c r="F16" s="21"/>
    </row>
    <row r="17" spans="1:6" ht="14">
      <c r="F17" s="21"/>
    </row>
    <row r="18" spans="1:6" ht="14">
      <c r="A18" s="3" t="s">
        <v>19</v>
      </c>
      <c r="F18" s="21"/>
    </row>
    <row r="19" spans="1:6" ht="14">
      <c r="A19" s="3" t="s">
        <v>289</v>
      </c>
      <c r="C19" s="3" t="s">
        <v>290</v>
      </c>
      <c r="F19" s="21"/>
    </row>
    <row r="20" spans="1:6" ht="14">
      <c r="A20" s="3" t="s">
        <v>291</v>
      </c>
      <c r="C20" s="3" t="s">
        <v>292</v>
      </c>
      <c r="F20" s="21"/>
    </row>
    <row r="21" spans="1:6" ht="14">
      <c r="A21" s="3" t="s">
        <v>293</v>
      </c>
      <c r="C21" s="3" t="s">
        <v>294</v>
      </c>
      <c r="F21" s="21"/>
    </row>
    <row r="22" spans="1:6" ht="14">
      <c r="F22" s="21"/>
    </row>
    <row r="23" spans="1:6" ht="14">
      <c r="A23" s="3" t="s">
        <v>295</v>
      </c>
      <c r="C23" s="3" t="s">
        <v>296</v>
      </c>
      <c r="F23" s="21"/>
    </row>
    <row r="24" spans="1:6" ht="14">
      <c r="A24" s="3" t="s">
        <v>297</v>
      </c>
      <c r="F24" s="2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zoomScaleNormal="100" workbookViewId="0"/>
  </sheetViews>
  <sheetFormatPr defaultRowHeight="12.5"/>
  <cols>
    <col min="1" max="1" width="21.26953125" customWidth="1"/>
    <col min="2" max="2" width="20.54296875" customWidth="1"/>
    <col min="3" max="3" width="14.453125" customWidth="1"/>
    <col min="4" max="4" width="28.54296875" customWidth="1"/>
    <col min="5" max="5" width="27.81640625" customWidth="1"/>
    <col min="6" max="1025" width="14.453125" customWidth="1"/>
  </cols>
  <sheetData>
    <row r="1" spans="1:26" ht="14">
      <c r="A1" s="2" t="s">
        <v>298</v>
      </c>
      <c r="B1" s="2" t="s">
        <v>299</v>
      </c>
      <c r="C1" s="2" t="s">
        <v>300</v>
      </c>
      <c r="D1" s="2" t="s">
        <v>301</v>
      </c>
      <c r="E1" s="2" t="s">
        <v>302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">
      <c r="A2" s="20" t="s">
        <v>303</v>
      </c>
      <c r="B2" s="3" t="s">
        <v>8</v>
      </c>
      <c r="C2" s="42">
        <v>0.19500000000000001</v>
      </c>
      <c r="D2" s="42">
        <v>0.2</v>
      </c>
      <c r="E2" s="42">
        <v>0.186</v>
      </c>
    </row>
    <row r="3" spans="1:26" ht="14">
      <c r="A3" s="20" t="s">
        <v>304</v>
      </c>
      <c r="B3" s="3" t="s">
        <v>8</v>
      </c>
      <c r="C3" s="42">
        <v>0.19700000000000001</v>
      </c>
      <c r="D3" s="42">
        <v>0.19600000000000001</v>
      </c>
      <c r="E3" s="42">
        <v>0.2</v>
      </c>
    </row>
    <row r="4" spans="1:26" ht="14">
      <c r="A4" s="20" t="s">
        <v>305</v>
      </c>
      <c r="B4" s="3" t="s">
        <v>8</v>
      </c>
      <c r="C4" s="42">
        <v>0.20399999999999999</v>
      </c>
      <c r="D4" s="42">
        <v>0.30499999999999999</v>
      </c>
      <c r="E4" s="42">
        <v>1E-3</v>
      </c>
    </row>
    <row r="5" spans="1:26" ht="14">
      <c r="A5" s="20" t="s">
        <v>306</v>
      </c>
      <c r="B5" s="3" t="s">
        <v>8</v>
      </c>
      <c r="C5" s="42">
        <v>0.17299999999999999</v>
      </c>
      <c r="D5" s="42">
        <v>0.17100000000000001</v>
      </c>
      <c r="E5" s="42">
        <v>0.17799999999999999</v>
      </c>
    </row>
    <row r="6" spans="1:26" ht="14">
      <c r="A6" s="20" t="s">
        <v>307</v>
      </c>
      <c r="B6" s="3" t="s">
        <v>8</v>
      </c>
      <c r="C6" s="42">
        <v>0.20499999999999999</v>
      </c>
      <c r="D6" s="42">
        <v>0.30199999999999999</v>
      </c>
      <c r="E6" s="42">
        <v>0.02</v>
      </c>
    </row>
    <row r="7" spans="1:26" ht="14">
      <c r="A7" s="20" t="s">
        <v>307</v>
      </c>
      <c r="B7" s="3" t="s">
        <v>308</v>
      </c>
      <c r="C7" s="42">
        <v>0.183</v>
      </c>
      <c r="D7" s="42">
        <v>0.222</v>
      </c>
      <c r="E7" s="42">
        <v>0.1</v>
      </c>
    </row>
    <row r="8" spans="1:26" ht="14">
      <c r="A8" s="20" t="s">
        <v>309</v>
      </c>
      <c r="B8" s="3" t="s">
        <v>308</v>
      </c>
      <c r="C8" s="42">
        <v>0.16500000000000001</v>
      </c>
      <c r="D8" s="42">
        <v>0.16300000000000001</v>
      </c>
      <c r="E8" s="42">
        <v>0.16900000000000001</v>
      </c>
    </row>
    <row r="9" spans="1:26" ht="14">
      <c r="A9" s="3" t="s">
        <v>310</v>
      </c>
      <c r="B9" s="3" t="s">
        <v>8</v>
      </c>
      <c r="D9" s="43"/>
      <c r="E9" s="43"/>
    </row>
    <row r="10" spans="1:26" ht="14">
      <c r="A10" s="3" t="s">
        <v>311</v>
      </c>
      <c r="B10" s="3" t="s">
        <v>8</v>
      </c>
      <c r="D10" s="43"/>
      <c r="E10" s="43"/>
    </row>
    <row r="11" spans="1:26" ht="14">
      <c r="A11" s="3" t="s">
        <v>310</v>
      </c>
      <c r="B11" s="3" t="s">
        <v>308</v>
      </c>
      <c r="D11" s="43"/>
      <c r="E11" s="43"/>
    </row>
    <row r="12" spans="1:26" ht="14">
      <c r="A12" s="3" t="s">
        <v>311</v>
      </c>
      <c r="B12" s="3" t="s">
        <v>308</v>
      </c>
      <c r="D12" s="43"/>
      <c r="E12" s="43"/>
    </row>
    <row r="13" spans="1:26" ht="14">
      <c r="A13" s="3"/>
    </row>
    <row r="14" spans="1:26" ht="14">
      <c r="A14" s="3"/>
    </row>
    <row r="15" spans="1:26" ht="14">
      <c r="A15" s="3" t="s">
        <v>312</v>
      </c>
    </row>
    <row r="16" spans="1:26" ht="14">
      <c r="A16" s="35" t="s">
        <v>313</v>
      </c>
    </row>
    <row r="17" spans="1:1" ht="14">
      <c r="A17" s="3"/>
    </row>
    <row r="18" spans="1:1" ht="14">
      <c r="A18" s="3" t="s">
        <v>314</v>
      </c>
    </row>
    <row r="19" spans="1:1" ht="14">
      <c r="A19" s="35" t="s">
        <v>315</v>
      </c>
    </row>
    <row r="21" spans="1:1" ht="14">
      <c r="A21" s="3" t="s">
        <v>316</v>
      </c>
    </row>
    <row r="22" spans="1:1" ht="14">
      <c r="A22" s="3" t="s">
        <v>317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zoomScaleNormal="100" workbookViewId="0"/>
  </sheetViews>
  <sheetFormatPr defaultRowHeight="12.5"/>
  <cols>
    <col min="1" max="1025" width="14.453125" customWidth="1"/>
  </cols>
  <sheetData>
    <row r="1" spans="1:2" ht="14">
      <c r="A1">
        <f>1</f>
        <v>1</v>
      </c>
      <c r="B1" s="44" t="s">
        <v>318</v>
      </c>
    </row>
    <row r="2" spans="1:2" ht="14">
      <c r="A2">
        <f t="shared" ref="A2:A33" si="0">A1+1</f>
        <v>2</v>
      </c>
      <c r="B2" s="44" t="s">
        <v>318</v>
      </c>
    </row>
    <row r="3" spans="1:2" ht="14">
      <c r="A3">
        <f t="shared" si="0"/>
        <v>3</v>
      </c>
      <c r="B3" s="3" t="s">
        <v>319</v>
      </c>
    </row>
    <row r="4" spans="1:2" ht="14">
      <c r="A4">
        <f t="shared" si="0"/>
        <v>4</v>
      </c>
      <c r="B4" s="44" t="s">
        <v>318</v>
      </c>
    </row>
    <row r="5" spans="1:2" ht="14">
      <c r="A5">
        <f t="shared" si="0"/>
        <v>5</v>
      </c>
      <c r="B5" s="3" t="s">
        <v>319</v>
      </c>
    </row>
    <row r="6" spans="1:2" ht="14">
      <c r="A6">
        <f t="shared" si="0"/>
        <v>6</v>
      </c>
      <c r="B6" s="44" t="s">
        <v>318</v>
      </c>
    </row>
    <row r="7" spans="1:2" ht="14">
      <c r="A7">
        <f t="shared" si="0"/>
        <v>7</v>
      </c>
      <c r="B7" s="44" t="s">
        <v>318</v>
      </c>
    </row>
    <row r="8" spans="1:2" ht="14">
      <c r="A8">
        <f t="shared" si="0"/>
        <v>8</v>
      </c>
      <c r="B8" s="44" t="s">
        <v>318</v>
      </c>
    </row>
    <row r="9" spans="1:2" ht="14">
      <c r="A9">
        <f t="shared" si="0"/>
        <v>9</v>
      </c>
      <c r="B9" s="3" t="s">
        <v>319</v>
      </c>
    </row>
    <row r="10" spans="1:2" ht="14">
      <c r="A10">
        <f t="shared" si="0"/>
        <v>10</v>
      </c>
      <c r="B10" s="44" t="s">
        <v>318</v>
      </c>
    </row>
    <row r="11" spans="1:2" ht="14">
      <c r="A11">
        <f t="shared" si="0"/>
        <v>11</v>
      </c>
      <c r="B11" s="44" t="s">
        <v>318</v>
      </c>
    </row>
    <row r="12" spans="1:2" ht="14">
      <c r="A12">
        <f t="shared" si="0"/>
        <v>12</v>
      </c>
      <c r="B12" s="44" t="s">
        <v>318</v>
      </c>
    </row>
    <row r="13" spans="1:2" ht="14">
      <c r="A13">
        <f t="shared" si="0"/>
        <v>13</v>
      </c>
      <c r="B13" s="44" t="s">
        <v>318</v>
      </c>
    </row>
    <row r="14" spans="1:2" ht="14">
      <c r="A14">
        <f t="shared" si="0"/>
        <v>14</v>
      </c>
      <c r="B14" s="3" t="s">
        <v>319</v>
      </c>
    </row>
    <row r="15" spans="1:2" ht="14">
      <c r="A15">
        <f t="shared" si="0"/>
        <v>15</v>
      </c>
      <c r="B15" s="3" t="s">
        <v>319</v>
      </c>
    </row>
    <row r="16" spans="1:2" ht="14">
      <c r="A16">
        <f t="shared" si="0"/>
        <v>16</v>
      </c>
      <c r="B16" s="3" t="s">
        <v>319</v>
      </c>
    </row>
    <row r="17" spans="1:2" ht="14">
      <c r="A17">
        <f t="shared" si="0"/>
        <v>17</v>
      </c>
      <c r="B17" s="3" t="s">
        <v>319</v>
      </c>
    </row>
    <row r="18" spans="1:2" ht="14">
      <c r="A18">
        <f t="shared" si="0"/>
        <v>18</v>
      </c>
      <c r="B18" s="3" t="s">
        <v>319</v>
      </c>
    </row>
    <row r="19" spans="1:2" ht="14">
      <c r="A19">
        <f t="shared" si="0"/>
        <v>19</v>
      </c>
      <c r="B19" s="3" t="s">
        <v>319</v>
      </c>
    </row>
    <row r="20" spans="1:2" ht="14">
      <c r="A20">
        <f t="shared" si="0"/>
        <v>20</v>
      </c>
      <c r="B20" s="3" t="s">
        <v>320</v>
      </c>
    </row>
    <row r="21" spans="1:2" ht="14">
      <c r="A21">
        <f t="shared" si="0"/>
        <v>21</v>
      </c>
      <c r="B21" s="3" t="s">
        <v>319</v>
      </c>
    </row>
    <row r="22" spans="1:2" ht="14">
      <c r="A22">
        <f t="shared" si="0"/>
        <v>22</v>
      </c>
      <c r="B22" s="3" t="s">
        <v>319</v>
      </c>
    </row>
    <row r="23" spans="1:2" ht="14">
      <c r="A23">
        <f t="shared" si="0"/>
        <v>23</v>
      </c>
      <c r="B23" s="3" t="s">
        <v>319</v>
      </c>
    </row>
    <row r="24" spans="1:2" ht="14">
      <c r="A24">
        <f t="shared" si="0"/>
        <v>24</v>
      </c>
      <c r="B24" s="44" t="s">
        <v>318</v>
      </c>
    </row>
    <row r="25" spans="1:2" ht="14">
      <c r="A25">
        <f t="shared" si="0"/>
        <v>25</v>
      </c>
      <c r="B25" s="44" t="s">
        <v>318</v>
      </c>
    </row>
    <row r="26" spans="1:2" ht="14">
      <c r="A26">
        <f t="shared" si="0"/>
        <v>26</v>
      </c>
      <c r="B26" s="44" t="s">
        <v>318</v>
      </c>
    </row>
    <row r="27" spans="1:2" ht="14">
      <c r="A27">
        <f t="shared" si="0"/>
        <v>27</v>
      </c>
      <c r="B27" s="3" t="s">
        <v>319</v>
      </c>
    </row>
    <row r="28" spans="1:2" ht="14">
      <c r="A28">
        <f t="shared" si="0"/>
        <v>28</v>
      </c>
      <c r="B28" s="3" t="s">
        <v>319</v>
      </c>
    </row>
    <row r="29" spans="1:2" ht="14">
      <c r="A29">
        <f t="shared" si="0"/>
        <v>29</v>
      </c>
      <c r="B29" s="3" t="s">
        <v>319</v>
      </c>
    </row>
    <row r="30" spans="1:2" ht="14">
      <c r="A30">
        <f t="shared" si="0"/>
        <v>30</v>
      </c>
      <c r="B30" s="44" t="s">
        <v>318</v>
      </c>
    </row>
    <row r="31" spans="1:2" ht="14">
      <c r="A31">
        <f t="shared" si="0"/>
        <v>31</v>
      </c>
      <c r="B31" s="44" t="s">
        <v>318</v>
      </c>
    </row>
    <row r="32" spans="1:2" ht="14">
      <c r="A32">
        <f t="shared" si="0"/>
        <v>32</v>
      </c>
      <c r="B32" s="44" t="s">
        <v>318</v>
      </c>
    </row>
    <row r="33" spans="1:2" ht="14">
      <c r="A33">
        <f t="shared" si="0"/>
        <v>33</v>
      </c>
      <c r="B33" s="44" t="s">
        <v>318</v>
      </c>
    </row>
    <row r="34" spans="1:2" ht="14">
      <c r="A34">
        <f t="shared" ref="A34:A65" si="1">A33+1</f>
        <v>34</v>
      </c>
      <c r="B34" s="44" t="s">
        <v>318</v>
      </c>
    </row>
    <row r="35" spans="1:2" ht="14">
      <c r="A35">
        <f t="shared" si="1"/>
        <v>35</v>
      </c>
      <c r="B35" s="3" t="s">
        <v>319</v>
      </c>
    </row>
    <row r="36" spans="1:2" ht="14">
      <c r="A36">
        <f t="shared" si="1"/>
        <v>36</v>
      </c>
      <c r="B36" s="3" t="s">
        <v>319</v>
      </c>
    </row>
    <row r="37" spans="1:2" ht="14">
      <c r="A37">
        <f t="shared" si="1"/>
        <v>37</v>
      </c>
      <c r="B37" s="3" t="s">
        <v>319</v>
      </c>
    </row>
    <row r="38" spans="1:2" ht="14">
      <c r="A38">
        <f t="shared" si="1"/>
        <v>38</v>
      </c>
      <c r="B38" s="44" t="s">
        <v>318</v>
      </c>
    </row>
    <row r="39" spans="1:2" ht="14">
      <c r="A39">
        <f t="shared" si="1"/>
        <v>39</v>
      </c>
      <c r="B39" s="44" t="s">
        <v>318</v>
      </c>
    </row>
    <row r="40" spans="1:2" ht="14">
      <c r="A40">
        <f t="shared" si="1"/>
        <v>40</v>
      </c>
      <c r="B40" s="44" t="s">
        <v>318</v>
      </c>
    </row>
    <row r="41" spans="1:2" ht="14">
      <c r="A41">
        <f t="shared" si="1"/>
        <v>41</v>
      </c>
      <c r="B41" s="3" t="s">
        <v>319</v>
      </c>
    </row>
    <row r="42" spans="1:2" ht="14">
      <c r="A42">
        <f t="shared" si="1"/>
        <v>42</v>
      </c>
      <c r="B42" s="3" t="s">
        <v>319</v>
      </c>
    </row>
    <row r="43" spans="1:2" ht="14">
      <c r="A43">
        <f t="shared" si="1"/>
        <v>43</v>
      </c>
      <c r="B43" s="3" t="s">
        <v>321</v>
      </c>
    </row>
    <row r="44" spans="1:2" ht="14">
      <c r="A44">
        <f t="shared" si="1"/>
        <v>44</v>
      </c>
      <c r="B44" s="3" t="s">
        <v>319</v>
      </c>
    </row>
    <row r="45" spans="1:2" ht="14">
      <c r="A45">
        <f t="shared" si="1"/>
        <v>45</v>
      </c>
      <c r="B45" s="44" t="s">
        <v>318</v>
      </c>
    </row>
    <row r="46" spans="1:2" ht="14">
      <c r="A46">
        <f t="shared" si="1"/>
        <v>46</v>
      </c>
      <c r="B46" s="44" t="s">
        <v>318</v>
      </c>
    </row>
    <row r="47" spans="1:2" ht="14">
      <c r="A47">
        <f t="shared" si="1"/>
        <v>47</v>
      </c>
      <c r="B47" s="3" t="s">
        <v>319</v>
      </c>
    </row>
    <row r="48" spans="1:2" ht="14">
      <c r="A48">
        <f t="shared" si="1"/>
        <v>48</v>
      </c>
      <c r="B48" s="44" t="s">
        <v>318</v>
      </c>
    </row>
    <row r="49" spans="1:2" ht="14">
      <c r="A49">
        <f t="shared" si="1"/>
        <v>49</v>
      </c>
      <c r="B49" s="3" t="s">
        <v>319</v>
      </c>
    </row>
    <row r="50" spans="1:2" ht="14">
      <c r="A50">
        <f t="shared" si="1"/>
        <v>50</v>
      </c>
      <c r="B50" s="3" t="s">
        <v>319</v>
      </c>
    </row>
    <row r="51" spans="1:2" ht="14">
      <c r="A51">
        <f t="shared" si="1"/>
        <v>51</v>
      </c>
      <c r="B51" s="44" t="s">
        <v>318</v>
      </c>
    </row>
    <row r="52" spans="1:2" ht="14">
      <c r="A52">
        <f t="shared" si="1"/>
        <v>52</v>
      </c>
      <c r="B52" s="3" t="s">
        <v>319</v>
      </c>
    </row>
    <row r="53" spans="1:2" ht="14">
      <c r="A53">
        <f t="shared" si="1"/>
        <v>53</v>
      </c>
      <c r="B53" s="3" t="s">
        <v>319</v>
      </c>
    </row>
    <row r="54" spans="1:2" ht="14">
      <c r="A54">
        <f t="shared" si="1"/>
        <v>54</v>
      </c>
      <c r="B54" s="44" t="s">
        <v>318</v>
      </c>
    </row>
    <row r="55" spans="1:2" ht="14">
      <c r="A55">
        <f t="shared" si="1"/>
        <v>55</v>
      </c>
      <c r="B55" s="44" t="s">
        <v>318</v>
      </c>
    </row>
    <row r="56" spans="1:2" ht="14">
      <c r="A56">
        <f t="shared" si="1"/>
        <v>56</v>
      </c>
      <c r="B56" s="3" t="s">
        <v>319</v>
      </c>
    </row>
    <row r="57" spans="1:2" ht="14">
      <c r="A57">
        <f t="shared" si="1"/>
        <v>57</v>
      </c>
      <c r="B57" s="44" t="s">
        <v>318</v>
      </c>
    </row>
    <row r="58" spans="1:2" ht="14">
      <c r="A58">
        <f t="shared" si="1"/>
        <v>58</v>
      </c>
      <c r="B58" s="3" t="s">
        <v>319</v>
      </c>
    </row>
    <row r="59" spans="1:2" ht="14">
      <c r="A59">
        <f t="shared" si="1"/>
        <v>59</v>
      </c>
      <c r="B59" s="44" t="s">
        <v>318</v>
      </c>
    </row>
    <row r="60" spans="1:2" ht="14">
      <c r="A60">
        <f t="shared" si="1"/>
        <v>60</v>
      </c>
      <c r="B60" s="44" t="s">
        <v>318</v>
      </c>
    </row>
    <row r="61" spans="1:2" ht="14">
      <c r="A61">
        <f t="shared" si="1"/>
        <v>61</v>
      </c>
      <c r="B61" s="3" t="s">
        <v>319</v>
      </c>
    </row>
    <row r="62" spans="1:2" ht="14">
      <c r="A62">
        <f t="shared" si="1"/>
        <v>62</v>
      </c>
      <c r="B62" s="44" t="s">
        <v>318</v>
      </c>
    </row>
    <row r="63" spans="1:2" ht="14">
      <c r="A63">
        <f t="shared" si="1"/>
        <v>63</v>
      </c>
      <c r="B63" s="3" t="s">
        <v>319</v>
      </c>
    </row>
    <row r="64" spans="1:2" ht="14">
      <c r="A64">
        <f t="shared" si="1"/>
        <v>64</v>
      </c>
      <c r="B64" s="44" t="s">
        <v>318</v>
      </c>
    </row>
    <row r="65" spans="1:2" ht="14">
      <c r="A65">
        <f t="shared" si="1"/>
        <v>65</v>
      </c>
      <c r="B65" s="44" t="s">
        <v>318</v>
      </c>
    </row>
    <row r="66" spans="1:2" ht="14">
      <c r="A66">
        <f t="shared" ref="A66:A95" si="2">A65+1</f>
        <v>66</v>
      </c>
      <c r="B66" s="3" t="s">
        <v>319</v>
      </c>
    </row>
    <row r="67" spans="1:2" ht="14">
      <c r="A67">
        <f t="shared" si="2"/>
        <v>67</v>
      </c>
      <c r="B67" s="44" t="s">
        <v>318</v>
      </c>
    </row>
    <row r="68" spans="1:2" ht="14">
      <c r="A68">
        <f t="shared" si="2"/>
        <v>68</v>
      </c>
      <c r="B68" s="44" t="s">
        <v>318</v>
      </c>
    </row>
    <row r="69" spans="1:2" ht="14">
      <c r="A69">
        <f t="shared" si="2"/>
        <v>69</v>
      </c>
      <c r="B69" s="44" t="s">
        <v>322</v>
      </c>
    </row>
    <row r="70" spans="1:2" ht="14">
      <c r="A70">
        <f t="shared" si="2"/>
        <v>70</v>
      </c>
      <c r="B70" s="3" t="s">
        <v>319</v>
      </c>
    </row>
    <row r="71" spans="1:2" ht="14">
      <c r="A71">
        <f t="shared" si="2"/>
        <v>71</v>
      </c>
      <c r="B71" s="44" t="s">
        <v>318</v>
      </c>
    </row>
    <row r="72" spans="1:2" ht="14">
      <c r="A72">
        <f t="shared" si="2"/>
        <v>72</v>
      </c>
      <c r="B72" s="3" t="s">
        <v>319</v>
      </c>
    </row>
    <row r="73" spans="1:2" ht="14">
      <c r="A73">
        <f t="shared" si="2"/>
        <v>73</v>
      </c>
      <c r="B73" s="44" t="s">
        <v>318</v>
      </c>
    </row>
    <row r="74" spans="1:2" ht="14">
      <c r="A74">
        <f t="shared" si="2"/>
        <v>74</v>
      </c>
      <c r="B74" s="44" t="s">
        <v>318</v>
      </c>
    </row>
    <row r="75" spans="1:2" ht="14">
      <c r="A75">
        <f t="shared" si="2"/>
        <v>75</v>
      </c>
      <c r="B75" s="3" t="s">
        <v>323</v>
      </c>
    </row>
    <row r="76" spans="1:2" ht="14">
      <c r="A76">
        <f t="shared" si="2"/>
        <v>76</v>
      </c>
      <c r="B76" s="3" t="s">
        <v>319</v>
      </c>
    </row>
    <row r="77" spans="1:2" ht="14">
      <c r="A77">
        <f t="shared" si="2"/>
        <v>77</v>
      </c>
      <c r="B77" s="44" t="s">
        <v>318</v>
      </c>
    </row>
    <row r="78" spans="1:2" ht="14">
      <c r="A78">
        <f t="shared" si="2"/>
        <v>78</v>
      </c>
      <c r="B78" s="44" t="s">
        <v>318</v>
      </c>
    </row>
    <row r="79" spans="1:2" ht="14">
      <c r="A79">
        <f t="shared" si="2"/>
        <v>79</v>
      </c>
      <c r="B79" s="3" t="s">
        <v>319</v>
      </c>
    </row>
    <row r="80" spans="1:2" ht="14">
      <c r="A80">
        <f t="shared" si="2"/>
        <v>80</v>
      </c>
      <c r="B80" s="3" t="s">
        <v>319</v>
      </c>
    </row>
    <row r="81" spans="1:2" ht="14">
      <c r="A81">
        <f t="shared" si="2"/>
        <v>81</v>
      </c>
      <c r="B81" s="3" t="s">
        <v>321</v>
      </c>
    </row>
    <row r="82" spans="1:2" ht="14">
      <c r="A82">
        <f t="shared" si="2"/>
        <v>82</v>
      </c>
      <c r="B82" s="44" t="s">
        <v>318</v>
      </c>
    </row>
    <row r="83" spans="1:2" ht="14">
      <c r="A83">
        <f t="shared" si="2"/>
        <v>83</v>
      </c>
      <c r="B83" s="44" t="s">
        <v>318</v>
      </c>
    </row>
    <row r="84" spans="1:2" ht="14">
      <c r="A84">
        <f t="shared" si="2"/>
        <v>84</v>
      </c>
      <c r="B84" s="44" t="s">
        <v>318</v>
      </c>
    </row>
    <row r="85" spans="1:2" ht="14">
      <c r="A85">
        <f t="shared" si="2"/>
        <v>85</v>
      </c>
      <c r="B85" s="3" t="s">
        <v>319</v>
      </c>
    </row>
    <row r="86" spans="1:2" ht="14">
      <c r="A86">
        <f t="shared" si="2"/>
        <v>86</v>
      </c>
      <c r="B86" s="3" t="s">
        <v>319</v>
      </c>
    </row>
    <row r="87" spans="1:2" ht="14">
      <c r="A87">
        <f t="shared" si="2"/>
        <v>87</v>
      </c>
      <c r="B87" s="3" t="s">
        <v>319</v>
      </c>
    </row>
    <row r="88" spans="1:2" ht="14">
      <c r="A88">
        <f t="shared" si="2"/>
        <v>88</v>
      </c>
      <c r="B88" s="3" t="s">
        <v>321</v>
      </c>
    </row>
    <row r="89" spans="1:2" ht="14">
      <c r="A89">
        <f t="shared" si="2"/>
        <v>89</v>
      </c>
      <c r="B89" s="44" t="s">
        <v>318</v>
      </c>
    </row>
    <row r="90" spans="1:2" ht="14">
      <c r="A90">
        <f t="shared" si="2"/>
        <v>90</v>
      </c>
      <c r="B90" s="44" t="s">
        <v>318</v>
      </c>
    </row>
    <row r="91" spans="1:2" ht="14">
      <c r="A91">
        <f t="shared" si="2"/>
        <v>91</v>
      </c>
      <c r="B91" s="44" t="s">
        <v>318</v>
      </c>
    </row>
    <row r="92" spans="1:2" ht="14">
      <c r="A92">
        <f t="shared" si="2"/>
        <v>92</v>
      </c>
      <c r="B92" s="3" t="s">
        <v>321</v>
      </c>
    </row>
    <row r="93" spans="1:2" ht="14">
      <c r="A93">
        <f t="shared" si="2"/>
        <v>93</v>
      </c>
      <c r="B93" s="44" t="s">
        <v>318</v>
      </c>
    </row>
    <row r="94" spans="1:2" ht="14">
      <c r="A94">
        <f t="shared" si="2"/>
        <v>94</v>
      </c>
      <c r="B94" s="44" t="s">
        <v>318</v>
      </c>
    </row>
    <row r="95" spans="1:2" ht="14">
      <c r="A95">
        <f t="shared" si="2"/>
        <v>95</v>
      </c>
      <c r="B95" s="44" t="s">
        <v>322</v>
      </c>
    </row>
    <row r="111" spans="1:2" ht="14">
      <c r="A111" s="3" t="s">
        <v>19</v>
      </c>
      <c r="B111" s="16" t="s">
        <v>324</v>
      </c>
    </row>
  </sheetData>
  <hyperlinks>
    <hyperlink ref="B111" r:id="rId1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Montants</vt:lpstr>
      <vt:lpstr>Feuille 1</vt:lpstr>
      <vt:lpstr>Quotas</vt:lpstr>
      <vt:lpstr>Agrégats</vt:lpstr>
      <vt:lpstr>Taxes</vt:lpstr>
      <vt:lpstr>Prix</vt:lpstr>
      <vt:lpstr>Précision estimation</vt:lpstr>
      <vt:lpstr>Gaz de schiste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Fabre  Adrien</dc:creator>
  <dc:description/>
  <cp:lastModifiedBy>Fabre  Adrien</cp:lastModifiedBy>
  <cp:revision>1</cp:revision>
  <dcterms:modified xsi:type="dcterms:W3CDTF">2020-10-12T16:56:58Z</dcterms:modified>
  <dc:language>en-US</dc:language>
</cp:coreProperties>
</file>