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ants" sheetId="1" state="visible" r:id="rId2"/>
    <sheet name="Feuille 1" sheetId="2" state="visible" r:id="rId3"/>
    <sheet name="Quotas" sheetId="3" state="visible" r:id="rId4"/>
    <sheet name="Agrégats" sheetId="4" state="visible" r:id="rId5"/>
    <sheet name="Taxes" sheetId="5" state="visible" r:id="rId6"/>
    <sheet name="Prix" sheetId="6" state="visible" r:id="rId7"/>
    <sheet name="Précision estimation" sheetId="7" state="visible" r:id="rId8"/>
    <sheet name="Gaz de schist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<sst xmlns="http://schemas.openxmlformats.org/spreadsheetml/2006/main" count="525" uniqueCount="325">
  <si>
    <t xml:space="preserve">Recettes totales en milliards d'euros</t>
  </si>
  <si>
    <t xml:space="preserve">et = 0 / eh = 0 / i = 1</t>
  </si>
  <si>
    <t xml:space="preserve">et = -0.3 / eh = -0.1 / i = 1</t>
  </si>
  <si>
    <t xml:space="preserve">et = -0.45 / eh = -0.2 / i = 1</t>
  </si>
  <si>
    <t xml:space="preserve">et = 0 / eh = 0 / i = 0.8</t>
  </si>
  <si>
    <t xml:space="preserve">et = -0.3 / eh = -0.1 / i = 0.8</t>
  </si>
  <si>
    <t xml:space="preserve">et = -0.4 / eh = -0.2 / i = 0.8</t>
  </si>
  <si>
    <t xml:space="preserve">Transport</t>
  </si>
  <si>
    <t xml:space="preserve">Logement</t>
  </si>
  <si>
    <t xml:space="preserve">Transport + Logement</t>
  </si>
  <si>
    <t xml:space="preserve">Recettes taxe carbone sans TVA en milliards d'euros</t>
  </si>
  <si>
    <t xml:space="preserve">Nombre d'adultes :</t>
  </si>
  <si>
    <t xml:space="preserve">Transferts par adulte</t>
  </si>
  <si>
    <t xml:space="preserve">Transferts aux x% des adultes les plus pauvres (Transport + Logement)</t>
  </si>
  <si>
    <t xml:space="preserve">et : élasticité transports        eh : élasticité logement        i : incidence sur les consommateurs en %</t>
  </si>
  <si>
    <t xml:space="preserve">Notes :</t>
  </si>
  <si>
    <t xml:space="preserve">Ces montants sont calculées d'après BdF 2011 inflaté pour 2017 via la comptabilité nationale.</t>
  </si>
  <si>
    <t xml:space="preserve">Les parts fixes des contrats de gaz sont déduites des dépenses des ménages.</t>
  </si>
  <si>
    <t xml:space="preserve">Pour ce faire, le contrat optimal (parmi les tarifs réglementés) est imputé.</t>
  </si>
  <si>
    <t xml:space="preserve">Sources :</t>
  </si>
  <si>
    <t xml:space="preserve">Nombre d'adultes</t>
  </si>
  <si>
    <t xml:space="preserve">https://www.insee.fr/fr/statistiques/1892086?sommaire=1912926</t>
  </si>
  <si>
    <t xml:space="preserve">Autres</t>
  </si>
  <si>
    <t xml:space="preserve">Calculs du modèle</t>
  </si>
  <si>
    <t xml:space="preserve">combustible</t>
  </si>
  <si>
    <t xml:space="preserve">unité</t>
  </si>
  <si>
    <t xml:space="preserve">contenu kgCO2eq (ADEME)</t>
  </si>
  <si>
    <t xml:space="preserve">prix (29/12/18</t>
  </si>
  <si>
    <t xml:space="preserve">hausse prix</t>
  </si>
  <si>
    <t xml:space="preserve">variation prix (moyenne)</t>
  </si>
  <si>
    <t xml:space="preserve">consommation agrégée (2016)</t>
  </si>
  <si>
    <t xml:space="preserve">consommation 2017 (Mt)</t>
  </si>
  <si>
    <t xml:space="preserve">recettes 2014 (M€)</t>
  </si>
  <si>
    <t xml:space="preserve">recettes 2015</t>
  </si>
  <si>
    <t xml:space="preserve">recettes 2016</t>
  </si>
  <si>
    <t xml:space="preserve">taxe déduite 2016</t>
  </si>
  <si>
    <t xml:space="preserve">recettes taxe sans réaction (G€)</t>
  </si>
  <si>
    <t xml:space="preserve">élasticité</t>
  </si>
  <si>
    <t xml:space="preserve">recettes taxe avec réaction</t>
  </si>
  <si>
    <t xml:space="preserve">taxe 2013</t>
  </si>
  <si>
    <t xml:space="preserve">kgCO2 implicite</t>
  </si>
  <si>
    <t xml:space="preserve">kgCO2 implicite 2014</t>
  </si>
  <si>
    <t xml:space="preserve">kgCO2 implicite 2015</t>
  </si>
  <si>
    <t xml:space="preserve">kgCO2 implicite 2016</t>
  </si>
  <si>
    <t xml:space="preserve">kgCO2 implicite 2017</t>
  </si>
  <si>
    <t xml:space="preserve">kgCO2 implicite 2018</t>
  </si>
  <si>
    <t xml:space="preserve">kgCO2 implicite 2019</t>
  </si>
  <si>
    <t xml:space="preserve">kgCO2 implicite 2020</t>
  </si>
  <si>
    <t xml:space="preserve">kgCO2 implicite 2021</t>
  </si>
  <si>
    <t xml:space="preserve">kgCO2 implicite 2022</t>
  </si>
  <si>
    <t xml:space="preserve">gaz naturel (zone 1)</t>
  </si>
  <si>
    <t xml:space="preserve">kWh PCS</t>
  </si>
  <si>
    <t xml:space="preserve">gaz naturel (zone 6)</t>
  </si>
  <si>
    <t xml:space="preserve">gaz naturel (moyenne)</t>
  </si>
  <si>
    <t xml:space="preserve">fioul domestique</t>
  </si>
  <si>
    <t xml:space="preserve">L</t>
  </si>
  <si>
    <t xml:space="preserve">essence SP95 (E10)</t>
  </si>
  <si>
    <t xml:space="preserve">essence SP95 (E5)</t>
  </si>
  <si>
    <t xml:space="preserve">essence SP98 (E5)</t>
  </si>
  <si>
    <t xml:space="preserve">essence (moyenne)</t>
  </si>
  <si>
    <t xml:space="preserve">gazole</t>
  </si>
  <si>
    <t xml:space="preserve">gazole sans rattrapage</t>
  </si>
  <si>
    <t xml:space="preserve">GPL</t>
  </si>
  <si>
    <t xml:space="preserve">calculé avec (T_t - T_t-1) / (TCO2_t - TCO2_t-1)</t>
  </si>
  <si>
    <t xml:space="preserve">calculé avec (T_t - T_0) / TCO2_t</t>
  </si>
  <si>
    <t xml:space="preserve">total</t>
  </si>
  <si>
    <t xml:space="preserve">total carburants</t>
  </si>
  <si>
    <t xml:space="preserve">total chauffage</t>
  </si>
  <si>
    <t xml:space="preserve">en €/an</t>
  </si>
  <si>
    <t xml:space="preserve">dividende par adulte en fonction de la cible</t>
  </si>
  <si>
    <t xml:space="preserve">&lt;20%</t>
  </si>
  <si>
    <t xml:space="preserve">&lt;30%</t>
  </si>
  <si>
    <t xml:space="preserve">&lt;40%</t>
  </si>
  <si>
    <t xml:space="preserve">&lt;50%</t>
  </si>
  <si>
    <t xml:space="preserve">&lt;100%</t>
  </si>
  <si>
    <t xml:space="preserve">taxe (€/tCO2eq):</t>
  </si>
  <si>
    <t xml:space="preserve">
sans réaction
</t>
  </si>
  <si>
    <t xml:space="preserve">taxe CO2</t>
  </si>
  <si>
    <t xml:space="preserve">conversion kWh /m^3</t>
  </si>
  <si>
    <t xml:space="preserve">https://www.fournisseurs-electricite.com/france/169-infos/18441-coefficient-de-conversion-du-gaz</t>
  </si>
  <si>
    <t xml:space="preserve">taxe carburants</t>
  </si>
  <si>
    <t xml:space="preserve">densité fioul (kg/L):</t>
  </si>
  <si>
    <t xml:space="preserve">0,83-0,88</t>
  </si>
  <si>
    <t xml:space="preserve">taxe chauffage</t>
  </si>
  <si>
    <t xml:space="preserve">population (2018):</t>
  </si>
  <si>
    <t xml:space="preserve">(2014):</t>
  </si>
  <si>
    <t xml:space="preserve">nombre d'adultes (2018 métropole) : </t>
  </si>
  <si>
    <t xml:space="preserve">avec réaction 
</t>
  </si>
  <si>
    <t xml:space="preserve">en €/mois</t>
  </si>
  <si>
    <t xml:space="preserve">dividende par ménage en fonction de la cible</t>
  </si>
  <si>
    <t xml:space="preserve">nombre de ménages (2014):</t>
  </si>
  <si>
    <t xml:space="preserve">déciles de niveau de vie (2016), €/mois</t>
  </si>
  <si>
    <t xml:space="preserve">niveau vie</t>
  </si>
  <si>
    <t xml:space="preserve">Sources:</t>
  </si>
  <si>
    <t xml:space="preserve">dividende TVA</t>
  </si>
  <si>
    <t xml:space="preserve">recette TVA 2018 (en G€), taux normal</t>
  </si>
  <si>
    <t xml:space="preserve">hausse recettes eq</t>
  </si>
  <si>
    <t xml:space="preserve">hausse TVA eq (taux normal)</t>
  </si>
  <si>
    <t xml:space="preserve">soit hausse du taux normal:</t>
  </si>
  <si>
    <t xml:space="preserve">ventes 2016:</t>
  </si>
  <si>
    <t xml:space="preserve">http://www.statistiques.developpement-durable.gouv.fr/fileadmin/documents/Produits_editoriaux/Publications/Datalab_essentiel/2017/datalab-essentiel-124-ventes-de-produits-petroliers-en-2016-nov2017.pdf</t>
  </si>
  <si>
    <t xml:space="preserve">rev_tot_i (presta aux min)</t>
  </si>
  <si>
    <t xml:space="preserve">conso 2017 (Mt): </t>
  </si>
  <si>
    <t xml:space="preserve">https://www.insee.fr/fr/statistiques/2119673</t>
  </si>
  <si>
    <t xml:space="preserve">https://www.cpdp.org/fr/le-marche-petrolier</t>
  </si>
  <si>
    <t xml:space="preserve">http://www.grtgaz.com/fileadmin/medias/communiques/2018/FR/Presentation-bilan-gaz-2017.pdf</t>
  </si>
  <si>
    <t xml:space="preserve">rev_tot_i_eq (" à part égales)</t>
  </si>
  <si>
    <t xml:space="preserve">prix carburants:</t>
  </si>
  <si>
    <t xml:space="preserve">https://carbu.com/france/index.php/prixmoyens</t>
  </si>
  <si>
    <t xml:space="preserve">http://www.prix-carburants.developpement-durable.gouv.fr/petrole/se_cons_fr.htm</t>
  </si>
  <si>
    <t xml:space="preserve">rev_tot_i_par (" aux parents)</t>
  </si>
  <si>
    <t xml:space="preserve">taxe et recettes:</t>
  </si>
  <si>
    <t xml:space="preserve">https://www.ecologique-solidaire.gouv.fr/fiscalite-des-energies</t>
  </si>
  <si>
    <t xml:space="preserve">rev_tot_i_par inflaté</t>
  </si>
  <si>
    <t xml:space="preserve">population, adultes, ménages:</t>
  </si>
  <si>
    <t xml:space="preserve">https://www.insee.fr/fr/statistiques/1906663?sommaire=1906743</t>
  </si>
  <si>
    <t xml:space="preserve">https://www.insee.fr/fr/statistiques/3303344?sommaire=3353488</t>
  </si>
  <si>
    <t xml:space="preserve">déciles niveau vie</t>
  </si>
  <si>
    <t xml:space="preserve">https://www.insee.fr/fr/statistiques/2416808#tableau-Donnes</t>
  </si>
  <si>
    <t xml:space="preserve">recettes TVA:</t>
  </si>
  <si>
    <t xml:space="preserve">https://www.performance-publique.budget.gouv.fr/budget-comptes-etat/budget-etat/approfondir/recettes-etat/recettes-fiscales#.XCfNAcZ7mis</t>
  </si>
  <si>
    <t xml:space="preserve">www2.impots.gouv.fr/documentation/statistiques/annuaire2013/tab101_2013.xls</t>
  </si>
  <si>
    <t xml:space="preserve">https://www.ccomptes.fr/sites/default/files/EzPublish/20151216-rapport-Fouilleron-TVA-et-depenses-publiques.pdf</t>
  </si>
  <si>
    <t xml:space="preserve">contenu CO2:</t>
  </si>
  <si>
    <t xml:space="preserve">http://bilans-ges.ademe.fr</t>
  </si>
  <si>
    <t xml:space="preserve">prix gaz:</t>
  </si>
  <si>
    <t xml:space="preserve">https://selectra.info/energie/guides/tarifs/gaz/base-b0-b1-b2i-b2s-tel</t>
  </si>
  <si>
    <t xml:space="preserve">les factures de gaz naturel sont usuellement exprimées en PCS et non en PCI comme pour les autres combustibles</t>
  </si>
  <si>
    <t xml:space="preserve">chèque énergie barème:</t>
  </si>
  <si>
    <t xml:space="preserve">https://argent.boursier.com/quotidien/actualites/tout-savoir-sur-les-baremes-pour-beneficier-du-cheque-energie-4865.html</t>
  </si>
  <si>
    <t xml:space="preserve">SNBC:</t>
  </si>
  <si>
    <t xml:space="preserve">https://www.ecologique-solidaire.gouv.fr/sites/default/files/Projet%20strategie%20nationale%20bas%20carbone.pdf</t>
  </si>
  <si>
    <t xml:space="preserve">code postal - INSEE:</t>
  </si>
  <si>
    <t xml:space="preserve">https://public.opendatasoft.com/explore/dataset/correspondance-code-insee-code-postal/table/</t>
  </si>
  <si>
    <t xml:space="preserve">code INSEE - tranche d'unité urbaine</t>
  </si>
  <si>
    <t xml:space="preserve"> </t>
  </si>
  <si>
    <t xml:space="preserve">croissance PIB 2014-2018</t>
  </si>
  <si>
    <t xml:space="preserve">https://www.insee.fr/fr/statistiques/2830613#tableau-Tableau1</t>
  </si>
  <si>
    <t xml:space="preserve">https://www.insee.fr/fr/statistiques/2107840#titre-croissance</t>
  </si>
  <si>
    <t xml:space="preserve">Conso moyenne au 100km</t>
  </si>
  <si>
    <t xml:space="preserve">https://fr.statista.com/statistiques/486554/consommation-de-carburant-moyenne-voiture-france/</t>
  </si>
  <si>
    <t xml:space="preserve">pâtes</t>
  </si>
  <si>
    <t xml:space="preserve">1.3 kgCO2eq/kg</t>
  </si>
  <si>
    <t xml:space="preserve">2*/semaine</t>
  </si>
  <si>
    <t xml:space="preserve">16,9 kgCO2</t>
  </si>
  <si>
    <t xml:space="preserve">boeuf</t>
  </si>
  <si>
    <t xml:space="preserve">60 kgCO2eq/kg</t>
  </si>
  <si>
    <t xml:space="preserve">1*/semaine</t>
  </si>
  <si>
    <t xml:space="preserve">343 kgCO2</t>
  </si>
  <si>
    <t xml:space="preserve">agriculteurs</t>
  </si>
  <si>
    <t xml:space="preserve">indépendants</t>
  </si>
  <si>
    <t xml:space="preserve">cadres</t>
  </si>
  <si>
    <t xml:space="preserve">intermédiaires</t>
  </si>
  <si>
    <t xml:space="preserve">employés</t>
  </si>
  <si>
    <t xml:space="preserve">ouvriers</t>
  </si>
  <si>
    <t xml:space="preserve">retraités</t>
  </si>
  <si>
    <t xml:space="preserve">inactifs</t>
  </si>
  <si>
    <t xml:space="preserve">Île-de-France</t>
  </si>
  <si>
    <t xml:space="preserve">Hauts-de-France</t>
  </si>
  <si>
    <t xml:space="preserve">Grand Est et Bourgogne-Franche-Comté</t>
  </si>
  <si>
    <t xml:space="preserve">Nouvelle-Aquitaine</t>
  </si>
  <si>
    <t xml:space="preserve">Centre-Val de Loire et Pays de la Loire</t>
  </si>
  <si>
    <t xml:space="preserve">Bretagne et Normandie</t>
  </si>
  <si>
    <t xml:space="preserve">Occitanie</t>
  </si>
  <si>
    <t xml:space="preserve">Auvergne-Rhône-Alpes</t>
  </si>
  <si>
    <t xml:space="preserve">Provence-Alpes-Côte d'Azur</t>
  </si>
  <si>
    <t xml:space="preserve">rural</t>
  </si>
  <si>
    <t xml:space="preserve">20-99</t>
  </si>
  <si>
    <t xml:space="preserve">&gt;100</t>
  </si>
  <si>
    <t xml:space="preserve">Paris</t>
  </si>
  <si>
    <t xml:space="preserve">femmes</t>
  </si>
  <si>
    <t xml:space="preserve">hommes</t>
  </si>
  <si>
    <t xml:space="preserve">18-24</t>
  </si>
  <si>
    <t xml:space="preserve">25-34</t>
  </si>
  <si>
    <t xml:space="preserve">35-49</t>
  </si>
  <si>
    <t xml:space="preserve">50-64</t>
  </si>
  <si>
    <t xml:space="preserve">&gt;65</t>
  </si>
  <si>
    <t xml:space="preserve">Aucun diplôme ou Brevet</t>
  </si>
  <si>
    <t xml:space="preserve">CAP ou BEP</t>
  </si>
  <si>
    <t xml:space="preserve">Bac</t>
  </si>
  <si>
    <t xml:space="preserve">Supérieur</t>
  </si>
  <si>
    <t xml:space="preserve">Total région</t>
  </si>
  <si>
    <t xml:space="preserve">Total sexe</t>
  </si>
  <si>
    <t xml:space="preserve">Total agglo</t>
  </si>
  <si>
    <t xml:space="preserve">Total age</t>
  </si>
  <si>
    <t xml:space="preserve">Total (Insee)</t>
  </si>
  <si>
    <t xml:space="preserve">Fraction</t>
  </si>
  <si>
    <t xml:space="preserve">quotas en trop (au 04/03 7h (Est)</t>
  </si>
  <si>
    <t xml:space="preserve">nouveaux quotas</t>
  </si>
  <si>
    <t xml:space="preserve">quotas assouplis</t>
  </si>
  <si>
    <t xml:space="preserve">échantillon final (3002)</t>
  </si>
  <si>
    <t xml:space="preserve">échantillon final (proportion)</t>
  </si>
  <si>
    <t xml:space="preserve">écart échantillon final - réalité</t>
  </si>
  <si>
    <t xml:space="preserve">sources:</t>
  </si>
  <si>
    <t xml:space="preserve">CSP</t>
  </si>
  <si>
    <t xml:space="preserve">région</t>
  </si>
  <si>
    <t xml:space="preserve">taille agglo</t>
  </si>
  <si>
    <t xml:space="preserve">taille agglo bis</t>
  </si>
  <si>
    <t xml:space="preserve">sexe</t>
  </si>
  <si>
    <t xml:space="preserve">age</t>
  </si>
  <si>
    <t xml:space="preserve">diplôme</t>
  </si>
  <si>
    <t xml:space="preserve">35-44</t>
  </si>
  <si>
    <t xml:space="preserve">45-54</t>
  </si>
  <si>
    <t xml:space="preserve">55-64</t>
  </si>
  <si>
    <t xml:space="preserve">65-74</t>
  </si>
  <si>
    <t xml:space="preserve">&gt;75</t>
  </si>
  <si>
    <t xml:space="preserve">https://www.insee.fr/fr/statistiques/2381478</t>
  </si>
  <si>
    <t xml:space="preserve">https://www.insee.fr/fr/statistiques/1893198</t>
  </si>
  <si>
    <t xml:space="preserve">own calculation</t>
  </si>
  <si>
    <t xml:space="preserve">https://www.insee.fr/fr/statistiques/1280970</t>
  </si>
  <si>
    <t xml:space="preserve">https://www.insee.fr/fr/statistiques/1892088?sommaire=1912926</t>
  </si>
  <si>
    <t xml:space="preserve">https://www.insee.fr/fr/statistiques/2381474</t>
  </si>
  <si>
    <t xml:space="preserve">https://www.insee.fr/fr/statistiques/3568823?sommaire=3568833&amp;geo=METRO-1</t>
  </si>
  <si>
    <t xml:space="preserve">ligne 3</t>
  </si>
  <si>
    <t xml:space="preserve">ligne 2</t>
  </si>
  <si>
    <t xml:space="preserve">utilisée</t>
  </si>
  <si>
    <t xml:space="preserve">inutilisée</t>
  </si>
  <si>
    <t xml:space="preserve">BdF inflaté (M€)</t>
  </si>
  <si>
    <t xml:space="preserve">EL non-inflaté (M€)</t>
  </si>
  <si>
    <t xml:space="preserve">Compta nat 2017 (M€ courants)</t>
  </si>
  <si>
    <t xml:space="preserve">Compta nat 2016 (M€ courants)</t>
  </si>
  <si>
    <t xml:space="preserve">Compta nat 2013 (M€ courants)</t>
  </si>
  <si>
    <t xml:space="preserve">Compta nat 2011 (M€ courants)</t>
  </si>
  <si>
    <t xml:space="preserve">Agrégats feuille 1 (quantité)</t>
  </si>
  <si>
    <t xml:space="preserve">Agrégats feuille 1 (dépenses)</t>
  </si>
  <si>
    <t xml:space="preserve">Essence Sp 95</t>
  </si>
  <si>
    <t xml:space="preserve">-</t>
  </si>
  <si>
    <t xml:space="preserve">Essence SP 98</t>
  </si>
  <si>
    <t xml:space="preserve">Essence E85</t>
  </si>
  <si>
    <t xml:space="preserve">Essence (somme)</t>
  </si>
  <si>
    <t xml:space="preserve">Diesel</t>
  </si>
  <si>
    <t xml:space="preserve">Carburants (somme)</t>
  </si>
  <si>
    <t xml:space="preserve">Fioul domestique</t>
  </si>
  <si>
    <t xml:space="preserve">Gaz naturel</t>
  </si>
  <si>
    <t xml:space="preserve">Comptabilité nationale :</t>
  </si>
  <si>
    <t xml:space="preserve">Consommation effective des ménages par fonction aux prix courants : https://www.insee.fr/fr/statistiques/3547386?sommaire=3547646#titre-bloc-20</t>
  </si>
  <si>
    <t xml:space="preserve">NB : les données BdF inflatées représentent l'année 2016. Entre temps, les montants de la comptabilité nationale ont changé.</t>
  </si>
  <si>
    <t xml:space="preserve">Note : les données de la feuille 1 incluent toutes les consommations, pas exclusivement les ménages. Elles surestiment donc largement les montants.</t>
  </si>
  <si>
    <t xml:space="preserve">Et ce, sans compter que les dépenses en gaz de la feuille 1 ne prennent pas en compte le prix fixe des contrats</t>
  </si>
  <si>
    <t xml:space="preserve">Prix carbone</t>
  </si>
  <si>
    <t xml:space="preserve">Augmentation prix carbone</t>
  </si>
  <si>
    <t xml:space="preserve">Augmentation taxe SP</t>
  </si>
  <si>
    <t xml:space="preserve">Augmentation taxe diesel</t>
  </si>
  <si>
    <t xml:space="preserve">Augmentation taxe diesel sans rattrapage</t>
  </si>
  <si>
    <t xml:space="preserve">Augmentation taxe fioul domestique</t>
  </si>
  <si>
    <t xml:space="preserve">Augmentation taxe gaz naturel</t>
  </si>
  <si>
    <t xml:space="preserve">Contenu carbone implicite SP</t>
  </si>
  <si>
    <t xml:space="preserve">Contenu carbone implicite diesel</t>
  </si>
  <si>
    <t xml:space="preserve">Contenu carbone implicite fioul domestique</t>
  </si>
  <si>
    <t xml:space="preserve">Contenu carbone implicite gaz naturel</t>
  </si>
  <si>
    <t xml:space="preserve">Accise sans CCE SP</t>
  </si>
  <si>
    <t xml:space="preserve">Ces calculs correspondent au prix de l'accise (TICPE et TICGN si la CCE était nulle)</t>
  </si>
  <si>
    <t xml:space="preserve">Accise sans CCE diesel</t>
  </si>
  <si>
    <t xml:space="preserve">Accise sans CCE fioul domestique</t>
  </si>
  <si>
    <t xml:space="preserve">Accise sans CCE gaz naturel</t>
  </si>
  <si>
    <t xml:space="preserve">Note : la TICPE s'applique au diesel, à l'essence et au fioul domestique. La TICGN au gaz naturel.</t>
  </si>
  <si>
    <t xml:space="preserve">Ces deux taxes incorporent la composante carbone de la contribution climat énergie (CCE), mais peuvent potentiellement changer pour d'autres raisons :</t>
  </si>
  <si>
    <t xml:space="preserve">2014 :</t>
  </si>
  <si>
    <t xml:space="preserve">La TICPE pré-existante absorbe l'introduction de la CCE, la TICPE totale reste donc inchangée</t>
  </si>
  <si>
    <t xml:space="preserve">2015 :</t>
  </si>
  <si>
    <t xml:space="preserve">Augmmentation de deux centimes supplémentaires sur le diesel.</t>
  </si>
  <si>
    <t xml:space="preserve">2016 :</t>
  </si>
  <si>
    <t xml:space="preserve">La TICGN absorbe la CTSSG et la CSPG, d'où l'augmentation plus élevée. Augmentation d'un centime supplémentaire sur le diesel</t>
  </si>
  <si>
    <t xml:space="preserve">2017 :</t>
  </si>
  <si>
    <t xml:space="preserve">Augmentation d'un centime supplémentaire sur le diesel. Une baisse symmétrique de 1c sur l'essence permet bien de retrouver le contenu carbone attendu</t>
  </si>
  <si>
    <t xml:space="preserve">2018 :</t>
  </si>
  <si>
    <t xml:space="preserve">RAS</t>
  </si>
  <si>
    <t xml:space="preserve">2019 :</t>
  </si>
  <si>
    <t xml:space="preserve">2020 :</t>
  </si>
  <si>
    <t xml:space="preserve">2021 :</t>
  </si>
  <si>
    <t xml:space="preserve">2022 :</t>
  </si>
  <si>
    <t xml:space="preserve">TICPE : Code des douanes (art. 265)</t>
  </si>
  <si>
    <t xml:space="preserve">https://www.legifrance.gouv.fr/affichCodeArticle.do;jsessionid=4337AF4921843AB2063817AB97F65FAB.tplgfr21s_1?idArticle=LEGIARTI000037094636&amp;cidTexte=LEGITEXT000006071570&amp;categorieLien=id&amp;dateTexte=</t>
  </si>
  <si>
    <t xml:space="preserve">TICGN : Ministère de l'écologie</t>
  </si>
  <si>
    <t xml:space="preserve">TICGN : Code des douanes (art. 266)</t>
  </si>
  <si>
    <t xml:space="preserve">https://www.legifrance.gouv.fr/affichCodeArticle.do?cidTexte=LEGITEXT000006071570&amp;idArticle=LEGIARTI000006615168&amp;dateTexte=&amp;categorieLien=cid</t>
  </si>
  <si>
    <t xml:space="preserve">Prix janvier 2019</t>
  </si>
  <si>
    <t xml:space="preserve">Prix après taxe, i = 1</t>
  </si>
  <si>
    <t xml:space="preserve">Prix après taxe, i = 0,9</t>
  </si>
  <si>
    <t xml:space="preserve">Prix après taxe, i = 0,8</t>
  </si>
  <si>
    <t xml:space="preserve">Prix après taxe, i = 0,5</t>
  </si>
  <si>
    <t xml:space="preserve">% var. prix SP</t>
  </si>
  <si>
    <t xml:space="preserve">% var. prix diesel</t>
  </si>
  <si>
    <t xml:space="preserve">% var. prix fioul domestique</t>
  </si>
  <si>
    <t xml:space="preserve">% var. prix gaz naturel</t>
  </si>
  <si>
    <t xml:space="preserve">Diff. prix SP</t>
  </si>
  <si>
    <t xml:space="preserve">Diff. prix diesel</t>
  </si>
  <si>
    <t xml:space="preserve">Diff. prix fioul domestique</t>
  </si>
  <si>
    <t xml:space="preserve">Diff. prix gaz naturel</t>
  </si>
  <si>
    <t xml:space="preserve">Prix du gaz :</t>
  </si>
  <si>
    <t xml:space="preserve">0,651 correspond au prix unitaire pour un contrat B1 (i.e. avec chauffage) en zone 3</t>
  </si>
  <si>
    <t xml:space="preserve">Prix des carburants :</t>
  </si>
  <si>
    <t xml:space="preserve">Moyenne nationale en temps réel sur les dernières 48h ici : https://www.zagaz.com/stats_departement.php </t>
  </si>
  <si>
    <t xml:space="preserve">Prix du fioul :</t>
  </si>
  <si>
    <t xml:space="preserve">Moyenne nationale au jour le jour : https://www.fioulmarket.fr/prix-fioul</t>
  </si>
  <si>
    <t xml:space="preserve">Calculs de l'incidence :</t>
  </si>
  <si>
    <t xml:space="preserve">Modèle accessible du Github</t>
  </si>
  <si>
    <t xml:space="preserve">l'augmentation du prix du gaz sera en fait légèrement plus faible car elle ne portera pas sur les 10% de coûts fixes. ça justifie l'arrondi à la baisse pour la colonne F.</t>
  </si>
  <si>
    <t xml:space="preserve">Méthode</t>
  </si>
  <si>
    <t xml:space="preserve">Réforme</t>
  </si>
  <si>
    <t xml:space="preserve">% erreurs</t>
  </si>
  <si>
    <t xml:space="preserve">% gagnants predits perdants</t>
  </si>
  <si>
    <t xml:space="preserve">% perdants predits gagnants</t>
  </si>
  <si>
    <t xml:space="preserve">Logit</t>
  </si>
  <si>
    <t xml:space="preserve">Probit</t>
  </si>
  <si>
    <t xml:space="preserve">OLS binaire</t>
  </si>
  <si>
    <t xml:space="preserve">OLS binaire, seuil 0,43</t>
  </si>
  <si>
    <t xml:space="preserve">OLS</t>
  </si>
  <si>
    <t xml:space="preserve">Logement + transports</t>
  </si>
  <si>
    <t xml:space="preserve">OLS, transfert +122€</t>
  </si>
  <si>
    <t xml:space="preserve">Matching par categ</t>
  </si>
  <si>
    <t xml:space="preserve">Matching distance</t>
  </si>
  <si>
    <t xml:space="preserve">Note : "% gagnants predits perdants" donne la probabilité qu'un gagnant soit prédit perdant.</t>
  </si>
  <si>
    <t xml:space="preserve">"% perdants predits gagnants" donne la probabilité qu'un perdant soit prédit gagnant.</t>
  </si>
  <si>
    <t xml:space="preserve">Méthodologie : les prédictions sont réalisées via l'Enquête Logement (2013). Elles sont ensuite appliquées aux ménages de l'enquête Budget de Famille (2011).</t>
  </si>
  <si>
    <t xml:space="preserve">On compare ensuite ces prédictions avec les résultats "objectifs" (au sens où les consommations sont renseignées) de BdF.</t>
  </si>
  <si>
    <t xml:space="preserve">Hypothèse : toutes les informations renseignées par les ménages sont correctes.</t>
  </si>
  <si>
    <t xml:space="preserve">Les élasticités et l'incidence supposées sont correctes également.</t>
  </si>
  <si>
    <t xml:space="preserve">Oui</t>
  </si>
  <si>
    <t xml:space="preserve">NON</t>
  </si>
  <si>
    <t xml:space="preserve">NON (A) et NON (B)</t>
  </si>
  <si>
    <t xml:space="preserve">Non</t>
  </si>
  <si>
    <t xml:space="preserve">oui</t>
  </si>
  <si>
    <t xml:space="preserve">non</t>
  </si>
  <si>
    <t xml:space="preserve">https://nonaugazdeschistelyon.files.wordpress.com/2018/02/france-tm-05_02_2018.pdf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</si>
</sst>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%"/>
    <numFmt numFmtId="167" formatCode="0.000"/>
    <numFmt numFmtId="168" formatCode="0.00"/>
    <numFmt numFmtId="169" formatCode="0.0"/>
    <numFmt numFmtId="170" formatCode="0.00%"/>
    <numFmt numFmtId="171" formatCode="0.0000%"/>
    <numFmt numFmtId="172" formatCode="0.0%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11"/>
      <name val="Cambria"/>
      <family val="0"/>
      <charset val="1"/>
    </font>
    <font>
      <b val="true"/>
      <u val="single"/>
      <sz val="11"/>
      <name val="Cambria"/>
      <family val="0"/>
      <charset val="1"/>
    </font>
    <font>
      <sz val="11"/>
      <color rgb="FF58595B"/>
      <name val="Arial"/>
      <family val="0"/>
      <charset val="1"/>
    </font>
    <font>
      <u val="single"/>
      <sz val="11"/>
      <color rgb="FF000000"/>
      <name val="Cambria"/>
      <family val="0"/>
      <charset val="1"/>
    </font>
    <font>
      <sz val="11"/>
      <color rgb="FF000000"/>
      <name val="Roboto"/>
      <family val="0"/>
      <charset val="1"/>
    </font>
    <font>
      <sz val="10"/>
      <color rgb="FF202328"/>
      <name val="Arial"/>
      <family val="0"/>
      <charset val="1"/>
    </font>
    <font>
      <sz val="11"/>
      <color rgb="FFFF0000"/>
      <name val="Cambria"/>
      <family val="0"/>
      <charset val="1"/>
    </font>
    <font>
      <b val="true"/>
      <sz val="11"/>
      <color rgb="FF4A86E8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EFEFE"/>
      </patternFill>
    </fill>
    <fill>
      <patternFill patternType="solid">
        <fgColor rgb="FFFEFEFE"/>
        <bgColor rgb="FFFFFFFF"/>
      </patternFill>
    </fill>
    <fill>
      <patternFill patternType="solid">
        <fgColor rgb="FF4A86E8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EF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58595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3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nsee.fr/fr/statistiques/1892086?sommaire=1912926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ournisseurs-electricite.com/france/169-infos/18441-coefficient-de-conversion-du-gaz" TargetMode="External"/><Relationship Id="rId2" Type="http://schemas.openxmlformats.org/officeDocument/2006/relationships/hyperlink" Target="http://www.statistiques.developpement-durable.gouv.fr/fileadmin/documents/Produits_editoriaux/Publications/Datalab_essentiel/2017/datalab-essentiel-124-ventes-de-produits-petroliers-en-2016-nov2017.pdf" TargetMode="External"/><Relationship Id="rId3" Type="http://schemas.openxmlformats.org/officeDocument/2006/relationships/hyperlink" Target="https://www.insee.fr/fr/statistiques/2119673" TargetMode="External"/><Relationship Id="rId4" Type="http://schemas.openxmlformats.org/officeDocument/2006/relationships/hyperlink" Target="https://www.cpdp.org/fr/le-marche-petrolier" TargetMode="External"/><Relationship Id="rId5" Type="http://schemas.openxmlformats.org/officeDocument/2006/relationships/hyperlink" Target="http://www.grtgaz.com/fileadmin/medias/communiques/2018/FR/Presentation-bilan-gaz-2017.pdf" TargetMode="External"/><Relationship Id="rId6" Type="http://schemas.openxmlformats.org/officeDocument/2006/relationships/hyperlink" Target="https://carbu.com/france/index.php/prixmoyens" TargetMode="External"/><Relationship Id="rId7" Type="http://schemas.openxmlformats.org/officeDocument/2006/relationships/hyperlink" Target="http://www.prix-carburants.developpement-durable.gouv.fr/petrole/se_cons_fr.htm" TargetMode="External"/><Relationship Id="rId8" Type="http://schemas.openxmlformats.org/officeDocument/2006/relationships/hyperlink" Target="https://www.ecologique-solidaire.gouv.fr/fiscalite-des-energies" TargetMode="External"/><Relationship Id="rId9" Type="http://schemas.openxmlformats.org/officeDocument/2006/relationships/hyperlink" Target="https://www.insee.fr/fr/statistiques/1892086?sommaire=1912926" TargetMode="External"/><Relationship Id="rId10" Type="http://schemas.openxmlformats.org/officeDocument/2006/relationships/hyperlink" Target="https://www.insee.fr/fr/statistiques/1906663?sommaire=1906743" TargetMode="External"/><Relationship Id="rId11" Type="http://schemas.openxmlformats.org/officeDocument/2006/relationships/hyperlink" Target="https://www.insee.fr/fr/statistiques/3303344?sommaire=3353488" TargetMode="External"/><Relationship Id="rId12" Type="http://schemas.openxmlformats.org/officeDocument/2006/relationships/hyperlink" Target="https://www.insee.fr/fr/statistiques/2416808" TargetMode="External"/><Relationship Id="rId13" Type="http://schemas.openxmlformats.org/officeDocument/2006/relationships/hyperlink" Target="https://www.performance-publique.budget.gouv.fr/budget-comptes-etat/budget-etat/approfondir/recettes-etat/recettes-fiscales" TargetMode="External"/><Relationship Id="rId14" Type="http://schemas.openxmlformats.org/officeDocument/2006/relationships/hyperlink" Target="http://www2.impots.gouv.fr/documentation/statistiques/annuaire2013/tab101_2013.xls" TargetMode="External"/><Relationship Id="rId15" Type="http://schemas.openxmlformats.org/officeDocument/2006/relationships/hyperlink" Target="https://www.ccomptes.fr/sites/default/files/EzPublish/20151216-rapport-Fouilleron-TVA-et-depenses-publiques.pdf" TargetMode="External"/><Relationship Id="rId16" Type="http://schemas.openxmlformats.org/officeDocument/2006/relationships/hyperlink" Target="http://bilans-ges.ademe.fr/" TargetMode="External"/><Relationship Id="rId17" Type="http://schemas.openxmlformats.org/officeDocument/2006/relationships/hyperlink" Target="https://selectra.info/energie/guides/tarifs/gaz/base-b0-b1-b2i-b2s-tel" TargetMode="External"/><Relationship Id="rId18" Type="http://schemas.openxmlformats.org/officeDocument/2006/relationships/hyperlink" Target="https://argent.boursier.com/quotidien/actualites/tout-savoir-sur-les-baremes-pour-beneficier-du-cheque-energie-4865.html" TargetMode="External"/><Relationship Id="rId19" Type="http://schemas.openxmlformats.org/officeDocument/2006/relationships/hyperlink" Target="https://www.ecologique-solidaire.gouv.fr/sites/default/files/Projet%20strategie%20nationale%20bas%20carbone.pdf" TargetMode="External"/><Relationship Id="rId20" Type="http://schemas.openxmlformats.org/officeDocument/2006/relationships/hyperlink" Target="https://public.opendatasoft.com/explore/dataset/correspondance-code-insee-code-postal/table/" TargetMode="External"/><Relationship Id="rId21" Type="http://schemas.openxmlformats.org/officeDocument/2006/relationships/hyperlink" Target="https://www.insee.fr/fr/statistiques/2830613" TargetMode="External"/><Relationship Id="rId22" Type="http://schemas.openxmlformats.org/officeDocument/2006/relationships/hyperlink" Target="https://www.insee.fr/fr/statistiques/2107840" TargetMode="External"/><Relationship Id="rId23" Type="http://schemas.openxmlformats.org/officeDocument/2006/relationships/hyperlink" Target="https://fr.statista.com/statistiques/486554/consommation-de-carburant-moyenne-voiture-france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fr.wikipedia.org/wiki/&#206;le-de-France" TargetMode="External"/><Relationship Id="rId2" Type="http://schemas.openxmlformats.org/officeDocument/2006/relationships/hyperlink" Target="https://fr.wikipedia.org/wiki/Bourgogne-Franche-Comt&#233;" TargetMode="External"/><Relationship Id="rId3" Type="http://schemas.openxmlformats.org/officeDocument/2006/relationships/hyperlink" Target="https://fr.wikipedia.org/wiki/Pays_de_la_Loire" TargetMode="External"/><Relationship Id="rId4" Type="http://schemas.openxmlformats.org/officeDocument/2006/relationships/hyperlink" Target="https://fr.wikipedia.org/wiki/Normandie_(r&#233;gion_administrative)" TargetMode="External"/><Relationship Id="rId5" Type="http://schemas.openxmlformats.org/officeDocument/2006/relationships/hyperlink" Target="https://fr.wikipedia.org/wiki/Auvergne-Rh&#244;ne-Alpes" TargetMode="External"/><Relationship Id="rId6" Type="http://schemas.openxmlformats.org/officeDocument/2006/relationships/hyperlink" Target="https://fr.wikipedia.org/wiki/Provence-Alpes-C&#244;te_d%27Azur" TargetMode="External"/><Relationship Id="rId7" Type="http://schemas.openxmlformats.org/officeDocument/2006/relationships/hyperlink" Target="https://www.insee.fr/fr/statistiques/2381478" TargetMode="External"/><Relationship Id="rId8" Type="http://schemas.openxmlformats.org/officeDocument/2006/relationships/hyperlink" Target="https://www.insee.fr/fr/statistiques/1893198" TargetMode="External"/><Relationship Id="rId9" Type="http://schemas.openxmlformats.org/officeDocument/2006/relationships/hyperlink" Target="https://www.insee.fr/fr/statistiques/1280970" TargetMode="External"/><Relationship Id="rId10" Type="http://schemas.openxmlformats.org/officeDocument/2006/relationships/hyperlink" Target="https://www.insee.fr/fr/statistiques/1892088?sommaire=1912926" TargetMode="External"/><Relationship Id="rId11" Type="http://schemas.openxmlformats.org/officeDocument/2006/relationships/hyperlink" Target="https://www.insee.fr/fr/statistiques/2381474" TargetMode="External"/><Relationship Id="rId12" Type="http://schemas.openxmlformats.org/officeDocument/2006/relationships/hyperlink" Target="https://www.insee.fr/fr/statistiques/3568823?sommaire=3568833&amp;geo=METRO-1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legifrance.gouv.fr/affichCodeArticle.do;jsessionid=4337AF4921843AB2063817AB97F65FAB.tplgfr21s_1?idArticle=LEGIARTI000037094636&amp;cidTexte=LEGITEXT000006071570&amp;categorieLien=id&amp;dateTexte=" TargetMode="External"/><Relationship Id="rId2" Type="http://schemas.openxmlformats.org/officeDocument/2006/relationships/hyperlink" Target="https://www.ecologique-solidaire.gouv.fr/fiscalite-des-energies" TargetMode="External"/><Relationship Id="rId3" Type="http://schemas.openxmlformats.org/officeDocument/2006/relationships/hyperlink" Target="https://www.legifrance.gouv.fr/affichCodeArticle.do?cidTexte=LEGITEXT000006071570&amp;idArticle=LEGIARTI000006615168&amp;dateTexte=&amp;categorieLien=cid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nonaugazdeschistelyon.files.wordpress.com/2018/02/france-tm-05_02_2018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23.14"/>
    <col collapsed="false" customWidth="true" hidden="false" outlineLevel="0" max="2" min="2" style="0" width="19.86"/>
    <col collapsed="false" customWidth="true" hidden="false" outlineLevel="0" max="3" min="3" style="0" width="22.57"/>
    <col collapsed="false" customWidth="true" hidden="false" outlineLevel="0" max="4" min="4" style="0" width="23.29"/>
    <col collapsed="false" customWidth="true" hidden="false" outlineLevel="0" max="5" min="5" style="0" width="21.57"/>
    <col collapsed="false" customWidth="true" hidden="false" outlineLevel="0" max="6" min="6" style="0" width="24.29"/>
    <col collapsed="false" customWidth="true" hidden="false" outlineLevel="0" max="7" min="7" style="0" width="24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5.75" hidden="false" customHeight="false" outlineLevel="0" collapsed="false">
      <c r="A3" s="2" t="s">
        <v>7</v>
      </c>
      <c r="B3" s="3" t="n">
        <v>4.02</v>
      </c>
      <c r="C3" s="3" t="n">
        <v>3.16</v>
      </c>
      <c r="D3" s="3" t="n">
        <v>2.73</v>
      </c>
      <c r="E3" s="3" t="n">
        <v>3.89</v>
      </c>
      <c r="F3" s="3" t="n">
        <v>3.2</v>
      </c>
      <c r="G3" s="3" t="n">
        <v>2.97</v>
      </c>
      <c r="H3" s="4"/>
      <c r="I3" s="4"/>
    </row>
    <row r="4" customFormat="false" ht="15.75" hidden="false" customHeight="false" outlineLevel="0" collapsed="false">
      <c r="A4" s="2" t="s">
        <v>8</v>
      </c>
      <c r="B4" s="3" t="n">
        <v>2.92</v>
      </c>
      <c r="C4" s="3" t="n">
        <v>2.78</v>
      </c>
      <c r="D4" s="3" t="n">
        <v>2.63</v>
      </c>
      <c r="E4" s="3" t="n">
        <v>2.82</v>
      </c>
      <c r="F4" s="3" t="n">
        <v>2.71</v>
      </c>
      <c r="G4" s="3" t="n">
        <v>2.6</v>
      </c>
      <c r="H4" s="4"/>
      <c r="I4" s="4"/>
    </row>
    <row r="5" customFormat="false" ht="15.75" hidden="false" customHeight="false" outlineLevel="0" collapsed="false">
      <c r="A5" s="2" t="s">
        <v>9</v>
      </c>
      <c r="B5" s="3" t="n">
        <v>6.93</v>
      </c>
      <c r="C5" s="3" t="n">
        <v>5.93</v>
      </c>
      <c r="D5" s="3" t="n">
        <v>5.36</v>
      </c>
      <c r="E5" s="3" t="n">
        <v>6.71</v>
      </c>
      <c r="F5" s="3" t="n">
        <v>5.91</v>
      </c>
      <c r="G5" s="3" t="n">
        <v>5.56</v>
      </c>
      <c r="H5" s="4"/>
      <c r="I5" s="4"/>
    </row>
    <row r="6" customFormat="false" ht="15.75" hidden="false" customHeight="false" outlineLevel="0" collapsed="false">
      <c r="B6" s="2"/>
      <c r="C6" s="2"/>
      <c r="D6" s="2"/>
      <c r="E6" s="2"/>
      <c r="F6" s="2"/>
      <c r="G6" s="2"/>
    </row>
    <row r="7" customFormat="false" ht="15.75" hidden="false" customHeight="false" outlineLevel="0" collapsed="false">
      <c r="A7" s="1" t="s">
        <v>10</v>
      </c>
      <c r="B7" s="2"/>
      <c r="C7" s="2"/>
      <c r="D7" s="5" t="s">
        <v>11</v>
      </c>
      <c r="E7" s="6" t="n">
        <v>50891106</v>
      </c>
      <c r="F7" s="2"/>
      <c r="G7" s="2"/>
    </row>
    <row r="8" customFormat="false" ht="15.75" hidden="false" customHeight="false" outlineLevel="0" collapsed="false">
      <c r="A8" s="2" t="s">
        <v>7</v>
      </c>
      <c r="B8" s="2" t="n">
        <v>3.35</v>
      </c>
      <c r="C8" s="2" t="n">
        <v>2.82</v>
      </c>
      <c r="D8" s="2" t="n">
        <v>2.55</v>
      </c>
      <c r="E8" s="2" t="n">
        <v>3.35</v>
      </c>
      <c r="F8" s="2" t="n">
        <v>2.93</v>
      </c>
      <c r="G8" s="2" t="n">
        <v>2.71</v>
      </c>
    </row>
    <row r="9" customFormat="false" ht="15.75" hidden="false" customHeight="false" outlineLevel="0" collapsed="false">
      <c r="A9" s="2" t="s">
        <v>8</v>
      </c>
      <c r="B9" s="2" t="n">
        <v>2.43</v>
      </c>
      <c r="C9" s="2" t="n">
        <v>2.36</v>
      </c>
      <c r="D9" s="2" t="n">
        <v>2.29</v>
      </c>
      <c r="E9" s="2" t="n">
        <v>2.43</v>
      </c>
      <c r="F9" s="2" t="n">
        <v>2.37</v>
      </c>
      <c r="G9" s="2" t="n">
        <v>2.32</v>
      </c>
    </row>
    <row r="10" customFormat="false" ht="15.75" hidden="false" customHeight="false" outlineLevel="0" collapsed="false">
      <c r="A10" s="2" t="s">
        <v>9</v>
      </c>
      <c r="B10" s="2" t="n">
        <v>5.78</v>
      </c>
      <c r="C10" s="2" t="n">
        <v>5.18</v>
      </c>
      <c r="D10" s="2" t="n">
        <v>4.84</v>
      </c>
      <c r="E10" s="2" t="n">
        <v>5.78</v>
      </c>
      <c r="F10" s="2" t="n">
        <v>5.3</v>
      </c>
      <c r="G10" s="2" t="n">
        <v>5.03</v>
      </c>
    </row>
    <row r="12" customFormat="false" ht="15.75" hidden="false" customHeight="false" outlineLevel="0" collapsed="false">
      <c r="A12" s="1" t="s">
        <v>12</v>
      </c>
    </row>
    <row r="13" customFormat="false" ht="15.75" hidden="false" customHeight="false" outlineLevel="0" collapsed="false">
      <c r="A13" s="2" t="s">
        <v>7</v>
      </c>
      <c r="B13" s="7" t="n">
        <f aca="false">B3/$E$7*1000000000</f>
        <v>78.9921916808017</v>
      </c>
      <c r="C13" s="7" t="n">
        <f aca="false">C3/$E$7*1000000000</f>
        <v>62.0933646048093</v>
      </c>
      <c r="D13" s="7" t="n">
        <f aca="false">D3/$E$7*1000000000</f>
        <v>53.6439510668131</v>
      </c>
      <c r="E13" s="7" t="n">
        <f aca="false">E3/$E$7*1000000000</f>
        <v>76.4377178204773</v>
      </c>
      <c r="F13" s="7" t="n">
        <f aca="false">F3/$E$7*1000000000</f>
        <v>62.8793565618322</v>
      </c>
      <c r="G13" s="7" t="n">
        <f aca="false">G3/$E$7*1000000000</f>
        <v>58.3599028089505</v>
      </c>
    </row>
    <row r="14" customFormat="false" ht="15.75" hidden="false" customHeight="false" outlineLevel="0" collapsed="false">
      <c r="A14" s="2" t="s">
        <v>8</v>
      </c>
      <c r="B14" s="7" t="n">
        <f aca="false">B4/$E$7*1000000000</f>
        <v>57.3774128626719</v>
      </c>
      <c r="C14" s="7" t="n">
        <f aca="false">C4/$E$7*1000000000</f>
        <v>54.6264410130918</v>
      </c>
      <c r="D14" s="7" t="n">
        <f aca="false">D4/$E$7*1000000000</f>
        <v>51.6789711742559</v>
      </c>
      <c r="E14" s="7" t="n">
        <f aca="false">E4/$E$7*1000000000</f>
        <v>55.4124329701147</v>
      </c>
      <c r="F14" s="7" t="n">
        <f aca="false">F4/$E$7*1000000000</f>
        <v>53.2509550883017</v>
      </c>
      <c r="G14" s="7" t="n">
        <f aca="false">G4/$E$7*1000000000</f>
        <v>51.0894772064887</v>
      </c>
    </row>
    <row r="15" customFormat="false" ht="15.75" hidden="false" customHeight="false" outlineLevel="0" collapsed="false">
      <c r="A15" s="2" t="s">
        <v>9</v>
      </c>
      <c r="B15" s="7" t="n">
        <f aca="false">B5/$E$7*1000000000</f>
        <v>136.173106554218</v>
      </c>
      <c r="C15" s="7" t="n">
        <f aca="false">C5/$E$7*1000000000</f>
        <v>116.523307628645</v>
      </c>
      <c r="D15" s="7" t="n">
        <f aca="false">D5/$E$7*1000000000</f>
        <v>105.322922241069</v>
      </c>
      <c r="E15" s="7" t="n">
        <f aca="false">E5/$E$7*1000000000</f>
        <v>131.850150790592</v>
      </c>
      <c r="F15" s="7" t="n">
        <f aca="false">F5/$E$7*1000000000</f>
        <v>116.130311650134</v>
      </c>
      <c r="G15" s="7" t="n">
        <f aca="false">G5/$E$7*1000000000</f>
        <v>109.252882026184</v>
      </c>
    </row>
    <row r="16" customFormat="false" ht="15.75" hidden="false" customHeight="false" outlineLevel="0" collapsed="false">
      <c r="B16" s="7"/>
      <c r="C16" s="7"/>
      <c r="D16" s="7"/>
      <c r="E16" s="7"/>
      <c r="F16" s="7"/>
      <c r="G16" s="7"/>
    </row>
    <row r="17" customFormat="false" ht="15.75" hidden="false" customHeight="false" outlineLevel="0" collapsed="false">
      <c r="A17" s="1" t="s">
        <v>13</v>
      </c>
      <c r="B17" s="7"/>
      <c r="C17" s="7"/>
      <c r="D17" s="8"/>
      <c r="E17" s="9"/>
      <c r="F17" s="7"/>
      <c r="G17" s="7"/>
    </row>
    <row r="18" customFormat="false" ht="15.75" hidden="false" customHeight="false" outlineLevel="0" collapsed="false">
      <c r="A18" s="10" t="n">
        <v>0.5</v>
      </c>
      <c r="B18" s="7" t="n">
        <f aca="false">$B$15/$A18</f>
        <v>272.346213108436</v>
      </c>
      <c r="C18" s="7" t="n">
        <f aca="false">$C$15/$A18</f>
        <v>233.046615257291</v>
      </c>
      <c r="D18" s="7" t="n">
        <f aca="false">$D$15/$A18</f>
        <v>210.645844482138</v>
      </c>
      <c r="E18" s="7" t="n">
        <f aca="false">$E$15/$A18</f>
        <v>263.700301581184</v>
      </c>
      <c r="F18" s="7" t="n">
        <f aca="false">$F$15/$A18</f>
        <v>232.260623300268</v>
      </c>
      <c r="G18" s="11" t="n">
        <f aca="false">$G$15/$A18</f>
        <v>218.505764052367</v>
      </c>
    </row>
    <row r="19" customFormat="false" ht="15.75" hidden="false" customHeight="false" outlineLevel="0" collapsed="false">
      <c r="A19" s="10" t="n">
        <v>0.4</v>
      </c>
      <c r="B19" s="7" t="n">
        <f aca="false">$B$15/$A19</f>
        <v>340.432766385545</v>
      </c>
      <c r="C19" s="7" t="n">
        <f aca="false">$C$15/$A19</f>
        <v>291.308269071613</v>
      </c>
      <c r="D19" s="7" t="n">
        <f aca="false">$D$15/$A19</f>
        <v>263.307305602672</v>
      </c>
      <c r="E19" s="7" t="n">
        <f aca="false">$E$15/$A19</f>
        <v>329.62537697648</v>
      </c>
      <c r="F19" s="7" t="n">
        <f aca="false">$F$15/$A19</f>
        <v>290.325779125335</v>
      </c>
      <c r="G19" s="11" t="n">
        <f aca="false">$G$15/$A19</f>
        <v>273.132205065459</v>
      </c>
    </row>
    <row r="20" customFormat="false" ht="15.75" hidden="false" customHeight="false" outlineLevel="0" collapsed="false">
      <c r="A20" s="12" t="n">
        <v>0.3</v>
      </c>
      <c r="B20" s="7" t="n">
        <f aca="false">$B$15/$A20</f>
        <v>453.910355180726</v>
      </c>
      <c r="C20" s="7" t="n">
        <f aca="false">$C$15/$A20</f>
        <v>388.411025428818</v>
      </c>
      <c r="D20" s="7" t="n">
        <f aca="false">$D$15/$A20</f>
        <v>351.07640747023</v>
      </c>
      <c r="E20" s="7" t="n">
        <f aca="false">$E$15/$A20</f>
        <v>439.500502635307</v>
      </c>
      <c r="F20" s="7" t="n">
        <f aca="false">$F$15/$A20</f>
        <v>387.10103883378</v>
      </c>
      <c r="G20" s="11" t="n">
        <f aca="false">$G$15/$A20</f>
        <v>364.176273420612</v>
      </c>
    </row>
    <row r="21" customFormat="false" ht="15.75" hidden="false" customHeight="false" outlineLevel="0" collapsed="false">
      <c r="A21" s="12" t="n">
        <v>0.2</v>
      </c>
      <c r="B21" s="7" t="n">
        <f aca="false">$B$15/$A21</f>
        <v>680.86553277109</v>
      </c>
      <c r="C21" s="7" t="n">
        <f aca="false">$C$15/$A21</f>
        <v>582.616538143227</v>
      </c>
      <c r="D21" s="7" t="n">
        <f aca="false">$D$15/$A21</f>
        <v>526.614611205345</v>
      </c>
      <c r="E21" s="7" t="n">
        <f aca="false">$E$15/$A21</f>
        <v>659.25075395296</v>
      </c>
      <c r="F21" s="7" t="n">
        <f aca="false">$F$15/$A21</f>
        <v>580.65155825067</v>
      </c>
      <c r="G21" s="11" t="n">
        <f aca="false">$G$15/$A21</f>
        <v>546.264410130918</v>
      </c>
    </row>
    <row r="23" customFormat="false" ht="15.75" hidden="false" customHeight="false" outlineLevel="0" collapsed="false">
      <c r="A23" s="2" t="s">
        <v>14</v>
      </c>
    </row>
    <row r="26" customFormat="false" ht="15.75" hidden="false" customHeight="false" outlineLevel="0" collapsed="false">
      <c r="A26" s="3" t="s">
        <v>15</v>
      </c>
      <c r="B26" s="13" t="s">
        <v>16</v>
      </c>
    </row>
    <row r="27" customFormat="false" ht="15.75" hidden="false" customHeight="false" outlineLevel="0" collapsed="false">
      <c r="B27" s="13" t="s">
        <v>17</v>
      </c>
    </row>
    <row r="28" customFormat="false" ht="15.75" hidden="false" customHeight="false" outlineLevel="0" collapsed="false">
      <c r="B28" s="14" t="s">
        <v>18</v>
      </c>
    </row>
    <row r="30" customFormat="false" ht="15.75" hidden="false" customHeight="false" outlineLevel="0" collapsed="false">
      <c r="A30" s="2" t="s">
        <v>19</v>
      </c>
    </row>
    <row r="31" customFormat="false" ht="15.75" hidden="false" customHeight="false" outlineLevel="0" collapsed="false">
      <c r="A31" s="2" t="s">
        <v>20</v>
      </c>
      <c r="B31" s="15" t="s">
        <v>21</v>
      </c>
    </row>
    <row r="32" customFormat="false" ht="15.75" hidden="false" customHeight="false" outlineLevel="0" collapsed="false">
      <c r="A32" s="2" t="s">
        <v>22</v>
      </c>
      <c r="B32" s="2" t="s">
        <v>23</v>
      </c>
    </row>
  </sheetData>
  <hyperlinks>
    <hyperlink ref="B31" r:id="rId1" display="https://www.insee.fr/fr/statistiques/1892086?sommaire=1912926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5.7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9"/>
    <col collapsed="false" customWidth="true" hidden="false" outlineLevel="0" max="3" min="3" style="0" width="15.87"/>
    <col collapsed="false" customWidth="true" hidden="false" outlineLevel="0" max="4" min="4" style="0" width="14.01"/>
    <col collapsed="false" customWidth="true" hidden="false" outlineLevel="0" max="5" min="5" style="0" width="10.58"/>
    <col collapsed="false" customWidth="true" hidden="false" outlineLevel="0" max="6" min="6" style="0" width="12.43"/>
    <col collapsed="false" customWidth="true" hidden="false" outlineLevel="0" max="9" min="7" style="0" width="14.43"/>
    <col collapsed="false" customWidth="true" hidden="false" outlineLevel="0" max="10" min="10" style="0" width="20.86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n">
        <v>2014</v>
      </c>
      <c r="R1" s="1" t="n">
        <v>2015</v>
      </c>
      <c r="S1" s="1" t="n">
        <v>2016</v>
      </c>
      <c r="T1" s="1" t="n">
        <v>2017</v>
      </c>
      <c r="U1" s="1" t="n">
        <v>2018</v>
      </c>
      <c r="V1" s="1" t="n">
        <v>2019</v>
      </c>
      <c r="W1" s="1" t="n">
        <v>2020</v>
      </c>
      <c r="X1" s="1" t="n">
        <v>2021</v>
      </c>
      <c r="Y1" s="1" t="n">
        <v>2022</v>
      </c>
      <c r="Z1" s="1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</row>
    <row r="2" customFormat="false" ht="15.75" hidden="false" customHeight="false" outlineLevel="0" collapsed="false">
      <c r="A2" s="16" t="s">
        <v>50</v>
      </c>
      <c r="B2" s="2" t="s">
        <v>51</v>
      </c>
      <c r="C2" s="2" t="n">
        <v>0.205</v>
      </c>
      <c r="D2" s="2" t="n">
        <v>0.0651</v>
      </c>
      <c r="E2" s="0" t="n">
        <f aca="false">C2*$B$17/1000</f>
        <v>0.01025</v>
      </c>
      <c r="F2" s="17" t="n">
        <f aca="false">E2/D2</f>
        <v>0.157450076804916</v>
      </c>
      <c r="I2" s="2" t="n">
        <v>232</v>
      </c>
      <c r="J2" s="2" t="n">
        <v>679</v>
      </c>
      <c r="M2" s="2" t="n">
        <v>1104</v>
      </c>
      <c r="O2" s="2"/>
      <c r="P2" s="2" t="n">
        <v>0</v>
      </c>
      <c r="Q2" s="2" t="n">
        <v>1.27</v>
      </c>
      <c r="R2" s="2" t="n">
        <v>2.64</v>
      </c>
      <c r="S2" s="2" t="n">
        <v>4.34</v>
      </c>
      <c r="T2" s="2" t="n">
        <v>5.88</v>
      </c>
      <c r="U2" s="2" t="n">
        <v>8.45</v>
      </c>
      <c r="V2" s="2" t="n">
        <v>10.34</v>
      </c>
      <c r="W2" s="2" t="n">
        <v>12.24</v>
      </c>
      <c r="X2" s="2" t="n">
        <v>14.13</v>
      </c>
      <c r="Y2" s="2" t="n">
        <v>16.02</v>
      </c>
      <c r="Z2" s="18" t="n">
        <f aca="false">AVERAGE(AE2:AI2)</f>
        <v>0.182030823786143</v>
      </c>
      <c r="AA2" s="2" t="n">
        <f aca="false">(Q2-P2)/(Q$17-P$17)</f>
        <v>0.181428571428571</v>
      </c>
      <c r="AB2" s="2" t="n">
        <f aca="false">(R2-Q2)/(R$17-Q$17)</f>
        <v>0.182666666666667</v>
      </c>
      <c r="AC2" s="2" t="n">
        <f aca="false">(S2-R2)/(S$17-R$17)</f>
        <v>0.226666666666667</v>
      </c>
      <c r="AD2" s="2" t="n">
        <f aca="false">(T2-S2)/(T$17-S$17)</f>
        <v>0.181176470588235</v>
      </c>
      <c r="AE2" s="2" t="n">
        <f aca="false">(U2-T2)/(U$17-T$17)</f>
        <v>0.182269503546099</v>
      </c>
      <c r="AF2" s="2" t="n">
        <f aca="false">(V2-U2)/(V$17-U$17)</f>
        <v>0.181730769230769</v>
      </c>
      <c r="AG2" s="2" t="n">
        <f aca="false">(W2-V2)/(W$17-V$17)</f>
        <v>0.182692307692308</v>
      </c>
      <c r="AH2" s="2" t="n">
        <f aca="false">(X2-W2)/(X$17-W$17)</f>
        <v>0.181730769230769</v>
      </c>
      <c r="AI2" s="2" t="n">
        <f aca="false">(Y2-X2)/(Y$17-X$17)</f>
        <v>0.181730769230769</v>
      </c>
      <c r="AJ2" s="0" t="n">
        <f aca="false">(Q2-$P2)/Q$17</f>
        <v>0.181428571428571</v>
      </c>
      <c r="AK2" s="0" t="n">
        <f aca="false">(R2-$P2)/R$17</f>
        <v>0.182068965517241</v>
      </c>
      <c r="AL2" s="0" t="n">
        <f aca="false">(S2-$P2)/S$17</f>
        <v>0.197272727272727</v>
      </c>
      <c r="AM2" s="0" t="n">
        <f aca="false">(T2-$P2)/T$17</f>
        <v>0.192786885245902</v>
      </c>
      <c r="AN2" s="0" t="n">
        <f aca="false">(U2-$P2)/U$17</f>
        <v>0.189461883408072</v>
      </c>
      <c r="AO2" s="0" t="n">
        <f aca="false">(V2-$P2)/V$17</f>
        <v>0.188</v>
      </c>
      <c r="AP2" s="0" t="n">
        <f aca="false">(W2-$P2)/W$17</f>
        <v>0.187155963302752</v>
      </c>
      <c r="AQ2" s="0" t="n">
        <f aca="false">(X2-$P2)/X$17</f>
        <v>0.186411609498681</v>
      </c>
      <c r="AR2" s="0" t="n">
        <f aca="false">(Y2-$P2)/Y$17</f>
        <v>0.18584686774942</v>
      </c>
    </row>
    <row r="3" customFormat="false" ht="15.75" hidden="false" customHeight="false" outlineLevel="0" collapsed="false">
      <c r="A3" s="19" t="s">
        <v>52</v>
      </c>
      <c r="B3" s="2" t="s">
        <v>51</v>
      </c>
      <c r="C3" s="2" t="n">
        <v>0.205</v>
      </c>
      <c r="D3" s="2" t="n">
        <v>0.0687</v>
      </c>
      <c r="E3" s="0" t="n">
        <f aca="false">C3*$B$17/1000</f>
        <v>0.01025</v>
      </c>
      <c r="F3" s="17" t="n">
        <f aca="false">E3/D3</f>
        <v>0.14919941775837</v>
      </c>
      <c r="I3" s="2" t="n">
        <v>232</v>
      </c>
      <c r="J3" s="2" t="n">
        <v>679</v>
      </c>
      <c r="K3" s="2" t="n">
        <v>1104</v>
      </c>
      <c r="O3" s="2"/>
      <c r="P3" s="2" t="n">
        <v>0</v>
      </c>
      <c r="Q3" s="2" t="n">
        <v>1.27</v>
      </c>
      <c r="R3" s="2" t="n">
        <v>2.64</v>
      </c>
      <c r="S3" s="2" t="n">
        <v>4.34</v>
      </c>
      <c r="T3" s="2" t="n">
        <v>5.88</v>
      </c>
      <c r="U3" s="2" t="n">
        <v>8.45</v>
      </c>
      <c r="V3" s="2" t="n">
        <v>10.34</v>
      </c>
      <c r="W3" s="2" t="n">
        <v>12.24</v>
      </c>
      <c r="X3" s="2" t="n">
        <v>14.13</v>
      </c>
      <c r="Y3" s="2" t="n">
        <v>16.02</v>
      </c>
      <c r="Z3" s="18" t="n">
        <f aca="false">AVERAGE(AE3:AI3)</f>
        <v>0.182030823786143</v>
      </c>
      <c r="AA3" s="2" t="n">
        <f aca="false">(Q3-P3)/(Q$17-P$17)</f>
        <v>0.181428571428571</v>
      </c>
      <c r="AB3" s="2" t="n">
        <f aca="false">(R3-Q3)/(R$17-Q$17)</f>
        <v>0.182666666666667</v>
      </c>
      <c r="AC3" s="2" t="n">
        <f aca="false">(S3-R3)/(S$17-R$17)</f>
        <v>0.226666666666667</v>
      </c>
      <c r="AD3" s="2" t="n">
        <f aca="false">(T3-S3)/(T$17-S$17)</f>
        <v>0.181176470588235</v>
      </c>
      <c r="AE3" s="2" t="n">
        <f aca="false">(U3-T3)/(U$17-T$17)</f>
        <v>0.182269503546099</v>
      </c>
      <c r="AF3" s="2" t="n">
        <f aca="false">(V3-U3)/(V$17-U$17)</f>
        <v>0.181730769230769</v>
      </c>
      <c r="AG3" s="2" t="n">
        <f aca="false">(W3-V3)/(W$17-V$17)</f>
        <v>0.182692307692308</v>
      </c>
      <c r="AH3" s="2" t="n">
        <f aca="false">(X3-W3)/(X$17-W$17)</f>
        <v>0.181730769230769</v>
      </c>
      <c r="AI3" s="2" t="n">
        <f aca="false">(Y3-X3)/(Y$17-X$17)</f>
        <v>0.181730769230769</v>
      </c>
      <c r="AJ3" s="0" t="n">
        <f aca="false">(Q3-$P3)/Q$17</f>
        <v>0.181428571428571</v>
      </c>
      <c r="AK3" s="0" t="n">
        <f aca="false">(R3-$P3)/R$17</f>
        <v>0.182068965517241</v>
      </c>
      <c r="AL3" s="0" t="n">
        <f aca="false">(S3-$P3)/S$17</f>
        <v>0.197272727272727</v>
      </c>
      <c r="AM3" s="0" t="n">
        <f aca="false">(T3-$P3)/T$17</f>
        <v>0.192786885245902</v>
      </c>
      <c r="AN3" s="0" t="n">
        <f aca="false">(U3-$P3)/U$17</f>
        <v>0.189461883408072</v>
      </c>
      <c r="AO3" s="0" t="n">
        <f aca="false">(V3-$P3)/V$17</f>
        <v>0.188</v>
      </c>
      <c r="AP3" s="0" t="n">
        <f aca="false">(W3-$P3)/W$17</f>
        <v>0.187155963302752</v>
      </c>
      <c r="AQ3" s="0" t="n">
        <f aca="false">(X3-$P3)/X$17</f>
        <v>0.186411609498681</v>
      </c>
      <c r="AR3" s="0" t="n">
        <f aca="false">(Y3-$P3)/Y$17</f>
        <v>0.18584686774942</v>
      </c>
    </row>
    <row r="4" customFormat="false" ht="15.75" hidden="false" customHeight="false" outlineLevel="0" collapsed="false">
      <c r="A4" s="19" t="s">
        <v>53</v>
      </c>
      <c r="B4" s="2" t="s">
        <v>51</v>
      </c>
      <c r="C4" s="2" t="n">
        <v>0.205</v>
      </c>
      <c r="D4" s="2" t="n">
        <f aca="false">(D2+D3)/2</f>
        <v>0.0669</v>
      </c>
      <c r="E4" s="20" t="n">
        <f aca="false">C4*$B$17/1000</f>
        <v>0.01025</v>
      </c>
      <c r="F4" s="21" t="n">
        <f aca="false">E4/D4</f>
        <v>0.15321375186846</v>
      </c>
      <c r="G4" s="0" t="n">
        <f aca="false">463*10^9</f>
        <v>463000000000</v>
      </c>
      <c r="H4" s="2"/>
      <c r="I4" s="2" t="n">
        <v>232</v>
      </c>
      <c r="J4" s="2" t="n">
        <v>679</v>
      </c>
      <c r="K4" s="2" t="n">
        <v>1104</v>
      </c>
      <c r="L4" s="0" t="n">
        <f aca="false">K4*10^9/G4</f>
        <v>2.38444924406047</v>
      </c>
      <c r="M4" s="22" t="n">
        <f aca="false">G4*Z4*$B$17/10^12</f>
        <v>4.21401357064921</v>
      </c>
      <c r="N4" s="2" t="n">
        <v>0.15</v>
      </c>
      <c r="O4" s="23" t="n">
        <f aca="false">M4*(1-N4*F4)</f>
        <v>4.11716684621164</v>
      </c>
      <c r="P4" s="2" t="n">
        <v>0</v>
      </c>
      <c r="Q4" s="2" t="n">
        <v>1.27</v>
      </c>
      <c r="R4" s="2" t="n">
        <v>2.64</v>
      </c>
      <c r="S4" s="2" t="n">
        <v>4.34</v>
      </c>
      <c r="T4" s="2" t="n">
        <v>5.88</v>
      </c>
      <c r="U4" s="2" t="n">
        <v>8.45</v>
      </c>
      <c r="V4" s="2" t="n">
        <v>10.34</v>
      </c>
      <c r="W4" s="2" t="n">
        <v>12.24</v>
      </c>
      <c r="X4" s="2" t="n">
        <v>14.13</v>
      </c>
      <c r="Y4" s="2" t="n">
        <v>16.02</v>
      </c>
      <c r="Z4" s="24" t="n">
        <f aca="false">AVERAGE(AE4:AI4)</f>
        <v>0.182030823786143</v>
      </c>
      <c r="AA4" s="2" t="n">
        <f aca="false">(Q4-P4)/(Q$17-P$17)</f>
        <v>0.181428571428571</v>
      </c>
      <c r="AB4" s="2" t="n">
        <f aca="false">(R4-Q4)/(R$17-Q$17)</f>
        <v>0.182666666666667</v>
      </c>
      <c r="AC4" s="2" t="n">
        <f aca="false">(S4-R4)/(S$17-R$17)</f>
        <v>0.226666666666667</v>
      </c>
      <c r="AD4" s="2" t="n">
        <f aca="false">(T4-S4)/(T$17-S$17)</f>
        <v>0.181176470588235</v>
      </c>
      <c r="AE4" s="2" t="n">
        <f aca="false">(U4-T4)/(U$17-T$17)</f>
        <v>0.182269503546099</v>
      </c>
      <c r="AF4" s="2" t="n">
        <f aca="false">(V4-U4)/(V$17-U$17)</f>
        <v>0.181730769230769</v>
      </c>
      <c r="AG4" s="2" t="n">
        <f aca="false">(W4-V4)/(W$17-V$17)</f>
        <v>0.182692307692308</v>
      </c>
      <c r="AH4" s="2" t="n">
        <f aca="false">(X4-W4)/(X$17-W$17)</f>
        <v>0.181730769230769</v>
      </c>
      <c r="AI4" s="2" t="n">
        <f aca="false">(Y4-X4)/(Y$17-X$17)</f>
        <v>0.181730769230769</v>
      </c>
      <c r="AJ4" s="0" t="n">
        <f aca="false">(Q4-$P4)/Q$17</f>
        <v>0.181428571428571</v>
      </c>
      <c r="AK4" s="0" t="n">
        <f aca="false">(R4-$P4)/R$17</f>
        <v>0.182068965517241</v>
      </c>
      <c r="AL4" s="0" t="n">
        <f aca="false">(S4-$P4)/S$17</f>
        <v>0.197272727272727</v>
      </c>
      <c r="AM4" s="0" t="n">
        <f aca="false">(T4-$P4)/T$17</f>
        <v>0.192786885245902</v>
      </c>
      <c r="AN4" s="0" t="n">
        <f aca="false">(U4-$P4)/U$17</f>
        <v>0.189461883408072</v>
      </c>
      <c r="AO4" s="0" t="n">
        <f aca="false">(V4-$P4)/V$17</f>
        <v>0.188</v>
      </c>
      <c r="AP4" s="0" t="n">
        <f aca="false">(W4-$P4)/W$17</f>
        <v>0.187155963302752</v>
      </c>
      <c r="AQ4" s="0" t="n">
        <f aca="false">(X4-$P4)/X$17</f>
        <v>0.186411609498681</v>
      </c>
      <c r="AR4" s="0" t="n">
        <f aca="false">(Y4-$P4)/Y$17</f>
        <v>0.18584686774942</v>
      </c>
    </row>
    <row r="5" customFormat="false" ht="15.75" hidden="false" customHeight="false" outlineLevel="0" collapsed="false">
      <c r="A5" s="19" t="s">
        <v>54</v>
      </c>
      <c r="B5" s="2" t="s">
        <v>55</v>
      </c>
      <c r="C5" s="2" t="n">
        <v>3.25</v>
      </c>
      <c r="D5" s="2" t="n">
        <v>0.856</v>
      </c>
      <c r="E5" s="20" t="n">
        <f aca="false">C5*$B$17/1000</f>
        <v>0.1625</v>
      </c>
      <c r="F5" s="21" t="n">
        <f aca="false">E5/D5</f>
        <v>0.189836448598131</v>
      </c>
      <c r="G5" s="2" t="n">
        <v>7500000000</v>
      </c>
      <c r="H5" s="2" t="n">
        <v>6.3</v>
      </c>
      <c r="I5" s="2" t="n">
        <v>424</v>
      </c>
      <c r="J5" s="2" t="n">
        <v>593</v>
      </c>
      <c r="K5" s="2" t="n">
        <v>709</v>
      </c>
      <c r="L5" s="0" t="n">
        <f aca="false">K5*10^8/G5</f>
        <v>9.45333333333333</v>
      </c>
      <c r="M5" s="22" t="n">
        <f aca="false">G5*Z5*$B$17/10^12</f>
        <v>0.993836947626841</v>
      </c>
      <c r="N5" s="2" t="n">
        <v>0.15</v>
      </c>
      <c r="O5" s="23" t="n">
        <f aca="false">M5*(1-N5*F5)</f>
        <v>0.965536976133378</v>
      </c>
      <c r="P5" s="2" t="n">
        <v>5.66</v>
      </c>
      <c r="Q5" s="2" t="n">
        <v>5.66</v>
      </c>
      <c r="R5" s="2" t="n">
        <v>7.64</v>
      </c>
      <c r="S5" s="2" t="n">
        <v>9.63</v>
      </c>
      <c r="T5" s="2" t="n">
        <v>11.89</v>
      </c>
      <c r="U5" s="2" t="n">
        <v>15.62</v>
      </c>
      <c r="V5" s="2" t="n">
        <v>18.38</v>
      </c>
      <c r="W5" s="2" t="n">
        <v>21.14</v>
      </c>
      <c r="X5" s="2" t="n">
        <v>23.89</v>
      </c>
      <c r="Y5" s="2" t="n">
        <v>26.65</v>
      </c>
      <c r="Z5" s="24" t="n">
        <f aca="false">AVERAGE(AE5:AI5)*10</f>
        <v>2.65023186033824</v>
      </c>
      <c r="AA5" s="2" t="n">
        <f aca="false">(Q5-P5)/(Q$17-P$17)</f>
        <v>0</v>
      </c>
      <c r="AB5" s="2" t="n">
        <f aca="false">(R5-Q5)/(R$17-Q$17)</f>
        <v>0.264</v>
      </c>
      <c r="AC5" s="2" t="n">
        <f aca="false">(S5-R5)/(S$17-R$17)</f>
        <v>0.265333333333333</v>
      </c>
      <c r="AD5" s="2" t="n">
        <f aca="false">(T5-S5)/(T$17-S$17)</f>
        <v>0.265882352941176</v>
      </c>
      <c r="AE5" s="2" t="n">
        <f aca="false">(U5-T5)/(U$17-T$17)</f>
        <v>0.264539007092198</v>
      </c>
      <c r="AF5" s="2" t="n">
        <f aca="false">(V5-U5)/(V$17-U$17)</f>
        <v>0.265384615384615</v>
      </c>
      <c r="AG5" s="2" t="n">
        <f aca="false">(W5-V5)/(W$17-V$17)</f>
        <v>0.265384615384615</v>
      </c>
      <c r="AH5" s="2" t="n">
        <f aca="false">(X5-W5)/(X$17-W$17)</f>
        <v>0.264423076923077</v>
      </c>
      <c r="AI5" s="2" t="n">
        <f aca="false">(Y5-X5)/(Y$17-X$17)</f>
        <v>0.265384615384615</v>
      </c>
      <c r="AJ5" s="0" t="n">
        <f aca="false">(Q5-$P5)/Q$17</f>
        <v>0</v>
      </c>
      <c r="AK5" s="0" t="n">
        <f aca="false">(R5-$P5)/R$17</f>
        <v>0.136551724137931</v>
      </c>
      <c r="AL5" s="0" t="n">
        <f aca="false">(S5-$P5)/S$17</f>
        <v>0.180454545454545</v>
      </c>
      <c r="AM5" s="0" t="n">
        <f aca="false">(T5-$P5)/T$17</f>
        <v>0.204262295081967</v>
      </c>
      <c r="AN5" s="0" t="n">
        <f aca="false">(U5-$P5)/U$17</f>
        <v>0.223318385650224</v>
      </c>
      <c r="AO5" s="0" t="n">
        <f aca="false">(V5-$P5)/V$17</f>
        <v>0.231272727272727</v>
      </c>
      <c r="AP5" s="0" t="n">
        <f aca="false">(W5-$P5)/W$17</f>
        <v>0.236697247706422</v>
      </c>
      <c r="AQ5" s="0" t="n">
        <f aca="false">(X5-$P5)/X$17</f>
        <v>0.240501319261214</v>
      </c>
      <c r="AR5" s="0" t="n">
        <f aca="false">(Y5-$P5)/Y$17</f>
        <v>0.243503480278422</v>
      </c>
    </row>
    <row r="6" customFormat="false" ht="15.75" hidden="false" customHeight="false" outlineLevel="0" collapsed="false">
      <c r="A6" s="19" t="s">
        <v>56</v>
      </c>
      <c r="B6" s="2" t="s">
        <v>55</v>
      </c>
      <c r="C6" s="2" t="n">
        <v>2.8</v>
      </c>
      <c r="D6" s="2" t="n">
        <v>1.386</v>
      </c>
      <c r="E6" s="0" t="n">
        <f aca="false">C6*$B$17/1000</f>
        <v>0.14</v>
      </c>
      <c r="F6" s="17" t="n">
        <f aca="false">E6/D6</f>
        <v>0.101010101010101</v>
      </c>
      <c r="G6" s="2" t="n">
        <v>3496940000</v>
      </c>
      <c r="I6" s="2" t="n">
        <v>1846</v>
      </c>
      <c r="J6" s="2" t="n">
        <v>2017</v>
      </c>
      <c r="K6" s="2" t="n">
        <v>2180</v>
      </c>
      <c r="M6" s="22" t="n">
        <f aca="false">G6*Z6*$B$17/10^12</f>
        <v>0.399627460624659</v>
      </c>
      <c r="O6" s="23"/>
      <c r="P6" s="2" t="n">
        <v>60.69</v>
      </c>
      <c r="Q6" s="2" t="n">
        <v>60.69</v>
      </c>
      <c r="R6" s="2" t="n">
        <v>62.41</v>
      </c>
      <c r="S6" s="2" t="n">
        <v>62.12</v>
      </c>
      <c r="T6" s="2" t="n">
        <v>63.07</v>
      </c>
      <c r="U6" s="2" t="n">
        <v>66.29</v>
      </c>
      <c r="V6" s="2" t="n">
        <v>68.67</v>
      </c>
      <c r="W6" s="2" t="n">
        <v>71.05</v>
      </c>
      <c r="X6" s="2" t="n">
        <v>73.43</v>
      </c>
      <c r="Y6" s="2" t="n">
        <v>75.8</v>
      </c>
      <c r="Z6" s="25" t="n">
        <f aca="false">AVERAGE(AE6:AI6)*10</f>
        <v>2.28558374249864</v>
      </c>
      <c r="AA6" s="2" t="n">
        <f aca="false">(Q6-P6)/(Q$17-P$17)</f>
        <v>0</v>
      </c>
      <c r="AB6" s="2" t="n">
        <f aca="false">(R6-Q6)/(R$17-Q$17)</f>
        <v>0.229333333333333</v>
      </c>
      <c r="AC6" s="2" t="n">
        <f aca="false">(S6-R6)/(S$17-R$17)</f>
        <v>-0.0386666666666666</v>
      </c>
      <c r="AD6" s="2" t="n">
        <f aca="false">(T6-S6)/(T$17-S$17)</f>
        <v>0.111764705882353</v>
      </c>
      <c r="AE6" s="2" t="n">
        <f aca="false">(U6-T6)/(U$17-T$17)</f>
        <v>0.228368794326242</v>
      </c>
      <c r="AF6" s="2" t="n">
        <f aca="false">(V6-U6)/(V$17-U$17)</f>
        <v>0.228846153846153</v>
      </c>
      <c r="AG6" s="2" t="n">
        <f aca="false">(W6-V6)/(W$17-V$17)</f>
        <v>0.228846153846153</v>
      </c>
      <c r="AH6" s="2" t="n">
        <f aca="false">(X6-W6)/(X$17-W$17)</f>
        <v>0.228846153846155</v>
      </c>
      <c r="AI6" s="2" t="n">
        <f aca="false">(Y6-X6)/(Y$17-X$17)</f>
        <v>0.227884615384614</v>
      </c>
      <c r="AJ6" s="0" t="n">
        <f aca="false">(Q6-$P6)/Q$17</f>
        <v>0</v>
      </c>
      <c r="AK6" s="0" t="n">
        <f aca="false">(R6-$P6)/R$17</f>
        <v>0.118620689655172</v>
      </c>
      <c r="AL6" s="0" t="n">
        <f aca="false">(S6-$P6)/S$17</f>
        <v>0.065</v>
      </c>
      <c r="AM6" s="0" t="n">
        <f aca="false">(T6-$P6)/T$17</f>
        <v>0.078032786885246</v>
      </c>
      <c r="AN6" s="0" t="n">
        <f aca="false">(U6-$P6)/U$17</f>
        <v>0.125560538116592</v>
      </c>
      <c r="AO6" s="0" t="n">
        <f aca="false">(V6-$P6)/V$17</f>
        <v>0.145090909090909</v>
      </c>
      <c r="AP6" s="0" t="n">
        <f aca="false">(W6-$P6)/W$17</f>
        <v>0.158409785932722</v>
      </c>
      <c r="AQ6" s="0" t="n">
        <f aca="false">(X6-$P6)/X$17</f>
        <v>0.168073878627968</v>
      </c>
      <c r="AR6" s="0" t="n">
        <f aca="false">(Y6-$P6)/Y$17</f>
        <v>0.175290023201856</v>
      </c>
    </row>
    <row r="7" customFormat="false" ht="15.75" hidden="false" customHeight="false" outlineLevel="0" collapsed="false">
      <c r="A7" s="19" t="s">
        <v>57</v>
      </c>
      <c r="B7" s="2" t="s">
        <v>55</v>
      </c>
      <c r="C7" s="2" t="n">
        <v>2.8</v>
      </c>
      <c r="D7" s="2" t="n">
        <v>1.405</v>
      </c>
      <c r="E7" s="0" t="n">
        <f aca="false">C7*$B$17/1000</f>
        <v>0.14</v>
      </c>
      <c r="F7" s="17" t="n">
        <f aca="false">E7/D7</f>
        <v>0.099644128113879</v>
      </c>
      <c r="G7" s="2" t="n">
        <v>4050981000</v>
      </c>
      <c r="M7" s="22" t="n">
        <f aca="false">G7*Z7*$B$17/10^12</f>
        <v>0.462942815738543</v>
      </c>
      <c r="O7" s="23"/>
      <c r="P7" s="2" t="n">
        <v>60.69</v>
      </c>
      <c r="Q7" s="2" t="n">
        <v>60.69</v>
      </c>
      <c r="R7" s="2" t="n">
        <v>62.41</v>
      </c>
      <c r="S7" s="2" t="n">
        <v>64.12</v>
      </c>
      <c r="T7" s="2" t="n">
        <v>65.07</v>
      </c>
      <c r="U7" s="2" t="n">
        <v>68.29</v>
      </c>
      <c r="V7" s="2" t="n">
        <v>70.67</v>
      </c>
      <c r="W7" s="2" t="n">
        <v>73.05</v>
      </c>
      <c r="X7" s="2" t="n">
        <v>75.43</v>
      </c>
      <c r="Y7" s="2" t="n">
        <v>77.8</v>
      </c>
      <c r="Z7" s="25" t="n">
        <f aca="false">AVERAGE(AE7:AI7)*10</f>
        <v>2.28558374249864</v>
      </c>
      <c r="AA7" s="2" t="n">
        <f aca="false">(Q7-P7)/(Q$17-P$17)</f>
        <v>0</v>
      </c>
      <c r="AB7" s="2" t="n">
        <f aca="false">(R7-Q7)/(R$17-Q$17)</f>
        <v>0.229333333333333</v>
      </c>
      <c r="AC7" s="2" t="n">
        <f aca="false">(S7-R7)/(S$17-R$17)</f>
        <v>0.228000000000001</v>
      </c>
      <c r="AD7" s="2" t="n">
        <f aca="false">(T7-S7)/(T$17-S$17)</f>
        <v>0.111764705882352</v>
      </c>
      <c r="AE7" s="2" t="n">
        <f aca="false">(U7-T7)/(U$17-T$17)</f>
        <v>0.228368794326242</v>
      </c>
      <c r="AF7" s="2" t="n">
        <f aca="false">(V7-U7)/(V$17-U$17)</f>
        <v>0.228846153846153</v>
      </c>
      <c r="AG7" s="2" t="n">
        <f aca="false">(W7-V7)/(W$17-V$17)</f>
        <v>0.228846153846153</v>
      </c>
      <c r="AH7" s="2" t="n">
        <f aca="false">(X7-W7)/(X$17-W$17)</f>
        <v>0.228846153846155</v>
      </c>
      <c r="AI7" s="2" t="n">
        <f aca="false">(Y7-X7)/(Y$17-X$17)</f>
        <v>0.227884615384614</v>
      </c>
      <c r="AJ7" s="0" t="n">
        <f aca="false">(Q7-$P7)/Q$17</f>
        <v>0</v>
      </c>
      <c r="AK7" s="0" t="n">
        <f aca="false">(R7-$P7)/R$17</f>
        <v>0.118620689655172</v>
      </c>
      <c r="AL7" s="0" t="n">
        <f aca="false">(S7-$P7)/S$17</f>
        <v>0.155909090909091</v>
      </c>
      <c r="AM7" s="0" t="n">
        <f aca="false">(T7-$P7)/T$17</f>
        <v>0.143606557377049</v>
      </c>
      <c r="AN7" s="0" t="n">
        <f aca="false">(U7-$P7)/U$17</f>
        <v>0.170403587443946</v>
      </c>
      <c r="AO7" s="0" t="n">
        <f aca="false">(V7-$P7)/V$17</f>
        <v>0.181454545454546</v>
      </c>
      <c r="AP7" s="0" t="n">
        <f aca="false">(W7-$P7)/W$17</f>
        <v>0.188990825688073</v>
      </c>
      <c r="AQ7" s="0" t="n">
        <f aca="false">(X7-$P7)/X$17</f>
        <v>0.194459102902375</v>
      </c>
      <c r="AR7" s="0" t="n">
        <f aca="false">(Y7-$P7)/Y$17</f>
        <v>0.198491879350348</v>
      </c>
    </row>
    <row r="8" customFormat="false" ht="15.75" hidden="false" customHeight="false" outlineLevel="0" collapsed="false">
      <c r="A8" s="19" t="s">
        <v>58</v>
      </c>
      <c r="B8" s="2" t="s">
        <v>55</v>
      </c>
      <c r="C8" s="2" t="n">
        <v>2.8</v>
      </c>
      <c r="D8" s="2" t="n">
        <v>1.471</v>
      </c>
      <c r="E8" s="0" t="n">
        <f aca="false">C8*$B$17/1000</f>
        <v>0.14</v>
      </c>
      <c r="F8" s="17" t="n">
        <f aca="false">E8/D8</f>
        <v>0.0951733514615908</v>
      </c>
      <c r="G8" s="2" t="n">
        <v>2178507000</v>
      </c>
      <c r="H8" s="2"/>
      <c r="M8" s="22" t="n">
        <f aca="false">G8*Z8*$B$17/10^12</f>
        <v>0.248958009105974</v>
      </c>
      <c r="O8" s="23"/>
      <c r="P8" s="2" t="n">
        <v>60.69</v>
      </c>
      <c r="Q8" s="2" t="n">
        <v>60.69</v>
      </c>
      <c r="R8" s="2" t="n">
        <v>62.41</v>
      </c>
      <c r="S8" s="2" t="n">
        <v>64.12</v>
      </c>
      <c r="T8" s="2" t="n">
        <v>65.07</v>
      </c>
      <c r="U8" s="2" t="n">
        <v>68.29</v>
      </c>
      <c r="V8" s="2" t="n">
        <v>70.67</v>
      </c>
      <c r="W8" s="2" t="n">
        <v>73.05</v>
      </c>
      <c r="X8" s="2" t="n">
        <v>75.43</v>
      </c>
      <c r="Y8" s="2" t="n">
        <v>77.8</v>
      </c>
      <c r="Z8" s="25" t="n">
        <f aca="false">AVERAGE(AE8:AI8)*10</f>
        <v>2.28558374249864</v>
      </c>
      <c r="AA8" s="2" t="n">
        <f aca="false">(Q8-P8)/(Q$17-P$17)</f>
        <v>0</v>
      </c>
      <c r="AB8" s="2" t="n">
        <f aca="false">(R8-Q8)/(R$17-Q$17)</f>
        <v>0.229333333333333</v>
      </c>
      <c r="AC8" s="2" t="n">
        <f aca="false">(S8-R8)/(S$17-R$17)</f>
        <v>0.228000000000001</v>
      </c>
      <c r="AD8" s="2" t="n">
        <f aca="false">(T8-S8)/(T$17-S$17)</f>
        <v>0.111764705882352</v>
      </c>
      <c r="AE8" s="2" t="n">
        <f aca="false">(U8-T8)/(U$17-T$17)</f>
        <v>0.228368794326242</v>
      </c>
      <c r="AF8" s="2" t="n">
        <f aca="false">(V8-U8)/(V$17-U$17)</f>
        <v>0.228846153846153</v>
      </c>
      <c r="AG8" s="2" t="n">
        <f aca="false">(W8-V8)/(W$17-V$17)</f>
        <v>0.228846153846153</v>
      </c>
      <c r="AH8" s="2" t="n">
        <f aca="false">(X8-W8)/(X$17-W$17)</f>
        <v>0.228846153846155</v>
      </c>
      <c r="AI8" s="2" t="n">
        <f aca="false">(Y8-X8)/(Y$17-X$17)</f>
        <v>0.227884615384614</v>
      </c>
      <c r="AJ8" s="0" t="n">
        <f aca="false">(Q8-$P8)/Q$17</f>
        <v>0</v>
      </c>
      <c r="AK8" s="0" t="n">
        <f aca="false">(R8-$P8)/R$17</f>
        <v>0.118620689655172</v>
      </c>
      <c r="AL8" s="0" t="n">
        <f aca="false">(S8-$P8)/S$17</f>
        <v>0.155909090909091</v>
      </c>
      <c r="AM8" s="0" t="n">
        <f aca="false">(T8-$P8)/T$17</f>
        <v>0.143606557377049</v>
      </c>
      <c r="AN8" s="0" t="n">
        <f aca="false">(U8-$P8)/U$17</f>
        <v>0.170403587443946</v>
      </c>
      <c r="AO8" s="0" t="n">
        <f aca="false">(V8-$P8)/V$17</f>
        <v>0.181454545454546</v>
      </c>
      <c r="AP8" s="0" t="n">
        <f aca="false">(W8-$P8)/W$17</f>
        <v>0.188990825688073</v>
      </c>
      <c r="AQ8" s="0" t="n">
        <f aca="false">(X8-$P8)/X$17</f>
        <v>0.194459102902375</v>
      </c>
      <c r="AR8" s="0" t="n">
        <f aca="false">(Y8-$P8)/Y$17</f>
        <v>0.198491879350348</v>
      </c>
    </row>
    <row r="9" customFormat="false" ht="15.75" hidden="false" customHeight="false" outlineLevel="0" collapsed="false">
      <c r="A9" s="19" t="s">
        <v>59</v>
      </c>
      <c r="B9" s="2" t="s">
        <v>55</v>
      </c>
      <c r="C9" s="2" t="n">
        <v>2.8</v>
      </c>
      <c r="D9" s="2" t="n">
        <f aca="false">(D6*G6+D7*G7+D8*G8)/(G6+G7+G8)</f>
        <v>1.41295149072198</v>
      </c>
      <c r="E9" s="20" t="n">
        <f aca="false">C9*$B$17/1000</f>
        <v>0.14</v>
      </c>
      <c r="F9" s="17" t="n">
        <f aca="false">E9/D9</f>
        <v>0.0990833732929245</v>
      </c>
      <c r="G9" s="0" t="n">
        <f aca="false">9822394*1000</f>
        <v>9822394000</v>
      </c>
      <c r="H9" s="2" t="n">
        <v>7.7</v>
      </c>
      <c r="I9" s="2" t="n">
        <v>5695</v>
      </c>
      <c r="J9" s="2" t="n">
        <v>5931</v>
      </c>
      <c r="K9" s="2" t="n">
        <v>6185</v>
      </c>
      <c r="L9" s="0" t="n">
        <f aca="false">100000000*K9/G9</f>
        <v>62.9683557796602</v>
      </c>
      <c r="M9" s="22" t="n">
        <f aca="false">G9*Z9*$B$17/10^12</f>
        <v>1.12249520194081</v>
      </c>
      <c r="N9" s="2" t="n">
        <v>0.45</v>
      </c>
      <c r="O9" s="23" t="n">
        <f aca="false">M9*(1-N9*F9)</f>
        <v>1.07244592693977</v>
      </c>
      <c r="P9" s="0" t="n">
        <f aca="false">(P6*$G$6+P7*$G$7+P8*$G$8)/($G$6+$G$7+$G$8)</f>
        <v>60.69</v>
      </c>
      <c r="Q9" s="0" t="n">
        <f aca="false">(Q6*$G$6+Q7*$G$7+Q8*$G$8)/($G$6+$G$7+$G$8)</f>
        <v>60.69</v>
      </c>
      <c r="R9" s="0" t="n">
        <f aca="false">(R6*$G$6+R7*$G$7+R8*$G$8)/($G$6+$G$7+$G$8)</f>
        <v>62.41</v>
      </c>
      <c r="S9" s="0" t="n">
        <f aca="false">(S6*$G$6+S7*$G$7+S8*$G$8)/($G$6+$G$7+$G$8)</f>
        <v>63.4009405467249</v>
      </c>
      <c r="T9" s="0" t="n">
        <f aca="false">(T6*$G$6+T7*$G$7+T8*$G$8)/($G$6+$G$7+$G$8)</f>
        <v>64.3509405467249</v>
      </c>
      <c r="U9" s="0" t="n">
        <f aca="false">(U6*$G$6+U7*$G$7+U8*$G$8)/($G$6+$G$7+$G$8)</f>
        <v>67.5709405467249</v>
      </c>
      <c r="V9" s="0" t="n">
        <f aca="false">(V6*$G$6+V7*$G$7+V8*$G$8)/($G$6+$G$7+$G$8)</f>
        <v>69.9509405467249</v>
      </c>
      <c r="W9" s="0" t="n">
        <f aca="false">(W6*$G$6+W7*$G$7+W8*$G$8)/($G$6+$G$7+$G$8)</f>
        <v>72.3309405467249</v>
      </c>
      <c r="X9" s="0" t="n">
        <f aca="false">(X6*$G$6+X7*$G$7+X8*$G$8)/($G$6+$G$7+$G$8)</f>
        <v>74.7109405467249</v>
      </c>
      <c r="Y9" s="0" t="n">
        <f aca="false">(Y6*$G$6+Y7*$G$7+Y8*$G$8)/($G$6+$G$7+$G$8)</f>
        <v>77.0809405467249</v>
      </c>
      <c r="Z9" s="24" t="n">
        <f aca="false">AVERAGE(AE9:AI9)*10</f>
        <v>2.28558374249864</v>
      </c>
      <c r="AA9" s="2" t="n">
        <f aca="false">(Q9-P9)/(Q$17-P$17)</f>
        <v>0</v>
      </c>
      <c r="AB9" s="2" t="n">
        <f aca="false">(R9-Q9)/(R$17-Q$17)</f>
        <v>0.229333333333333</v>
      </c>
      <c r="AC9" s="2" t="n">
        <f aca="false">(S9-R9)/(S$17-R$17)</f>
        <v>0.132125406229982</v>
      </c>
      <c r="AD9" s="2" t="n">
        <f aca="false">(T9-S9)/(T$17-S$17)</f>
        <v>0.111764705882352</v>
      </c>
      <c r="AE9" s="2" t="n">
        <f aca="false">(U9-T9)/(U$17-T$17)</f>
        <v>0.228368794326241</v>
      </c>
      <c r="AF9" s="2" t="n">
        <f aca="false">(V9-U9)/(V$17-U$17)</f>
        <v>0.228846153846155</v>
      </c>
      <c r="AG9" s="2" t="n">
        <f aca="false">(W9-V9)/(W$17-V$17)</f>
        <v>0.228846153846153</v>
      </c>
      <c r="AH9" s="2" t="n">
        <f aca="false">(X9-W9)/(X$17-W$17)</f>
        <v>0.228846153846154</v>
      </c>
      <c r="AI9" s="2" t="n">
        <f aca="false">(Y9-X9)/(Y$17-X$17)</f>
        <v>0.227884615384616</v>
      </c>
      <c r="AJ9" s="0" t="n">
        <f aca="false">(Q9-$P9)/Q$17</f>
        <v>0</v>
      </c>
      <c r="AK9" s="0" t="n">
        <f aca="false">(R9-$P9)/R$17</f>
        <v>0.118620689655172</v>
      </c>
      <c r="AL9" s="0" t="n">
        <f aca="false">(S9-$P9)/S$17</f>
        <v>0.123224570305676</v>
      </c>
      <c r="AM9" s="0" t="n">
        <f aca="false">(T9-$P9)/T$17</f>
        <v>0.120030837597536</v>
      </c>
      <c r="AN9" s="0" t="n">
        <f aca="false">(U9-$P9)/U$17</f>
        <v>0.154281178177687</v>
      </c>
      <c r="AO9" s="0" t="n">
        <f aca="false">(V9-$P9)/V$17</f>
        <v>0.168380737213179</v>
      </c>
      <c r="AP9" s="0" t="n">
        <f aca="false">(W9-$P9)/W$17</f>
        <v>0.177996032824539</v>
      </c>
      <c r="AQ9" s="0" t="n">
        <f aca="false">(X9-$P9)/X$17</f>
        <v>0.184972830431726</v>
      </c>
      <c r="AR9" s="0" t="n">
        <f aca="false">(Y9-$P9)/Y$17</f>
        <v>0.190150122351797</v>
      </c>
    </row>
    <row r="10" customFormat="false" ht="15.75" hidden="false" customHeight="false" outlineLevel="0" collapsed="false">
      <c r="A10" s="19" t="s">
        <v>60</v>
      </c>
      <c r="B10" s="2" t="s">
        <v>55</v>
      </c>
      <c r="C10" s="2" t="n">
        <v>3.16</v>
      </c>
      <c r="D10" s="2" t="n">
        <v>1.393</v>
      </c>
      <c r="E10" s="20" t="n">
        <f aca="false">C10*$B$17/1000</f>
        <v>0.158</v>
      </c>
      <c r="F10" s="17" t="n">
        <f aca="false">E10/D10</f>
        <v>0.113424264178033</v>
      </c>
      <c r="G10" s="0" t="n">
        <f aca="false">41173766*1000</f>
        <v>41173766000</v>
      </c>
      <c r="H10" s="2" t="n">
        <v>34.7</v>
      </c>
      <c r="I10" s="2" t="n">
        <v>17846</v>
      </c>
      <c r="J10" s="2" t="n">
        <v>19619</v>
      </c>
      <c r="K10" s="2" t="n">
        <v>20861</v>
      </c>
      <c r="L10" s="0" t="n">
        <f aca="false">100000000*K10/G10</f>
        <v>50.6657564430711</v>
      </c>
      <c r="M10" s="22" t="n">
        <f aca="false">G10*Z11*$B$17/10^12</f>
        <v>5.45600132316558</v>
      </c>
      <c r="N10" s="2" t="n">
        <v>0.45</v>
      </c>
      <c r="O10" s="23" t="n">
        <f aca="false">M10*(1-N10*F10)</f>
        <v>5.17752200222008</v>
      </c>
      <c r="P10" s="2" t="n">
        <v>42.84</v>
      </c>
      <c r="Q10" s="2" t="n">
        <v>42.84</v>
      </c>
      <c r="R10" s="2" t="n">
        <v>46.82</v>
      </c>
      <c r="S10" s="2" t="n">
        <v>49.81</v>
      </c>
      <c r="T10" s="2" t="n">
        <v>53.07</v>
      </c>
      <c r="U10" s="2" t="n">
        <v>59.4</v>
      </c>
      <c r="V10" s="2" t="n">
        <v>64.76</v>
      </c>
      <c r="W10" s="2" t="n">
        <v>70.12</v>
      </c>
      <c r="X10" s="2" t="n">
        <v>75.47</v>
      </c>
      <c r="Y10" s="2" t="n">
        <v>78.23</v>
      </c>
      <c r="Z10" s="25" t="n">
        <f aca="false">AVERAGE(AE10:AI10)*10</f>
        <v>4.51902618657938</v>
      </c>
      <c r="AA10" s="2" t="n">
        <f aca="false">(Q10-P10)/(Q$17-P$17)</f>
        <v>0</v>
      </c>
      <c r="AB10" s="2" t="n">
        <f aca="false">(R10-Q10)/(R$17-Q$17)</f>
        <v>0.530666666666666</v>
      </c>
      <c r="AC10" s="2" t="n">
        <f aca="false">(S10-R10)/(S$17-R$17)</f>
        <v>0.398666666666667</v>
      </c>
      <c r="AD10" s="2" t="n">
        <f aca="false">(T10-S10)/(T$17-S$17)</f>
        <v>0.383529411764706</v>
      </c>
      <c r="AE10" s="2" t="n">
        <f aca="false">(U10-T10)/(U$17-T$17)</f>
        <v>0.448936170212766</v>
      </c>
      <c r="AF10" s="2" t="n">
        <f aca="false">(V10-U10)/(V$17-U$17)</f>
        <v>0.515384615384616</v>
      </c>
      <c r="AG10" s="2" t="n">
        <f aca="false">(W10-V10)/(W$17-V$17)</f>
        <v>0.515384615384615</v>
      </c>
      <c r="AH10" s="2" t="n">
        <f aca="false">(X10-W10)/(X$17-W$17)</f>
        <v>0.514423076923077</v>
      </c>
      <c r="AI10" s="2" t="n">
        <f aca="false">(Y10-X10)/(Y$17-X$17)</f>
        <v>0.265384615384616</v>
      </c>
      <c r="AJ10" s="0" t="n">
        <f aca="false">(Q10-$P10)/Q$17</f>
        <v>0</v>
      </c>
      <c r="AK10" s="0" t="n">
        <f aca="false">(R10-$P10)/R$17</f>
        <v>0.274482758620689</v>
      </c>
      <c r="AL10" s="0" t="n">
        <f aca="false">(S10-$P10)/S$17</f>
        <v>0.316818181818182</v>
      </c>
      <c r="AM10" s="0" t="n">
        <f aca="false">(T10-$P10)/T$17</f>
        <v>0.335409836065574</v>
      </c>
      <c r="AN10" s="0" t="n">
        <f aca="false">(U10-$P10)/U$17</f>
        <v>0.371300448430493</v>
      </c>
      <c r="AO10" s="0" t="n">
        <f aca="false">(V10-$P10)/V$17</f>
        <v>0.398545454545455</v>
      </c>
      <c r="AP10" s="0" t="n">
        <f aca="false">(W10-$P10)/W$17</f>
        <v>0.417125382262997</v>
      </c>
      <c r="AQ10" s="0" t="n">
        <f aca="false">(X10-$P10)/X$17</f>
        <v>0.430474934036939</v>
      </c>
      <c r="AR10" s="0" t="n">
        <f aca="false">(Y10-$P10)/Y$17</f>
        <v>0.410556844547564</v>
      </c>
    </row>
    <row r="11" customFormat="false" ht="15.75" hidden="false" customHeight="false" outlineLevel="0" collapsed="false">
      <c r="A11" s="19" t="s">
        <v>61</v>
      </c>
      <c r="B11" s="2"/>
      <c r="C11" s="2"/>
      <c r="D11" s="2"/>
      <c r="F11" s="17"/>
      <c r="H11" s="2"/>
      <c r="P11" s="2" t="n">
        <v>42.84</v>
      </c>
      <c r="Q11" s="2" t="n">
        <v>42.84</v>
      </c>
      <c r="R11" s="2" t="n">
        <v>46.82</v>
      </c>
      <c r="S11" s="2" t="n">
        <v>49.81</v>
      </c>
      <c r="T11" s="2" t="n">
        <f aca="false">53.07-2.6*0</f>
        <v>53.07</v>
      </c>
      <c r="U11" s="2" t="n">
        <f aca="false">59.4-2.6*1</f>
        <v>56.8</v>
      </c>
      <c r="V11" s="2" t="n">
        <f aca="false">64.76-2.6*2</f>
        <v>59.56</v>
      </c>
      <c r="W11" s="2" t="n">
        <f aca="false">70.12-2.6*3</f>
        <v>62.32</v>
      </c>
      <c r="X11" s="2" t="n">
        <f aca="false">75.47-2.6*4</f>
        <v>65.07</v>
      </c>
      <c r="Y11" s="2" t="n">
        <f aca="false">78.23-2.6*4</f>
        <v>67.83</v>
      </c>
      <c r="Z11" s="24" t="n">
        <f aca="false">AVERAGE(AE11:AI11)*10</f>
        <v>2.65023186033824</v>
      </c>
      <c r="AA11" s="2" t="n">
        <f aca="false">(Q11-P11)/(Q$17-P$17)</f>
        <v>0</v>
      </c>
      <c r="AB11" s="2" t="n">
        <f aca="false">(R11-Q11)/(R$17-Q$17)</f>
        <v>0.530666666666666</v>
      </c>
      <c r="AC11" s="2" t="n">
        <f aca="false">(S11-R11)/(S$17-R$17)</f>
        <v>0.398666666666667</v>
      </c>
      <c r="AD11" s="2" t="n">
        <f aca="false">(T11-S11)/(T$17-S$17)</f>
        <v>0.383529411764706</v>
      </c>
      <c r="AE11" s="2" t="n">
        <f aca="false">(U11-T11)/(U$17-T$17)</f>
        <v>0.264539007092198</v>
      </c>
      <c r="AF11" s="2" t="n">
        <f aca="false">(V11-U11)/(V$17-U$17)</f>
        <v>0.265384615384616</v>
      </c>
      <c r="AG11" s="2" t="n">
        <f aca="false">(W11-V11)/(W$17-V$17)</f>
        <v>0.265384615384616</v>
      </c>
      <c r="AH11" s="2" t="n">
        <f aca="false">(X11-W11)/(X$17-W$17)</f>
        <v>0.264423076923076</v>
      </c>
      <c r="AI11" s="2" t="n">
        <f aca="false">(Y11-X11)/(Y$17-X$17)</f>
        <v>0.265384615384616</v>
      </c>
      <c r="AJ11" s="0" t="n">
        <f aca="false">(Q11-$P11)/Q$17</f>
        <v>0</v>
      </c>
      <c r="AK11" s="0" t="n">
        <f aca="false">(R11-$P11)/R$17</f>
        <v>0.274482758620689</v>
      </c>
      <c r="AL11" s="0" t="n">
        <f aca="false">(S11-$P11)/S$17</f>
        <v>0.316818181818182</v>
      </c>
      <c r="AM11" s="0" t="n">
        <f aca="false">(T11-$P11)/T$17</f>
        <v>0.335409836065574</v>
      </c>
      <c r="AN11" s="0" t="n">
        <f aca="false">(U11-$P11)/U$17</f>
        <v>0.313004484304933</v>
      </c>
      <c r="AO11" s="0" t="n">
        <f aca="false">(V11-$P11)/V$17</f>
        <v>0.304</v>
      </c>
      <c r="AP11" s="0" t="n">
        <f aca="false">(W11-$P11)/W$17</f>
        <v>0.297859327217125</v>
      </c>
      <c r="AQ11" s="0" t="n">
        <f aca="false">(X11-$P11)/X$17</f>
        <v>0.293271767810026</v>
      </c>
      <c r="AR11" s="0" t="n">
        <f aca="false">(Y11-$P11)/Y$17</f>
        <v>0.289907192575406</v>
      </c>
    </row>
    <row r="12" customFormat="false" ht="15.75" hidden="false" customHeight="false" outlineLevel="0" collapsed="false">
      <c r="A12" s="19" t="s">
        <v>62</v>
      </c>
      <c r="B12" s="2" t="s">
        <v>55</v>
      </c>
      <c r="C12" s="2" t="n">
        <v>1.86</v>
      </c>
      <c r="D12" s="2" t="n">
        <v>0.86</v>
      </c>
      <c r="E12" s="0" t="n">
        <f aca="false">C12*$B$17/1000</f>
        <v>0.093</v>
      </c>
      <c r="F12" s="17" t="n">
        <f aca="false">E12/D12</f>
        <v>0.108139534883721</v>
      </c>
      <c r="H12" s="2" t="n">
        <v>1.8</v>
      </c>
      <c r="AB12" s="2" t="s">
        <v>63</v>
      </c>
      <c r="AK12" s="2" t="s">
        <v>64</v>
      </c>
    </row>
    <row r="13" customFormat="false" ht="15.75" hidden="false" customHeight="false" outlineLevel="0" collapsed="false">
      <c r="A13" s="2" t="s">
        <v>65</v>
      </c>
      <c r="J13" s="2"/>
      <c r="K13" s="2"/>
      <c r="L13" s="2"/>
      <c r="M13" s="22" t="n">
        <f aca="false">M10+M9+M5+M4</f>
        <v>11.7863470433824</v>
      </c>
      <c r="N13" s="2"/>
      <c r="O13" s="22" t="n">
        <f aca="false">O10+O9+O5+O4</f>
        <v>11.3326717515049</v>
      </c>
    </row>
    <row r="14" customFormat="false" ht="15.75" hidden="false" customHeight="false" outlineLevel="0" collapsed="false">
      <c r="A14" s="2" t="s">
        <v>66</v>
      </c>
      <c r="I14" s="1"/>
      <c r="J14" s="1"/>
      <c r="K14" s="2"/>
      <c r="L14" s="2"/>
      <c r="M14" s="23" t="n">
        <f aca="false">M9+M10</f>
        <v>6.57849652510638</v>
      </c>
      <c r="O14" s="23" t="n">
        <f aca="false">O9+O10</f>
        <v>6.24996792915985</v>
      </c>
    </row>
    <row r="15" customFormat="false" ht="15.75" hidden="false" customHeight="false" outlineLevel="0" collapsed="false">
      <c r="A15" s="2" t="s">
        <v>67</v>
      </c>
      <c r="I15" s="1"/>
      <c r="J15" s="1"/>
      <c r="K15" s="2"/>
      <c r="L15" s="2"/>
      <c r="M15" s="23" t="n">
        <f aca="false">M4+M5</f>
        <v>5.20785051827605</v>
      </c>
      <c r="O15" s="23" t="n">
        <f aca="false">O4+O5</f>
        <v>5.08270382234502</v>
      </c>
    </row>
    <row r="16" customFormat="false" ht="15.75" hidden="false" customHeight="false" outlineLevel="0" collapsed="false">
      <c r="I16" s="1" t="s">
        <v>68</v>
      </c>
      <c r="J16" s="1" t="s">
        <v>69</v>
      </c>
      <c r="K16" s="2" t="s">
        <v>70</v>
      </c>
      <c r="L16" s="2" t="s">
        <v>71</v>
      </c>
      <c r="M16" s="2" t="s">
        <v>72</v>
      </c>
      <c r="N16" s="2" t="s">
        <v>73</v>
      </c>
      <c r="O16" s="2" t="s">
        <v>74</v>
      </c>
    </row>
    <row r="17" customFormat="false" ht="15.75" hidden="false" customHeight="true" outlineLevel="0" collapsed="false">
      <c r="A17" s="1" t="s">
        <v>75</v>
      </c>
      <c r="B17" s="1" t="n">
        <v>50</v>
      </c>
      <c r="I17" s="26" t="s">
        <v>76</v>
      </c>
      <c r="J17" s="2" t="s">
        <v>77</v>
      </c>
      <c r="K17" s="7" t="n">
        <f aca="false">K18+K19</f>
        <v>1157.99674734741</v>
      </c>
      <c r="L17" s="7" t="n">
        <f aca="false">L18+L19</f>
        <v>1024.36896135849</v>
      </c>
      <c r="M17" s="7" t="n">
        <f aca="false">M18+M19</f>
        <v>818.092592280465</v>
      </c>
      <c r="N17" s="7" t="n">
        <f aca="false">N18+N19</f>
        <v>654.474073824372</v>
      </c>
      <c r="O17" s="7" t="n">
        <f aca="false">O18+O19</f>
        <v>327.237036912186</v>
      </c>
      <c r="Q17" s="2" t="n">
        <v>7</v>
      </c>
      <c r="R17" s="2" t="n">
        <v>14.5</v>
      </c>
      <c r="S17" s="2" t="n">
        <v>22</v>
      </c>
      <c r="T17" s="2" t="n">
        <v>30.5</v>
      </c>
      <c r="U17" s="2" t="n">
        <v>44.6</v>
      </c>
      <c r="V17" s="2" t="n">
        <v>55</v>
      </c>
      <c r="W17" s="2" t="n">
        <v>65.4</v>
      </c>
      <c r="X17" s="2" t="n">
        <v>75.8</v>
      </c>
      <c r="Y17" s="2" t="n">
        <v>86.2</v>
      </c>
    </row>
    <row r="18" customFormat="false" ht="15.75" hidden="false" customHeight="false" outlineLevel="0" collapsed="false">
      <c r="A18" s="2" t="s">
        <v>78</v>
      </c>
      <c r="B18" s="2" t="n">
        <v>11.2</v>
      </c>
      <c r="C18" s="15" t="s">
        <v>79</v>
      </c>
      <c r="I18" s="26"/>
      <c r="J18" s="2" t="s">
        <v>80</v>
      </c>
      <c r="K18" s="7" t="n">
        <f aca="false">10^9*($M$14)/(1*0.2*$G$20)</f>
        <v>646.330669754591</v>
      </c>
      <c r="L18" s="7" t="n">
        <f aca="false">10^9*($M$14)/(1*0.3*$G$20)</f>
        <v>430.887113169728</v>
      </c>
      <c r="M18" s="7" t="n">
        <f aca="false">10^9*($M$14)/(1*0.4*$B$21)</f>
        <v>562.259553484057</v>
      </c>
      <c r="N18" s="7" t="n">
        <f aca="false">10^9*($M$14)/(1*0.5*$B$21)</f>
        <v>449.807642787245</v>
      </c>
      <c r="O18" s="7" t="n">
        <f aca="false">10^9*($M$14)/(1*$B$21)</f>
        <v>224.903821393623</v>
      </c>
    </row>
    <row r="19" customFormat="false" ht="15.75" hidden="false" customHeight="false" outlineLevel="0" collapsed="false">
      <c r="A19" s="2" t="s">
        <v>81</v>
      </c>
      <c r="B19" s="2" t="s">
        <v>82</v>
      </c>
      <c r="I19" s="26"/>
      <c r="J19" s="2" t="s">
        <v>83</v>
      </c>
      <c r="K19" s="7" t="n">
        <f aca="false">10^9*($M$15)/(1*0.2*$G$20)</f>
        <v>511.666077592817</v>
      </c>
      <c r="L19" s="7" t="n">
        <f aca="false">10^9*($M$15)/(1*0.3*$B$21)</f>
        <v>593.48184818876</v>
      </c>
      <c r="M19" s="7" t="n">
        <f aca="false">10^9*($M$15)/(1*0.4*$G$20)</f>
        <v>255.833038796408</v>
      </c>
      <c r="N19" s="7" t="n">
        <f aca="false">10^9*($M$15)/(1*0.5*$G$20)</f>
        <v>204.666431037127</v>
      </c>
      <c r="O19" s="7" t="n">
        <f aca="false">10^9*($M$15)/(1*$G$20)</f>
        <v>102.333215518563</v>
      </c>
    </row>
    <row r="20" customFormat="false" ht="15.75" hidden="false" customHeight="true" outlineLevel="0" collapsed="false">
      <c r="A20" s="2" t="s">
        <v>84</v>
      </c>
      <c r="B20" s="2" t="n">
        <v>67186638</v>
      </c>
      <c r="C20" s="2" t="s">
        <v>85</v>
      </c>
      <c r="D20" s="2" t="n">
        <v>66074300</v>
      </c>
      <c r="E20" s="2" t="s">
        <v>86</v>
      </c>
      <c r="G20" s="2" t="n">
        <v>50891106</v>
      </c>
      <c r="I20" s="26" t="s">
        <v>87</v>
      </c>
      <c r="J20" s="2" t="s">
        <v>77</v>
      </c>
      <c r="K20" s="11" t="n">
        <f aca="false">K21+K22</f>
        <v>1113.42360603294</v>
      </c>
      <c r="L20" s="11" t="n">
        <f aca="false">L21+L22</f>
        <v>742.282404021957</v>
      </c>
      <c r="M20" s="11" t="n">
        <f aca="false">M21+M22</f>
        <v>556.711803016468</v>
      </c>
      <c r="N20" s="11" t="n">
        <f aca="false">N21+N22</f>
        <v>445.369442413174</v>
      </c>
      <c r="O20" s="11" t="n">
        <f aca="false">O21+O22</f>
        <v>222.684721206587</v>
      </c>
      <c r="Q20" s="1" t="s">
        <v>88</v>
      </c>
      <c r="R20" s="1" t="s">
        <v>89</v>
      </c>
      <c r="S20" s="2" t="s">
        <v>70</v>
      </c>
      <c r="T20" s="2" t="s">
        <v>71</v>
      </c>
      <c r="U20" s="2" t="s">
        <v>72</v>
      </c>
      <c r="V20" s="2" t="s">
        <v>73</v>
      </c>
      <c r="W20" s="2" t="s">
        <v>74</v>
      </c>
    </row>
    <row r="21" customFormat="false" ht="15.75" hidden="false" customHeight="true" outlineLevel="0" collapsed="false">
      <c r="A21" s="2" t="s">
        <v>90</v>
      </c>
      <c r="B21" s="0" t="n">
        <f aca="false">D21*B20/D20</f>
        <v>29250265.666197</v>
      </c>
      <c r="C21" s="2" t="s">
        <v>85</v>
      </c>
      <c r="D21" s="2" t="n">
        <v>28766000</v>
      </c>
      <c r="I21" s="26"/>
      <c r="J21" s="2" t="s">
        <v>80</v>
      </c>
      <c r="K21" s="11" t="n">
        <f aca="false">10^9*($O$14)/(1*0.2*$G$20)</f>
        <v>614.053065496341</v>
      </c>
      <c r="L21" s="11" t="n">
        <f aca="false">10^9*($O$14)/(1*0.3*$G$20)</f>
        <v>409.368710330894</v>
      </c>
      <c r="M21" s="11" t="n">
        <f aca="false">10^9*($O$14)/(1*0.4*$G$20)</f>
        <v>307.026532748171</v>
      </c>
      <c r="N21" s="11" t="n">
        <f aca="false">10^9*($O$14)/(1*0.5*$G$20)</f>
        <v>245.621226198537</v>
      </c>
      <c r="O21" s="11" t="n">
        <f aca="false">10^9*($O$14)/(1*$G$20)</f>
        <v>122.810613099268</v>
      </c>
      <c r="Q21" s="26" t="s">
        <v>76</v>
      </c>
      <c r="R21" s="2" t="s">
        <v>77</v>
      </c>
      <c r="S21" s="7" t="n">
        <f aca="false">S22+S23</f>
        <v>167.895156604271</v>
      </c>
      <c r="T21" s="7" t="n">
        <f aca="false">T22+T23</f>
        <v>111.930104402847</v>
      </c>
      <c r="U21" s="7" t="n">
        <f aca="false">U22+U23</f>
        <v>83.9475783021356</v>
      </c>
      <c r="V21" s="7" t="n">
        <f aca="false">V22+V23</f>
        <v>67.1580626417085</v>
      </c>
      <c r="W21" s="7" t="n">
        <f aca="false">W22+W23</f>
        <v>33.5790313208542</v>
      </c>
    </row>
    <row r="22" customFormat="false" ht="15.75" hidden="false" customHeight="false" outlineLevel="0" collapsed="false">
      <c r="A22" s="2" t="s">
        <v>91</v>
      </c>
      <c r="B22" s="7" t="n">
        <f aca="false">11040/12</f>
        <v>920</v>
      </c>
      <c r="C22" s="7" t="n">
        <f aca="false">13900/12</f>
        <v>1158.33333333333</v>
      </c>
      <c r="D22" s="7" t="n">
        <f aca="false">16220/12</f>
        <v>1351.66666666667</v>
      </c>
      <c r="E22" s="7" t="n">
        <f aca="false">18360/12</f>
        <v>1530</v>
      </c>
      <c r="F22" s="7" t="n">
        <f aca="false">20520/12</f>
        <v>1710</v>
      </c>
      <c r="I22" s="26"/>
      <c r="J22" s="2" t="s">
        <v>83</v>
      </c>
      <c r="K22" s="11" t="n">
        <f aca="false">10^9*($O$15)/(1*0.2*$G$20)</f>
        <v>499.370540536594</v>
      </c>
      <c r="L22" s="11" t="n">
        <f aca="false">10^9*($O$15)/(1*0.3*$G$20)</f>
        <v>332.913693691063</v>
      </c>
      <c r="M22" s="11" t="n">
        <f aca="false">10^9*($O$15)/(1*0.4*$G$20)</f>
        <v>249.685270268297</v>
      </c>
      <c r="N22" s="11" t="n">
        <f aca="false">10^9*($O$15)/(1*0.5*$G$20)</f>
        <v>199.748216214638</v>
      </c>
      <c r="O22" s="11" t="n">
        <f aca="false">10^9*($O$15)/(1*$G$20)</f>
        <v>99.8741081073188</v>
      </c>
      <c r="Q22" s="26"/>
      <c r="R22" s="2" t="s">
        <v>80</v>
      </c>
      <c r="S22" s="7" t="n">
        <f aca="false">10^9*($M$14)/(12*0.2*$B$21)</f>
        <v>93.7099255806761</v>
      </c>
      <c r="T22" s="7" t="n">
        <f aca="false">10^9*($M$14)/(12*0.3*$B$21)</f>
        <v>62.4732837204507</v>
      </c>
      <c r="U22" s="7" t="n">
        <f aca="false">10^9*($M$14)/(12*0.4*$B$21)</f>
        <v>46.854962790338</v>
      </c>
      <c r="V22" s="7" t="n">
        <f aca="false">10^9*($M$14)/(12*0.5*$B$21)</f>
        <v>37.4839702322704</v>
      </c>
      <c r="W22" s="7" t="n">
        <f aca="false">10^9*($M$14)/(12*$B$21)</f>
        <v>18.7419851161352</v>
      </c>
    </row>
    <row r="23" customFormat="false" ht="15.75" hidden="false" customHeight="false" outlineLevel="0" collapsed="false">
      <c r="A23" s="2"/>
      <c r="B23" s="7" t="n">
        <f aca="false">22880/12</f>
        <v>1906.66666666667</v>
      </c>
      <c r="C23" s="7" t="n">
        <f aca="false">25780/12</f>
        <v>2148.33333333333</v>
      </c>
      <c r="D23" s="7" t="n">
        <f aca="false">29850/12</f>
        <v>2487.5</v>
      </c>
      <c r="E23" s="7" t="n">
        <f aca="false">37570/12</f>
        <v>3130.83333333333</v>
      </c>
      <c r="F23" s="7" t="n">
        <f aca="false">47010/12</f>
        <v>3917.5</v>
      </c>
      <c r="J23" s="2" t="s">
        <v>92</v>
      </c>
      <c r="K23" s="2" t="n">
        <v>1158</v>
      </c>
      <c r="L23" s="7" t="n">
        <f aca="false">16220/12</f>
        <v>1351.66666666667</v>
      </c>
      <c r="M23" s="7" t="n">
        <f aca="false">18360/12</f>
        <v>1530</v>
      </c>
      <c r="N23" s="7" t="n">
        <f aca="false">20520/12</f>
        <v>1710</v>
      </c>
      <c r="Q23" s="26"/>
      <c r="R23" s="2" t="s">
        <v>83</v>
      </c>
      <c r="S23" s="7" t="n">
        <f aca="false">10^9*($M$15)/(12*0.2*$B$21)</f>
        <v>74.185231023595</v>
      </c>
      <c r="T23" s="7" t="n">
        <f aca="false">10^9*($M$15)/(12*0.3*$B$21)</f>
        <v>49.4568206823967</v>
      </c>
      <c r="U23" s="7" t="n">
        <f aca="false">10^9*($M$15)/(12*0.4*$B$21)</f>
        <v>37.0926155117975</v>
      </c>
      <c r="V23" s="7" t="n">
        <f aca="false">10^9*($M$15)/(12*0.5*$B$21)</f>
        <v>29.674092409438</v>
      </c>
      <c r="W23" s="7" t="n">
        <f aca="false">10^9*($M$15)/(12*$B$21)</f>
        <v>14.837046204719</v>
      </c>
    </row>
    <row r="24" customFormat="false" ht="15.75" hidden="false" customHeight="true" outlineLevel="0" collapsed="false">
      <c r="A24" s="27" t="s">
        <v>93</v>
      </c>
      <c r="C24" s="2" t="s">
        <v>94</v>
      </c>
      <c r="D24" s="2" t="n">
        <v>21</v>
      </c>
      <c r="E24" s="2" t="s">
        <v>95</v>
      </c>
      <c r="F24" s="2" t="n">
        <f aca="false">154.6*0.84</f>
        <v>129.864</v>
      </c>
      <c r="G24" s="2" t="s">
        <v>96</v>
      </c>
      <c r="H24" s="0" t="n">
        <f aca="false">D24*12*G20/10^9</f>
        <v>12.824558712</v>
      </c>
      <c r="I24" s="2" t="s">
        <v>97</v>
      </c>
      <c r="J24" s="0" t="n">
        <f aca="false">H24/F24</f>
        <v>0.0987537632600259</v>
      </c>
      <c r="K24" s="2" t="s">
        <v>98</v>
      </c>
      <c r="L24" s="0" t="n">
        <f aca="false">20*J24</f>
        <v>1.97507526520052</v>
      </c>
      <c r="Q24" s="26" t="s">
        <v>87</v>
      </c>
      <c r="R24" s="2" t="s">
        <v>77</v>
      </c>
      <c r="S24" s="11" t="n">
        <f aca="false">S25+S26</f>
        <v>161.432604305674</v>
      </c>
      <c r="T24" s="11" t="n">
        <f aca="false">T25+T26</f>
        <v>107.621736203783</v>
      </c>
      <c r="U24" s="11" t="n">
        <f aca="false">U25+U26</f>
        <v>80.7163021528371</v>
      </c>
      <c r="V24" s="11" t="n">
        <f aca="false">V25+V26</f>
        <v>64.5730417222697</v>
      </c>
      <c r="W24" s="11" t="n">
        <f aca="false">W25+W26</f>
        <v>32.2865208611349</v>
      </c>
    </row>
    <row r="25" customFormat="false" ht="15.75" hidden="false" customHeight="false" outlineLevel="0" collapsed="false">
      <c r="A25" s="2" t="s">
        <v>99</v>
      </c>
      <c r="B25" s="15" t="s">
        <v>100</v>
      </c>
      <c r="J25" s="2" t="s">
        <v>101</v>
      </c>
      <c r="K25" s="2" t="n">
        <v>778</v>
      </c>
      <c r="L25" s="2" t="n">
        <v>1085</v>
      </c>
      <c r="M25" s="2" t="n">
        <v>1342</v>
      </c>
      <c r="N25" s="2" t="n">
        <v>1560</v>
      </c>
      <c r="O25" s="2" t="n">
        <v>2067</v>
      </c>
      <c r="Q25" s="26"/>
      <c r="R25" s="2" t="s">
        <v>80</v>
      </c>
      <c r="S25" s="11" t="n">
        <f aca="false">10^9*($O$14)/(12*0.2*$B$21)</f>
        <v>89.0300735567707</v>
      </c>
      <c r="T25" s="11" t="n">
        <f aca="false">10^9*($O$14)/(12*0.3*$B$21)</f>
        <v>59.3533823711805</v>
      </c>
      <c r="U25" s="11" t="n">
        <f aca="false">10^9*($O$14)/(12*0.4*$B$21)</f>
        <v>44.5150367783854</v>
      </c>
      <c r="V25" s="11" t="n">
        <f aca="false">10^9*($O$14)/(12*0.5*$B$21)</f>
        <v>35.6120294227083</v>
      </c>
      <c r="W25" s="11" t="n">
        <f aca="false">10^9*($O$14)/(12*$B$21)</f>
        <v>17.8060147113542</v>
      </c>
    </row>
    <row r="26" customFormat="false" ht="15.75" hidden="false" customHeight="false" outlineLevel="0" collapsed="false">
      <c r="A26" s="2" t="s">
        <v>102</v>
      </c>
      <c r="B26" s="15" t="s">
        <v>103</v>
      </c>
      <c r="D26" s="15" t="s">
        <v>104</v>
      </c>
      <c r="F26" s="15" t="s">
        <v>105</v>
      </c>
      <c r="J26" s="2" t="s">
        <v>106</v>
      </c>
      <c r="K26" s="2" t="n">
        <v>729</v>
      </c>
      <c r="L26" s="2" t="n">
        <v>1073</v>
      </c>
      <c r="M26" s="2" t="n">
        <v>1343</v>
      </c>
      <c r="N26" s="2" t="n">
        <v>1572</v>
      </c>
      <c r="O26" s="2" t="n">
        <v>2090</v>
      </c>
      <c r="Q26" s="26"/>
      <c r="R26" s="2" t="s">
        <v>83</v>
      </c>
      <c r="S26" s="11" t="n">
        <f aca="false">10^9*($O$15)/(12*0.2*$B$21)</f>
        <v>72.4025307489035</v>
      </c>
      <c r="T26" s="11" t="n">
        <f aca="false">10^9*($O$15)/(12*0.3*$B$21)</f>
        <v>48.2683538326024</v>
      </c>
      <c r="U26" s="11" t="n">
        <f aca="false">10^9*($O$15)/(12*0.4*$B$21)</f>
        <v>36.2012653744518</v>
      </c>
      <c r="V26" s="11" t="n">
        <f aca="false">10^9*($O$15)/(12*0.5*$B$21)</f>
        <v>28.9610122995614</v>
      </c>
      <c r="W26" s="11" t="n">
        <f aca="false">10^9*($O$15)/(12*$B$21)</f>
        <v>14.4805061497807</v>
      </c>
    </row>
    <row r="27" customFormat="false" ht="15.75" hidden="false" customHeight="false" outlineLevel="0" collapsed="false">
      <c r="A27" s="2" t="s">
        <v>107</v>
      </c>
      <c r="B27" s="15" t="s">
        <v>108</v>
      </c>
      <c r="I27" s="15" t="s">
        <v>109</v>
      </c>
      <c r="J27" s="2" t="s">
        <v>110</v>
      </c>
      <c r="K27" s="2" t="n">
        <v>734</v>
      </c>
      <c r="L27" s="2" t="n">
        <v>1077</v>
      </c>
      <c r="M27" s="2" t="n">
        <v>1347</v>
      </c>
      <c r="N27" s="2" t="n">
        <v>1575</v>
      </c>
      <c r="O27" s="2" t="n">
        <v>2095</v>
      </c>
      <c r="R27" s="2" t="s">
        <v>92</v>
      </c>
      <c r="S27" s="2" t="n">
        <v>1158</v>
      </c>
      <c r="T27" s="7" t="n">
        <f aca="false">16220/12</f>
        <v>1351.66666666667</v>
      </c>
      <c r="U27" s="7" t="n">
        <f aca="false">18360/12</f>
        <v>1530</v>
      </c>
      <c r="V27" s="7" t="n">
        <f aca="false">20520/12</f>
        <v>1710</v>
      </c>
    </row>
    <row r="28" customFormat="false" ht="15.75" hidden="false" customHeight="false" outlineLevel="0" collapsed="false">
      <c r="A28" s="2" t="s">
        <v>111</v>
      </c>
      <c r="B28" s="15" t="s">
        <v>112</v>
      </c>
      <c r="J28" s="1" t="s">
        <v>113</v>
      </c>
      <c r="K28" s="11" t="n">
        <f aca="false">K27*$B$38</f>
        <v>778.590551214066</v>
      </c>
      <c r="L28" s="11" t="n">
        <f aca="false">L27*$B$38</f>
        <v>1142.42782514653</v>
      </c>
      <c r="M28" s="11" t="n">
        <f aca="false">M27*$B$38</f>
        <v>1428.83034398549</v>
      </c>
      <c r="N28" s="11" t="n">
        <f aca="false">N27*$B$38</f>
        <v>1670.68135989394</v>
      </c>
      <c r="O28" s="11" t="n">
        <f aca="false">O27*$B$38</f>
        <v>2222.27139617639</v>
      </c>
    </row>
    <row r="29" customFormat="false" ht="15.75" hidden="false" customHeight="false" outlineLevel="0" collapsed="false">
      <c r="A29" s="2" t="s">
        <v>114</v>
      </c>
      <c r="B29" s="15" t="s">
        <v>21</v>
      </c>
      <c r="F29" s="15" t="s">
        <v>115</v>
      </c>
      <c r="H29" s="15" t="s">
        <v>116</v>
      </c>
    </row>
    <row r="30" customFormat="false" ht="15.75" hidden="false" customHeight="false" outlineLevel="0" collapsed="false">
      <c r="A30" s="2" t="s">
        <v>117</v>
      </c>
      <c r="H30" s="15" t="s">
        <v>118</v>
      </c>
    </row>
    <row r="31" customFormat="false" ht="15.75" hidden="false" customHeight="false" outlineLevel="0" collapsed="false">
      <c r="A31" s="2" t="s">
        <v>119</v>
      </c>
      <c r="B31" s="15" t="s">
        <v>120</v>
      </c>
      <c r="F31" s="15" t="s">
        <v>121</v>
      </c>
      <c r="J31" s="15" t="s">
        <v>122</v>
      </c>
    </row>
    <row r="32" customFormat="false" ht="15.75" hidden="false" customHeight="false" outlineLevel="0" collapsed="false">
      <c r="A32" s="2" t="s">
        <v>123</v>
      </c>
      <c r="B32" s="15" t="s">
        <v>124</v>
      </c>
    </row>
    <row r="33" customFormat="false" ht="15.75" hidden="false" customHeight="false" outlineLevel="0" collapsed="false">
      <c r="A33" s="2" t="s">
        <v>125</v>
      </c>
      <c r="B33" s="15" t="s">
        <v>126</v>
      </c>
      <c r="H33" s="28" t="s">
        <v>127</v>
      </c>
    </row>
    <row r="34" customFormat="false" ht="15.75" hidden="false" customHeight="false" outlineLevel="0" collapsed="false">
      <c r="A34" s="2" t="s">
        <v>128</v>
      </c>
      <c r="B34" s="15" t="s">
        <v>129</v>
      </c>
    </row>
    <row r="35" customFormat="false" ht="15.75" hidden="false" customHeight="false" outlineLevel="0" collapsed="false">
      <c r="A35" s="2" t="s">
        <v>130</v>
      </c>
      <c r="B35" s="15" t="s">
        <v>131</v>
      </c>
    </row>
    <row r="36" customFormat="false" ht="15.75" hidden="false" customHeight="false" outlineLevel="0" collapsed="false">
      <c r="A36" s="2" t="s">
        <v>132</v>
      </c>
      <c r="B36" s="15" t="s">
        <v>133</v>
      </c>
    </row>
    <row r="37" customFormat="false" ht="15.75" hidden="false" customHeight="false" outlineLevel="0" collapsed="false">
      <c r="A37" s="2" t="s">
        <v>134</v>
      </c>
      <c r="B37" s="2" t="s">
        <v>135</v>
      </c>
    </row>
    <row r="38" customFormat="false" ht="15.75" hidden="false" customHeight="false" outlineLevel="0" collapsed="false">
      <c r="A38" s="2" t="s">
        <v>136</v>
      </c>
      <c r="B38" s="0" t="n">
        <f aca="false">1.015*2246.7/2149.8</f>
        <v>1.06075006977393</v>
      </c>
      <c r="C38" s="15" t="s">
        <v>137</v>
      </c>
      <c r="E38" s="15" t="s">
        <v>138</v>
      </c>
    </row>
    <row r="39" customFormat="false" ht="15.75" hidden="false" customHeight="false" outlineLevel="0" collapsed="false">
      <c r="A39" s="2" t="s">
        <v>139</v>
      </c>
      <c r="B39" s="15" t="s">
        <v>140</v>
      </c>
    </row>
    <row r="41" customFormat="false" ht="15.75" hidden="false" customHeight="false" outlineLevel="0" collapsed="false">
      <c r="A41" s="2" t="s">
        <v>141</v>
      </c>
      <c r="B41" s="2" t="s">
        <v>142</v>
      </c>
      <c r="C41" s="2" t="n">
        <v>0.125</v>
      </c>
      <c r="D41" s="2" t="s">
        <v>143</v>
      </c>
      <c r="E41" s="2" t="s">
        <v>144</v>
      </c>
    </row>
    <row r="42" customFormat="false" ht="15.75" hidden="false" customHeight="false" outlineLevel="0" collapsed="false">
      <c r="A42" s="2" t="s">
        <v>145</v>
      </c>
      <c r="B42" s="2" t="s">
        <v>146</v>
      </c>
      <c r="C42" s="2" t="n">
        <v>0.11</v>
      </c>
      <c r="D42" s="2" t="s">
        <v>147</v>
      </c>
      <c r="E42" s="2" t="s">
        <v>148</v>
      </c>
    </row>
  </sheetData>
  <mergeCells count="4">
    <mergeCell ref="I17:I19"/>
    <mergeCell ref="I20:I22"/>
    <mergeCell ref="Q21:Q23"/>
    <mergeCell ref="Q24:Q26"/>
  </mergeCells>
  <hyperlinks>
    <hyperlink ref="C18" r:id="rId1" display="https://www.fournisseurs-electricite.com/france/169-infos/18441-coefficient-de-conversion-du-gaz"/>
    <hyperlink ref="B25" r:id="rId2" display="http://www.statistiques.developpement-durable.gouv.fr/fileadmin/documents/Produits_editoriaux/Publications/Datalab_essentiel/2017/datalab-essentiel-124-ventes-de-produits-petroliers-en-2016-nov2017.pdf"/>
    <hyperlink ref="B26" r:id="rId3" display="https://www.insee.fr/fr/statistiques/2119673"/>
    <hyperlink ref="D26" r:id="rId4" display="https://www.cpdp.org/fr/le-marche-petrolier"/>
    <hyperlink ref="F26" r:id="rId5" display="http://www.grtgaz.com/fileadmin/medias/communiques/2018/FR/Presentation-bilan-gaz-2017.pdf"/>
    <hyperlink ref="B27" r:id="rId6" display="https://carbu.com/france/index.php/prixmoyens"/>
    <hyperlink ref="I27" r:id="rId7" display="http://www.prix-carburants.developpement-durable.gouv.fr/petrole/se_cons_fr.htm"/>
    <hyperlink ref="B28" r:id="rId8" display="https://www.ecologique-solidaire.gouv.fr/fiscalite-des-energies"/>
    <hyperlink ref="B29" r:id="rId9" display="https://www.insee.fr/fr/statistiques/1892086?sommaire=1912926"/>
    <hyperlink ref="F29" r:id="rId10" display="https://www.insee.fr/fr/statistiques/1906663?sommaire=1906743"/>
    <hyperlink ref="H29" r:id="rId11" display="https://www.insee.fr/fr/statistiques/3303344?sommaire=3353488"/>
    <hyperlink ref="H30" r:id="rId12" location="tableau-Donnes" display="https://www.insee.fr/fr/statistiques/2416808#tableau-Donnes"/>
    <hyperlink ref="B31" r:id="rId13" location=".XCfNAcZ7mis" display="https://www.performance-publique.budget.gouv.fr/budget-comptes-etat/budget-etat/approfondir/recettes-etat/recettes-fiscales#.XCfNAcZ7mis"/>
    <hyperlink ref="F31" r:id="rId14" display="www2.impots.gouv.fr/documentation/statistiques/annuaire2013/tab101_2013.xls"/>
    <hyperlink ref="J31" r:id="rId15" display="https://www.ccomptes.fr/sites/default/files/EzPublish/20151216-rapport-Fouilleron-TVA-et-depenses-publiques.pdf"/>
    <hyperlink ref="B32" r:id="rId16" display="http://bilans-ges.ademe.fr"/>
    <hyperlink ref="B33" r:id="rId17" display="https://selectra.info/energie/guides/tarifs/gaz/base-b0-b1-b2i-b2s-tel"/>
    <hyperlink ref="B34" r:id="rId18" display="https://argent.boursier.com/quotidien/actualites/tout-savoir-sur-les-baremes-pour-beneficier-du-cheque-energie-4865.html"/>
    <hyperlink ref="B35" r:id="rId19" display="https://www.ecologique-solidaire.gouv.fr/sites/default/files/Projet%20strategie%20nationale%20bas%20carbone.pdf"/>
    <hyperlink ref="B36" r:id="rId20" display="https://public.opendatasoft.com/explore/dataset/correspondance-code-insee-code-postal/table/"/>
    <hyperlink ref="C38" r:id="rId21" location="tableau-Tableau1" display="https://www.insee.fr/fr/statistiques/2830613#tableau-Tableau1"/>
    <hyperlink ref="E38" r:id="rId22" location="titre-croissance" display="https://www.insee.fr/fr/statistiques/2107840#titre-croissance"/>
    <hyperlink ref="B39" r:id="rId23" display="https://fr.statista.com/statistiques/486554/consommation-de-carburant-moyenne-voiture-france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9"/>
      <c r="B1" s="29" t="s">
        <v>149</v>
      </c>
      <c r="C1" s="29" t="s">
        <v>150</v>
      </c>
      <c r="D1" s="29" t="s">
        <v>151</v>
      </c>
      <c r="E1" s="29" t="s">
        <v>152</v>
      </c>
      <c r="F1" s="29" t="s">
        <v>153</v>
      </c>
      <c r="G1" s="29" t="s">
        <v>154</v>
      </c>
      <c r="H1" s="29" t="s">
        <v>155</v>
      </c>
      <c r="I1" s="29" t="s">
        <v>156</v>
      </c>
      <c r="J1" s="30" t="s">
        <v>157</v>
      </c>
      <c r="K1" s="30" t="s">
        <v>158</v>
      </c>
      <c r="L1" s="30" t="s">
        <v>159</v>
      </c>
      <c r="M1" s="30" t="s">
        <v>160</v>
      </c>
      <c r="N1" s="30" t="s">
        <v>161</v>
      </c>
      <c r="O1" s="30" t="s">
        <v>162</v>
      </c>
      <c r="P1" s="30" t="s">
        <v>163</v>
      </c>
      <c r="Q1" s="30" t="s">
        <v>164</v>
      </c>
      <c r="R1" s="30" t="s">
        <v>165</v>
      </c>
      <c r="S1" s="29" t="s">
        <v>166</v>
      </c>
      <c r="T1" s="31" t="n">
        <v>-20</v>
      </c>
      <c r="U1" s="29" t="s">
        <v>167</v>
      </c>
      <c r="V1" s="29" t="s">
        <v>168</v>
      </c>
      <c r="W1" s="29" t="s">
        <v>169</v>
      </c>
      <c r="X1" s="29" t="s">
        <v>170</v>
      </c>
      <c r="Y1" s="29" t="s">
        <v>171</v>
      </c>
      <c r="Z1" s="29" t="s">
        <v>172</v>
      </c>
      <c r="AA1" s="29" t="s">
        <v>173</v>
      </c>
      <c r="AB1" s="29" t="s">
        <v>174</v>
      </c>
      <c r="AC1" s="29" t="s">
        <v>175</v>
      </c>
      <c r="AD1" s="29" t="s">
        <v>176</v>
      </c>
      <c r="AE1" s="29" t="s">
        <v>177</v>
      </c>
      <c r="AF1" s="29" t="s">
        <v>178</v>
      </c>
      <c r="AG1" s="29" t="s">
        <v>179</v>
      </c>
      <c r="AH1" s="29" t="s">
        <v>180</v>
      </c>
      <c r="AI1" s="29" t="s">
        <v>181</v>
      </c>
      <c r="AJ1" s="29" t="s">
        <v>182</v>
      </c>
      <c r="AK1" s="29" t="s">
        <v>183</v>
      </c>
      <c r="AL1" s="29" t="s">
        <v>184</v>
      </c>
    </row>
    <row r="2" customFormat="false" ht="15.75" hidden="false" customHeight="false" outlineLevel="0" collapsed="false">
      <c r="A2" s="2" t="s">
        <v>185</v>
      </c>
      <c r="J2" s="2" t="n">
        <v>12213364</v>
      </c>
      <c r="K2" s="2" t="n">
        <v>5978266</v>
      </c>
      <c r="L2" s="2" t="n">
        <f aca="false">5518188+2795301</f>
        <v>8313489</v>
      </c>
      <c r="M2" s="2" t="n">
        <v>5987014</v>
      </c>
      <c r="N2" s="0" t="n">
        <f aca="false">2566759+3786545</f>
        <v>6353304</v>
      </c>
      <c r="O2" s="0" t="n">
        <f aca="false">3329395+3319067</f>
        <v>6648462</v>
      </c>
      <c r="P2" s="2" t="n">
        <v>5892817</v>
      </c>
      <c r="Q2" s="2" t="n">
        <v>8026685</v>
      </c>
      <c r="R2" s="0" t="n">
        <f aca="false">5059473</f>
        <v>5059473</v>
      </c>
      <c r="S2" s="2" t="n">
        <v>13912000</v>
      </c>
      <c r="T2" s="0" t="n">
        <f aca="false">4145000+3516000+3077000</f>
        <v>10738000</v>
      </c>
      <c r="U2" s="0" t="n">
        <f aca="false">3878000+4498000</f>
        <v>8376000</v>
      </c>
      <c r="V2" s="0" t="n">
        <f aca="false">3260000+15205000</f>
        <v>18465000</v>
      </c>
      <c r="W2" s="2" t="n">
        <v>10303000</v>
      </c>
      <c r="X2" s="2" t="n">
        <v>33450613</v>
      </c>
      <c r="Y2" s="2" t="n">
        <v>31361439</v>
      </c>
      <c r="Z2" s="2" t="n">
        <v>6233624</v>
      </c>
      <c r="AA2" s="2" t="n">
        <v>7860624</v>
      </c>
      <c r="AB2" s="2" t="n">
        <v>12900046</v>
      </c>
      <c r="AC2" s="2" t="n">
        <v>12910137</v>
      </c>
      <c r="AD2" s="2" t="n">
        <v>13413337</v>
      </c>
      <c r="AE2" s="2"/>
      <c r="AF2" s="2"/>
      <c r="AG2" s="2"/>
      <c r="AH2" s="2"/>
      <c r="AI2" s="2" t="n">
        <f aca="false">SUM(J2:R2)</f>
        <v>64472874</v>
      </c>
      <c r="AJ2" s="2" t="n">
        <v>64812052</v>
      </c>
      <c r="AK2" s="2" t="n">
        <v>61795000</v>
      </c>
      <c r="AL2" s="2" t="n">
        <f aca="false">SUM(Z2:AD2)</f>
        <v>53317768</v>
      </c>
    </row>
    <row r="3" customFormat="false" ht="15.75" hidden="false" customHeight="false" outlineLevel="0" collapsed="false">
      <c r="A3" s="2" t="s">
        <v>186</v>
      </c>
      <c r="B3" s="10" t="n">
        <f aca="false">0.008/0.997</f>
        <v>0.00802407221664995</v>
      </c>
      <c r="C3" s="10" t="n">
        <f aca="false">0.034/0.997</f>
        <v>0.0341023069207623</v>
      </c>
      <c r="D3" s="10" t="n">
        <f aca="false">0.094/0.997</f>
        <v>0.0942828485456369</v>
      </c>
      <c r="E3" s="10" t="n">
        <f aca="false">0.136/0.997</f>
        <v>0.136409227683049</v>
      </c>
      <c r="F3" s="10" t="n">
        <f aca="false">0.153/0.997</f>
        <v>0.15346038114343</v>
      </c>
      <c r="G3" s="10" t="n">
        <f aca="false">0.121/0.997</f>
        <v>0.12136409227683</v>
      </c>
      <c r="H3" s="10" t="n">
        <f aca="false">0.327/0.997</f>
        <v>0.327983951855567</v>
      </c>
      <c r="I3" s="10" t="n">
        <f aca="false">0.124/0.997</f>
        <v>0.124373119358074</v>
      </c>
      <c r="J3" s="32" t="n">
        <f aca="false">J2/$AI$2</f>
        <v>0.189434148693294</v>
      </c>
      <c r="K3" s="32" t="n">
        <f aca="false">K2/$AI$2</f>
        <v>0.092725290949493</v>
      </c>
      <c r="L3" s="32" t="n">
        <f aca="false">L2/$AI$2</f>
        <v>0.128945531418376</v>
      </c>
      <c r="M3" s="32" t="n">
        <f aca="false">M2/$AI$2</f>
        <v>0.0928609759198884</v>
      </c>
      <c r="N3" s="32" t="n">
        <f aca="false">N2/$AI$2</f>
        <v>0.0985422799672309</v>
      </c>
      <c r="O3" s="32" t="n">
        <f aca="false">O2/$AI$2</f>
        <v>0.103120298313365</v>
      </c>
      <c r="P3" s="32" t="n">
        <f aca="false">P2/$AI$2</f>
        <v>0.0913999428658943</v>
      </c>
      <c r="Q3" s="32" t="n">
        <f aca="false">Q2/$AI$2</f>
        <v>0.124497086945434</v>
      </c>
      <c r="R3" s="32" t="n">
        <f aca="false">R2/$AI$2</f>
        <v>0.0784744449270247</v>
      </c>
      <c r="S3" s="10" t="n">
        <v>0.2165568</v>
      </c>
      <c r="T3" s="10" t="n">
        <v>0.1710374</v>
      </c>
      <c r="U3" s="10" t="n">
        <v>0.1407523</v>
      </c>
      <c r="V3" s="10" t="n">
        <v>0.3083281</v>
      </c>
      <c r="W3" s="10" t="n">
        <v>0.1633254</v>
      </c>
      <c r="X3" s="32" t="n">
        <f aca="false">X2/$AJ$2</f>
        <v>0.516117172158042</v>
      </c>
      <c r="Y3" s="32" t="n">
        <f aca="false">Y2/$AJ$2</f>
        <v>0.483882827841958</v>
      </c>
      <c r="Z3" s="32" t="n">
        <f aca="false">Z2/$AL$2</f>
        <v>0.116914571517697</v>
      </c>
      <c r="AA3" s="32" t="n">
        <f aca="false">AA2/$AL$2</f>
        <v>0.147429727365932</v>
      </c>
      <c r="AB3" s="32" t="n">
        <f aca="false">AB2/$AL$2</f>
        <v>0.241946474578606</v>
      </c>
      <c r="AC3" s="32" t="n">
        <f aca="false">AC2/$AL$2</f>
        <v>0.24213573606457</v>
      </c>
      <c r="AD3" s="32" t="n">
        <f aca="false">AD2/$AL$2</f>
        <v>0.251573490473195</v>
      </c>
      <c r="AE3" s="10" t="n">
        <v>0.301</v>
      </c>
      <c r="AF3" s="10" t="n">
        <v>0.246</v>
      </c>
      <c r="AG3" s="10" t="n">
        <v>0.168</v>
      </c>
      <c r="AH3" s="10" t="n">
        <v>0.285</v>
      </c>
    </row>
    <row r="4" customFormat="false" ht="15.75" hidden="false" customHeight="false" outlineLevel="0" collapsed="false">
      <c r="A4" s="2" t="n">
        <v>3000</v>
      </c>
      <c r="B4" s="0" t="e">
        <f aca="false">CEILING(B$3*$A4)</f>
        <v>#VALUE!</v>
      </c>
      <c r="C4" s="0" t="e">
        <f aca="false">CEILING(C$3*$A4)</f>
        <v>#VALUE!</v>
      </c>
      <c r="D4" s="0" t="e">
        <f aca="false">CEILING(D$3*$A4)</f>
        <v>#VALUE!</v>
      </c>
      <c r="E4" s="0" t="e">
        <f aca="false">CEILING(E$3*$A4)</f>
        <v>#VALUE!</v>
      </c>
      <c r="F4" s="0" t="e">
        <f aca="false">CEILING(F$3*$A4)</f>
        <v>#VALUE!</v>
      </c>
      <c r="G4" s="0" t="e">
        <f aca="false">CEILING(G$3*$A4)</f>
        <v>#VALUE!</v>
      </c>
      <c r="H4" s="0" t="e">
        <f aca="false">CEILING(H$3*$A4)</f>
        <v>#VALUE!</v>
      </c>
      <c r="I4" s="0" t="e">
        <f aca="false">CEILING(I$3*$A4)</f>
        <v>#VALUE!</v>
      </c>
      <c r="J4" s="0" t="e">
        <f aca="false">CEILING(J$3*$A4)</f>
        <v>#VALUE!</v>
      </c>
      <c r="K4" s="0" t="e">
        <f aca="false">CEILING(K$3*$A4)</f>
        <v>#VALUE!</v>
      </c>
      <c r="L4" s="0" t="e">
        <f aca="false">CEILING(L$3*$A4)</f>
        <v>#VALUE!</v>
      </c>
      <c r="M4" s="0" t="e">
        <f aca="false">CEILING(M$3*$A4)</f>
        <v>#VALUE!</v>
      </c>
      <c r="N4" s="0" t="e">
        <f aca="false">CEILING(N$3*$A4)</f>
        <v>#VALUE!</v>
      </c>
      <c r="O4" s="0" t="e">
        <f aca="false">CEILING(O$3*$A4)</f>
        <v>#VALUE!</v>
      </c>
      <c r="P4" s="0" t="e">
        <f aca="false">CEILING(P$3*$A4)</f>
        <v>#VALUE!</v>
      </c>
      <c r="Q4" s="0" t="e">
        <f aca="false">CEILING(Q$3*$A4)</f>
        <v>#VALUE!</v>
      </c>
      <c r="R4" s="0" t="e">
        <f aca="false">CEILING(R$3*$A4)</f>
        <v>#VALUE!</v>
      </c>
      <c r="S4" s="0" t="e">
        <f aca="false">CEILING(S$3*$A4)</f>
        <v>#VALUE!</v>
      </c>
      <c r="T4" s="0" t="e">
        <f aca="false">CEILING(T$3*$A4)</f>
        <v>#VALUE!</v>
      </c>
      <c r="U4" s="0" t="e">
        <f aca="false">CEILING(U$3*$A4)</f>
        <v>#VALUE!</v>
      </c>
      <c r="V4" s="0" t="e">
        <f aca="false">CEILING(V$3*$A4)</f>
        <v>#VALUE!</v>
      </c>
      <c r="W4" s="0" t="e">
        <f aca="false">CEILING(W$3*$A4)</f>
        <v>#VALUE!</v>
      </c>
      <c r="X4" s="0" t="e">
        <f aca="false">CEILING(X$3*$A4)</f>
        <v>#VALUE!</v>
      </c>
      <c r="Y4" s="0" t="e">
        <f aca="false">CEILING(Y$3*$A4)</f>
        <v>#VALUE!</v>
      </c>
      <c r="Z4" s="0" t="e">
        <f aca="false">CEILING(Z$3*$A4)</f>
        <v>#VALUE!</v>
      </c>
      <c r="AA4" s="0" t="e">
        <f aca="false">CEILING(AA$3*$A4)</f>
        <v>#VALUE!</v>
      </c>
      <c r="AB4" s="0" t="e">
        <f aca="false">CEILING(AB$3*$A4)</f>
        <v>#VALUE!</v>
      </c>
      <c r="AC4" s="0" t="e">
        <f aca="false">CEILING(AC$3*$A4)</f>
        <v>#VALUE!</v>
      </c>
      <c r="AD4" s="0" t="e">
        <f aca="false">CEILING(AD$3*$A4)</f>
        <v>#VALUE!</v>
      </c>
      <c r="AE4" s="0" t="e">
        <f aca="false">CEILING(AE$3*$A4)</f>
        <v>#VALUE!</v>
      </c>
      <c r="AF4" s="0" t="e">
        <f aca="false">CEILING(AF$3*$A4)</f>
        <v>#VALUE!</v>
      </c>
      <c r="AG4" s="0" t="e">
        <f aca="false">CEILING(AG$3*$A4)</f>
        <v>#VALUE!</v>
      </c>
      <c r="AH4" s="0" t="e">
        <f aca="false">CEILING(AH$3*$A4)</f>
        <v>#VALUE!</v>
      </c>
    </row>
    <row r="5" customFormat="false" ht="15.75" hidden="false" customHeight="false" outlineLevel="0" collapsed="false">
      <c r="A5" s="20" t="n">
        <f aca="false">3000*1.05</f>
        <v>3150</v>
      </c>
      <c r="B5" s="20" t="e">
        <f aca="false">CEILING(B$3*$A5)</f>
        <v>#VALUE!</v>
      </c>
      <c r="C5" s="20" t="e">
        <f aca="false">CEILING(C$3*$A5)</f>
        <v>#VALUE!</v>
      </c>
      <c r="D5" s="20" t="e">
        <f aca="false">CEILING(D$3*$A5)</f>
        <v>#VALUE!</v>
      </c>
      <c r="E5" s="20" t="e">
        <f aca="false">CEILING(E$3*$A5)</f>
        <v>#VALUE!</v>
      </c>
      <c r="F5" s="20" t="e">
        <f aca="false">CEILING(F$3*$A5)</f>
        <v>#VALUE!</v>
      </c>
      <c r="G5" s="20" t="e">
        <f aca="false">CEILING(G$3*$A5)</f>
        <v>#VALUE!</v>
      </c>
      <c r="H5" s="20" t="e">
        <f aca="false">CEILING(H$3*$A5)</f>
        <v>#VALUE!</v>
      </c>
      <c r="I5" s="20" t="e">
        <f aca="false">CEILING(I$3*$A5)</f>
        <v>#VALUE!</v>
      </c>
      <c r="J5" s="20" t="e">
        <f aca="false">CEILING(J$3*$A5)</f>
        <v>#VALUE!</v>
      </c>
      <c r="K5" s="20" t="e">
        <f aca="false">CEILING(K$3*$A5)</f>
        <v>#VALUE!</v>
      </c>
      <c r="L5" s="20" t="e">
        <f aca="false">CEILING(L$3*$A5)</f>
        <v>#VALUE!</v>
      </c>
      <c r="M5" s="20" t="e">
        <f aca="false">CEILING(M$3*$A5)</f>
        <v>#VALUE!</v>
      </c>
      <c r="N5" s="20" t="e">
        <f aca="false">CEILING(N$3*$A5)</f>
        <v>#VALUE!</v>
      </c>
      <c r="O5" s="20" t="e">
        <f aca="false">CEILING(O$3*$A5)</f>
        <v>#VALUE!</v>
      </c>
      <c r="P5" s="20" t="e">
        <f aca="false">CEILING(P$3*$A5)</f>
        <v>#VALUE!</v>
      </c>
      <c r="Q5" s="20" t="e">
        <f aca="false">CEILING(Q$3*$A5)</f>
        <v>#VALUE!</v>
      </c>
      <c r="R5" s="20" t="e">
        <f aca="false">CEILING(R$3*$A5)</f>
        <v>#VALUE!</v>
      </c>
      <c r="S5" s="20" t="e">
        <f aca="false">CEILING(S$3*$A5)</f>
        <v>#VALUE!</v>
      </c>
      <c r="T5" s="20" t="e">
        <f aca="false">CEILING(T$3*$A5)</f>
        <v>#VALUE!</v>
      </c>
      <c r="U5" s="20" t="e">
        <f aca="false">CEILING(U$3*$A5)</f>
        <v>#VALUE!</v>
      </c>
      <c r="V5" s="20" t="e">
        <f aca="false">CEILING(V$3*$A5)</f>
        <v>#VALUE!</v>
      </c>
      <c r="W5" s="20" t="e">
        <f aca="false">CEILING(W$3*$A5)</f>
        <v>#VALUE!</v>
      </c>
      <c r="X5" s="20" t="e">
        <f aca="false">CEILING(X$3*$A5)</f>
        <v>#VALUE!</v>
      </c>
      <c r="Y5" s="20" t="e">
        <f aca="false">CEILING(Y$3*$A5)</f>
        <v>#VALUE!</v>
      </c>
      <c r="Z5" s="20" t="e">
        <f aca="false">CEILING(Z$3*$A5)</f>
        <v>#VALUE!</v>
      </c>
      <c r="AA5" s="20" t="e">
        <f aca="false">CEILING(AA$3*$A5)</f>
        <v>#VALUE!</v>
      </c>
      <c r="AB5" s="20" t="e">
        <f aca="false">CEILING(AB$3*$A5)</f>
        <v>#VALUE!</v>
      </c>
      <c r="AC5" s="20" t="e">
        <f aca="false">CEILING(AC$3*$A5)</f>
        <v>#VALUE!</v>
      </c>
      <c r="AD5" s="20" t="e">
        <f aca="false">CEILING(AD$3*$A5)</f>
        <v>#VALUE!</v>
      </c>
      <c r="AE5" s="20" t="e">
        <f aca="false">CEILING(AE$3*$A5)</f>
        <v>#VALUE!</v>
      </c>
      <c r="AF5" s="20" t="e">
        <f aca="false">CEILING(AF$3*$A5)</f>
        <v>#VALUE!</v>
      </c>
      <c r="AG5" s="20" t="e">
        <f aca="false">CEILING(AG$3*$A5)</f>
        <v>#VALUE!</v>
      </c>
      <c r="AH5" s="20" t="e">
        <f aca="false">CEILING(AH$3*$A5)</f>
        <v>#VALUE!</v>
      </c>
    </row>
    <row r="6" customFormat="false" ht="15.75" hidden="false" customHeight="false" outlineLevel="0" collapsed="false">
      <c r="A6" s="0" t="n">
        <f aca="false">3000*1.1</f>
        <v>3300</v>
      </c>
      <c r="B6" s="0" t="e">
        <f aca="false">CEILING(B$3*$A6)</f>
        <v>#VALUE!</v>
      </c>
      <c r="C6" s="0" t="e">
        <f aca="false">CEILING(C$3*$A6)</f>
        <v>#VALUE!</v>
      </c>
      <c r="D6" s="0" t="e">
        <f aca="false">CEILING(D$3*$A6)</f>
        <v>#VALUE!</v>
      </c>
      <c r="E6" s="0" t="e">
        <f aca="false">CEILING(E$3*$A6)</f>
        <v>#VALUE!</v>
      </c>
      <c r="F6" s="0" t="e">
        <f aca="false">CEILING(F$3*$A6)</f>
        <v>#VALUE!</v>
      </c>
      <c r="G6" s="0" t="e">
        <f aca="false">CEILING(G$3*$A6)</f>
        <v>#VALUE!</v>
      </c>
      <c r="H6" s="0" t="e">
        <f aca="false">CEILING(H$3*$A6)</f>
        <v>#VALUE!</v>
      </c>
      <c r="I6" s="0" t="e">
        <f aca="false">CEILING(I$3*$A6)</f>
        <v>#VALUE!</v>
      </c>
      <c r="J6" s="0" t="e">
        <f aca="false">CEILING(J$3*$A6)</f>
        <v>#VALUE!</v>
      </c>
      <c r="K6" s="0" t="e">
        <f aca="false">CEILING(K$3*$A6)</f>
        <v>#VALUE!</v>
      </c>
      <c r="L6" s="0" t="e">
        <f aca="false">CEILING(L$3*$A6)</f>
        <v>#VALUE!</v>
      </c>
      <c r="M6" s="0" t="e">
        <f aca="false">CEILING(M$3*$A6)</f>
        <v>#VALUE!</v>
      </c>
      <c r="N6" s="0" t="e">
        <f aca="false">CEILING(N$3*$A6)</f>
        <v>#VALUE!</v>
      </c>
      <c r="O6" s="0" t="e">
        <f aca="false">CEILING(O$3*$A6)</f>
        <v>#VALUE!</v>
      </c>
      <c r="P6" s="0" t="e">
        <f aca="false">CEILING(P$3*$A6)</f>
        <v>#VALUE!</v>
      </c>
      <c r="Q6" s="0" t="e">
        <f aca="false">CEILING(Q$3*$A6)</f>
        <v>#VALUE!</v>
      </c>
      <c r="R6" s="0" t="e">
        <f aca="false">CEILING(R$3*$A6)</f>
        <v>#VALUE!</v>
      </c>
      <c r="S6" s="0" t="e">
        <f aca="false">CEILING(S$3*$A6)</f>
        <v>#VALUE!</v>
      </c>
      <c r="T6" s="0" t="e">
        <f aca="false">CEILING(T$3*$A6)</f>
        <v>#VALUE!</v>
      </c>
      <c r="U6" s="0" t="e">
        <f aca="false">CEILING(U$3*$A6)</f>
        <v>#VALUE!</v>
      </c>
      <c r="V6" s="0" t="e">
        <f aca="false">CEILING(V$3*$A6)</f>
        <v>#VALUE!</v>
      </c>
      <c r="W6" s="0" t="e">
        <f aca="false">CEILING(W$3*$A6)</f>
        <v>#VALUE!</v>
      </c>
      <c r="X6" s="0" t="e">
        <f aca="false">CEILING(X$3*$A6)</f>
        <v>#VALUE!</v>
      </c>
      <c r="Y6" s="0" t="e">
        <f aca="false">CEILING(Y$3*$A6)</f>
        <v>#VALUE!</v>
      </c>
      <c r="Z6" s="0" t="e">
        <f aca="false">CEILING(Z$3*$A6)</f>
        <v>#VALUE!</v>
      </c>
      <c r="AA6" s="0" t="e">
        <f aca="false">CEILING(AA$3*$A6)</f>
        <v>#VALUE!</v>
      </c>
      <c r="AB6" s="0" t="e">
        <f aca="false">CEILING(AB$3*$A6)</f>
        <v>#VALUE!</v>
      </c>
      <c r="AC6" s="0" t="e">
        <f aca="false">CEILING(AC$3*$A6)</f>
        <v>#VALUE!</v>
      </c>
      <c r="AD6" s="0" t="e">
        <f aca="false">CEILING(AD$3*$A6)</f>
        <v>#VALUE!</v>
      </c>
      <c r="AE6" s="0" t="e">
        <f aca="false">CEILING(AE$3*$A6)</f>
        <v>#VALUE!</v>
      </c>
      <c r="AF6" s="0" t="e">
        <f aca="false">CEILING(AF$3*$A6)</f>
        <v>#VALUE!</v>
      </c>
      <c r="AG6" s="0" t="e">
        <f aca="false">CEILING(AG$3*$A6)</f>
        <v>#VALUE!</v>
      </c>
      <c r="AH6" s="0" t="e">
        <f aca="false">CEILING(AH$3*$A6)</f>
        <v>#VALUE!</v>
      </c>
    </row>
    <row r="8" customFormat="false" ht="15.75" hidden="false" customHeight="false" outlineLevel="0" collapsed="false">
      <c r="A8" s="2" t="s">
        <v>187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115</v>
      </c>
      <c r="G8" s="2" t="n">
        <v>0</v>
      </c>
      <c r="H8" s="2" t="n">
        <v>0</v>
      </c>
      <c r="I8" s="2" t="n">
        <v>0</v>
      </c>
      <c r="J8" s="2" t="n">
        <v>22</v>
      </c>
      <c r="K8" s="2" t="n">
        <v>11</v>
      </c>
      <c r="L8" s="2" t="n">
        <v>16</v>
      </c>
      <c r="M8" s="2" t="n">
        <v>12</v>
      </c>
      <c r="N8" s="2" t="n">
        <v>15</v>
      </c>
      <c r="O8" s="2" t="n">
        <v>12</v>
      </c>
      <c r="P8" s="2" t="n">
        <v>6</v>
      </c>
      <c r="Q8" s="2" t="n">
        <v>15</v>
      </c>
      <c r="R8" s="2" t="n">
        <v>6</v>
      </c>
      <c r="S8" s="2" t="n">
        <v>35</v>
      </c>
      <c r="T8" s="2" t="n">
        <v>19</v>
      </c>
      <c r="U8" s="2" t="n">
        <v>19</v>
      </c>
      <c r="V8" s="2" t="n">
        <v>22</v>
      </c>
      <c r="W8" s="2" t="n">
        <v>20</v>
      </c>
      <c r="X8" s="2" t="n">
        <v>61</v>
      </c>
      <c r="Y8" s="2" t="n">
        <v>54</v>
      </c>
      <c r="Z8" s="2" t="n">
        <v>6</v>
      </c>
      <c r="AA8" s="2" t="n">
        <v>52</v>
      </c>
      <c r="AB8" s="2" t="n">
        <v>21</v>
      </c>
      <c r="AC8" s="2" t="n">
        <v>30</v>
      </c>
      <c r="AD8" s="2" t="n">
        <v>6</v>
      </c>
      <c r="AE8" s="2" t="n">
        <v>21</v>
      </c>
      <c r="AF8" s="2" t="n">
        <v>28</v>
      </c>
      <c r="AG8" s="2" t="n">
        <v>16</v>
      </c>
      <c r="AH8" s="2" t="n">
        <v>50</v>
      </c>
    </row>
    <row r="9" customFormat="false" ht="15.75" hidden="false" customHeight="false" outlineLevel="0" collapsed="false">
      <c r="A9" s="2" t="s">
        <v>188</v>
      </c>
      <c r="B9" s="0" t="e">
        <f aca="false">B5+B8</f>
        <v>#VALUE!</v>
      </c>
      <c r="C9" s="0" t="e">
        <f aca="false">C5+C8</f>
        <v>#VALUE!</v>
      </c>
      <c r="D9" s="0" t="e">
        <f aca="false">D5+D8</f>
        <v>#VALUE!</v>
      </c>
      <c r="E9" s="0" t="e">
        <f aca="false">E5+E8</f>
        <v>#VALUE!</v>
      </c>
      <c r="F9" s="0" t="e">
        <f aca="false">F5+F8</f>
        <v>#VALUE!</v>
      </c>
      <c r="G9" s="0" t="e">
        <f aca="false">G5+G8</f>
        <v>#VALUE!</v>
      </c>
      <c r="H9" s="0" t="e">
        <f aca="false">H5+H8</f>
        <v>#VALUE!</v>
      </c>
      <c r="I9" s="0" t="e">
        <f aca="false">I5+I8</f>
        <v>#VALUE!</v>
      </c>
      <c r="J9" s="0" t="e">
        <f aca="false">J5+J8</f>
        <v>#VALUE!</v>
      </c>
      <c r="K9" s="0" t="e">
        <f aca="false">K5+K8</f>
        <v>#VALUE!</v>
      </c>
      <c r="L9" s="0" t="e">
        <f aca="false">L5+L8</f>
        <v>#VALUE!</v>
      </c>
      <c r="M9" s="0" t="e">
        <f aca="false">M5+M8</f>
        <v>#VALUE!</v>
      </c>
      <c r="N9" s="0" t="e">
        <f aca="false">N5+N8</f>
        <v>#VALUE!</v>
      </c>
      <c r="O9" s="0" t="e">
        <f aca="false">O5+O8</f>
        <v>#VALUE!</v>
      </c>
      <c r="P9" s="0" t="e">
        <f aca="false">P5+P8</f>
        <v>#VALUE!</v>
      </c>
      <c r="Q9" s="0" t="e">
        <f aca="false">Q5+Q8</f>
        <v>#VALUE!</v>
      </c>
      <c r="R9" s="0" t="e">
        <f aca="false">R5+R8</f>
        <v>#VALUE!</v>
      </c>
      <c r="S9" s="0" t="e">
        <f aca="false">S5+S8</f>
        <v>#VALUE!</v>
      </c>
      <c r="T9" s="0" t="e">
        <f aca="false">T5+T8</f>
        <v>#VALUE!</v>
      </c>
      <c r="U9" s="0" t="e">
        <f aca="false">U5+U8</f>
        <v>#VALUE!</v>
      </c>
      <c r="V9" s="0" t="e">
        <f aca="false">V5+V8</f>
        <v>#VALUE!</v>
      </c>
      <c r="W9" s="0" t="e">
        <f aca="false">W5+W8</f>
        <v>#VALUE!</v>
      </c>
      <c r="X9" s="0" t="e">
        <f aca="false">X5+X8</f>
        <v>#VALUE!</v>
      </c>
      <c r="Y9" s="0" t="e">
        <f aca="false">Y5+Y8</f>
        <v>#VALUE!</v>
      </c>
      <c r="Z9" s="0" t="e">
        <f aca="false">Z5+Z8</f>
        <v>#VALUE!</v>
      </c>
      <c r="AA9" s="0" t="e">
        <f aca="false">AA5+AA8</f>
        <v>#VALUE!</v>
      </c>
      <c r="AB9" s="0" t="e">
        <f aca="false">AB5+AB8</f>
        <v>#VALUE!</v>
      </c>
      <c r="AC9" s="0" t="e">
        <f aca="false">AC5+AC8</f>
        <v>#VALUE!</v>
      </c>
      <c r="AD9" s="0" t="e">
        <f aca="false">AD5+AD8</f>
        <v>#VALUE!</v>
      </c>
      <c r="AE9" s="0" t="e">
        <f aca="false">AE5+AE8</f>
        <v>#VALUE!</v>
      </c>
      <c r="AF9" s="0" t="e">
        <f aca="false">AF5+AF8</f>
        <v>#VALUE!</v>
      </c>
      <c r="AG9" s="0" t="e">
        <f aca="false">AG5+AG8</f>
        <v>#VALUE!</v>
      </c>
      <c r="AH9" s="0" t="e">
        <f aca="false">AH5+AH8</f>
        <v>#VALUE!</v>
      </c>
    </row>
    <row r="10" customFormat="false" ht="15.75" hidden="false" customHeight="false" outlineLevel="0" collapsed="false">
      <c r="A10" s="2" t="s">
        <v>187</v>
      </c>
      <c r="B10" s="2" t="n">
        <v>0</v>
      </c>
      <c r="C10" s="2" t="n">
        <v>2</v>
      </c>
      <c r="D10" s="2" t="n">
        <v>9</v>
      </c>
      <c r="E10" s="2" t="n">
        <v>18</v>
      </c>
      <c r="F10" s="2" t="n">
        <v>0</v>
      </c>
      <c r="G10" s="2" t="n">
        <v>39</v>
      </c>
      <c r="H10" s="2" t="n">
        <v>6</v>
      </c>
      <c r="I10" s="2" t="n">
        <v>14</v>
      </c>
      <c r="J10" s="2" t="n">
        <v>16</v>
      </c>
      <c r="K10" s="2" t="n">
        <v>5</v>
      </c>
      <c r="L10" s="2" t="n">
        <v>11</v>
      </c>
      <c r="M10" s="2" t="n">
        <v>5</v>
      </c>
      <c r="N10" s="2" t="n">
        <v>15</v>
      </c>
      <c r="O10" s="2" t="n">
        <v>13</v>
      </c>
      <c r="P10" s="2" t="n">
        <v>3</v>
      </c>
      <c r="Q10" s="2" t="n">
        <v>11</v>
      </c>
      <c r="R10" s="2" t="n">
        <v>9</v>
      </c>
      <c r="S10" s="2" t="n">
        <v>24</v>
      </c>
      <c r="T10" s="2" t="n">
        <v>13</v>
      </c>
      <c r="U10" s="2" t="n">
        <v>14</v>
      </c>
      <c r="V10" s="2" t="n">
        <v>25</v>
      </c>
      <c r="W10" s="2" t="n">
        <v>12</v>
      </c>
      <c r="X10" s="2" t="n">
        <v>44</v>
      </c>
      <c r="Y10" s="2" t="n">
        <v>44</v>
      </c>
      <c r="Z10" s="2" t="n">
        <v>15</v>
      </c>
      <c r="AA10" s="2" t="n">
        <v>25</v>
      </c>
      <c r="AB10" s="2" t="n">
        <v>34</v>
      </c>
      <c r="AC10" s="2" t="n">
        <v>11</v>
      </c>
      <c r="AD10" s="2" t="n">
        <v>3</v>
      </c>
      <c r="AE10" s="2" t="n">
        <v>10</v>
      </c>
      <c r="AF10" s="2" t="n">
        <v>19</v>
      </c>
      <c r="AG10" s="2" t="n">
        <v>12</v>
      </c>
      <c r="AH10" s="2" t="n">
        <v>47</v>
      </c>
    </row>
    <row r="11" customFormat="false" ht="15.75" hidden="false" customHeight="false" outlineLevel="0" collapsed="false">
      <c r="A11" s="2" t="s">
        <v>188</v>
      </c>
      <c r="B11" s="0" t="e">
        <f aca="false">B9+B10</f>
        <v>#VALUE!</v>
      </c>
      <c r="C11" s="0" t="e">
        <f aca="false">C9+C10</f>
        <v>#VALUE!</v>
      </c>
      <c r="D11" s="0" t="e">
        <f aca="false">D9+D10</f>
        <v>#VALUE!</v>
      </c>
      <c r="E11" s="0" t="e">
        <f aca="false">E9+E10</f>
        <v>#VALUE!</v>
      </c>
      <c r="F11" s="0" t="e">
        <f aca="false">F9+F10</f>
        <v>#VALUE!</v>
      </c>
      <c r="G11" s="0" t="e">
        <f aca="false">G9+G10</f>
        <v>#VALUE!</v>
      </c>
      <c r="H11" s="0" t="e">
        <f aca="false">H9+H10</f>
        <v>#VALUE!</v>
      </c>
      <c r="I11" s="0" t="e">
        <f aca="false">I9+I10</f>
        <v>#VALUE!</v>
      </c>
      <c r="J11" s="0" t="e">
        <f aca="false">J9+J10</f>
        <v>#VALUE!</v>
      </c>
      <c r="K11" s="0" t="e">
        <f aca="false">K9+K10</f>
        <v>#VALUE!</v>
      </c>
      <c r="L11" s="0" t="e">
        <f aca="false">L9+L10</f>
        <v>#VALUE!</v>
      </c>
      <c r="M11" s="0" t="e">
        <f aca="false">M9+M10</f>
        <v>#VALUE!</v>
      </c>
      <c r="N11" s="0" t="e">
        <f aca="false">N9+N10</f>
        <v>#VALUE!</v>
      </c>
      <c r="O11" s="0" t="e">
        <f aca="false">O9+O10</f>
        <v>#VALUE!</v>
      </c>
      <c r="P11" s="0" t="e">
        <f aca="false">P9+P10</f>
        <v>#VALUE!</v>
      </c>
      <c r="Q11" s="0" t="e">
        <f aca="false">Q9+Q10</f>
        <v>#VALUE!</v>
      </c>
      <c r="R11" s="0" t="e">
        <f aca="false">R9+R10</f>
        <v>#VALUE!</v>
      </c>
      <c r="S11" s="0" t="e">
        <f aca="false">S9+S10</f>
        <v>#VALUE!</v>
      </c>
      <c r="T11" s="0" t="e">
        <f aca="false">T9+T10</f>
        <v>#VALUE!</v>
      </c>
      <c r="U11" s="0" t="e">
        <f aca="false">U9+U10</f>
        <v>#VALUE!</v>
      </c>
      <c r="V11" s="0" t="e">
        <f aca="false">V9+V10</f>
        <v>#VALUE!</v>
      </c>
      <c r="W11" s="0" t="e">
        <f aca="false">W9+W10</f>
        <v>#VALUE!</v>
      </c>
      <c r="X11" s="0" t="e">
        <f aca="false">X9+X10</f>
        <v>#VALUE!</v>
      </c>
      <c r="Y11" s="0" t="e">
        <f aca="false">Y9+Y10</f>
        <v>#VALUE!</v>
      </c>
      <c r="Z11" s="0" t="e">
        <f aca="false">Z9+Z10</f>
        <v>#VALUE!</v>
      </c>
      <c r="AA11" s="0" t="e">
        <f aca="false">AA9+AA10</f>
        <v>#VALUE!</v>
      </c>
      <c r="AB11" s="0" t="e">
        <f aca="false">AB9+AB10</f>
        <v>#VALUE!</v>
      </c>
      <c r="AC11" s="0" t="e">
        <f aca="false">AC9+AC10</f>
        <v>#VALUE!</v>
      </c>
      <c r="AD11" s="0" t="e">
        <f aca="false">AD9+AD10</f>
        <v>#VALUE!</v>
      </c>
      <c r="AE11" s="0" t="e">
        <f aca="false">AE9+AE10</f>
        <v>#VALUE!</v>
      </c>
      <c r="AF11" s="0" t="e">
        <f aca="false">AF9+AF10</f>
        <v>#VALUE!</v>
      </c>
      <c r="AG11" s="0" t="e">
        <f aca="false">AG9+AG10</f>
        <v>#VALUE!</v>
      </c>
      <c r="AH11" s="0" t="e">
        <f aca="false">AH9+AH10</f>
        <v>#VALUE!</v>
      </c>
    </row>
    <row r="13" customFormat="false" ht="15.75" hidden="false" customHeight="false" outlineLevel="0" collapsed="false">
      <c r="A13" s="2" t="s">
        <v>189</v>
      </c>
      <c r="B13" s="0" t="e">
        <f aca="false">B11</f>
        <v>#VALUE!</v>
      </c>
      <c r="C13" s="0" t="e">
        <f aca="false">C11</f>
        <v>#VALUE!</v>
      </c>
      <c r="D13" s="0" t="e">
        <f aca="false">D11</f>
        <v>#VALUE!</v>
      </c>
      <c r="E13" s="0" t="e">
        <f aca="false">E11</f>
        <v>#VALUE!</v>
      </c>
      <c r="F13" s="0" t="e">
        <f aca="false">F11</f>
        <v>#VALUE!</v>
      </c>
      <c r="G13" s="0" t="e">
        <f aca="false">G11</f>
        <v>#VALUE!</v>
      </c>
      <c r="H13" s="0" t="e">
        <f aca="false">H11</f>
        <v>#VALUE!</v>
      </c>
      <c r="I13" s="0" t="e">
        <f aca="false">I11</f>
        <v>#VALUE!</v>
      </c>
      <c r="J13" s="0" t="e">
        <f aca="false">J11</f>
        <v>#VALUE!</v>
      </c>
      <c r="K13" s="0" t="e">
        <f aca="false">K11</f>
        <v>#VALUE!</v>
      </c>
      <c r="L13" s="0" t="e">
        <f aca="false">L11</f>
        <v>#VALUE!</v>
      </c>
      <c r="M13" s="0" t="e">
        <f aca="false">M11</f>
        <v>#VALUE!</v>
      </c>
      <c r="N13" s="0" t="e">
        <f aca="false">N11</f>
        <v>#VALUE!</v>
      </c>
      <c r="O13" s="0" t="e">
        <f aca="false">O11</f>
        <v>#VALUE!</v>
      </c>
      <c r="P13" s="0" t="e">
        <f aca="false">P11</f>
        <v>#VALUE!</v>
      </c>
      <c r="Q13" s="0" t="e">
        <f aca="false">Q11</f>
        <v>#VALUE!</v>
      </c>
      <c r="R13" s="0" t="e">
        <f aca="false">R11</f>
        <v>#VALUE!</v>
      </c>
      <c r="S13" s="0" t="e">
        <f aca="false">S11</f>
        <v>#VALUE!</v>
      </c>
      <c r="T13" s="0" t="e">
        <f aca="false">T11</f>
        <v>#VALUE!</v>
      </c>
      <c r="U13" s="0" t="e">
        <f aca="false">U11</f>
        <v>#VALUE!</v>
      </c>
      <c r="V13" s="0" t="e">
        <f aca="false">V11</f>
        <v>#VALUE!</v>
      </c>
      <c r="W13" s="0" t="e">
        <f aca="false">W11</f>
        <v>#VALUE!</v>
      </c>
      <c r="X13" s="0" t="e">
        <f aca="false">X11</f>
        <v>#VALUE!</v>
      </c>
      <c r="Y13" s="0" t="e">
        <f aca="false">Y11</f>
        <v>#VALUE!</v>
      </c>
      <c r="Z13" s="0" t="e">
        <f aca="false">Z11</f>
        <v>#VALUE!</v>
      </c>
      <c r="AA13" s="0" t="e">
        <f aca="false">AA11</f>
        <v>#VALUE!</v>
      </c>
      <c r="AB13" s="0" t="e">
        <f aca="false">AB11</f>
        <v>#VALUE!</v>
      </c>
      <c r="AC13" s="2" t="n">
        <v>839</v>
      </c>
      <c r="AD13" s="2" t="n">
        <v>839</v>
      </c>
      <c r="AE13" s="0" t="e">
        <f aca="false">AE11</f>
        <v>#VALUE!</v>
      </c>
      <c r="AF13" s="0" t="e">
        <f aca="false">AF11</f>
        <v>#VALUE!</v>
      </c>
      <c r="AG13" s="0" t="e">
        <f aca="false">AG11</f>
        <v>#VALUE!</v>
      </c>
      <c r="AH13" s="0" t="e">
        <f aca="false">AH11</f>
        <v>#VALUE!</v>
      </c>
    </row>
    <row r="14" customFormat="false" ht="15.75" hidden="false" customHeight="false" outlineLevel="0" collapsed="false">
      <c r="AC14" s="0" t="e">
        <f aca="false">SUM(AC13:AD13)-SUM(AC11:AD11)</f>
        <v>#VALUE!</v>
      </c>
      <c r="AE14" s="0" t="e">
        <f aca="false">ROUND(AE13*1.03,0)</f>
        <v>#VALUE!</v>
      </c>
      <c r="AF14" s="0" t="e">
        <f aca="false">ROUND(AF13*1.03,0)</f>
        <v>#VALUE!</v>
      </c>
      <c r="AG14" s="0" t="e">
        <f aca="false">ROUND(AG13*1.03,0)</f>
        <v>#VALUE!</v>
      </c>
      <c r="AH14" s="0" t="e">
        <f aca="false">ROUND(AH13*1.03,0)</f>
        <v>#VALUE!</v>
      </c>
    </row>
    <row r="15" customFormat="false" ht="15.75" hidden="false" customHeight="false" outlineLevel="0" collapsed="false">
      <c r="A15" s="2" t="s">
        <v>190</v>
      </c>
      <c r="B15" s="2" t="n">
        <v>23</v>
      </c>
      <c r="C15" s="2" t="n">
        <v>106</v>
      </c>
      <c r="D15" s="2" t="n">
        <v>266</v>
      </c>
      <c r="E15" s="2" t="n">
        <v>420</v>
      </c>
      <c r="F15" s="2" t="n">
        <v>484</v>
      </c>
      <c r="G15" s="2" t="n">
        <v>383</v>
      </c>
      <c r="H15" s="2" t="n">
        <v>986</v>
      </c>
      <c r="I15" s="2" t="n">
        <v>334</v>
      </c>
      <c r="J15" s="2" t="n">
        <v>498</v>
      </c>
      <c r="K15" s="2" t="n">
        <v>306</v>
      </c>
      <c r="L15" s="2" t="n">
        <v>366</v>
      </c>
      <c r="M15" s="2" t="n">
        <v>283</v>
      </c>
      <c r="N15" s="2" t="n">
        <v>354</v>
      </c>
      <c r="O15" s="2" t="n">
        <v>314</v>
      </c>
      <c r="P15" s="2" t="n">
        <v>252</v>
      </c>
      <c r="Q15" s="2" t="n">
        <v>392</v>
      </c>
      <c r="R15" s="2" t="n">
        <v>236</v>
      </c>
      <c r="S15" s="2" t="n">
        <v>721</v>
      </c>
      <c r="T15" s="2" t="n">
        <v>544</v>
      </c>
      <c r="U15" s="2" t="n">
        <v>403</v>
      </c>
      <c r="V15" s="2" t="n">
        <v>885</v>
      </c>
      <c r="W15" s="2" t="n">
        <v>449</v>
      </c>
      <c r="X15" s="2" t="n">
        <v>1578</v>
      </c>
      <c r="Y15" s="2" t="n">
        <v>1424</v>
      </c>
      <c r="Z15" s="2" t="n">
        <v>333</v>
      </c>
      <c r="AA15" s="2" t="n">
        <v>333</v>
      </c>
      <c r="AB15" s="2" t="n">
        <v>734</v>
      </c>
      <c r="AC15" s="2" t="n">
        <v>792</v>
      </c>
      <c r="AD15" s="2" t="n">
        <v>810</v>
      </c>
      <c r="AE15" s="2" t="n">
        <v>733</v>
      </c>
      <c r="AF15" s="2" t="n">
        <v>795</v>
      </c>
      <c r="AG15" s="2" t="n">
        <v>546</v>
      </c>
      <c r="AH15" s="2" t="n">
        <v>928</v>
      </c>
    </row>
    <row r="16" customFormat="false" ht="15.75" hidden="false" customHeight="false" outlineLevel="0" collapsed="false">
      <c r="A16" s="2" t="s">
        <v>191</v>
      </c>
      <c r="B16" s="32" t="n">
        <f aca="false">B15/3002</f>
        <v>0.00766155896069287</v>
      </c>
      <c r="C16" s="32" t="n">
        <f aca="false">C15/3002</f>
        <v>0.0353097934710193</v>
      </c>
      <c r="D16" s="32" t="n">
        <f aca="false">D15/3002</f>
        <v>0.0886075949367089</v>
      </c>
      <c r="E16" s="32" t="n">
        <f aca="false">E15/3002</f>
        <v>0.139906728847435</v>
      </c>
      <c r="F16" s="32" t="n">
        <f aca="false">F15/3002</f>
        <v>0.161225849433711</v>
      </c>
      <c r="G16" s="32" t="n">
        <f aca="false">G15/3002</f>
        <v>0.127581612258494</v>
      </c>
      <c r="H16" s="32" t="n">
        <f aca="false">H15/3002</f>
        <v>0.328447701532312</v>
      </c>
      <c r="I16" s="32" t="n">
        <f aca="false">I15/3002</f>
        <v>0.111259160559627</v>
      </c>
      <c r="J16" s="32" t="n">
        <f aca="false">J15/3002</f>
        <v>0.165889407061959</v>
      </c>
      <c r="K16" s="32" t="n">
        <f aca="false">K15/3002</f>
        <v>0.101932045303131</v>
      </c>
      <c r="L16" s="32" t="n">
        <f aca="false">L15/3002</f>
        <v>0.121918720852765</v>
      </c>
      <c r="M16" s="32" t="n">
        <f aca="false">M15/3002</f>
        <v>0.0942704863424384</v>
      </c>
      <c r="N16" s="32" t="n">
        <f aca="false">N15/3002</f>
        <v>0.117921385742838</v>
      </c>
      <c r="O16" s="32" t="n">
        <f aca="false">O15/3002</f>
        <v>0.104596935376416</v>
      </c>
      <c r="P16" s="32" t="n">
        <f aca="false">P15/3002</f>
        <v>0.083944037308461</v>
      </c>
      <c r="Q16" s="32" t="n">
        <f aca="false">Q15/3002</f>
        <v>0.130579613590939</v>
      </c>
      <c r="R16" s="32" t="n">
        <f aca="false">R15/3002</f>
        <v>0.0786142571618921</v>
      </c>
      <c r="S16" s="32" t="n">
        <f aca="false">S15/3002</f>
        <v>0.240173217854763</v>
      </c>
      <c r="T16" s="32" t="n">
        <f aca="false">T15/3002</f>
        <v>0.181212524983344</v>
      </c>
      <c r="U16" s="32" t="n">
        <f aca="false">U15/3002</f>
        <v>0.134243837441706</v>
      </c>
      <c r="V16" s="32" t="n">
        <f aca="false">V15/3002</f>
        <v>0.294803464357095</v>
      </c>
      <c r="W16" s="32" t="n">
        <f aca="false">W15/3002</f>
        <v>0.149566955363091</v>
      </c>
      <c r="X16" s="32" t="n">
        <f aca="false">X15/3002</f>
        <v>0.525649566955363</v>
      </c>
      <c r="Y16" s="32" t="n">
        <f aca="false">Y15/3002</f>
        <v>0.474350433044637</v>
      </c>
      <c r="Z16" s="32" t="n">
        <f aca="false">Z15/3002</f>
        <v>0.110926049300466</v>
      </c>
      <c r="AA16" s="32" t="n">
        <f aca="false">AA15/3002</f>
        <v>0.110926049300466</v>
      </c>
      <c r="AB16" s="32" t="n">
        <f aca="false">AB15/3002</f>
        <v>0.244503664223851</v>
      </c>
      <c r="AC16" s="32" t="n">
        <f aca="false">AC15/3002</f>
        <v>0.263824117255163</v>
      </c>
      <c r="AD16" s="32" t="n">
        <f aca="false">AD15/3002</f>
        <v>0.269820119920053</v>
      </c>
      <c r="AE16" s="32" t="n">
        <f aca="false">AE15/3002</f>
        <v>0.24417055296469</v>
      </c>
      <c r="AF16" s="32" t="n">
        <f aca="false">AF15/3002</f>
        <v>0.264823451032645</v>
      </c>
      <c r="AG16" s="32" t="n">
        <f aca="false">AG15/3002</f>
        <v>0.181878747501666</v>
      </c>
      <c r="AH16" s="32" t="n">
        <f aca="false">AH15/3002</f>
        <v>0.309127248500999</v>
      </c>
    </row>
    <row r="17" customFormat="false" ht="15.75" hidden="false" customHeight="false" outlineLevel="0" collapsed="false">
      <c r="A17" s="2" t="s">
        <v>192</v>
      </c>
      <c r="B17" s="32" t="n">
        <f aca="false">(B15/3002-B3)/B3</f>
        <v>-0.0451782145236509</v>
      </c>
      <c r="C17" s="32" t="n">
        <f aca="false">(C15/3002-C3)/C3</f>
        <v>0.0354077673707723</v>
      </c>
      <c r="D17" s="32" t="n">
        <f aca="false">(D15/3002-D3)/D3</f>
        <v>-0.0601939132776731</v>
      </c>
      <c r="E17" s="32" t="n">
        <f aca="false">(E15/3002-E3)/E3</f>
        <v>0.0256397695653877</v>
      </c>
      <c r="F17" s="32" t="n">
        <f aca="false">(F15/3002-F3)/F3</f>
        <v>0.0506024306235928</v>
      </c>
      <c r="G17" s="32" t="n">
        <f aca="false">(G15/3002-G3)/G3</f>
        <v>0.0512303092704039</v>
      </c>
      <c r="H17" s="32" t="n">
        <f aca="false">(H15/3002-H3)/H3</f>
        <v>0.0014139401459169</v>
      </c>
      <c r="I17" s="33" t="n">
        <f aca="false">(I15/3002-I3)/I3</f>
        <v>-0.105440459048806</v>
      </c>
      <c r="J17" s="33" t="n">
        <f aca="false">(J15/3002-J3)/J3</f>
        <v>-0.124289848444673</v>
      </c>
      <c r="K17" s="33" t="n">
        <f aca="false">(K15/3002-K3)/K3</f>
        <v>0.0992906493941675</v>
      </c>
      <c r="L17" s="32" t="n">
        <f aca="false">(L15/3002-L3)/L3</f>
        <v>-0.0544944092929601</v>
      </c>
      <c r="M17" s="32" t="n">
        <f aca="false">(M15/3002-M3)/M3</f>
        <v>0.0151787164477568</v>
      </c>
      <c r="N17" s="33" t="n">
        <f aca="false">(N15/3002-N3)/N3</f>
        <v>0.196657777575793</v>
      </c>
      <c r="O17" s="32" t="n">
        <f aca="false">(O15/3002-O3)/O3</f>
        <v>0.014319557712715</v>
      </c>
      <c r="P17" s="32" t="n">
        <f aca="false">(P15/3002-P3)/P3</f>
        <v>-0.0815745100450759</v>
      </c>
      <c r="Q17" s="32" t="n">
        <f aca="false">(Q15/3002-Q3)/Q3</f>
        <v>0.048856778859183</v>
      </c>
      <c r="R17" s="32" t="n">
        <f aca="false">(R15/3002-R3)/R3</f>
        <v>0.00178162757312186</v>
      </c>
      <c r="S17" s="33" t="n">
        <f aca="false">(S15/3002-S3)/S3</f>
        <v>0.109054150480444</v>
      </c>
      <c r="T17" s="32" t="n">
        <f aca="false">(T15/3002-T3)/T3</f>
        <v>0.059490643469466</v>
      </c>
      <c r="U17" s="32" t="n">
        <f aca="false">(U15/3002-U3)/U3</f>
        <v>-0.0462405414213086</v>
      </c>
      <c r="V17" s="32" t="n">
        <f aca="false">(V15/3002-V3)/V3</f>
        <v>-0.0438644276759229</v>
      </c>
      <c r="W17" s="32" t="n">
        <f aca="false">(W15/3002-W3)/W3</f>
        <v>-0.0842394669592648</v>
      </c>
      <c r="X17" s="32" t="n">
        <f aca="false">(X15/3002-X3)/X3</f>
        <v>0.0184694393280171</v>
      </c>
      <c r="Y17" s="32" t="n">
        <f aca="false">(Y15/3002-Y3)/Y3</f>
        <v>-0.0196997997218327</v>
      </c>
      <c r="Z17" s="32" t="n">
        <f aca="false">(Z15/3002-Z3)/Z3</f>
        <v>-0.0512213502516629</v>
      </c>
      <c r="AA17" s="33" t="n">
        <f aca="false">(AA15/3002-AA3)/AA3</f>
        <v>-0.247600526146674</v>
      </c>
      <c r="AB17" s="32" t="n">
        <f aca="false">(AB15/3002-AB3)/AB3</f>
        <v>0.0105692370583155</v>
      </c>
      <c r="AC17" s="32" t="n">
        <f aca="false">(AC15/3002-AC3)/AC3</f>
        <v>0.0895711700515332</v>
      </c>
      <c r="AD17" s="32" t="n">
        <f aca="false">(AD15/3002-AD3)/AD3</f>
        <v>0.0725300166267039</v>
      </c>
      <c r="AE17" s="33" t="n">
        <f aca="false">(AE15/3002-AE3)/AE3</f>
        <v>-0.188802149618969</v>
      </c>
      <c r="AF17" s="32" t="n">
        <f aca="false">(AF15/3002-AF3)/AF3</f>
        <v>0.0765180936286379</v>
      </c>
      <c r="AG17" s="32" t="n">
        <f aca="false">(AG15/3002-AG3)/AG3</f>
        <v>0.0826115922718187</v>
      </c>
      <c r="AH17" s="32" t="n">
        <f aca="false">(AH15/3002-AH3)/AH3</f>
        <v>0.084657012284208</v>
      </c>
    </row>
    <row r="20" customFormat="false" ht="15.75" hidden="false" customHeight="false" outlineLevel="0" collapsed="false">
      <c r="A20" s="2" t="s">
        <v>193</v>
      </c>
      <c r="B20" s="2" t="s">
        <v>194</v>
      </c>
      <c r="C20" s="2" t="s">
        <v>195</v>
      </c>
      <c r="D20" s="2" t="s">
        <v>196</v>
      </c>
      <c r="E20" s="2" t="s">
        <v>197</v>
      </c>
      <c r="F20" s="2" t="s">
        <v>198</v>
      </c>
      <c r="G20" s="2" t="s">
        <v>199</v>
      </c>
      <c r="H20" s="2" t="s">
        <v>200</v>
      </c>
      <c r="Z20" s="29" t="s">
        <v>172</v>
      </c>
      <c r="AA20" s="29" t="s">
        <v>173</v>
      </c>
      <c r="AB20" s="29" t="s">
        <v>201</v>
      </c>
      <c r="AC20" s="29" t="s">
        <v>202</v>
      </c>
      <c r="AD20" s="29" t="s">
        <v>203</v>
      </c>
      <c r="AE20" s="29" t="s">
        <v>204</v>
      </c>
      <c r="AF20" s="29" t="s">
        <v>205</v>
      </c>
    </row>
    <row r="21" customFormat="false" ht="15.75" hidden="false" customHeight="false" outlineLevel="0" collapsed="false">
      <c r="B21" s="34" t="s">
        <v>206</v>
      </c>
      <c r="C21" s="15" t="s">
        <v>207</v>
      </c>
      <c r="D21" s="2" t="s">
        <v>208</v>
      </c>
      <c r="E21" s="15" t="s">
        <v>209</v>
      </c>
      <c r="F21" s="15" t="s">
        <v>210</v>
      </c>
      <c r="G21" s="34" t="s">
        <v>211</v>
      </c>
      <c r="H21" s="34" t="s">
        <v>212</v>
      </c>
      <c r="Z21" s="2" t="n">
        <v>6233624</v>
      </c>
      <c r="AA21" s="2" t="n">
        <v>7860624</v>
      </c>
      <c r="AB21" s="2" t="n">
        <v>8336708</v>
      </c>
      <c r="AC21" s="2" t="n">
        <v>9039846</v>
      </c>
      <c r="AD21" s="2" t="n">
        <v>8433629</v>
      </c>
      <c r="AE21" s="2" t="n">
        <v>7194489</v>
      </c>
      <c r="AF21" s="2" t="n">
        <v>6218848</v>
      </c>
    </row>
    <row r="22" customFormat="false" ht="15.75" hidden="false" customHeight="false" outlineLevel="0" collapsed="false">
      <c r="B22" s="2" t="n">
        <v>2017</v>
      </c>
      <c r="C22" s="2" t="n">
        <v>2019</v>
      </c>
      <c r="D22" s="2" t="n">
        <v>2013</v>
      </c>
      <c r="E22" s="2" t="n">
        <v>2007</v>
      </c>
      <c r="F22" s="2" t="n">
        <v>2019</v>
      </c>
      <c r="G22" s="2" t="n">
        <v>2019</v>
      </c>
      <c r="H22" s="2" t="n">
        <v>2015</v>
      </c>
    </row>
    <row r="23" customFormat="false" ht="15.75" hidden="false" customHeight="false" outlineLevel="0" collapsed="false">
      <c r="D23" s="2" t="s">
        <v>213</v>
      </c>
      <c r="E23" s="2" t="s">
        <v>214</v>
      </c>
    </row>
    <row r="24" customFormat="false" ht="15.75" hidden="false" customHeight="false" outlineLevel="0" collapsed="false">
      <c r="D24" s="2" t="s">
        <v>215</v>
      </c>
      <c r="E24" s="2" t="s">
        <v>216</v>
      </c>
      <c r="Z24" s="20"/>
      <c r="AA24" s="20"/>
      <c r="AB24" s="20"/>
      <c r="AC24" s="20"/>
      <c r="AD24" s="20"/>
      <c r="AE24" s="20"/>
      <c r="AF24" s="20"/>
    </row>
  </sheetData>
  <hyperlinks>
    <hyperlink ref="J1" r:id="rId1" display="Île-de-France"/>
    <hyperlink ref="L1" r:id="rId2" display="Grand Est et Bourgogne-Franche-Comté"/>
    <hyperlink ref="N1" r:id="rId3" display="Centre-Val de Loire et Pays de la Loire"/>
    <hyperlink ref="O1" r:id="rId4" display="Bretagne et Normandie"/>
    <hyperlink ref="Q1" r:id="rId5" display="Auvergne-Rhône-Alpes"/>
    <hyperlink ref="R1" r:id="rId6" display="Provence-Alpes-Côte d'Azur"/>
    <hyperlink ref="B21" r:id="rId7" display="https://www.insee.fr/fr/statistiques/2381478"/>
    <hyperlink ref="C21" r:id="rId8" display="https://www.insee.fr/fr/statistiques/1893198"/>
    <hyperlink ref="E21" r:id="rId9" display="https://www.insee.fr/fr/statistiques/1280970"/>
    <hyperlink ref="F21" r:id="rId10" display="https://www.insee.fr/fr/statistiques/1892088?sommaire=1912926"/>
    <hyperlink ref="G21" r:id="rId11" display="https://www.insee.fr/fr/statistiques/2381474"/>
    <hyperlink ref="H21" r:id="rId12" display="https://www.insee.fr/fr/statistiques/3568823?sommaire=3568833&amp;geo=METRO-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16.71"/>
    <col collapsed="false" customWidth="true" hidden="false" outlineLevel="0" max="3" min="3" style="0" width="20.14"/>
    <col collapsed="false" customWidth="true" hidden="false" outlineLevel="0" max="5" min="4" style="0" width="28.14"/>
    <col collapsed="false" customWidth="true" hidden="false" outlineLevel="0" max="6" min="6" style="0" width="28.43"/>
    <col collapsed="false" customWidth="true" hidden="false" outlineLevel="0" max="7" min="7" style="0" width="27.99"/>
    <col collapsed="false" customWidth="true" hidden="false" outlineLevel="0" max="8" min="8" style="0" width="29.86"/>
    <col collapsed="false" customWidth="true" hidden="false" outlineLevel="0" max="9" min="9" style="0" width="26"/>
    <col collapsed="false" customWidth="true" hidden="false" outlineLevel="0" max="1025" min="10" style="0" width="14.43"/>
  </cols>
  <sheetData>
    <row r="1" customFormat="false" ht="15.75" hidden="false" customHeight="false" outlineLevel="0" collapsed="false">
      <c r="B1" s="2" t="s">
        <v>217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  <c r="I1" s="2" t="s">
        <v>224</v>
      </c>
    </row>
    <row r="2" customFormat="false" ht="15.75" hidden="false" customHeight="false" outlineLevel="0" collapsed="false">
      <c r="A2" s="19" t="s">
        <v>225</v>
      </c>
      <c r="B2" s="31" t="s">
        <v>226</v>
      </c>
      <c r="C2" s="31" t="s">
        <v>226</v>
      </c>
      <c r="D2" s="31" t="s">
        <v>226</v>
      </c>
      <c r="E2" s="31" t="s">
        <v>226</v>
      </c>
      <c r="F2" s="31" t="s">
        <v>226</v>
      </c>
      <c r="G2" s="31" t="s">
        <v>226</v>
      </c>
      <c r="H2" s="31" t="s">
        <v>226</v>
      </c>
      <c r="I2" s="31" t="s">
        <v>226</v>
      </c>
    </row>
    <row r="3" customFormat="false" ht="15.75" hidden="false" customHeight="false" outlineLevel="0" collapsed="false">
      <c r="A3" s="19" t="s">
        <v>227</v>
      </c>
      <c r="B3" s="31" t="s">
        <v>226</v>
      </c>
      <c r="C3" s="31" t="s">
        <v>226</v>
      </c>
      <c r="D3" s="31" t="s">
        <v>226</v>
      </c>
      <c r="E3" s="31" t="s">
        <v>226</v>
      </c>
      <c r="F3" s="31" t="s">
        <v>226</v>
      </c>
      <c r="G3" s="31" t="s">
        <v>226</v>
      </c>
      <c r="H3" s="31" t="s">
        <v>226</v>
      </c>
      <c r="I3" s="31" t="s">
        <v>226</v>
      </c>
    </row>
    <row r="4" customFormat="false" ht="15.75" hidden="false" customHeight="false" outlineLevel="0" collapsed="false">
      <c r="A4" s="19" t="s">
        <v>228</v>
      </c>
      <c r="B4" s="31" t="s">
        <v>226</v>
      </c>
      <c r="C4" s="31" t="s">
        <v>226</v>
      </c>
      <c r="D4" s="31" t="s">
        <v>226</v>
      </c>
      <c r="E4" s="31" t="s">
        <v>226</v>
      </c>
      <c r="F4" s="31" t="s">
        <v>226</v>
      </c>
      <c r="G4" s="31" t="s">
        <v>226</v>
      </c>
      <c r="H4" s="31" t="s">
        <v>226</v>
      </c>
      <c r="I4" s="31" t="s">
        <v>226</v>
      </c>
    </row>
    <row r="5" customFormat="false" ht="15.75" hidden="false" customHeight="false" outlineLevel="0" collapsed="false">
      <c r="A5" s="19" t="s">
        <v>229</v>
      </c>
      <c r="B5" s="2" t="n">
        <v>8604</v>
      </c>
      <c r="C5" s="31" t="s">
        <v>226</v>
      </c>
      <c r="D5" s="31" t="s">
        <v>226</v>
      </c>
      <c r="E5" s="31" t="s">
        <v>226</v>
      </c>
      <c r="F5" s="31" t="s">
        <v>226</v>
      </c>
      <c r="G5" s="31" t="s">
        <v>226</v>
      </c>
      <c r="H5" s="0" t="n">
        <f aca="false">9822394/1000</f>
        <v>9822.394</v>
      </c>
      <c r="I5" s="0" t="n">
        <f aca="false">H5*1.45</f>
        <v>14242.4713</v>
      </c>
    </row>
    <row r="6" customFormat="false" ht="15.75" hidden="false" customHeight="false" outlineLevel="0" collapsed="false">
      <c r="A6" s="19" t="s">
        <v>230</v>
      </c>
      <c r="B6" s="2" t="n">
        <v>24808</v>
      </c>
      <c r="C6" s="31" t="s">
        <v>226</v>
      </c>
      <c r="D6" s="31" t="s">
        <v>226</v>
      </c>
      <c r="E6" s="31" t="s">
        <v>226</v>
      </c>
      <c r="F6" s="31" t="s">
        <v>226</v>
      </c>
      <c r="G6" s="31" t="s">
        <v>226</v>
      </c>
      <c r="H6" s="0" t="n">
        <f aca="false">41173766/1000</f>
        <v>41173.766</v>
      </c>
      <c r="I6" s="0" t="n">
        <f aca="false">1.4*H6</f>
        <v>57643.2724</v>
      </c>
    </row>
    <row r="7" customFormat="false" ht="15.75" hidden="false" customHeight="false" outlineLevel="0" collapsed="false">
      <c r="A7" s="19" t="s">
        <v>231</v>
      </c>
      <c r="B7" s="2" t="n">
        <f aca="false">B5+B6</f>
        <v>33412</v>
      </c>
      <c r="C7" s="31" t="s">
        <v>226</v>
      </c>
      <c r="D7" s="2" t="n">
        <v>36916</v>
      </c>
      <c r="E7" s="2" t="n">
        <v>33633</v>
      </c>
      <c r="F7" s="2" t="n">
        <v>38807</v>
      </c>
      <c r="G7" s="2" t="n">
        <v>39046</v>
      </c>
      <c r="I7" s="0" t="n">
        <f aca="false">I5+I6</f>
        <v>71885.7437</v>
      </c>
    </row>
    <row r="8" customFormat="false" ht="15.75" hidden="false" customHeight="false" outlineLevel="0" collapsed="false">
      <c r="A8" s="19" t="s">
        <v>232</v>
      </c>
      <c r="B8" s="2" t="n">
        <v>4710</v>
      </c>
      <c r="C8" s="2" t="n">
        <v>7866</v>
      </c>
      <c r="D8" s="2" t="n">
        <v>6040</v>
      </c>
      <c r="E8" s="2" t="n">
        <v>5034</v>
      </c>
      <c r="F8" s="2" t="n">
        <v>7968</v>
      </c>
      <c r="G8" s="2" t="n">
        <v>7689</v>
      </c>
      <c r="H8" s="35" t="n">
        <f aca="false">7500000000/1000000</f>
        <v>7500</v>
      </c>
      <c r="I8" s="0" t="n">
        <f aca="false">H8*0.859</f>
        <v>6442.5</v>
      </c>
    </row>
    <row r="9" customFormat="false" ht="15.75" hidden="false" customHeight="false" outlineLevel="0" collapsed="false">
      <c r="A9" s="19" t="s">
        <v>233</v>
      </c>
      <c r="B9" s="2" t="n">
        <v>12560</v>
      </c>
      <c r="C9" s="2" t="n">
        <v>15403</v>
      </c>
      <c r="D9" s="2" t="n">
        <v>12987</v>
      </c>
      <c r="E9" s="2" t="n">
        <v>12727</v>
      </c>
      <c r="F9" s="2" t="n">
        <v>15828</v>
      </c>
      <c r="G9" s="2" t="n">
        <v>13505</v>
      </c>
      <c r="H9" s="0" t="n">
        <f aca="false">463*10^3</f>
        <v>463000</v>
      </c>
      <c r="I9" s="0" t="n">
        <f aca="false">H9*0.0651</f>
        <v>30141.3</v>
      </c>
    </row>
    <row r="15" customFormat="false" ht="15.75" hidden="false" customHeight="false" outlineLevel="0" collapsed="false">
      <c r="A15" s="2" t="s">
        <v>19</v>
      </c>
    </row>
    <row r="16" customFormat="false" ht="15.75" hidden="false" customHeight="false" outlineLevel="0" collapsed="false">
      <c r="A16" s="2" t="s">
        <v>234</v>
      </c>
      <c r="B16" s="2" t="s">
        <v>235</v>
      </c>
    </row>
    <row r="17" customFormat="false" ht="15.75" hidden="false" customHeight="false" outlineLevel="0" collapsed="false">
      <c r="B17" s="2" t="s">
        <v>236</v>
      </c>
    </row>
    <row r="19" customFormat="false" ht="15.75" hidden="false" customHeight="false" outlineLevel="0" collapsed="false">
      <c r="B19" s="2" t="s">
        <v>237</v>
      </c>
    </row>
    <row r="20" customFormat="false" ht="15.75" hidden="false" customHeight="false" outlineLevel="0" collapsed="false">
      <c r="B20" s="2" t="s">
        <v>238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1.29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9"/>
      <c r="B1" s="1" t="s">
        <v>39</v>
      </c>
      <c r="C1" s="1" t="n">
        <v>2014</v>
      </c>
      <c r="D1" s="1" t="n">
        <v>2015</v>
      </c>
      <c r="E1" s="1" t="n">
        <v>2016</v>
      </c>
      <c r="F1" s="1" t="n">
        <v>2017</v>
      </c>
      <c r="G1" s="1" t="n">
        <v>2018</v>
      </c>
      <c r="H1" s="1" t="n">
        <v>2019</v>
      </c>
      <c r="I1" s="1" t="n">
        <v>2020</v>
      </c>
      <c r="J1" s="1" t="n">
        <v>2021</v>
      </c>
      <c r="K1" s="1" t="n">
        <v>2022</v>
      </c>
    </row>
    <row r="2" customFormat="false" ht="15.75" hidden="false" customHeight="false" outlineLevel="0" collapsed="false">
      <c r="A2" s="19" t="s">
        <v>57</v>
      </c>
      <c r="B2" s="2" t="n">
        <v>60.69</v>
      </c>
      <c r="C2" s="2" t="n">
        <v>60.69</v>
      </c>
      <c r="D2" s="2" t="n">
        <v>62.41</v>
      </c>
      <c r="E2" s="2" t="n">
        <v>64.12</v>
      </c>
      <c r="F2" s="2" t="n">
        <v>65.07</v>
      </c>
      <c r="G2" s="2" t="n">
        <v>68.29</v>
      </c>
      <c r="H2" s="2" t="n">
        <v>70.67</v>
      </c>
      <c r="I2" s="2" t="n">
        <v>73.05</v>
      </c>
      <c r="J2" s="2" t="n">
        <v>75.43</v>
      </c>
      <c r="K2" s="2" t="n">
        <v>77.8</v>
      </c>
    </row>
    <row r="3" customFormat="false" ht="15.75" hidden="false" customHeight="false" outlineLevel="0" collapsed="false">
      <c r="A3" s="19" t="s">
        <v>60</v>
      </c>
      <c r="B3" s="2" t="n">
        <v>42.84</v>
      </c>
      <c r="C3" s="2" t="n">
        <v>42.84</v>
      </c>
      <c r="D3" s="2" t="n">
        <v>46.82</v>
      </c>
      <c r="E3" s="2" t="n">
        <v>49.81</v>
      </c>
      <c r="F3" s="2" t="n">
        <v>53.07</v>
      </c>
      <c r="G3" s="2" t="n">
        <v>59.4</v>
      </c>
      <c r="H3" s="2" t="n">
        <v>64.76</v>
      </c>
      <c r="I3" s="2" t="n">
        <v>70.12</v>
      </c>
      <c r="J3" s="2" t="n">
        <v>75.47</v>
      </c>
      <c r="K3" s="2" t="n">
        <v>78.23</v>
      </c>
    </row>
    <row r="4" customFormat="false" ht="15.75" hidden="false" customHeight="false" outlineLevel="0" collapsed="false">
      <c r="A4" s="19" t="s">
        <v>232</v>
      </c>
      <c r="C4" s="36" t="n">
        <v>5.66</v>
      </c>
      <c r="D4" s="36" t="n">
        <v>7.64</v>
      </c>
      <c r="E4" s="36" t="n">
        <v>9.63</v>
      </c>
      <c r="F4" s="36" t="n">
        <v>11.89</v>
      </c>
      <c r="G4" s="36" t="n">
        <v>15.62</v>
      </c>
      <c r="H4" s="36" t="n">
        <v>18.38</v>
      </c>
      <c r="I4" s="36" t="n">
        <v>21.14</v>
      </c>
      <c r="J4" s="36" t="n">
        <v>23.89</v>
      </c>
      <c r="K4" s="36" t="n">
        <v>26.65</v>
      </c>
    </row>
    <row r="5" customFormat="false" ht="15.75" hidden="false" customHeight="false" outlineLevel="0" collapsed="false">
      <c r="A5" s="19" t="s">
        <v>233</v>
      </c>
      <c r="C5" s="37" t="n">
        <v>1.27</v>
      </c>
      <c r="D5" s="37" t="n">
        <v>2.64</v>
      </c>
      <c r="E5" s="37" t="n">
        <v>4.34</v>
      </c>
      <c r="F5" s="37" t="n">
        <v>5.88</v>
      </c>
      <c r="G5" s="37" t="n">
        <v>8.45</v>
      </c>
      <c r="H5" s="37" t="n">
        <v>10.34</v>
      </c>
      <c r="I5" s="37" t="n">
        <v>12.24</v>
      </c>
      <c r="J5" s="37" t="n">
        <v>14.13</v>
      </c>
      <c r="K5" s="37" t="n">
        <v>16.02</v>
      </c>
    </row>
    <row r="7" customFormat="false" ht="15.75" hidden="false" customHeight="false" outlineLevel="0" collapsed="false">
      <c r="A7" s="2" t="s">
        <v>239</v>
      </c>
      <c r="B7" s="2" t="n">
        <v>0</v>
      </c>
      <c r="C7" s="2" t="n">
        <v>7</v>
      </c>
      <c r="D7" s="2" t="n">
        <v>14.5</v>
      </c>
      <c r="E7" s="2" t="n">
        <v>22</v>
      </c>
      <c r="F7" s="2" t="n">
        <v>30.5</v>
      </c>
      <c r="G7" s="2" t="n">
        <v>44.6</v>
      </c>
      <c r="H7" s="2" t="n">
        <v>55</v>
      </c>
      <c r="I7" s="2" t="n">
        <v>65.4</v>
      </c>
      <c r="J7" s="2" t="n">
        <v>75.8</v>
      </c>
      <c r="K7" s="2" t="n">
        <v>86.2</v>
      </c>
    </row>
    <row r="8" customFormat="false" ht="15.75" hidden="false" customHeight="false" outlineLevel="0" collapsed="false">
      <c r="A8" s="2" t="s">
        <v>240</v>
      </c>
      <c r="D8" s="0" t="n">
        <f aca="false">D7-C7</f>
        <v>7.5</v>
      </c>
      <c r="E8" s="0" t="n">
        <f aca="false">E7-D7</f>
        <v>7.5</v>
      </c>
      <c r="F8" s="0" t="n">
        <f aca="false">F7-E7</f>
        <v>8.5</v>
      </c>
      <c r="G8" s="0" t="n">
        <f aca="false">G7-F7</f>
        <v>14.1</v>
      </c>
      <c r="H8" s="0" t="n">
        <f aca="false">H7-G7</f>
        <v>10.4</v>
      </c>
      <c r="I8" s="0" t="n">
        <f aca="false">I7-H7</f>
        <v>10.4</v>
      </c>
      <c r="J8" s="0" t="n">
        <f aca="false">J7-I7</f>
        <v>10.4</v>
      </c>
      <c r="K8" s="0" t="n">
        <f aca="false">K7-J7</f>
        <v>10.4</v>
      </c>
    </row>
    <row r="10" customFormat="false" ht="15.75" hidden="false" customHeight="false" outlineLevel="0" collapsed="false">
      <c r="A10" s="2" t="s">
        <v>241</v>
      </c>
      <c r="D10" s="0" t="n">
        <f aca="false">D2-C2</f>
        <v>1.72</v>
      </c>
      <c r="E10" s="0" t="n">
        <f aca="false">E2-D2</f>
        <v>1.71000000000001</v>
      </c>
      <c r="F10" s="0" t="n">
        <f aca="false">F2-E2</f>
        <v>0.949999999999989</v>
      </c>
      <c r="G10" s="0" t="n">
        <f aca="false">G2-F2</f>
        <v>3.22000000000001</v>
      </c>
      <c r="H10" s="0" t="n">
        <f aca="false">H2-G2</f>
        <v>2.38</v>
      </c>
      <c r="I10" s="0" t="n">
        <f aca="false">I2-H2</f>
        <v>2.38</v>
      </c>
      <c r="J10" s="0" t="n">
        <f aca="false">J2-I2</f>
        <v>2.38000000000001</v>
      </c>
      <c r="K10" s="0" t="n">
        <f aca="false">K2-J2</f>
        <v>2.36999999999999</v>
      </c>
    </row>
    <row r="11" customFormat="false" ht="15.75" hidden="false" customHeight="false" outlineLevel="0" collapsed="false">
      <c r="A11" s="2" t="s">
        <v>242</v>
      </c>
      <c r="D11" s="0" t="n">
        <f aca="false">D3-C3</f>
        <v>3.98</v>
      </c>
      <c r="E11" s="0" t="n">
        <f aca="false">E3-D3</f>
        <v>2.99</v>
      </c>
      <c r="F11" s="0" t="n">
        <f aca="false">F3-E3</f>
        <v>3.26</v>
      </c>
      <c r="G11" s="0" t="n">
        <f aca="false">G3-F3</f>
        <v>6.33</v>
      </c>
      <c r="H11" s="0" t="n">
        <f aca="false">H3-G3</f>
        <v>5.36000000000001</v>
      </c>
      <c r="I11" s="0" t="n">
        <f aca="false">I3-H3</f>
        <v>5.36</v>
      </c>
      <c r="J11" s="0" t="n">
        <f aca="false">J3-I3</f>
        <v>5.34999999999999</v>
      </c>
      <c r="K11" s="0" t="n">
        <f aca="false">K3-J3</f>
        <v>2.76000000000001</v>
      </c>
    </row>
    <row r="12" customFormat="false" ht="15.75" hidden="false" customHeight="false" outlineLevel="0" collapsed="false">
      <c r="A12" s="2" t="s">
        <v>243</v>
      </c>
      <c r="D12" s="0" t="n">
        <f aca="false">D11</f>
        <v>3.98</v>
      </c>
      <c r="E12" s="0" t="n">
        <f aca="false">E11-1</f>
        <v>1.99</v>
      </c>
      <c r="F12" s="0" t="n">
        <f aca="false">F11-1</f>
        <v>2.26</v>
      </c>
      <c r="G12" s="0" t="n">
        <f aca="false">G11-2.6</f>
        <v>3.73</v>
      </c>
      <c r="H12" s="0" t="n">
        <f aca="false">H11-2.6</f>
        <v>2.76000000000001</v>
      </c>
      <c r="I12" s="0" t="n">
        <f aca="false">I11-2.6</f>
        <v>2.76</v>
      </c>
      <c r="J12" s="0" t="n">
        <f aca="false">J11-2.6</f>
        <v>2.74999999999999</v>
      </c>
      <c r="K12" s="0" t="n">
        <f aca="false">K11</f>
        <v>2.76000000000001</v>
      </c>
      <c r="L12" s="38"/>
    </row>
    <row r="13" customFormat="false" ht="15.75" hidden="false" customHeight="false" outlineLevel="0" collapsed="false">
      <c r="A13" s="2" t="s">
        <v>244</v>
      </c>
      <c r="D13" s="0" t="n">
        <f aca="false">D4-C4</f>
        <v>1.98</v>
      </c>
      <c r="E13" s="0" t="n">
        <f aca="false">E4-D4</f>
        <v>1.99</v>
      </c>
      <c r="F13" s="0" t="n">
        <f aca="false">F4-E4</f>
        <v>2.26</v>
      </c>
      <c r="G13" s="0" t="n">
        <f aca="false">G4-F4</f>
        <v>3.73</v>
      </c>
      <c r="H13" s="0" t="n">
        <f aca="false">H4-G4</f>
        <v>2.76</v>
      </c>
      <c r="I13" s="0" t="n">
        <f aca="false">I4-H4</f>
        <v>2.76</v>
      </c>
      <c r="J13" s="0" t="n">
        <f aca="false">J4-I4</f>
        <v>2.75</v>
      </c>
      <c r="K13" s="0" t="n">
        <f aca="false">K4-J4</f>
        <v>2.76</v>
      </c>
    </row>
    <row r="14" customFormat="false" ht="15.75" hidden="false" customHeight="false" outlineLevel="0" collapsed="false">
      <c r="A14" s="2" t="s">
        <v>245</v>
      </c>
      <c r="D14" s="0" t="n">
        <f aca="false">D5-C5</f>
        <v>1.37</v>
      </c>
      <c r="E14" s="0" t="n">
        <f aca="false">E5-D5</f>
        <v>1.7</v>
      </c>
      <c r="F14" s="0" t="n">
        <f aca="false">F5-E5</f>
        <v>1.54</v>
      </c>
      <c r="G14" s="0" t="n">
        <f aca="false">G5-F5</f>
        <v>2.57</v>
      </c>
      <c r="H14" s="0" t="n">
        <f aca="false">H5-G5</f>
        <v>1.89</v>
      </c>
      <c r="I14" s="0" t="n">
        <f aca="false">I5-H5</f>
        <v>1.9</v>
      </c>
      <c r="J14" s="0" t="n">
        <f aca="false">J5-I5</f>
        <v>1.89</v>
      </c>
      <c r="K14" s="0" t="n">
        <f aca="false">K5-J5</f>
        <v>1.89</v>
      </c>
    </row>
    <row r="16" customFormat="false" ht="15.75" hidden="false" customHeight="false" outlineLevel="0" collapsed="false">
      <c r="A16" s="2" t="s">
        <v>246</v>
      </c>
      <c r="D16" s="39" t="n">
        <f aca="false">D10/D8</f>
        <v>0.229333333333333</v>
      </c>
      <c r="E16" s="39" t="n">
        <f aca="false">E10/E8</f>
        <v>0.228000000000001</v>
      </c>
      <c r="F16" s="4" t="n">
        <f aca="false">F10/F8</f>
        <v>0.111764705882352</v>
      </c>
      <c r="G16" s="39" t="n">
        <f aca="false">G10/G8</f>
        <v>0.228368794326242</v>
      </c>
      <c r="H16" s="39" t="n">
        <f aca="false">H10/H8</f>
        <v>0.228846153846153</v>
      </c>
      <c r="I16" s="39" t="n">
        <f aca="false">I10/I8</f>
        <v>0.228846153846153</v>
      </c>
      <c r="J16" s="39" t="n">
        <f aca="false">J10/J8</f>
        <v>0.228846153846155</v>
      </c>
      <c r="K16" s="39" t="n">
        <f aca="false">K10/K8</f>
        <v>0.227884615384614</v>
      </c>
    </row>
    <row r="17" customFormat="false" ht="15.75" hidden="false" customHeight="false" outlineLevel="0" collapsed="false">
      <c r="A17" s="2" t="s">
        <v>247</v>
      </c>
      <c r="D17" s="4" t="n">
        <f aca="false">D12/D8</f>
        <v>0.530666666666666</v>
      </c>
      <c r="E17" s="39" t="n">
        <f aca="false">E12/E8</f>
        <v>0.265333333333334</v>
      </c>
      <c r="F17" s="39" t="n">
        <f aca="false">F12/F8</f>
        <v>0.265882352941176</v>
      </c>
      <c r="G17" s="39" t="n">
        <f aca="false">G12/G8</f>
        <v>0.264539007092198</v>
      </c>
      <c r="H17" s="39" t="n">
        <f aca="false">H12/H8</f>
        <v>0.265384615384616</v>
      </c>
      <c r="I17" s="39" t="n">
        <f aca="false">I12/I8</f>
        <v>0.265384615384615</v>
      </c>
      <c r="J17" s="39" t="n">
        <f aca="false">J12/J8</f>
        <v>0.264423076923077</v>
      </c>
      <c r="K17" s="39" t="n">
        <f aca="false">K12/K8</f>
        <v>0.265384615384616</v>
      </c>
    </row>
    <row r="18" customFormat="false" ht="15.75" hidden="false" customHeight="false" outlineLevel="0" collapsed="false">
      <c r="A18" s="2" t="s">
        <v>248</v>
      </c>
      <c r="D18" s="39" t="n">
        <f aca="false">D13/D8</f>
        <v>0.264</v>
      </c>
      <c r="E18" s="39" t="n">
        <f aca="false">E13/E8</f>
        <v>0.265333333333333</v>
      </c>
      <c r="F18" s="39" t="n">
        <f aca="false">F13/F8</f>
        <v>0.265882352941176</v>
      </c>
      <c r="G18" s="39" t="n">
        <f aca="false">G13/G8</f>
        <v>0.264539007092198</v>
      </c>
      <c r="H18" s="39" t="n">
        <f aca="false">H13/H8</f>
        <v>0.265384615384615</v>
      </c>
      <c r="I18" s="39" t="n">
        <f aca="false">I13/I8</f>
        <v>0.265384615384615</v>
      </c>
      <c r="J18" s="39" t="n">
        <f aca="false">J13/J8</f>
        <v>0.264423076923077</v>
      </c>
      <c r="K18" s="39" t="n">
        <f aca="false">K13/K8</f>
        <v>0.265384615384615</v>
      </c>
    </row>
    <row r="19" customFormat="false" ht="15.75" hidden="false" customHeight="false" outlineLevel="0" collapsed="false">
      <c r="A19" s="2" t="s">
        <v>249</v>
      </c>
      <c r="D19" s="39" t="n">
        <f aca="false">D14/D8</f>
        <v>0.182666666666667</v>
      </c>
      <c r="E19" s="4" t="n">
        <f aca="false">E14/E8</f>
        <v>0.226666666666667</v>
      </c>
      <c r="F19" s="39" t="n">
        <f aca="false">F14/F8</f>
        <v>0.181176470588235</v>
      </c>
      <c r="G19" s="39" t="n">
        <f aca="false">G14/G8</f>
        <v>0.182269503546099</v>
      </c>
      <c r="H19" s="39" t="n">
        <f aca="false">H14/H8</f>
        <v>0.181730769230769</v>
      </c>
      <c r="I19" s="39" t="n">
        <f aca="false">I14/I8</f>
        <v>0.182692307692308</v>
      </c>
      <c r="J19" s="39" t="n">
        <f aca="false">J14/J8</f>
        <v>0.181730769230769</v>
      </c>
      <c r="K19" s="39" t="n">
        <f aca="false">K14/K8</f>
        <v>0.181730769230769</v>
      </c>
    </row>
    <row r="20" customFormat="false" ht="15.75" hidden="false" customHeight="false" outlineLevel="0" collapsed="false">
      <c r="A20" s="2"/>
    </row>
    <row r="21" customFormat="false" ht="15.75" hidden="false" customHeight="false" outlineLevel="0" collapsed="false">
      <c r="A21" s="2" t="s">
        <v>250</v>
      </c>
      <c r="D21" s="0" t="n">
        <f aca="false">G2-G7*G16</f>
        <v>58.1047517730496</v>
      </c>
      <c r="F21" s="2" t="s">
        <v>251</v>
      </c>
    </row>
    <row r="22" customFormat="false" ht="15.75" hidden="false" customHeight="false" outlineLevel="0" collapsed="false">
      <c r="A22" s="2" t="s">
        <v>252</v>
      </c>
      <c r="D22" s="0" t="n">
        <f aca="false">G3-G7*G17</f>
        <v>47.601560283688</v>
      </c>
    </row>
    <row r="23" customFormat="false" ht="15.75" hidden="false" customHeight="false" outlineLevel="0" collapsed="false">
      <c r="A23" s="2" t="s">
        <v>253</v>
      </c>
      <c r="D23" s="0" t="n">
        <f aca="false">G4-G7*G18</f>
        <v>3.82156028368795</v>
      </c>
    </row>
    <row r="24" customFormat="false" ht="15.75" hidden="false" customHeight="false" outlineLevel="0" collapsed="false">
      <c r="A24" s="2" t="s">
        <v>254</v>
      </c>
      <c r="D24" s="0" t="n">
        <f aca="false">G5-G7*G19</f>
        <v>0.320780141843974</v>
      </c>
    </row>
    <row r="25" customFormat="false" ht="15.75" hidden="false" customHeight="false" outlineLevel="0" collapsed="false">
      <c r="A25" s="2"/>
    </row>
    <row r="26" customFormat="false" ht="15.75" hidden="false" customHeight="false" outlineLevel="0" collapsed="false">
      <c r="A26" s="2" t="s">
        <v>255</v>
      </c>
    </row>
    <row r="27" customFormat="false" ht="15.75" hidden="false" customHeight="false" outlineLevel="0" collapsed="false">
      <c r="A27" s="14" t="s">
        <v>256</v>
      </c>
      <c r="C27" s="2"/>
      <c r="D27" s="2"/>
    </row>
    <row r="28" customFormat="false" ht="15.75" hidden="false" customHeight="false" outlineLevel="0" collapsed="false">
      <c r="A28" s="2"/>
      <c r="B28" s="2"/>
    </row>
    <row r="29" customFormat="false" ht="15.75" hidden="false" customHeight="false" outlineLevel="0" collapsed="false">
      <c r="B29" s="2" t="s">
        <v>257</v>
      </c>
      <c r="C29" s="2" t="s">
        <v>258</v>
      </c>
    </row>
    <row r="30" customFormat="false" ht="15.75" hidden="false" customHeight="false" outlineLevel="0" collapsed="false">
      <c r="B30" s="2" t="s">
        <v>259</v>
      </c>
      <c r="C30" s="2" t="s">
        <v>260</v>
      </c>
    </row>
    <row r="31" customFormat="false" ht="15.75" hidden="false" customHeight="false" outlineLevel="0" collapsed="false">
      <c r="B31" s="2" t="s">
        <v>261</v>
      </c>
      <c r="C31" s="2" t="s">
        <v>262</v>
      </c>
    </row>
    <row r="32" customFormat="false" ht="15.75" hidden="false" customHeight="false" outlineLevel="0" collapsed="false">
      <c r="B32" s="2" t="s">
        <v>263</v>
      </c>
      <c r="C32" s="14" t="s">
        <v>264</v>
      </c>
    </row>
    <row r="33" customFormat="false" ht="15.75" hidden="false" customHeight="false" outlineLevel="0" collapsed="false">
      <c r="B33" s="2" t="s">
        <v>265</v>
      </c>
      <c r="C33" s="2" t="s">
        <v>266</v>
      </c>
    </row>
    <row r="34" customFormat="false" ht="15.75" hidden="false" customHeight="false" outlineLevel="0" collapsed="false">
      <c r="B34" s="2" t="s">
        <v>267</v>
      </c>
      <c r="C34" s="2" t="s">
        <v>266</v>
      </c>
    </row>
    <row r="35" customFormat="false" ht="15.75" hidden="false" customHeight="false" outlineLevel="0" collapsed="false">
      <c r="B35" s="2" t="s">
        <v>268</v>
      </c>
      <c r="C35" s="2" t="s">
        <v>266</v>
      </c>
    </row>
    <row r="36" customFormat="false" ht="15.75" hidden="false" customHeight="false" outlineLevel="0" collapsed="false">
      <c r="B36" s="2" t="s">
        <v>269</v>
      </c>
      <c r="C36" s="2" t="s">
        <v>266</v>
      </c>
    </row>
    <row r="37" customFormat="false" ht="15.75" hidden="false" customHeight="false" outlineLevel="0" collapsed="false">
      <c r="B37" s="2" t="s">
        <v>270</v>
      </c>
      <c r="C37" s="2" t="s">
        <v>266</v>
      </c>
    </row>
    <row r="39" customFormat="false" ht="15.75" hidden="false" customHeight="false" outlineLevel="0" collapsed="false">
      <c r="A39" s="2" t="s">
        <v>19</v>
      </c>
    </row>
    <row r="40" customFormat="false" ht="15.75" hidden="false" customHeight="false" outlineLevel="0" collapsed="false">
      <c r="A40" s="2" t="s">
        <v>271</v>
      </c>
      <c r="C40" s="15" t="s">
        <v>272</v>
      </c>
    </row>
    <row r="41" customFormat="false" ht="15.75" hidden="false" customHeight="false" outlineLevel="0" collapsed="false">
      <c r="A41" s="2" t="s">
        <v>273</v>
      </c>
      <c r="C41" s="15" t="s">
        <v>112</v>
      </c>
    </row>
    <row r="42" customFormat="false" ht="15.75" hidden="false" customHeight="false" outlineLevel="0" collapsed="false">
      <c r="A42" s="2" t="s">
        <v>274</v>
      </c>
      <c r="C42" s="15" t="s">
        <v>275</v>
      </c>
    </row>
  </sheetData>
  <hyperlinks>
    <hyperlink ref="C40" r:id="rId1" display="https://www.legifrance.gouv.fr/affichCodeArticle.do;jsessionid=4337AF4921843AB2063817AB97F65FAB.tplgfr21s_1?idArticle=LEGIARTI000037094636&amp;cidTexte=LEGITEXT000006071570&amp;categorieLien=id&amp;dateTexte="/>
    <hyperlink ref="C41" r:id="rId2" display="https://www.ecologique-solidaire.gouv.fr/fiscalite-des-energies"/>
    <hyperlink ref="C42" r:id="rId3" display="https://www.legifrance.gouv.fr/affichCodeArticle.do?cidTexte=LEGITEXT000006071570&amp;idArticle=LEGIARTI000006615168&amp;dateTexte=&amp;categorieLien=ci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7.58"/>
    <col collapsed="false" customWidth="true" hidden="false" outlineLevel="0" max="4" min="4" style="0" width="24.87"/>
    <col collapsed="false" customWidth="true" hidden="false" outlineLevel="0" max="6" min="5" style="0" width="28.43"/>
    <col collapsed="false" customWidth="true" hidden="false" outlineLevel="0" max="7" min="7" style="0" width="25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C1" s="2" t="s">
        <v>276</v>
      </c>
      <c r="D1" s="2" t="s">
        <v>277</v>
      </c>
      <c r="E1" s="2" t="s">
        <v>278</v>
      </c>
      <c r="F1" s="1" t="s">
        <v>279</v>
      </c>
      <c r="G1" s="2" t="s">
        <v>280</v>
      </c>
    </row>
    <row r="2" customFormat="false" ht="15.75" hidden="false" customHeight="false" outlineLevel="0" collapsed="false">
      <c r="A2" s="19" t="s">
        <v>57</v>
      </c>
      <c r="C2" s="2" t="n">
        <v>1.441</v>
      </c>
      <c r="D2" s="2" t="n">
        <v>1.5782</v>
      </c>
      <c r="E2" s="2" t="n">
        <v>1.5644</v>
      </c>
      <c r="F2" s="1" t="n">
        <v>1.5507</v>
      </c>
      <c r="G2" s="2" t="n">
        <v>1.5096</v>
      </c>
    </row>
    <row r="3" customFormat="false" ht="15.75" hidden="false" customHeight="false" outlineLevel="0" collapsed="false">
      <c r="A3" s="19" t="s">
        <v>60</v>
      </c>
      <c r="C3" s="2" t="n">
        <v>1.399</v>
      </c>
      <c r="D3" s="2" t="n">
        <v>1.5581</v>
      </c>
      <c r="E3" s="2" t="n">
        <v>1.5422</v>
      </c>
      <c r="F3" s="1" t="n">
        <v>1.5262</v>
      </c>
      <c r="G3" s="2" t="n">
        <v>1.4785</v>
      </c>
    </row>
    <row r="4" customFormat="false" ht="15.75" hidden="false" customHeight="false" outlineLevel="0" collapsed="false">
      <c r="A4" s="19" t="s">
        <v>232</v>
      </c>
      <c r="C4" s="2" t="n">
        <v>0.859</v>
      </c>
      <c r="D4" s="2" t="n">
        <v>1.0181</v>
      </c>
      <c r="E4" s="2" t="n">
        <v>1.0022</v>
      </c>
      <c r="F4" s="1" t="n">
        <v>0.9862</v>
      </c>
      <c r="G4" s="2" t="n">
        <v>0.9385</v>
      </c>
    </row>
    <row r="5" customFormat="false" ht="15.75" hidden="false" customHeight="false" outlineLevel="0" collapsed="false">
      <c r="A5" s="19" t="s">
        <v>233</v>
      </c>
      <c r="C5" s="2" t="n">
        <v>0.651</v>
      </c>
      <c r="D5" s="2" t="n">
        <v>0.7596</v>
      </c>
      <c r="E5" s="2" t="n">
        <v>0.74874</v>
      </c>
      <c r="F5" s="1" t="n">
        <v>0.73788</v>
      </c>
      <c r="G5" s="2" t="n">
        <v>0.7053</v>
      </c>
    </row>
    <row r="6" customFormat="false" ht="15.75" hidden="false" customHeight="false" outlineLevel="0" collapsed="false">
      <c r="F6" s="20"/>
    </row>
    <row r="7" customFormat="false" ht="15.75" hidden="false" customHeight="false" outlineLevel="0" collapsed="false">
      <c r="A7" s="19" t="s">
        <v>281</v>
      </c>
      <c r="D7" s="40" t="n">
        <f aca="false">(D2-C2)/C2</f>
        <v>0.0952116585704372</v>
      </c>
      <c r="E7" s="40" t="n">
        <f aca="false">(E2-C2)/C2</f>
        <v>0.0856349757113116</v>
      </c>
      <c r="F7" s="41" t="n">
        <f aca="false">(F2-C2)/C2</f>
        <v>0.0761276891047883</v>
      </c>
      <c r="G7" s="40" t="n">
        <f aca="false">(G2-C2)/C2</f>
        <v>0.0476058292852186</v>
      </c>
    </row>
    <row r="8" customFormat="false" ht="15.75" hidden="false" customHeight="false" outlineLevel="0" collapsed="false">
      <c r="A8" s="19" t="s">
        <v>282</v>
      </c>
      <c r="D8" s="40" t="n">
        <f aca="false">(D3-C3)/C3</f>
        <v>0.113724088634739</v>
      </c>
      <c r="E8" s="40" t="n">
        <f aca="false">(E3-C3)/C3</f>
        <v>0.102358827734096</v>
      </c>
      <c r="F8" s="41" t="n">
        <f aca="false">(F3-C3)/C3</f>
        <v>0.0909220872051465</v>
      </c>
      <c r="G8" s="40" t="n">
        <f aca="false">(G3-C3)/C3</f>
        <v>0.0568263045032165</v>
      </c>
    </row>
    <row r="9" customFormat="false" ht="15.75" hidden="false" customHeight="false" outlineLevel="0" collapsed="false">
      <c r="A9" s="19" t="s">
        <v>283</v>
      </c>
      <c r="D9" s="40" t="n">
        <f aca="false">(D4-C4)/C4</f>
        <v>0.185215366705472</v>
      </c>
      <c r="E9" s="40" t="n">
        <f aca="false">(E4-C4)/C4</f>
        <v>0.166705471478463</v>
      </c>
      <c r="F9" s="41" t="n">
        <f aca="false">(F4-C4)/C4</f>
        <v>0.148079161816065</v>
      </c>
      <c r="G9" s="40" t="n">
        <f aca="false">(G4-C4)/C4</f>
        <v>0.0925494761350408</v>
      </c>
    </row>
    <row r="10" customFormat="false" ht="15.75" hidden="false" customHeight="false" outlineLevel="0" collapsed="false">
      <c r="A10" s="19" t="s">
        <v>284</v>
      </c>
      <c r="D10" s="40" t="n">
        <f aca="false">(D5-C5)/C5</f>
        <v>0.166820276497696</v>
      </c>
      <c r="E10" s="40" t="n">
        <f aca="false">(E5-C5)/C5</f>
        <v>0.150138248847926</v>
      </c>
      <c r="F10" s="41" t="n">
        <f aca="false">(F5-C5)/C5</f>
        <v>0.133456221198157</v>
      </c>
      <c r="G10" s="40" t="n">
        <f aca="false">(G5-C5)/C5</f>
        <v>0.083410138248848</v>
      </c>
    </row>
    <row r="11" customFormat="false" ht="15.75" hidden="false" customHeight="false" outlineLevel="0" collapsed="false">
      <c r="F11" s="20"/>
    </row>
    <row r="12" customFormat="false" ht="15.75" hidden="false" customHeight="false" outlineLevel="0" collapsed="false">
      <c r="A12" s="19" t="s">
        <v>285</v>
      </c>
      <c r="D12" s="0" t="n">
        <f aca="false">D2-$C$2</f>
        <v>0.1372</v>
      </c>
      <c r="E12" s="0" t="n">
        <f aca="false">E2-$C$2</f>
        <v>0.1234</v>
      </c>
      <c r="F12" s="20" t="n">
        <f aca="false">F2-$C$2</f>
        <v>0.1097</v>
      </c>
      <c r="G12" s="0" t="n">
        <f aca="false">G2-$C$2</f>
        <v>0.0686</v>
      </c>
    </row>
    <row r="13" customFormat="false" ht="15.75" hidden="false" customHeight="false" outlineLevel="0" collapsed="false">
      <c r="A13" s="19" t="s">
        <v>286</v>
      </c>
      <c r="D13" s="0" t="n">
        <f aca="false">D3-$C$3</f>
        <v>0.1591</v>
      </c>
      <c r="E13" s="0" t="n">
        <f aca="false">E3-$C$3</f>
        <v>0.1432</v>
      </c>
      <c r="F13" s="20" t="n">
        <f aca="false">F3-$C$3</f>
        <v>0.1272</v>
      </c>
      <c r="G13" s="0" t="n">
        <f aca="false">G3-$C$3</f>
        <v>0.0794999999999999</v>
      </c>
    </row>
    <row r="14" customFormat="false" ht="15.75" hidden="false" customHeight="false" outlineLevel="0" collapsed="false">
      <c r="A14" s="19" t="s">
        <v>287</v>
      </c>
      <c r="D14" s="0" t="n">
        <f aca="false">D4-$C$4</f>
        <v>0.1591</v>
      </c>
      <c r="E14" s="0" t="n">
        <f aca="false">E4-$C$4</f>
        <v>0.1432</v>
      </c>
      <c r="F14" s="20" t="n">
        <f aca="false">F4-$C$4</f>
        <v>0.1272</v>
      </c>
      <c r="G14" s="0" t="n">
        <f aca="false">G4-$C$4</f>
        <v>0.0795</v>
      </c>
    </row>
    <row r="15" customFormat="false" ht="15.75" hidden="false" customHeight="false" outlineLevel="0" collapsed="false">
      <c r="A15" s="19" t="s">
        <v>288</v>
      </c>
      <c r="D15" s="0" t="n">
        <f aca="false">D5-$C$5</f>
        <v>0.1086</v>
      </c>
      <c r="E15" s="0" t="n">
        <f aca="false">E5-$C$5</f>
        <v>0.09774</v>
      </c>
      <c r="F15" s="20" t="n">
        <f aca="false">F5-$C$5</f>
        <v>0.0868800000000001</v>
      </c>
      <c r="G15" s="0" t="n">
        <f aca="false">G5-$C$5</f>
        <v>0.0543</v>
      </c>
    </row>
    <row r="16" customFormat="false" ht="15.75" hidden="false" customHeight="false" outlineLevel="0" collapsed="false">
      <c r="F16" s="20"/>
    </row>
    <row r="17" customFormat="false" ht="15.75" hidden="false" customHeight="false" outlineLevel="0" collapsed="false">
      <c r="F17" s="20"/>
    </row>
    <row r="18" customFormat="false" ht="15.75" hidden="false" customHeight="false" outlineLevel="0" collapsed="false">
      <c r="A18" s="2" t="s">
        <v>19</v>
      </c>
      <c r="F18" s="20"/>
    </row>
    <row r="19" customFormat="false" ht="15.75" hidden="false" customHeight="false" outlineLevel="0" collapsed="false">
      <c r="A19" s="2" t="s">
        <v>289</v>
      </c>
      <c r="C19" s="2" t="s">
        <v>290</v>
      </c>
      <c r="F19" s="20"/>
    </row>
    <row r="20" customFormat="false" ht="15.75" hidden="false" customHeight="false" outlineLevel="0" collapsed="false">
      <c r="A20" s="2" t="s">
        <v>291</v>
      </c>
      <c r="C20" s="2" t="s">
        <v>292</v>
      </c>
      <c r="F20" s="20"/>
    </row>
    <row r="21" customFormat="false" ht="15.75" hidden="false" customHeight="false" outlineLevel="0" collapsed="false">
      <c r="A21" s="2" t="s">
        <v>293</v>
      </c>
      <c r="C21" s="2" t="s">
        <v>294</v>
      </c>
      <c r="F21" s="20"/>
    </row>
    <row r="22" customFormat="false" ht="15.75" hidden="false" customHeight="false" outlineLevel="0" collapsed="false">
      <c r="F22" s="20"/>
    </row>
    <row r="23" customFormat="false" ht="15.75" hidden="false" customHeight="false" outlineLevel="0" collapsed="false">
      <c r="A23" s="2" t="s">
        <v>295</v>
      </c>
      <c r="C23" s="2" t="s">
        <v>296</v>
      </c>
      <c r="F23" s="20"/>
    </row>
    <row r="24" customFormat="false" ht="15.75" hidden="false" customHeight="false" outlineLevel="0" collapsed="false">
      <c r="A24" s="2" t="s">
        <v>297</v>
      </c>
      <c r="F24" s="2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20.57"/>
    <col collapsed="false" customWidth="true" hidden="false" outlineLevel="0" max="3" min="3" style="0" width="14.43"/>
    <col collapsed="false" customWidth="true" hidden="false" outlineLevel="0" max="4" min="4" style="0" width="28.57"/>
    <col collapsed="false" customWidth="true" hidden="false" outlineLevel="0" max="5" min="5" style="0" width="27.86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298</v>
      </c>
      <c r="B1" s="1" t="s">
        <v>299</v>
      </c>
      <c r="C1" s="1" t="s">
        <v>300</v>
      </c>
      <c r="D1" s="1" t="s">
        <v>301</v>
      </c>
      <c r="E1" s="1" t="s">
        <v>302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.75" hidden="false" customHeight="false" outlineLevel="0" collapsed="false">
      <c r="A2" s="19" t="s">
        <v>303</v>
      </c>
      <c r="B2" s="2" t="s">
        <v>8</v>
      </c>
      <c r="C2" s="42" t="n">
        <v>0.195</v>
      </c>
      <c r="D2" s="42" t="n">
        <v>0.2</v>
      </c>
      <c r="E2" s="42" t="n">
        <v>0.186</v>
      </c>
    </row>
    <row r="3" customFormat="false" ht="15.75" hidden="false" customHeight="false" outlineLevel="0" collapsed="false">
      <c r="A3" s="19" t="s">
        <v>304</v>
      </c>
      <c r="B3" s="2" t="s">
        <v>8</v>
      </c>
      <c r="C3" s="42" t="n">
        <v>0.197</v>
      </c>
      <c r="D3" s="42" t="n">
        <v>0.196</v>
      </c>
      <c r="E3" s="42" t="n">
        <v>0.2</v>
      </c>
    </row>
    <row r="4" customFormat="false" ht="15.75" hidden="false" customHeight="false" outlineLevel="0" collapsed="false">
      <c r="A4" s="19" t="s">
        <v>305</v>
      </c>
      <c r="B4" s="2" t="s">
        <v>8</v>
      </c>
      <c r="C4" s="42" t="n">
        <v>0.204</v>
      </c>
      <c r="D4" s="42" t="n">
        <v>0.305</v>
      </c>
      <c r="E4" s="42" t="n">
        <v>0.001</v>
      </c>
    </row>
    <row r="5" customFormat="false" ht="15.75" hidden="false" customHeight="false" outlineLevel="0" collapsed="false">
      <c r="A5" s="19" t="s">
        <v>306</v>
      </c>
      <c r="B5" s="2" t="s">
        <v>8</v>
      </c>
      <c r="C5" s="42" t="n">
        <v>0.173</v>
      </c>
      <c r="D5" s="42" t="n">
        <v>0.171</v>
      </c>
      <c r="E5" s="42" t="n">
        <v>0.178</v>
      </c>
    </row>
    <row r="6" customFormat="false" ht="15.75" hidden="false" customHeight="false" outlineLevel="0" collapsed="false">
      <c r="A6" s="19" t="s">
        <v>307</v>
      </c>
      <c r="B6" s="2" t="s">
        <v>8</v>
      </c>
      <c r="C6" s="42" t="n">
        <v>0.205</v>
      </c>
      <c r="D6" s="42" t="n">
        <v>0.302</v>
      </c>
      <c r="E6" s="42" t="n">
        <v>0.02</v>
      </c>
    </row>
    <row r="7" customFormat="false" ht="15.75" hidden="false" customHeight="false" outlineLevel="0" collapsed="false">
      <c r="A7" s="19" t="s">
        <v>307</v>
      </c>
      <c r="B7" s="2" t="s">
        <v>308</v>
      </c>
      <c r="C7" s="42" t="n">
        <v>0.183</v>
      </c>
      <c r="D7" s="42" t="n">
        <v>0.222</v>
      </c>
      <c r="E7" s="42" t="n">
        <v>0.1</v>
      </c>
    </row>
    <row r="8" customFormat="false" ht="15.75" hidden="false" customHeight="false" outlineLevel="0" collapsed="false">
      <c r="A8" s="19" t="s">
        <v>309</v>
      </c>
      <c r="B8" s="2" t="s">
        <v>308</v>
      </c>
      <c r="C8" s="42" t="n">
        <v>0.165</v>
      </c>
      <c r="D8" s="42" t="n">
        <v>0.163</v>
      </c>
      <c r="E8" s="42" t="n">
        <v>0.169</v>
      </c>
    </row>
    <row r="9" customFormat="false" ht="15.75" hidden="false" customHeight="false" outlineLevel="0" collapsed="false">
      <c r="A9" s="2" t="s">
        <v>310</v>
      </c>
      <c r="B9" s="2" t="s">
        <v>8</v>
      </c>
      <c r="D9" s="43"/>
      <c r="E9" s="43"/>
    </row>
    <row r="10" customFormat="false" ht="15.75" hidden="false" customHeight="false" outlineLevel="0" collapsed="false">
      <c r="A10" s="2" t="s">
        <v>311</v>
      </c>
      <c r="B10" s="2" t="s">
        <v>8</v>
      </c>
      <c r="D10" s="43"/>
      <c r="E10" s="43"/>
    </row>
    <row r="11" customFormat="false" ht="15.75" hidden="false" customHeight="false" outlineLevel="0" collapsed="false">
      <c r="A11" s="2" t="s">
        <v>310</v>
      </c>
      <c r="B11" s="2" t="s">
        <v>308</v>
      </c>
      <c r="D11" s="43"/>
      <c r="E11" s="43"/>
    </row>
    <row r="12" customFormat="false" ht="15.75" hidden="false" customHeight="false" outlineLevel="0" collapsed="false">
      <c r="A12" s="2" t="s">
        <v>311</v>
      </c>
      <c r="B12" s="2" t="s">
        <v>308</v>
      </c>
      <c r="D12" s="43"/>
      <c r="E12" s="43"/>
    </row>
    <row r="13" customFormat="false" ht="15.75" hidden="false" customHeight="false" outlineLevel="0" collapsed="false">
      <c r="A13" s="2"/>
    </row>
    <row r="14" customFormat="false" ht="15.75" hidden="false" customHeight="false" outlineLevel="0" collapsed="false">
      <c r="A14" s="2"/>
    </row>
    <row r="15" customFormat="false" ht="15.75" hidden="false" customHeight="false" outlineLevel="0" collapsed="false">
      <c r="A15" s="2" t="s">
        <v>312</v>
      </c>
    </row>
    <row r="16" customFormat="false" ht="15.75" hidden="false" customHeight="false" outlineLevel="0" collapsed="false">
      <c r="A16" s="35" t="s">
        <v>313</v>
      </c>
    </row>
    <row r="17" customFormat="false" ht="15.75" hidden="false" customHeight="false" outlineLevel="0" collapsed="false">
      <c r="A17" s="2"/>
    </row>
    <row r="18" customFormat="false" ht="15.75" hidden="false" customHeight="false" outlineLevel="0" collapsed="false">
      <c r="A18" s="2" t="s">
        <v>314</v>
      </c>
    </row>
    <row r="19" customFormat="false" ht="15.75" hidden="false" customHeight="false" outlineLevel="0" collapsed="false">
      <c r="A19" s="35" t="s">
        <v>315</v>
      </c>
    </row>
    <row r="21" customFormat="false" ht="15.75" hidden="false" customHeight="false" outlineLevel="0" collapsed="false">
      <c r="A21" s="2" t="s">
        <v>316</v>
      </c>
    </row>
    <row r="22" customFormat="false" ht="15.75" hidden="false" customHeight="false" outlineLevel="0" collapsed="false">
      <c r="A22" s="2" t="s">
        <v>317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0" t="n">
        <f aca="false">1</f>
        <v>1</v>
      </c>
      <c r="B1" s="44" t="s">
        <v>318</v>
      </c>
    </row>
    <row r="2" customFormat="false" ht="15.75" hidden="false" customHeight="false" outlineLevel="0" collapsed="false">
      <c r="A2" s="0" t="n">
        <f aca="false">A1+1</f>
        <v>2</v>
      </c>
      <c r="B2" s="44" t="s">
        <v>318</v>
      </c>
    </row>
    <row r="3" customFormat="false" ht="15.75" hidden="false" customHeight="false" outlineLevel="0" collapsed="false">
      <c r="A3" s="0" t="n">
        <f aca="false">A2+1</f>
        <v>3</v>
      </c>
      <c r="B3" s="2" t="s">
        <v>319</v>
      </c>
    </row>
    <row r="4" customFormat="false" ht="15.75" hidden="false" customHeight="false" outlineLevel="0" collapsed="false">
      <c r="A4" s="0" t="n">
        <f aca="false">A3+1</f>
        <v>4</v>
      </c>
      <c r="B4" s="44" t="s">
        <v>318</v>
      </c>
    </row>
    <row r="5" customFormat="false" ht="15.75" hidden="false" customHeight="false" outlineLevel="0" collapsed="false">
      <c r="A5" s="0" t="n">
        <f aca="false">A4+1</f>
        <v>5</v>
      </c>
      <c r="B5" s="2" t="s">
        <v>319</v>
      </c>
    </row>
    <row r="6" customFormat="false" ht="15.75" hidden="false" customHeight="false" outlineLevel="0" collapsed="false">
      <c r="A6" s="0" t="n">
        <f aca="false">A5+1</f>
        <v>6</v>
      </c>
      <c r="B6" s="44" t="s">
        <v>318</v>
      </c>
    </row>
    <row r="7" customFormat="false" ht="15.75" hidden="false" customHeight="false" outlineLevel="0" collapsed="false">
      <c r="A7" s="0" t="n">
        <f aca="false">A6+1</f>
        <v>7</v>
      </c>
      <c r="B7" s="44" t="s">
        <v>318</v>
      </c>
    </row>
    <row r="8" customFormat="false" ht="15.75" hidden="false" customHeight="false" outlineLevel="0" collapsed="false">
      <c r="A8" s="0" t="n">
        <f aca="false">A7+1</f>
        <v>8</v>
      </c>
      <c r="B8" s="44" t="s">
        <v>318</v>
      </c>
    </row>
    <row r="9" customFormat="false" ht="15.75" hidden="false" customHeight="false" outlineLevel="0" collapsed="false">
      <c r="A9" s="0" t="n">
        <f aca="false">A8+1</f>
        <v>9</v>
      </c>
      <c r="B9" s="2" t="s">
        <v>319</v>
      </c>
    </row>
    <row r="10" customFormat="false" ht="15.75" hidden="false" customHeight="false" outlineLevel="0" collapsed="false">
      <c r="A10" s="0" t="n">
        <f aca="false">A9+1</f>
        <v>10</v>
      </c>
      <c r="B10" s="44" t="s">
        <v>318</v>
      </c>
    </row>
    <row r="11" customFormat="false" ht="15.75" hidden="false" customHeight="false" outlineLevel="0" collapsed="false">
      <c r="A11" s="0" t="n">
        <f aca="false">A10+1</f>
        <v>11</v>
      </c>
      <c r="B11" s="44" t="s">
        <v>318</v>
      </c>
    </row>
    <row r="12" customFormat="false" ht="15.75" hidden="false" customHeight="false" outlineLevel="0" collapsed="false">
      <c r="A12" s="0" t="n">
        <f aca="false">A11+1</f>
        <v>12</v>
      </c>
      <c r="B12" s="44" t="s">
        <v>318</v>
      </c>
    </row>
    <row r="13" customFormat="false" ht="15.75" hidden="false" customHeight="false" outlineLevel="0" collapsed="false">
      <c r="A13" s="0" t="n">
        <f aca="false">A12+1</f>
        <v>13</v>
      </c>
      <c r="B13" s="44" t="s">
        <v>318</v>
      </c>
    </row>
    <row r="14" customFormat="false" ht="15.75" hidden="false" customHeight="false" outlineLevel="0" collapsed="false">
      <c r="A14" s="0" t="n">
        <f aca="false">A13+1</f>
        <v>14</v>
      </c>
      <c r="B14" s="2" t="s">
        <v>319</v>
      </c>
    </row>
    <row r="15" customFormat="false" ht="15.75" hidden="false" customHeight="false" outlineLevel="0" collapsed="false">
      <c r="A15" s="0" t="n">
        <f aca="false">A14+1</f>
        <v>15</v>
      </c>
      <c r="B15" s="2" t="s">
        <v>319</v>
      </c>
    </row>
    <row r="16" customFormat="false" ht="15.75" hidden="false" customHeight="false" outlineLevel="0" collapsed="false">
      <c r="A16" s="0" t="n">
        <f aca="false">A15+1</f>
        <v>16</v>
      </c>
      <c r="B16" s="2" t="s">
        <v>319</v>
      </c>
    </row>
    <row r="17" customFormat="false" ht="15.75" hidden="false" customHeight="false" outlineLevel="0" collapsed="false">
      <c r="A17" s="0" t="n">
        <f aca="false">A16+1</f>
        <v>17</v>
      </c>
      <c r="B17" s="2" t="s">
        <v>319</v>
      </c>
    </row>
    <row r="18" customFormat="false" ht="15.75" hidden="false" customHeight="false" outlineLevel="0" collapsed="false">
      <c r="A18" s="0" t="n">
        <f aca="false">A17+1</f>
        <v>18</v>
      </c>
      <c r="B18" s="2" t="s">
        <v>319</v>
      </c>
    </row>
    <row r="19" customFormat="false" ht="15.75" hidden="false" customHeight="false" outlineLevel="0" collapsed="false">
      <c r="A19" s="0" t="n">
        <f aca="false">A18+1</f>
        <v>19</v>
      </c>
      <c r="B19" s="2" t="s">
        <v>319</v>
      </c>
    </row>
    <row r="20" customFormat="false" ht="15.75" hidden="false" customHeight="false" outlineLevel="0" collapsed="false">
      <c r="A20" s="0" t="n">
        <f aca="false">A19+1</f>
        <v>20</v>
      </c>
      <c r="B20" s="2" t="s">
        <v>320</v>
      </c>
    </row>
    <row r="21" customFormat="false" ht="15.75" hidden="false" customHeight="false" outlineLevel="0" collapsed="false">
      <c r="A21" s="0" t="n">
        <f aca="false">A20+1</f>
        <v>21</v>
      </c>
      <c r="B21" s="2" t="s">
        <v>319</v>
      </c>
    </row>
    <row r="22" customFormat="false" ht="15.75" hidden="false" customHeight="false" outlineLevel="0" collapsed="false">
      <c r="A22" s="0" t="n">
        <f aca="false">A21+1</f>
        <v>22</v>
      </c>
      <c r="B22" s="2" t="s">
        <v>319</v>
      </c>
    </row>
    <row r="23" customFormat="false" ht="15.75" hidden="false" customHeight="false" outlineLevel="0" collapsed="false">
      <c r="A23" s="0" t="n">
        <f aca="false">A22+1</f>
        <v>23</v>
      </c>
      <c r="B23" s="2" t="s">
        <v>319</v>
      </c>
    </row>
    <row r="24" customFormat="false" ht="15.75" hidden="false" customHeight="false" outlineLevel="0" collapsed="false">
      <c r="A24" s="0" t="n">
        <f aca="false">A23+1</f>
        <v>24</v>
      </c>
      <c r="B24" s="44" t="s">
        <v>318</v>
      </c>
    </row>
    <row r="25" customFormat="false" ht="15.75" hidden="false" customHeight="false" outlineLevel="0" collapsed="false">
      <c r="A25" s="0" t="n">
        <f aca="false">A24+1</f>
        <v>25</v>
      </c>
      <c r="B25" s="44" t="s">
        <v>318</v>
      </c>
    </row>
    <row r="26" customFormat="false" ht="15.75" hidden="false" customHeight="false" outlineLevel="0" collapsed="false">
      <c r="A26" s="0" t="n">
        <f aca="false">A25+1</f>
        <v>26</v>
      </c>
      <c r="B26" s="44" t="s">
        <v>318</v>
      </c>
    </row>
    <row r="27" customFormat="false" ht="15.75" hidden="false" customHeight="false" outlineLevel="0" collapsed="false">
      <c r="A27" s="0" t="n">
        <f aca="false">A26+1</f>
        <v>27</v>
      </c>
      <c r="B27" s="2" t="s">
        <v>319</v>
      </c>
    </row>
    <row r="28" customFormat="false" ht="15.75" hidden="false" customHeight="false" outlineLevel="0" collapsed="false">
      <c r="A28" s="0" t="n">
        <f aca="false">A27+1</f>
        <v>28</v>
      </c>
      <c r="B28" s="2" t="s">
        <v>319</v>
      </c>
    </row>
    <row r="29" customFormat="false" ht="15.75" hidden="false" customHeight="false" outlineLevel="0" collapsed="false">
      <c r="A29" s="0" t="n">
        <f aca="false">A28+1</f>
        <v>29</v>
      </c>
      <c r="B29" s="2" t="s">
        <v>319</v>
      </c>
    </row>
    <row r="30" customFormat="false" ht="15.75" hidden="false" customHeight="false" outlineLevel="0" collapsed="false">
      <c r="A30" s="0" t="n">
        <f aca="false">A29+1</f>
        <v>30</v>
      </c>
      <c r="B30" s="44" t="s">
        <v>318</v>
      </c>
    </row>
    <row r="31" customFormat="false" ht="15.75" hidden="false" customHeight="false" outlineLevel="0" collapsed="false">
      <c r="A31" s="0" t="n">
        <f aca="false">A30+1</f>
        <v>31</v>
      </c>
      <c r="B31" s="44" t="s">
        <v>318</v>
      </c>
    </row>
    <row r="32" customFormat="false" ht="15.75" hidden="false" customHeight="false" outlineLevel="0" collapsed="false">
      <c r="A32" s="0" t="n">
        <f aca="false">A31+1</f>
        <v>32</v>
      </c>
      <c r="B32" s="44" t="s">
        <v>318</v>
      </c>
    </row>
    <row r="33" customFormat="false" ht="15.75" hidden="false" customHeight="false" outlineLevel="0" collapsed="false">
      <c r="A33" s="0" t="n">
        <f aca="false">A32+1</f>
        <v>33</v>
      </c>
      <c r="B33" s="44" t="s">
        <v>318</v>
      </c>
    </row>
    <row r="34" customFormat="false" ht="15.75" hidden="false" customHeight="false" outlineLevel="0" collapsed="false">
      <c r="A34" s="0" t="n">
        <f aca="false">A33+1</f>
        <v>34</v>
      </c>
      <c r="B34" s="44" t="s">
        <v>318</v>
      </c>
    </row>
    <row r="35" customFormat="false" ht="15.75" hidden="false" customHeight="false" outlineLevel="0" collapsed="false">
      <c r="A35" s="0" t="n">
        <f aca="false">A34+1</f>
        <v>35</v>
      </c>
      <c r="B35" s="2" t="s">
        <v>319</v>
      </c>
    </row>
    <row r="36" customFormat="false" ht="15.75" hidden="false" customHeight="false" outlineLevel="0" collapsed="false">
      <c r="A36" s="0" t="n">
        <f aca="false">A35+1</f>
        <v>36</v>
      </c>
      <c r="B36" s="2" t="s">
        <v>319</v>
      </c>
    </row>
    <row r="37" customFormat="false" ht="15.75" hidden="false" customHeight="false" outlineLevel="0" collapsed="false">
      <c r="A37" s="0" t="n">
        <f aca="false">A36+1</f>
        <v>37</v>
      </c>
      <c r="B37" s="2" t="s">
        <v>319</v>
      </c>
    </row>
    <row r="38" customFormat="false" ht="15.75" hidden="false" customHeight="false" outlineLevel="0" collapsed="false">
      <c r="A38" s="0" t="n">
        <f aca="false">A37+1</f>
        <v>38</v>
      </c>
      <c r="B38" s="44" t="s">
        <v>318</v>
      </c>
    </row>
    <row r="39" customFormat="false" ht="15.75" hidden="false" customHeight="false" outlineLevel="0" collapsed="false">
      <c r="A39" s="0" t="n">
        <f aca="false">A38+1</f>
        <v>39</v>
      </c>
      <c r="B39" s="44" t="s">
        <v>318</v>
      </c>
    </row>
    <row r="40" customFormat="false" ht="15.75" hidden="false" customHeight="false" outlineLevel="0" collapsed="false">
      <c r="A40" s="0" t="n">
        <f aca="false">A39+1</f>
        <v>40</v>
      </c>
      <c r="B40" s="44" t="s">
        <v>318</v>
      </c>
    </row>
    <row r="41" customFormat="false" ht="15.75" hidden="false" customHeight="false" outlineLevel="0" collapsed="false">
      <c r="A41" s="0" t="n">
        <f aca="false">A40+1</f>
        <v>41</v>
      </c>
      <c r="B41" s="2" t="s">
        <v>319</v>
      </c>
    </row>
    <row r="42" customFormat="false" ht="15.75" hidden="false" customHeight="false" outlineLevel="0" collapsed="false">
      <c r="A42" s="0" t="n">
        <f aca="false">A41+1</f>
        <v>42</v>
      </c>
      <c r="B42" s="2" t="s">
        <v>319</v>
      </c>
    </row>
    <row r="43" customFormat="false" ht="15.75" hidden="false" customHeight="false" outlineLevel="0" collapsed="false">
      <c r="A43" s="0" t="n">
        <f aca="false">A42+1</f>
        <v>43</v>
      </c>
      <c r="B43" s="2" t="s">
        <v>321</v>
      </c>
    </row>
    <row r="44" customFormat="false" ht="15.75" hidden="false" customHeight="false" outlineLevel="0" collapsed="false">
      <c r="A44" s="0" t="n">
        <f aca="false">A43+1</f>
        <v>44</v>
      </c>
      <c r="B44" s="2" t="s">
        <v>319</v>
      </c>
    </row>
    <row r="45" customFormat="false" ht="15.75" hidden="false" customHeight="false" outlineLevel="0" collapsed="false">
      <c r="A45" s="0" t="n">
        <f aca="false">A44+1</f>
        <v>45</v>
      </c>
      <c r="B45" s="44" t="s">
        <v>318</v>
      </c>
    </row>
    <row r="46" customFormat="false" ht="15.75" hidden="false" customHeight="false" outlineLevel="0" collapsed="false">
      <c r="A46" s="0" t="n">
        <f aca="false">A45+1</f>
        <v>46</v>
      </c>
      <c r="B46" s="44" t="s">
        <v>318</v>
      </c>
    </row>
    <row r="47" customFormat="false" ht="15.75" hidden="false" customHeight="false" outlineLevel="0" collapsed="false">
      <c r="A47" s="0" t="n">
        <f aca="false">A46+1</f>
        <v>47</v>
      </c>
      <c r="B47" s="2" t="s">
        <v>319</v>
      </c>
    </row>
    <row r="48" customFormat="false" ht="15.75" hidden="false" customHeight="false" outlineLevel="0" collapsed="false">
      <c r="A48" s="0" t="n">
        <f aca="false">A47+1</f>
        <v>48</v>
      </c>
      <c r="B48" s="44" t="s">
        <v>318</v>
      </c>
    </row>
    <row r="49" customFormat="false" ht="15.75" hidden="false" customHeight="false" outlineLevel="0" collapsed="false">
      <c r="A49" s="0" t="n">
        <f aca="false">A48+1</f>
        <v>49</v>
      </c>
      <c r="B49" s="2" t="s">
        <v>319</v>
      </c>
    </row>
    <row r="50" customFormat="false" ht="15.75" hidden="false" customHeight="false" outlineLevel="0" collapsed="false">
      <c r="A50" s="0" t="n">
        <f aca="false">A49+1</f>
        <v>50</v>
      </c>
      <c r="B50" s="2" t="s">
        <v>319</v>
      </c>
    </row>
    <row r="51" customFormat="false" ht="15.75" hidden="false" customHeight="false" outlineLevel="0" collapsed="false">
      <c r="A51" s="0" t="n">
        <f aca="false">A50+1</f>
        <v>51</v>
      </c>
      <c r="B51" s="44" t="s">
        <v>318</v>
      </c>
    </row>
    <row r="52" customFormat="false" ht="15.75" hidden="false" customHeight="false" outlineLevel="0" collapsed="false">
      <c r="A52" s="0" t="n">
        <f aca="false">A51+1</f>
        <v>52</v>
      </c>
      <c r="B52" s="2" t="s">
        <v>319</v>
      </c>
    </row>
    <row r="53" customFormat="false" ht="15.75" hidden="false" customHeight="false" outlineLevel="0" collapsed="false">
      <c r="A53" s="0" t="n">
        <f aca="false">A52+1</f>
        <v>53</v>
      </c>
      <c r="B53" s="2" t="s">
        <v>319</v>
      </c>
    </row>
    <row r="54" customFormat="false" ht="15.75" hidden="false" customHeight="false" outlineLevel="0" collapsed="false">
      <c r="A54" s="0" t="n">
        <f aca="false">A53+1</f>
        <v>54</v>
      </c>
      <c r="B54" s="44" t="s">
        <v>318</v>
      </c>
    </row>
    <row r="55" customFormat="false" ht="15.75" hidden="false" customHeight="false" outlineLevel="0" collapsed="false">
      <c r="A55" s="0" t="n">
        <f aca="false">A54+1</f>
        <v>55</v>
      </c>
      <c r="B55" s="44" t="s">
        <v>318</v>
      </c>
    </row>
    <row r="56" customFormat="false" ht="15.75" hidden="false" customHeight="false" outlineLevel="0" collapsed="false">
      <c r="A56" s="0" t="n">
        <f aca="false">A55+1</f>
        <v>56</v>
      </c>
      <c r="B56" s="2" t="s">
        <v>319</v>
      </c>
    </row>
    <row r="57" customFormat="false" ht="15.75" hidden="false" customHeight="false" outlineLevel="0" collapsed="false">
      <c r="A57" s="0" t="n">
        <f aca="false">A56+1</f>
        <v>57</v>
      </c>
      <c r="B57" s="44" t="s">
        <v>318</v>
      </c>
    </row>
    <row r="58" customFormat="false" ht="15.75" hidden="false" customHeight="false" outlineLevel="0" collapsed="false">
      <c r="A58" s="0" t="n">
        <f aca="false">A57+1</f>
        <v>58</v>
      </c>
      <c r="B58" s="2" t="s">
        <v>319</v>
      </c>
    </row>
    <row r="59" customFormat="false" ht="15.75" hidden="false" customHeight="false" outlineLevel="0" collapsed="false">
      <c r="A59" s="0" t="n">
        <f aca="false">A58+1</f>
        <v>59</v>
      </c>
      <c r="B59" s="44" t="s">
        <v>318</v>
      </c>
    </row>
    <row r="60" customFormat="false" ht="15.75" hidden="false" customHeight="false" outlineLevel="0" collapsed="false">
      <c r="A60" s="0" t="n">
        <f aca="false">A59+1</f>
        <v>60</v>
      </c>
      <c r="B60" s="44" t="s">
        <v>318</v>
      </c>
    </row>
    <row r="61" customFormat="false" ht="15.75" hidden="false" customHeight="false" outlineLevel="0" collapsed="false">
      <c r="A61" s="0" t="n">
        <f aca="false">A60+1</f>
        <v>61</v>
      </c>
      <c r="B61" s="2" t="s">
        <v>319</v>
      </c>
    </row>
    <row r="62" customFormat="false" ht="15.75" hidden="false" customHeight="false" outlineLevel="0" collapsed="false">
      <c r="A62" s="0" t="n">
        <f aca="false">A61+1</f>
        <v>62</v>
      </c>
      <c r="B62" s="44" t="s">
        <v>318</v>
      </c>
    </row>
    <row r="63" customFormat="false" ht="15.75" hidden="false" customHeight="false" outlineLevel="0" collapsed="false">
      <c r="A63" s="0" t="n">
        <f aca="false">A62+1</f>
        <v>63</v>
      </c>
      <c r="B63" s="2" t="s">
        <v>319</v>
      </c>
    </row>
    <row r="64" customFormat="false" ht="15.75" hidden="false" customHeight="false" outlineLevel="0" collapsed="false">
      <c r="A64" s="0" t="n">
        <f aca="false">A63+1</f>
        <v>64</v>
      </c>
      <c r="B64" s="44" t="s">
        <v>318</v>
      </c>
    </row>
    <row r="65" customFormat="false" ht="15.75" hidden="false" customHeight="false" outlineLevel="0" collapsed="false">
      <c r="A65" s="0" t="n">
        <f aca="false">A64+1</f>
        <v>65</v>
      </c>
      <c r="B65" s="44" t="s">
        <v>318</v>
      </c>
    </row>
    <row r="66" customFormat="false" ht="15.75" hidden="false" customHeight="false" outlineLevel="0" collapsed="false">
      <c r="A66" s="0" t="n">
        <f aca="false">A65+1</f>
        <v>66</v>
      </c>
      <c r="B66" s="2" t="s">
        <v>319</v>
      </c>
    </row>
    <row r="67" customFormat="false" ht="15.75" hidden="false" customHeight="false" outlineLevel="0" collapsed="false">
      <c r="A67" s="0" t="n">
        <f aca="false">A66+1</f>
        <v>67</v>
      </c>
      <c r="B67" s="44" t="s">
        <v>318</v>
      </c>
    </row>
    <row r="68" customFormat="false" ht="15.75" hidden="false" customHeight="false" outlineLevel="0" collapsed="false">
      <c r="A68" s="0" t="n">
        <f aca="false">A67+1</f>
        <v>68</v>
      </c>
      <c r="B68" s="44" t="s">
        <v>318</v>
      </c>
    </row>
    <row r="69" customFormat="false" ht="15.75" hidden="false" customHeight="false" outlineLevel="0" collapsed="false">
      <c r="A69" s="0" t="n">
        <f aca="false">A68+1</f>
        <v>69</v>
      </c>
      <c r="B69" s="44" t="s">
        <v>322</v>
      </c>
    </row>
    <row r="70" customFormat="false" ht="15.75" hidden="false" customHeight="false" outlineLevel="0" collapsed="false">
      <c r="A70" s="0" t="n">
        <f aca="false">A69+1</f>
        <v>70</v>
      </c>
      <c r="B70" s="2" t="s">
        <v>319</v>
      </c>
    </row>
    <row r="71" customFormat="false" ht="15.75" hidden="false" customHeight="false" outlineLevel="0" collapsed="false">
      <c r="A71" s="0" t="n">
        <f aca="false">A70+1</f>
        <v>71</v>
      </c>
      <c r="B71" s="44" t="s">
        <v>318</v>
      </c>
    </row>
    <row r="72" customFormat="false" ht="15.75" hidden="false" customHeight="false" outlineLevel="0" collapsed="false">
      <c r="A72" s="0" t="n">
        <f aca="false">A71+1</f>
        <v>72</v>
      </c>
      <c r="B72" s="2" t="s">
        <v>319</v>
      </c>
    </row>
    <row r="73" customFormat="false" ht="15.75" hidden="false" customHeight="false" outlineLevel="0" collapsed="false">
      <c r="A73" s="0" t="n">
        <f aca="false">A72+1</f>
        <v>73</v>
      </c>
      <c r="B73" s="44" t="s">
        <v>318</v>
      </c>
    </row>
    <row r="74" customFormat="false" ht="15.75" hidden="false" customHeight="false" outlineLevel="0" collapsed="false">
      <c r="A74" s="0" t="n">
        <f aca="false">A73+1</f>
        <v>74</v>
      </c>
      <c r="B74" s="44" t="s">
        <v>318</v>
      </c>
    </row>
    <row r="75" customFormat="false" ht="15.75" hidden="false" customHeight="false" outlineLevel="0" collapsed="false">
      <c r="A75" s="0" t="n">
        <f aca="false">A74+1</f>
        <v>75</v>
      </c>
      <c r="B75" s="2" t="s">
        <v>323</v>
      </c>
    </row>
    <row r="76" customFormat="false" ht="15.75" hidden="false" customHeight="false" outlineLevel="0" collapsed="false">
      <c r="A76" s="0" t="n">
        <f aca="false">A75+1</f>
        <v>76</v>
      </c>
      <c r="B76" s="2" t="s">
        <v>319</v>
      </c>
    </row>
    <row r="77" customFormat="false" ht="15.75" hidden="false" customHeight="false" outlineLevel="0" collapsed="false">
      <c r="A77" s="0" t="n">
        <f aca="false">A76+1</f>
        <v>77</v>
      </c>
      <c r="B77" s="44" t="s">
        <v>318</v>
      </c>
    </row>
    <row r="78" customFormat="false" ht="15.75" hidden="false" customHeight="false" outlineLevel="0" collapsed="false">
      <c r="A78" s="0" t="n">
        <f aca="false">A77+1</f>
        <v>78</v>
      </c>
      <c r="B78" s="44" t="s">
        <v>318</v>
      </c>
    </row>
    <row r="79" customFormat="false" ht="15.75" hidden="false" customHeight="false" outlineLevel="0" collapsed="false">
      <c r="A79" s="0" t="n">
        <f aca="false">A78+1</f>
        <v>79</v>
      </c>
      <c r="B79" s="2" t="s">
        <v>319</v>
      </c>
    </row>
    <row r="80" customFormat="false" ht="15.75" hidden="false" customHeight="false" outlineLevel="0" collapsed="false">
      <c r="A80" s="0" t="n">
        <f aca="false">A79+1</f>
        <v>80</v>
      </c>
      <c r="B80" s="2" t="s">
        <v>319</v>
      </c>
    </row>
    <row r="81" customFormat="false" ht="15.75" hidden="false" customHeight="false" outlineLevel="0" collapsed="false">
      <c r="A81" s="0" t="n">
        <f aca="false">A80+1</f>
        <v>81</v>
      </c>
      <c r="B81" s="2" t="s">
        <v>321</v>
      </c>
    </row>
    <row r="82" customFormat="false" ht="15.75" hidden="false" customHeight="false" outlineLevel="0" collapsed="false">
      <c r="A82" s="0" t="n">
        <f aca="false">A81+1</f>
        <v>82</v>
      </c>
      <c r="B82" s="44" t="s">
        <v>318</v>
      </c>
    </row>
    <row r="83" customFormat="false" ht="15.75" hidden="false" customHeight="false" outlineLevel="0" collapsed="false">
      <c r="A83" s="0" t="n">
        <f aca="false">A82+1</f>
        <v>83</v>
      </c>
      <c r="B83" s="44" t="s">
        <v>318</v>
      </c>
    </row>
    <row r="84" customFormat="false" ht="15.75" hidden="false" customHeight="false" outlineLevel="0" collapsed="false">
      <c r="A84" s="0" t="n">
        <f aca="false">A83+1</f>
        <v>84</v>
      </c>
      <c r="B84" s="44" t="s">
        <v>318</v>
      </c>
    </row>
    <row r="85" customFormat="false" ht="15.75" hidden="false" customHeight="false" outlineLevel="0" collapsed="false">
      <c r="A85" s="0" t="n">
        <f aca="false">A84+1</f>
        <v>85</v>
      </c>
      <c r="B85" s="2" t="s">
        <v>319</v>
      </c>
    </row>
    <row r="86" customFormat="false" ht="15.75" hidden="false" customHeight="false" outlineLevel="0" collapsed="false">
      <c r="A86" s="0" t="n">
        <f aca="false">A85+1</f>
        <v>86</v>
      </c>
      <c r="B86" s="2" t="s">
        <v>319</v>
      </c>
    </row>
    <row r="87" customFormat="false" ht="15.75" hidden="false" customHeight="false" outlineLevel="0" collapsed="false">
      <c r="A87" s="0" t="n">
        <f aca="false">A86+1</f>
        <v>87</v>
      </c>
      <c r="B87" s="2" t="s">
        <v>319</v>
      </c>
    </row>
    <row r="88" customFormat="false" ht="15.75" hidden="false" customHeight="false" outlineLevel="0" collapsed="false">
      <c r="A88" s="0" t="n">
        <f aca="false">A87+1</f>
        <v>88</v>
      </c>
      <c r="B88" s="2" t="s">
        <v>321</v>
      </c>
    </row>
    <row r="89" customFormat="false" ht="15.75" hidden="false" customHeight="false" outlineLevel="0" collapsed="false">
      <c r="A89" s="0" t="n">
        <f aca="false">A88+1</f>
        <v>89</v>
      </c>
      <c r="B89" s="44" t="s">
        <v>318</v>
      </c>
    </row>
    <row r="90" customFormat="false" ht="15.75" hidden="false" customHeight="false" outlineLevel="0" collapsed="false">
      <c r="A90" s="0" t="n">
        <f aca="false">A89+1</f>
        <v>90</v>
      </c>
      <c r="B90" s="44" t="s">
        <v>318</v>
      </c>
    </row>
    <row r="91" customFormat="false" ht="15.75" hidden="false" customHeight="false" outlineLevel="0" collapsed="false">
      <c r="A91" s="0" t="n">
        <f aca="false">A90+1</f>
        <v>91</v>
      </c>
      <c r="B91" s="44" t="s">
        <v>318</v>
      </c>
    </row>
    <row r="92" customFormat="false" ht="15.75" hidden="false" customHeight="false" outlineLevel="0" collapsed="false">
      <c r="A92" s="0" t="n">
        <f aca="false">A91+1</f>
        <v>92</v>
      </c>
      <c r="B92" s="2" t="s">
        <v>321</v>
      </c>
    </row>
    <row r="93" customFormat="false" ht="15.75" hidden="false" customHeight="false" outlineLevel="0" collapsed="false">
      <c r="A93" s="0" t="n">
        <f aca="false">A92+1</f>
        <v>93</v>
      </c>
      <c r="B93" s="44" t="s">
        <v>318</v>
      </c>
    </row>
    <row r="94" customFormat="false" ht="15.75" hidden="false" customHeight="false" outlineLevel="0" collapsed="false">
      <c r="A94" s="0" t="n">
        <f aca="false">A93+1</f>
        <v>94</v>
      </c>
      <c r="B94" s="44" t="s">
        <v>318</v>
      </c>
    </row>
    <row r="95" customFormat="false" ht="15.75" hidden="false" customHeight="false" outlineLevel="0" collapsed="false">
      <c r="A95" s="0" t="n">
        <f aca="false">A94+1</f>
        <v>95</v>
      </c>
      <c r="B95" s="44" t="s">
        <v>322</v>
      </c>
    </row>
    <row r="111" customFormat="false" ht="15.75" hidden="false" customHeight="false" outlineLevel="0" collapsed="false">
      <c r="A111" s="2" t="s">
        <v>19</v>
      </c>
      <c r="B111" s="15" t="s">
        <v>324</v>
      </c>
    </row>
  </sheetData>
  <hyperlinks>
    <hyperlink ref="B111" r:id="rId1" display="https://nonaugazdeschistelyon.files.wordpress.com/2018/02/france-tm-05_02_2018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2020-04-16T17:54:35Z</dcterms:modified>
  <cp:revision>1</cp:revision>
  <dc:subject/>
  <dc:title/>
</cp:coreProperties>
</file>