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3"/>
    <sheet state="visible" name="Quotas" sheetId="2" r:id="rId4"/>
    <sheet state="visible" name="Agrégats" sheetId="3" r:id="rId5"/>
    <sheet state="visible" name="Taxes" sheetId="4" r:id="rId6"/>
    <sheet state="visible" name="Prix" sheetId="5" r:id="rId7"/>
    <sheet state="visible" name="Montants" sheetId="6" r:id="rId8"/>
    <sheet state="visible" name="Précision estimation" sheetId="7" r:id="rId9"/>
    <sheet state="visible" name="Gaz de schiste" sheetId="8" r:id="rId10"/>
  </sheets>
  <definedNames/>
  <calcPr/>
</workbook>
</file>

<file path=xl/sharedStrings.xml><?xml version="1.0" encoding="utf-8"?>
<sst xmlns="http://schemas.openxmlformats.org/spreadsheetml/2006/main" count="525" uniqueCount="325">
  <si>
    <t>combustible</t>
  </si>
  <si>
    <t>unité</t>
  </si>
  <si>
    <t>contenu kgCO2eq (ADEME)</t>
  </si>
  <si>
    <t>prix (29/12/18</t>
  </si>
  <si>
    <t>hausse prix</t>
  </si>
  <si>
    <t>variation prix (moyenne)</t>
  </si>
  <si>
    <t>consommation agrégée (2016)</t>
  </si>
  <si>
    <t>consommation 2017 (Mt)</t>
  </si>
  <si>
    <t>recettes 2014 (M€)</t>
  </si>
  <si>
    <t>recettes 2015</t>
  </si>
  <si>
    <t>recettes 2016</t>
  </si>
  <si>
    <t>taxe déduite 2016</t>
  </si>
  <si>
    <t>recettes taxe sans réaction (G€)</t>
  </si>
  <si>
    <t>élasticité</t>
  </si>
  <si>
    <t>recettes taxe avec réaction</t>
  </si>
  <si>
    <t>taxe 2013</t>
  </si>
  <si>
    <t>kgCO2 implicite</t>
  </si>
  <si>
    <t>kgCO2 implicite 2014</t>
  </si>
  <si>
    <t>kgCO2 implicite 2015</t>
  </si>
  <si>
    <t>kgCO2 implicite 2016</t>
  </si>
  <si>
    <t>kgCO2 implicite 2017</t>
  </si>
  <si>
    <t>agriculteurs</t>
  </si>
  <si>
    <t>kgCO2 implicite 2018</t>
  </si>
  <si>
    <t>kgCO2 implicite 2019</t>
  </si>
  <si>
    <t>kgCO2 implicite 2020</t>
  </si>
  <si>
    <t>kgCO2 implicite 2021</t>
  </si>
  <si>
    <t>kgCO2 implicite 2022</t>
  </si>
  <si>
    <t>BdF inflaté (M€)</t>
  </si>
  <si>
    <t>EL non-inflaté (M€)</t>
  </si>
  <si>
    <t>Compta nat 2017 (M€ courants)</t>
  </si>
  <si>
    <t>Compta nat 2016 (M€ courants)</t>
  </si>
  <si>
    <t>Compta nat 2013 (M€ courants)</t>
  </si>
  <si>
    <t>gaz naturel (zone 1)</t>
  </si>
  <si>
    <t>Compta nat 2011 (M€ courants)</t>
  </si>
  <si>
    <t>Agrégats feuille 1 (quantité)</t>
  </si>
  <si>
    <t>Agrégats feuille 1 (dépenses)</t>
  </si>
  <si>
    <t>indépendants</t>
  </si>
  <si>
    <t>cadres</t>
  </si>
  <si>
    <t>Essence Sp 95</t>
  </si>
  <si>
    <t>intermédiaires</t>
  </si>
  <si>
    <t>employés</t>
  </si>
  <si>
    <t>ouvriers</t>
  </si>
  <si>
    <t>retraités</t>
  </si>
  <si>
    <t>inactifs</t>
  </si>
  <si>
    <t>Île-de-France</t>
  </si>
  <si>
    <t>kWh PCS</t>
  </si>
  <si>
    <t>-</t>
  </si>
  <si>
    <t>Essence SP 98</t>
  </si>
  <si>
    <t>Essence E85</t>
  </si>
  <si>
    <t>Essence (somme)</t>
  </si>
  <si>
    <t>Hauts-de-France</t>
  </si>
  <si>
    <t>Grand Est et Bourgogne-Franche-Comté</t>
  </si>
  <si>
    <t>Diesel</t>
  </si>
  <si>
    <t>Nouvelle-Aquitaine</t>
  </si>
  <si>
    <t>Centre-Val de Loire et Pays de la Loire</t>
  </si>
  <si>
    <t>Carburants (somme)</t>
  </si>
  <si>
    <t>Fioul domestique</t>
  </si>
  <si>
    <t>Bretagne et Normandie</t>
  </si>
  <si>
    <t>Gaz naturel</t>
  </si>
  <si>
    <t>Occitanie</t>
  </si>
  <si>
    <t>Auvergne-Rhône-Alpes</t>
  </si>
  <si>
    <t>Provence-Alpes-Côte d'Azur</t>
  </si>
  <si>
    <t>gaz naturel (zone 6)</t>
  </si>
  <si>
    <t>Sources :</t>
  </si>
  <si>
    <t>Comptabilité nationale :</t>
  </si>
  <si>
    <t>Consommation effective des ménages par fonction aux prix courants : https://www.insee.fr/fr/statistiques/3547386?sommaire=3547646#titre-bloc-20</t>
  </si>
  <si>
    <t>NB : les données BdF inflatées représentent l'année 2016. Entre temps, les montants de la comptabilité nationale ont changé.</t>
  </si>
  <si>
    <t>Note : les données de la feuille 1 incluent toutes les consommations, pas exclusivement les ménages. Elles surestiment donc largement les montants.</t>
  </si>
  <si>
    <t>Et ce, sans compter que les dépenses en gaz de la feuille 1 ne prennent pas en compte le prix fixe des contrats</t>
  </si>
  <si>
    <t>rural</t>
  </si>
  <si>
    <t>20-99</t>
  </si>
  <si>
    <t>&gt;100</t>
  </si>
  <si>
    <t>Paris</t>
  </si>
  <si>
    <t>femmes</t>
  </si>
  <si>
    <t>hommes</t>
  </si>
  <si>
    <t>18-24</t>
  </si>
  <si>
    <t>25-34</t>
  </si>
  <si>
    <t>35-49</t>
  </si>
  <si>
    <t>50-64</t>
  </si>
  <si>
    <t>&gt;65</t>
  </si>
  <si>
    <t>Aucun diplôme ou Brevet</t>
  </si>
  <si>
    <t>CAP ou BEP</t>
  </si>
  <si>
    <t>Bac</t>
  </si>
  <si>
    <t>Supérieur</t>
  </si>
  <si>
    <t>Total région</t>
  </si>
  <si>
    <t>Total sexe</t>
  </si>
  <si>
    <t>Total agglo</t>
  </si>
  <si>
    <t>Total age</t>
  </si>
  <si>
    <t>Total (Insee)</t>
  </si>
  <si>
    <t>gaz naturel (moyenne)</t>
  </si>
  <si>
    <t>Fraction</t>
  </si>
  <si>
    <t>essence SP95 (E5)</t>
  </si>
  <si>
    <t>fioul domestique</t>
  </si>
  <si>
    <t>L</t>
  </si>
  <si>
    <t>gazole</t>
  </si>
  <si>
    <t>Prix carbone</t>
  </si>
  <si>
    <t>Augmentation prix carbone</t>
  </si>
  <si>
    <t>Augmentation taxe SP</t>
  </si>
  <si>
    <t>Augmentation taxe diesel</t>
  </si>
  <si>
    <t>Augmentation taxe diesel sans rattrapage</t>
  </si>
  <si>
    <t>essence SP95 (E10)</t>
  </si>
  <si>
    <t>Augmentation taxe fioul domestique</t>
  </si>
  <si>
    <t>Augmentation taxe gaz naturel</t>
  </si>
  <si>
    <t>Contenu carbone implicite SP</t>
  </si>
  <si>
    <t>quotas en trop (au 04/03 7h (Est)</t>
  </si>
  <si>
    <t>Contenu carbone implicite diesel</t>
  </si>
  <si>
    <t>nouveaux quotas</t>
  </si>
  <si>
    <t>Contenu carbone implicite fioul domestique</t>
  </si>
  <si>
    <t>Contenu carbone implicite gaz naturel</t>
  </si>
  <si>
    <t>essence SP98 (E5)</t>
  </si>
  <si>
    <t>Accise sans CCE SP</t>
  </si>
  <si>
    <t>Ces calculs correspondent au prix de l'accise (TICPE et TICGN si la CCE était nulle)</t>
  </si>
  <si>
    <t>Accise sans CCE diesel</t>
  </si>
  <si>
    <t>Accise sans CCE fioul domestique</t>
  </si>
  <si>
    <t>Accise sans CCE gaz naturel</t>
  </si>
  <si>
    <t>Note : la TICPE s'applique au diesel, à l'essence et au fioul domestique. La TICGN au gaz naturel.</t>
  </si>
  <si>
    <t>Ces deux taxes incorporent la composante carbone de la contribution climat énergie (CCE), mais peuvent potentiellement changer pour d'autres raisons :</t>
  </si>
  <si>
    <t>quotas assouplis</t>
  </si>
  <si>
    <t>2014 :</t>
  </si>
  <si>
    <t>La TICPE pré-existante absorbe l'introduction de la CCE, la TICPE totale reste donc inchangée</t>
  </si>
  <si>
    <t>2015 :</t>
  </si>
  <si>
    <t>Augmmentation de deux centimes supplémentaires sur le diesel.</t>
  </si>
  <si>
    <t>essence (moyenne)</t>
  </si>
  <si>
    <t>2016 :</t>
  </si>
  <si>
    <t>La TICGN absorbe la CTSSG et la CSPG, d'où l'augmentation plus élevée. Augmentation d'un centime supplémentaire sur le diesel</t>
  </si>
  <si>
    <t>2017 :</t>
  </si>
  <si>
    <t>Augmentation d'un centime supplémentaire sur le diesel. Une baisse symmétrique de 1c sur l'essence permet bien de retrouver le contenu carbone attendu</t>
  </si>
  <si>
    <t>2018 :</t>
  </si>
  <si>
    <t>RAS</t>
  </si>
  <si>
    <t>2019 :</t>
  </si>
  <si>
    <t>2020 :</t>
  </si>
  <si>
    <t>2021 :</t>
  </si>
  <si>
    <t>2022 :</t>
  </si>
  <si>
    <t>TICPE : Code des douanes (art. 265)</t>
  </si>
  <si>
    <t>https://www.legifrance.gouv.fr/affichCodeArticle.do;jsessionid=4337AF4921843AB2063817AB97F65FAB.tplgfr21s_1?idArticle=LEGIARTI000037094636&amp;cidTexte=LEGITEXT000006071570&amp;categorieLien=id&amp;dateTexte=</t>
  </si>
  <si>
    <t>TICGN : Ministère de l'écologie</t>
  </si>
  <si>
    <t>https://www.ecologique-solidaire.gouv.fr/fiscalite-des-energies</t>
  </si>
  <si>
    <t>échantillon final (3002)</t>
  </si>
  <si>
    <t>échantillon final (proportion)</t>
  </si>
  <si>
    <t>TICGN : Code des douanes (art. 266)</t>
  </si>
  <si>
    <t>https://www.legifrance.gouv.fr/affichCodeArticle.do?cidTexte=LEGITEXT000006071570&amp;idArticle=LEGIARTI000006615168&amp;dateTexte=&amp;categorieLien=cid</t>
  </si>
  <si>
    <t>écart échantillon final - réalité</t>
  </si>
  <si>
    <t>gazole sans rattrapage</t>
  </si>
  <si>
    <t>sources:</t>
  </si>
  <si>
    <t>CSP</t>
  </si>
  <si>
    <t>région</t>
  </si>
  <si>
    <t>taille agglo</t>
  </si>
  <si>
    <t>taille agglo bis</t>
  </si>
  <si>
    <t>sexe</t>
  </si>
  <si>
    <t>age</t>
  </si>
  <si>
    <t>diplôme</t>
  </si>
  <si>
    <t>35-44</t>
  </si>
  <si>
    <t>45-54</t>
  </si>
  <si>
    <t>55-64</t>
  </si>
  <si>
    <t>65-74</t>
  </si>
  <si>
    <t>&gt;75</t>
  </si>
  <si>
    <t>https://www.insee.fr/fr/statistiques/2381478</t>
  </si>
  <si>
    <t>https://www.insee.fr/fr/statistiques/1893198</t>
  </si>
  <si>
    <t>own calculation</t>
  </si>
  <si>
    <t>https://www.insee.fr/fr/statistiques/1280970</t>
  </si>
  <si>
    <t>Prix janvier 2019</t>
  </si>
  <si>
    <t>Prix après taxe, i = 1</t>
  </si>
  <si>
    <t>Prix après taxe, i = 0,9</t>
  </si>
  <si>
    <t>Prix après taxe, i = 0,8</t>
  </si>
  <si>
    <t>Prix après taxe, i = 0,5</t>
  </si>
  <si>
    <t>https://www.insee.fr/fr/statistiques/1892088?sommaire=1912926</t>
  </si>
  <si>
    <t>% var. prix SP</t>
  </si>
  <si>
    <t>GPL</t>
  </si>
  <si>
    <t>https://www.insee.fr/fr/statistiques/2381474</t>
  </si>
  <si>
    <t>calculé avec (T_t - T_t-1) / (TCO2_t - TCO2_t-1)</t>
  </si>
  <si>
    <t>calculé avec (T_t - T_0) / TCO2_t</t>
  </si>
  <si>
    <t>total</t>
  </si>
  <si>
    <t>https://www.insee.fr/fr/statistiques/3568823?sommaire=3568833&amp;geo=METRO-1</t>
  </si>
  <si>
    <t>total carburants</t>
  </si>
  <si>
    <t>ligne 3</t>
  </si>
  <si>
    <t>ligne 2</t>
  </si>
  <si>
    <t>utilisée</t>
  </si>
  <si>
    <t>inutilisée</t>
  </si>
  <si>
    <t>% var. prix diesel</t>
  </si>
  <si>
    <t>total chauffage</t>
  </si>
  <si>
    <t>% var. prix fioul domestique</t>
  </si>
  <si>
    <t>en €/an</t>
  </si>
  <si>
    <t>dividende par adulte en fonction de la cible</t>
  </si>
  <si>
    <t>&lt;20%</t>
  </si>
  <si>
    <t>&lt;30%</t>
  </si>
  <si>
    <t>&lt;40%</t>
  </si>
  <si>
    <t>&lt;50%</t>
  </si>
  <si>
    <t>&lt;100%</t>
  </si>
  <si>
    <t>taxe (€/tCO2eq):</t>
  </si>
  <si>
    <t xml:space="preserve">
sans réaction
</t>
  </si>
  <si>
    <t>taxe CO2</t>
  </si>
  <si>
    <t>% var. prix gaz naturel</t>
  </si>
  <si>
    <t>Diff. prix SP</t>
  </si>
  <si>
    <t>Diff. prix diesel</t>
  </si>
  <si>
    <t>conversion kWh /m^3</t>
  </si>
  <si>
    <t>https://www.fournisseurs-electricite.com/france/169-infos/18441-coefficient-de-conversion-du-gaz</t>
  </si>
  <si>
    <t>Diff. prix fioul domestique</t>
  </si>
  <si>
    <t>Diff. prix gaz naturel</t>
  </si>
  <si>
    <t>taxe carburants</t>
  </si>
  <si>
    <t>Prix du gaz :</t>
  </si>
  <si>
    <t>0,651 correspond au prix unitaire pour un contrat B1 (i.e. avec chauffage) en zone 3</t>
  </si>
  <si>
    <t>Prix des carburants :</t>
  </si>
  <si>
    <t xml:space="preserve">Moyenne nationale en temps réel sur les dernières 48h ici : https://www.zagaz.com/stats_departement.php </t>
  </si>
  <si>
    <t>Prix du fioul :</t>
  </si>
  <si>
    <t>Moyenne nationale au jour le jour : https://www.fioulmarket.fr/prix-fioul</t>
  </si>
  <si>
    <t>Calculs de l'incidence :</t>
  </si>
  <si>
    <t>Modèle accessible du Github</t>
  </si>
  <si>
    <t>l'augmentation du prix du gaz sera en fait légèrement plus faible car elle ne portera pas sur les 10% de coûts fixes. ça justifie l'arrondi à la baisse pour la colonne F.</t>
  </si>
  <si>
    <t>Recettes totales en milliards d'euros</t>
  </si>
  <si>
    <t>et = 0 / eh = 0 / i = 1</t>
  </si>
  <si>
    <t>et = -0.3 / eh = -0.1 / i = 1</t>
  </si>
  <si>
    <t>et = -0.45 / eh = -0.2 / i = 1</t>
  </si>
  <si>
    <t>et = 0 / eh = 0 / i = 0.8</t>
  </si>
  <si>
    <t>et = -0.3 / eh = -0.1 / i = 0.8</t>
  </si>
  <si>
    <t>et = -0.4 / eh = -0.2 / i = 0.8</t>
  </si>
  <si>
    <t>Transport</t>
  </si>
  <si>
    <t>Logement</t>
  </si>
  <si>
    <t>Transport + Logement</t>
  </si>
  <si>
    <t>Recettes taxe carbone sans TVA en milliards d'euros</t>
  </si>
  <si>
    <t>Nombre d'adultes :</t>
  </si>
  <si>
    <t>Transferts par adulte</t>
  </si>
  <si>
    <t>densité fioul (kg/L):</t>
  </si>
  <si>
    <t>0,83-0,88</t>
  </si>
  <si>
    <t>taxe chauffage</t>
  </si>
  <si>
    <t>Transferts aux x% des adultes les plus pauvres (Transport + Logement)</t>
  </si>
  <si>
    <t>population (2018):</t>
  </si>
  <si>
    <t>(2014):</t>
  </si>
  <si>
    <t xml:space="preserve">nombre d'adultes (2018 métropole) : </t>
  </si>
  <si>
    <t xml:space="preserve">avec réaction 
</t>
  </si>
  <si>
    <t>en €/mois</t>
  </si>
  <si>
    <t>dividende par ménage en fonction de la cible</t>
  </si>
  <si>
    <t>nombre de ménages (2014):</t>
  </si>
  <si>
    <t>et : élasticité transports        eh : élasticité logement        i : incidence sur les consommateurs en %</t>
  </si>
  <si>
    <t>Notes :</t>
  </si>
  <si>
    <t>Ces montants sont calculées d'après BdF 2011 inflaté pour 2017 via la comptabilité nationale.</t>
  </si>
  <si>
    <t>Les parts fixes des contrats de gaz sont déduites des dépenses des ménages.</t>
  </si>
  <si>
    <t>Pour ce faire, le contrat optimal (parmi les tarifs réglementés) est imputé.</t>
  </si>
  <si>
    <t>Nombre d'adultes</t>
  </si>
  <si>
    <t>https://www.insee.fr/fr/statistiques/1892086?sommaire=1912926</t>
  </si>
  <si>
    <t>déciles de niveau de vie (2016), €/mois</t>
  </si>
  <si>
    <t>Autres</t>
  </si>
  <si>
    <t>Calculs du modèle</t>
  </si>
  <si>
    <t>niveau vie</t>
  </si>
  <si>
    <t>Méthode</t>
  </si>
  <si>
    <t>Réforme</t>
  </si>
  <si>
    <t>% erreurs</t>
  </si>
  <si>
    <t>% gagnants predits perdants</t>
  </si>
  <si>
    <t>% perdants predits gagnants</t>
  </si>
  <si>
    <t>Sources:</t>
  </si>
  <si>
    <t>Logit</t>
  </si>
  <si>
    <t>dividende TVA</t>
  </si>
  <si>
    <t>recette TVA 2018 (en G€), taux normal</t>
  </si>
  <si>
    <t>Probit</t>
  </si>
  <si>
    <t>OLS binaire</t>
  </si>
  <si>
    <t>hausse recettes eq</t>
  </si>
  <si>
    <t>OLS binaire, seuil 0,43</t>
  </si>
  <si>
    <t>OLS</t>
  </si>
  <si>
    <t>Logement + transports</t>
  </si>
  <si>
    <t>OLS, transfert +122€</t>
  </si>
  <si>
    <t>hausse TVA eq (taux normal)</t>
  </si>
  <si>
    <t>Matching par categ</t>
  </si>
  <si>
    <t>Matching distance</t>
  </si>
  <si>
    <t>soit hausse du taux normal:</t>
  </si>
  <si>
    <t>Note : "% gagnants predits perdants" donne la probabilité qu'un gagnant soit prédit perdant.</t>
  </si>
  <si>
    <t>"% perdants predits gagnants" donne la probabilité qu'un perdant soit prédit gagnant.</t>
  </si>
  <si>
    <t>Méthodologie : les prédictions sont réalisées via l'Enquête Logement (2013). Elles sont ensuite appliquées aux ménages de l'enquête Budget de Famille (2011).</t>
  </si>
  <si>
    <t>On compare ensuite ces prédictions avec les résultats "objectifs" (au sens où les consommations sont renseignées) de BdF.</t>
  </si>
  <si>
    <t>Hypothèse : toutes les informations renseignées par les ménages sont correctes.</t>
  </si>
  <si>
    <t>Les élasticités et l'incidence supposées sont correctes également.</t>
  </si>
  <si>
    <t>ventes 2016:</t>
  </si>
  <si>
    <t>http://www.statistiques.developpement-durable.gouv.fr/fileadmin/documents/Produits_editoriaux/Publications/Datalab_essentiel/2017/datalab-essentiel-124-ventes-de-produits-petroliers-en-2016-nov2017.pdf</t>
  </si>
  <si>
    <t>rev_tot_i (presta aux min)</t>
  </si>
  <si>
    <t xml:space="preserve">conso 2017 (Mt): </t>
  </si>
  <si>
    <t>https://www.insee.fr/fr/statistiques/2119673</t>
  </si>
  <si>
    <t>https://www.cpdp.org/fr/le-marche-petrolier</t>
  </si>
  <si>
    <t>Oui</t>
  </si>
  <si>
    <t>http://www.grtgaz.com/fileadmin/medias/communiques/2018/FR/Presentation-bilan-gaz-2017.pdf</t>
  </si>
  <si>
    <t>NON</t>
  </si>
  <si>
    <t>rev_tot_i_eq (" à part égales)</t>
  </si>
  <si>
    <t>NON (A) et NON (B)</t>
  </si>
  <si>
    <t>prix carburants:</t>
  </si>
  <si>
    <t>https://carbu.com/france/index.php/prixmoyens</t>
  </si>
  <si>
    <t>http://www.prix-carburants.developpement-durable.gouv.fr/petrole/se_cons_fr.htm</t>
  </si>
  <si>
    <t>Non</t>
  </si>
  <si>
    <t>rev_tot_i_par (" aux parents)</t>
  </si>
  <si>
    <t>taxe et recettes:</t>
  </si>
  <si>
    <t>oui</t>
  </si>
  <si>
    <t>non</t>
  </si>
  <si>
    <t>rev_tot_i_par inflaté</t>
  </si>
  <si>
    <t>population, adultes, ménages:</t>
  </si>
  <si>
    <t>https://nonaugazdeschistelyon.files.wordpress.com/2018/02/france-tm-05_02_2018.pdf</t>
  </si>
  <si>
    <t>https://www.insee.fr/fr/statistiques/1906663?sommaire=1906743</t>
  </si>
  <si>
    <t>https://www.insee.fr/fr/statistiques/3303344?sommaire=3353488</t>
  </si>
  <si>
    <t>déciles niveau vie</t>
  </si>
  <si>
    <t>https://www.insee.fr/fr/statistiques/2416808#tableau-Donnes</t>
  </si>
  <si>
    <t>recettes TVA:</t>
  </si>
  <si>
    <t>https://www.performance-publique.budget.gouv.fr/budget-comptes-etat/budget-etat/approfondir/recettes-etat/recettes-fiscales#.XCfNAcZ7mis</t>
  </si>
  <si>
    <t>www2.impots.gouv.fr/documentation/statistiques/annuaire2013/tab101_2013.xls</t>
  </si>
  <si>
    <t>https://www.ccomptes.fr/sites/default/files/EzPublish/20151216-rapport-Fouilleron-TVA-et-depenses-publiques.pdf</t>
  </si>
  <si>
    <t>contenu CO2:</t>
  </si>
  <si>
    <t>http://bilans-ges.ademe.fr</t>
  </si>
  <si>
    <t>prix gaz:</t>
  </si>
  <si>
    <t>https://selectra.info/energie/guides/tarifs/gaz/base-b0-b1-b2i-b2s-tel</t>
  </si>
  <si>
    <t>les factures de gaz naturel sont usuellement exprimées en PCS et non en PCI comme pour les autres combustibles</t>
  </si>
  <si>
    <t>chèque énergie barème:</t>
  </si>
  <si>
    <t>https://argent.boursier.com/quotidien/actualites/tout-savoir-sur-les-baremes-pour-beneficier-du-cheque-energie-4865.html</t>
  </si>
  <si>
    <t>SNBC:</t>
  </si>
  <si>
    <t>https://www.ecologique-solidaire.gouv.fr/sites/default/files/Projet%20strategie%20nationale%20bas%20carbone.pdf</t>
  </si>
  <si>
    <t>code postal - INSEE:</t>
  </si>
  <si>
    <t>https://public.opendatasoft.com/explore/dataset/correspondance-code-insee-code-postal/table/</t>
  </si>
  <si>
    <t>code INSEE - tranche d'unité urbaine</t>
  </si>
  <si>
    <t xml:space="preserve"> </t>
  </si>
  <si>
    <t>croissance PIB 2014-2018</t>
  </si>
  <si>
    <t>https://www.insee.fr/fr/statistiques/2830613#tableau-Tableau1</t>
  </si>
  <si>
    <t>https://www.insee.fr/fr/statistiques/2107840#titre-croissance</t>
  </si>
  <si>
    <t>Conso moyenne au 100km</t>
  </si>
  <si>
    <t>https://fr.statista.com/statistiques/486554/consommation-de-carburant-moyenne-voiture-france/</t>
  </si>
  <si>
    <t>pâtes</t>
  </si>
  <si>
    <t>1.3 kgCO2eq/kg</t>
  </si>
  <si>
    <t>2*/semaine</t>
  </si>
  <si>
    <t>16,9 kgCO2</t>
  </si>
  <si>
    <t>boeuf</t>
  </si>
  <si>
    <t>60 kgCO2eq/kg</t>
  </si>
  <si>
    <t>1*/semaine</t>
  </si>
  <si>
    <t>343 kgCO2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</si>
</sst>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"/>
    <numFmt numFmtId="165" formatCode="0.0"/>
    <numFmt numFmtId="166" formatCode="0.0000%"/>
    <numFmt numFmtId="167" formatCode="0.0%"/>
  </numFmts>
  <fonts count="15">
    <font>
      <sz val="10.0"/>
      <color rgb="FF000000"/>
      <name val="Arial"/>
    </font>
    <font/>
    <font>
      <b/>
    </font>
    <font>
      <i/>
      <color rgb="FF000000"/>
      <name val="Arial"/>
    </font>
    <font>
      <i/>
    </font>
    <font>
      <color rgb="FF000000"/>
    </font>
    <font>
      <color rgb="FF000000"/>
      <name val="Roboto"/>
    </font>
    <font>
      <sz val="10.0"/>
      <color rgb="FF202328"/>
      <name val="Arial"/>
    </font>
    <font>
      <color rgb="FFFF0000"/>
    </font>
    <font>
      <b/>
      <color rgb="FF4A86E8"/>
    </font>
    <font>
      <u/>
      <color rgb="FF0000FF"/>
    </font>
    <font>
      <u/>
      <color rgb="FF000000"/>
    </font>
    <font>
      <color rgb="FF000000"/>
      <name val="Arial"/>
    </font>
    <font>
      <b/>
      <u/>
    </font>
    <font>
      <color rgb="FF58595B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EFEFE"/>
        <bgColor rgb="FFFEFEFE"/>
      </patternFill>
    </fill>
    <fill>
      <patternFill patternType="solid">
        <fgColor rgb="FF4A86E8"/>
        <bgColor rgb="FF4A86E8"/>
      </patternFill>
    </fill>
  </fills>
  <borders count="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5" numFmtId="0" xfId="0" applyAlignment="1" applyFont="1">
      <alignment horizontal="left" readingOrder="0" vertical="bottom"/>
    </xf>
    <xf borderId="0" fillId="0" fontId="5" numFmtId="0" xfId="0" applyAlignment="1" applyFont="1">
      <alignment horizontal="left" readingOrder="0" vertical="bottom"/>
    </xf>
    <xf borderId="0" fillId="0" fontId="1" numFmtId="164" xfId="0" applyFont="1" applyNumberFormat="1"/>
    <xf borderId="0" fillId="0" fontId="1" numFmtId="2" xfId="0" applyAlignment="1" applyFont="1" applyNumberFormat="1">
      <alignment readingOrder="0"/>
    </xf>
    <xf borderId="0" fillId="2" fontId="6" numFmtId="0" xfId="0" applyAlignment="1" applyFill="1" applyFont="1">
      <alignment readingOrder="0"/>
    </xf>
    <xf borderId="0" fillId="0" fontId="2" numFmtId="0" xfId="0" applyFont="1"/>
    <xf borderId="0" fillId="0" fontId="2" numFmtId="164" xfId="0" applyFont="1" applyNumberFormat="1"/>
    <xf borderId="0" fillId="0" fontId="1" numFmtId="9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readingOrder="0"/>
    </xf>
    <xf borderId="0" fillId="0" fontId="2" numFmtId="2" xfId="0" applyAlignment="1" applyFont="1" applyNumberFormat="1">
      <alignment readingOrder="0"/>
    </xf>
    <xf borderId="0" fillId="0" fontId="1" numFmtId="9" xfId="0" applyFont="1" applyNumberFormat="1"/>
    <xf borderId="0" fillId="2" fontId="0" numFmtId="0" xfId="0" applyAlignment="1" applyFont="1">
      <alignment horizontal="right" readingOrder="0"/>
    </xf>
    <xf borderId="0" fillId="3" fontId="7" numFmtId="0" xfId="0" applyAlignment="1" applyFill="1" applyFont="1">
      <alignment horizontal="right" readingOrder="0"/>
    </xf>
    <xf borderId="0" fillId="0" fontId="8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9" numFmtId="0" xfId="0" applyFont="1"/>
    <xf borderId="0" fillId="0" fontId="5" numFmtId="0" xfId="0" applyFont="1"/>
    <xf borderId="0" fillId="2" fontId="0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2" numFmtId="9" xfId="0" applyFont="1" applyNumberFormat="1"/>
    <xf borderId="0" fillId="0" fontId="11" numFmtId="0" xfId="0" applyAlignment="1" applyFont="1">
      <alignment horizontal="left" readingOrder="0" vertical="bottom"/>
    </xf>
    <xf borderId="0" fillId="0" fontId="1" numFmtId="10" xfId="0" applyFont="1" applyNumberFormat="1"/>
    <xf borderId="0" fillId="0" fontId="2" numFmtId="166" xfId="0" applyFont="1" applyNumberFormat="1"/>
    <xf borderId="0" fillId="0" fontId="1" numFmtId="1" xfId="0" applyFont="1" applyNumberFormat="1"/>
    <xf borderId="0" fillId="0" fontId="5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1" fillId="0" fontId="1" numFmtId="1" xfId="0" applyAlignment="1" applyBorder="1" applyFont="1" applyNumberFormat="1">
      <alignment horizontal="right" readingOrder="0"/>
    </xf>
    <xf borderId="2" fillId="0" fontId="1" numFmtId="1" xfId="0" applyAlignment="1" applyBorder="1" applyFont="1" applyNumberFormat="1">
      <alignment readingOrder="0"/>
    </xf>
    <xf borderId="0" fillId="0" fontId="2" numFmtId="1" xfId="0" applyFont="1" applyNumberFormat="1"/>
    <xf borderId="2" fillId="0" fontId="1" numFmtId="9" xfId="0" applyAlignment="1" applyBorder="1" applyFont="1" applyNumberFormat="1">
      <alignment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" numFmtId="167" xfId="0" applyAlignment="1" applyFont="1" applyNumberFormat="1">
      <alignment readingOrder="0"/>
    </xf>
    <xf borderId="0" fillId="0" fontId="1" numFmtId="167" xfId="0" applyFont="1" applyNumberFormat="1"/>
    <xf borderId="0" fillId="4" fontId="1" numFmtId="0" xfId="0" applyAlignment="1" applyFill="1" applyFont="1">
      <alignment readingOrder="0"/>
    </xf>
    <xf borderId="0" fillId="2" fontId="1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0" Type="http://schemas.openxmlformats.org/officeDocument/2006/relationships/worksheet" Target="worksheets/sheet8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public.opendatasoft.com/explore/dataset/correspondance-code-insee-code-postal/table/" TargetMode="External"/><Relationship Id="rId11" Type="http://schemas.openxmlformats.org/officeDocument/2006/relationships/hyperlink" Target="https://www.insee.fr/fr/statistiques/3303344?sommaire=3353488" TargetMode="External"/><Relationship Id="rId22" Type="http://schemas.openxmlformats.org/officeDocument/2006/relationships/hyperlink" Target="https://www.insee.fr/fr/statistiques/2107840" TargetMode="External"/><Relationship Id="rId10" Type="http://schemas.openxmlformats.org/officeDocument/2006/relationships/hyperlink" Target="https://www.insee.fr/fr/statistiques/1906663?sommaire=1906743" TargetMode="External"/><Relationship Id="rId21" Type="http://schemas.openxmlformats.org/officeDocument/2006/relationships/hyperlink" Target="https://www.insee.fr/fr/statistiques/2830613" TargetMode="External"/><Relationship Id="rId13" Type="http://schemas.openxmlformats.org/officeDocument/2006/relationships/hyperlink" Target="https://www.performance-publique.budget.gouv.fr/budget-comptes-etat/budget-etat/approfondir/recettes-etat/recettes-fiscales" TargetMode="External"/><Relationship Id="rId24" Type="http://schemas.openxmlformats.org/officeDocument/2006/relationships/drawing" Target="../drawings/drawing1.xml"/><Relationship Id="rId12" Type="http://schemas.openxmlformats.org/officeDocument/2006/relationships/hyperlink" Target="https://www.insee.fr/fr/statistiques/2416808" TargetMode="External"/><Relationship Id="rId23" Type="http://schemas.openxmlformats.org/officeDocument/2006/relationships/hyperlink" Target="https://fr.statista.com/statistiques/486554/consommation-de-carburant-moyenne-voiture-france/" TargetMode="External"/><Relationship Id="rId1" Type="http://schemas.openxmlformats.org/officeDocument/2006/relationships/hyperlink" Target="https://www.fournisseurs-electricite.com/france/169-infos/18441-coefficient-de-conversion-du-gaz" TargetMode="External"/><Relationship Id="rId2" Type="http://schemas.openxmlformats.org/officeDocument/2006/relationships/hyperlink" Target="http://www.statistiques.developpement-durable.gouv.fr/fileadmin/documents/Produits_editoriaux/Publications/Datalab_essentiel/2017/datalab-essentiel-124-ventes-de-produits-petroliers-en-2016-nov2017.pdf" TargetMode="External"/><Relationship Id="rId3" Type="http://schemas.openxmlformats.org/officeDocument/2006/relationships/hyperlink" Target="https://www.insee.fr/fr/statistiques/2119673" TargetMode="External"/><Relationship Id="rId4" Type="http://schemas.openxmlformats.org/officeDocument/2006/relationships/hyperlink" Target="https://www.cpdp.org/fr/le-marche-petrolier" TargetMode="External"/><Relationship Id="rId9" Type="http://schemas.openxmlformats.org/officeDocument/2006/relationships/hyperlink" Target="https://www.insee.fr/fr/statistiques/1892086?sommaire=1912926" TargetMode="External"/><Relationship Id="rId15" Type="http://schemas.openxmlformats.org/officeDocument/2006/relationships/hyperlink" Target="https://www.ccomptes.fr/sites/default/files/EzPublish/20151216-rapport-Fouilleron-TVA-et-depenses-publiques.pdf" TargetMode="External"/><Relationship Id="rId14" Type="http://schemas.openxmlformats.org/officeDocument/2006/relationships/hyperlink" Target="http://www2.impots.gouv.fr/documentation/statistiques/annuaire2013/tab101_2013.xls" TargetMode="External"/><Relationship Id="rId17" Type="http://schemas.openxmlformats.org/officeDocument/2006/relationships/hyperlink" Target="https://selectra.info/energie/guides/tarifs/gaz/base-b0-b1-b2i-b2s-tel" TargetMode="External"/><Relationship Id="rId16" Type="http://schemas.openxmlformats.org/officeDocument/2006/relationships/hyperlink" Target="http://bilans-ges.ademe.fr" TargetMode="External"/><Relationship Id="rId5" Type="http://schemas.openxmlformats.org/officeDocument/2006/relationships/hyperlink" Target="http://www.grtgaz.com/fileadmin/medias/communiques/2018/FR/Presentation-bilan-gaz-2017.pdf" TargetMode="External"/><Relationship Id="rId19" Type="http://schemas.openxmlformats.org/officeDocument/2006/relationships/hyperlink" Target="https://www.ecologique-solidaire.gouv.fr/sites/default/files/Projet%20strategie%20nationale%20bas%20carbone.pdf" TargetMode="External"/><Relationship Id="rId6" Type="http://schemas.openxmlformats.org/officeDocument/2006/relationships/hyperlink" Target="https://carbu.com/france/index.php/prixmoyens" TargetMode="External"/><Relationship Id="rId18" Type="http://schemas.openxmlformats.org/officeDocument/2006/relationships/hyperlink" Target="https://argent.boursier.com/quotidien/actualites/tout-savoir-sur-les-baremes-pour-beneficier-du-cheque-energie-4865.html" TargetMode="External"/><Relationship Id="rId7" Type="http://schemas.openxmlformats.org/officeDocument/2006/relationships/hyperlink" Target="http://www.prix-carburants.developpement-durable.gouv.fr/petrole/se_cons_fr.htm" TargetMode="External"/><Relationship Id="rId8" Type="http://schemas.openxmlformats.org/officeDocument/2006/relationships/hyperlink" Target="https://www.ecologique-solidaire.gouv.fr/fiscalite-des-energies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insee.fr/fr/statistiques/2381474" TargetMode="External"/><Relationship Id="rId10" Type="http://schemas.openxmlformats.org/officeDocument/2006/relationships/hyperlink" Target="https://www.insee.fr/fr/statistiques/1892088?sommaire=1912926" TargetMode="External"/><Relationship Id="rId13" Type="http://schemas.openxmlformats.org/officeDocument/2006/relationships/drawing" Target="../drawings/drawing2.xml"/><Relationship Id="rId12" Type="http://schemas.openxmlformats.org/officeDocument/2006/relationships/hyperlink" Target="https://www.insee.fr/fr/statistiques/3568823?sommaire=3568833&amp;geo=METRO-1" TargetMode="External"/><Relationship Id="rId1" Type="http://schemas.openxmlformats.org/officeDocument/2006/relationships/hyperlink" Target="https://fr.wikipedia.org/wiki/%C3%8Ele-de-France" TargetMode="External"/><Relationship Id="rId2" Type="http://schemas.openxmlformats.org/officeDocument/2006/relationships/hyperlink" Target="https://fr.wikipedia.org/wiki/Bourgogne-Franche-Comt%C3%A9" TargetMode="External"/><Relationship Id="rId3" Type="http://schemas.openxmlformats.org/officeDocument/2006/relationships/hyperlink" Target="https://fr.wikipedia.org/wiki/Pays_de_la_Loire" TargetMode="External"/><Relationship Id="rId4" Type="http://schemas.openxmlformats.org/officeDocument/2006/relationships/hyperlink" Target="https://fr.wikipedia.org/wiki/Normandie_(r%C3%A9gion_administrative)" TargetMode="External"/><Relationship Id="rId9" Type="http://schemas.openxmlformats.org/officeDocument/2006/relationships/hyperlink" Target="https://www.insee.fr/fr/statistiques/1280970" TargetMode="External"/><Relationship Id="rId5" Type="http://schemas.openxmlformats.org/officeDocument/2006/relationships/hyperlink" Target="https://fr.wikipedia.org/wiki/Auvergne-Rh%C3%B4ne-Alpes" TargetMode="External"/><Relationship Id="rId6" Type="http://schemas.openxmlformats.org/officeDocument/2006/relationships/hyperlink" Target="https://fr.wikipedia.org/wiki/Provence-Alpes-C%C3%B4te_d%27Azur" TargetMode="External"/><Relationship Id="rId7" Type="http://schemas.openxmlformats.org/officeDocument/2006/relationships/hyperlink" Target="https://www.insee.fr/fr/statistiques/2381478" TargetMode="External"/><Relationship Id="rId8" Type="http://schemas.openxmlformats.org/officeDocument/2006/relationships/hyperlink" Target="https://www.insee.fr/fr/statistiques/1893198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egifrance.gouv.fr/affichCodeArticle.do;jsessionid=4337AF4921843AB2063817AB97F65FAB.tplgfr21s_1?idArticle=LEGIARTI000037094636&amp;cidTexte=LEGITEXT000006071570&amp;categorieLien=id&amp;dateTexte=" TargetMode="External"/><Relationship Id="rId2" Type="http://schemas.openxmlformats.org/officeDocument/2006/relationships/hyperlink" Target="https://www.ecologique-solidaire.gouv.fr/fiscalite-des-energies" TargetMode="External"/><Relationship Id="rId3" Type="http://schemas.openxmlformats.org/officeDocument/2006/relationships/hyperlink" Target="https://www.legifrance.gouv.fr/affichCodeArticle.do?cidTexte=LEGITEXT000006071570&amp;idArticle=LEGIARTI000006615168&amp;dateTexte=&amp;categorieLien=cid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nsee.fr/fr/statistiques/1892086?sommaire=1912926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nonaugazdeschistelyon.files.wordpress.com/2018/02/france-tm-05_02_2018.pdf" TargetMode="External"/><Relationship Id="rId2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17.71"/>
    <col customWidth="1" min="2" max="2" width="9.0"/>
    <col customWidth="1" min="3" max="3" width="15.86"/>
    <col customWidth="1" min="4" max="4" width="14.0"/>
    <col customWidth="1" min="5" max="5" width="10.57"/>
    <col customWidth="1" min="6" max="6" width="12.43"/>
    <col customWidth="1" min="10" max="10" width="20.86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>
        <v>2014.0</v>
      </c>
      <c r="R1" s="2">
        <v>2015.0</v>
      </c>
      <c r="S1" s="2">
        <v>2016.0</v>
      </c>
      <c r="T1" s="2">
        <v>2017.0</v>
      </c>
      <c r="U1" s="2">
        <v>2018.0</v>
      </c>
      <c r="V1" s="2">
        <v>2019.0</v>
      </c>
      <c r="W1" s="2">
        <v>2020.0</v>
      </c>
      <c r="X1" s="2">
        <v>2021.0</v>
      </c>
      <c r="Y1" s="2">
        <v>2022.0</v>
      </c>
      <c r="Z1" s="2" t="s">
        <v>16</v>
      </c>
      <c r="AA1" s="3" t="s">
        <v>17</v>
      </c>
      <c r="AB1" s="3" t="s">
        <v>18</v>
      </c>
      <c r="AC1" s="3" t="s">
        <v>19</v>
      </c>
      <c r="AD1" s="3" t="s">
        <v>20</v>
      </c>
      <c r="AE1" s="3" t="s">
        <v>22</v>
      </c>
      <c r="AF1" s="3" t="s">
        <v>23</v>
      </c>
      <c r="AG1" s="3" t="s">
        <v>24</v>
      </c>
      <c r="AH1" s="3" t="s">
        <v>25</v>
      </c>
      <c r="AI1" s="3" t="s">
        <v>26</v>
      </c>
      <c r="AJ1" s="3" t="s">
        <v>17</v>
      </c>
      <c r="AK1" s="3" t="s">
        <v>18</v>
      </c>
      <c r="AL1" s="3" t="s">
        <v>19</v>
      </c>
      <c r="AM1" s="3" t="s">
        <v>20</v>
      </c>
      <c r="AN1" s="3" t="s">
        <v>22</v>
      </c>
      <c r="AO1" s="3" t="s">
        <v>23</v>
      </c>
      <c r="AP1" s="3" t="s">
        <v>24</v>
      </c>
      <c r="AQ1" s="3" t="s">
        <v>25</v>
      </c>
      <c r="AR1" s="3" t="s">
        <v>26</v>
      </c>
    </row>
    <row r="2">
      <c r="A2" s="5" t="s">
        <v>32</v>
      </c>
      <c r="B2" s="3" t="s">
        <v>45</v>
      </c>
      <c r="C2" s="3">
        <v>0.205</v>
      </c>
      <c r="D2" s="3">
        <v>0.0651</v>
      </c>
      <c r="E2">
        <f t="shared" ref="E2:E10" si="3">C2*$B$17/1000</f>
        <v>0.01025</v>
      </c>
      <c r="F2" s="10">
        <f t="shared" ref="F2:F10" si="4">E2/D2</f>
        <v>0.1574500768</v>
      </c>
      <c r="I2" s="3">
        <v>232.0</v>
      </c>
      <c r="J2" s="3">
        <v>679.0</v>
      </c>
      <c r="M2" s="3">
        <v>1104.0</v>
      </c>
      <c r="O2" s="3"/>
      <c r="P2" s="3">
        <v>0.0</v>
      </c>
      <c r="Q2" s="3">
        <v>1.27</v>
      </c>
      <c r="R2" s="3">
        <v>2.64</v>
      </c>
      <c r="S2" s="3">
        <v>4.34</v>
      </c>
      <c r="T2" s="3">
        <v>5.88</v>
      </c>
      <c r="U2" s="3">
        <v>8.45</v>
      </c>
      <c r="V2" s="3">
        <v>10.34</v>
      </c>
      <c r="W2" s="3">
        <v>12.24</v>
      </c>
      <c r="X2" s="3">
        <v>14.13</v>
      </c>
      <c r="Y2" s="3">
        <v>16.02</v>
      </c>
      <c r="Z2" s="11">
        <f t="shared" ref="Z2:Z4" si="5">AVERAGE(AE2:AI2)</f>
        <v>0.1820308238</v>
      </c>
      <c r="AA2" s="3">
        <f t="shared" ref="AA2:AI2" si="1">(Q2-P2)/(Q$17-P$17)</f>
        <v>0.1814285714</v>
      </c>
      <c r="AB2" s="3">
        <f t="shared" si="1"/>
        <v>0.1826666667</v>
      </c>
      <c r="AC2" s="3">
        <f t="shared" si="1"/>
        <v>0.2266666667</v>
      </c>
      <c r="AD2" s="3">
        <f t="shared" si="1"/>
        <v>0.1811764706</v>
      </c>
      <c r="AE2" s="3">
        <f t="shared" si="1"/>
        <v>0.1822695035</v>
      </c>
      <c r="AF2" s="3">
        <f t="shared" si="1"/>
        <v>0.1817307692</v>
      </c>
      <c r="AG2" s="3">
        <f t="shared" si="1"/>
        <v>0.1826923077</v>
      </c>
      <c r="AH2" s="3">
        <f t="shared" si="1"/>
        <v>0.1817307692</v>
      </c>
      <c r="AI2" s="3">
        <f t="shared" si="1"/>
        <v>0.1817307692</v>
      </c>
      <c r="AJ2">
        <f t="shared" ref="AJ2:AR2" si="2">(Q2-$P2)/Q$17</f>
        <v>0.1814285714</v>
      </c>
      <c r="AK2">
        <f t="shared" si="2"/>
        <v>0.1820689655</v>
      </c>
      <c r="AL2">
        <f t="shared" si="2"/>
        <v>0.1972727273</v>
      </c>
      <c r="AM2">
        <f t="shared" si="2"/>
        <v>0.1927868852</v>
      </c>
      <c r="AN2">
        <f t="shared" si="2"/>
        <v>0.1894618834</v>
      </c>
      <c r="AO2">
        <f t="shared" si="2"/>
        <v>0.188</v>
      </c>
      <c r="AP2">
        <f t="shared" si="2"/>
        <v>0.1871559633</v>
      </c>
      <c r="AQ2">
        <f t="shared" si="2"/>
        <v>0.1864116095</v>
      </c>
      <c r="AR2">
        <f t="shared" si="2"/>
        <v>0.1858468677</v>
      </c>
    </row>
    <row r="3">
      <c r="A3" s="6" t="s">
        <v>62</v>
      </c>
      <c r="B3" s="3" t="s">
        <v>45</v>
      </c>
      <c r="C3" s="3">
        <v>0.205</v>
      </c>
      <c r="D3" s="3">
        <v>0.0687</v>
      </c>
      <c r="E3">
        <f t="shared" si="3"/>
        <v>0.01025</v>
      </c>
      <c r="F3" s="10">
        <f t="shared" si="4"/>
        <v>0.1491994178</v>
      </c>
      <c r="I3" s="3">
        <v>232.0</v>
      </c>
      <c r="J3" s="3">
        <v>679.0</v>
      </c>
      <c r="K3" s="3">
        <v>1104.0</v>
      </c>
      <c r="O3" s="3"/>
      <c r="P3" s="3">
        <v>0.0</v>
      </c>
      <c r="Q3" s="3">
        <v>1.27</v>
      </c>
      <c r="R3" s="3">
        <v>2.64</v>
      </c>
      <c r="S3" s="3">
        <v>4.34</v>
      </c>
      <c r="T3" s="3">
        <v>5.88</v>
      </c>
      <c r="U3" s="3">
        <v>8.45</v>
      </c>
      <c r="V3" s="3">
        <v>10.34</v>
      </c>
      <c r="W3" s="3">
        <v>12.24</v>
      </c>
      <c r="X3" s="3">
        <v>14.13</v>
      </c>
      <c r="Y3" s="3">
        <v>16.02</v>
      </c>
      <c r="Z3" s="11">
        <f t="shared" si="5"/>
        <v>0.1820308238</v>
      </c>
      <c r="AA3" s="3">
        <f t="shared" ref="AA3:AI3" si="6">(Q3-P3)/(Q$17-P$17)</f>
        <v>0.1814285714</v>
      </c>
      <c r="AB3" s="3">
        <f t="shared" si="6"/>
        <v>0.1826666667</v>
      </c>
      <c r="AC3" s="3">
        <f t="shared" si="6"/>
        <v>0.2266666667</v>
      </c>
      <c r="AD3" s="3">
        <f t="shared" si="6"/>
        <v>0.1811764706</v>
      </c>
      <c r="AE3" s="3">
        <f t="shared" si="6"/>
        <v>0.1822695035</v>
      </c>
      <c r="AF3" s="3">
        <f t="shared" si="6"/>
        <v>0.1817307692</v>
      </c>
      <c r="AG3" s="3">
        <f t="shared" si="6"/>
        <v>0.1826923077</v>
      </c>
      <c r="AH3" s="3">
        <f t="shared" si="6"/>
        <v>0.1817307692</v>
      </c>
      <c r="AI3" s="3">
        <f t="shared" si="6"/>
        <v>0.1817307692</v>
      </c>
      <c r="AJ3">
        <f t="shared" ref="AJ3:AR3" si="7">(Q3-$P3)/Q$17</f>
        <v>0.1814285714</v>
      </c>
      <c r="AK3">
        <f t="shared" si="7"/>
        <v>0.1820689655</v>
      </c>
      <c r="AL3">
        <f t="shared" si="7"/>
        <v>0.1972727273</v>
      </c>
      <c r="AM3">
        <f t="shared" si="7"/>
        <v>0.1927868852</v>
      </c>
      <c r="AN3">
        <f t="shared" si="7"/>
        <v>0.1894618834</v>
      </c>
      <c r="AO3">
        <f t="shared" si="7"/>
        <v>0.188</v>
      </c>
      <c r="AP3">
        <f t="shared" si="7"/>
        <v>0.1871559633</v>
      </c>
      <c r="AQ3">
        <f t="shared" si="7"/>
        <v>0.1864116095</v>
      </c>
      <c r="AR3">
        <f t="shared" si="7"/>
        <v>0.1858468677</v>
      </c>
    </row>
    <row r="4">
      <c r="A4" s="6" t="s">
        <v>89</v>
      </c>
      <c r="B4" s="3" t="s">
        <v>45</v>
      </c>
      <c r="C4" s="3">
        <v>0.205</v>
      </c>
      <c r="D4" s="3">
        <f>(D2+D3)/2</f>
        <v>0.0669</v>
      </c>
      <c r="E4" s="13">
        <f t="shared" si="3"/>
        <v>0.01025</v>
      </c>
      <c r="F4" s="14">
        <f t="shared" si="4"/>
        <v>0.1532137519</v>
      </c>
      <c r="G4">
        <f>463*10^9</f>
        <v>463000000000</v>
      </c>
      <c r="H4" s="3"/>
      <c r="I4" s="3">
        <v>232.0</v>
      </c>
      <c r="J4" s="3">
        <v>679.0</v>
      </c>
      <c r="K4" s="3">
        <v>1104.0</v>
      </c>
      <c r="L4">
        <f>K4*10^9/G4</f>
        <v>2.384449244</v>
      </c>
      <c r="M4" s="16">
        <f t="shared" ref="M4:M9" si="10">G4*Z4*$B$17/10^12</f>
        <v>4.214013571</v>
      </c>
      <c r="N4" s="3">
        <v>0.15</v>
      </c>
      <c r="O4" s="17">
        <f t="shared" ref="O4:O5" si="11">M4*(1-N4*F4)</f>
        <v>4.117166846</v>
      </c>
      <c r="P4" s="3">
        <v>0.0</v>
      </c>
      <c r="Q4" s="3">
        <v>1.27</v>
      </c>
      <c r="R4" s="3">
        <v>2.64</v>
      </c>
      <c r="S4" s="3">
        <v>4.34</v>
      </c>
      <c r="T4" s="3">
        <v>5.88</v>
      </c>
      <c r="U4" s="3">
        <v>8.45</v>
      </c>
      <c r="V4" s="3">
        <v>10.34</v>
      </c>
      <c r="W4" s="3">
        <v>12.24</v>
      </c>
      <c r="X4" s="3">
        <v>14.13</v>
      </c>
      <c r="Y4" s="3">
        <v>16.02</v>
      </c>
      <c r="Z4" s="18">
        <f t="shared" si="5"/>
        <v>0.1820308238</v>
      </c>
      <c r="AA4" s="3">
        <f t="shared" ref="AA4:AI4" si="8">(Q4-P4)/(Q$17-P$17)</f>
        <v>0.1814285714</v>
      </c>
      <c r="AB4" s="3">
        <f t="shared" si="8"/>
        <v>0.1826666667</v>
      </c>
      <c r="AC4" s="3">
        <f t="shared" si="8"/>
        <v>0.2266666667</v>
      </c>
      <c r="AD4" s="3">
        <f t="shared" si="8"/>
        <v>0.1811764706</v>
      </c>
      <c r="AE4" s="3">
        <f t="shared" si="8"/>
        <v>0.1822695035</v>
      </c>
      <c r="AF4" s="3">
        <f t="shared" si="8"/>
        <v>0.1817307692</v>
      </c>
      <c r="AG4" s="3">
        <f t="shared" si="8"/>
        <v>0.1826923077</v>
      </c>
      <c r="AH4" s="3">
        <f t="shared" si="8"/>
        <v>0.1817307692</v>
      </c>
      <c r="AI4" s="3">
        <f t="shared" si="8"/>
        <v>0.1817307692</v>
      </c>
      <c r="AJ4">
        <f t="shared" ref="AJ4:AR4" si="9">(Q4-$P4)/Q$17</f>
        <v>0.1814285714</v>
      </c>
      <c r="AK4">
        <f t="shared" si="9"/>
        <v>0.1820689655</v>
      </c>
      <c r="AL4">
        <f t="shared" si="9"/>
        <v>0.1972727273</v>
      </c>
      <c r="AM4">
        <f t="shared" si="9"/>
        <v>0.1927868852</v>
      </c>
      <c r="AN4">
        <f t="shared" si="9"/>
        <v>0.1894618834</v>
      </c>
      <c r="AO4">
        <f t="shared" si="9"/>
        <v>0.188</v>
      </c>
      <c r="AP4">
        <f t="shared" si="9"/>
        <v>0.1871559633</v>
      </c>
      <c r="AQ4">
        <f t="shared" si="9"/>
        <v>0.1864116095</v>
      </c>
      <c r="AR4">
        <f t="shared" si="9"/>
        <v>0.1858468677</v>
      </c>
    </row>
    <row r="5">
      <c r="A5" s="6" t="s">
        <v>92</v>
      </c>
      <c r="B5" s="3" t="s">
        <v>93</v>
      </c>
      <c r="C5" s="3">
        <v>3.25</v>
      </c>
      <c r="D5" s="3">
        <v>0.856</v>
      </c>
      <c r="E5" s="13">
        <f t="shared" si="3"/>
        <v>0.1625</v>
      </c>
      <c r="F5" s="14">
        <f t="shared" si="4"/>
        <v>0.1898364486</v>
      </c>
      <c r="G5" s="3">
        <v>7.5E9</v>
      </c>
      <c r="H5" s="3">
        <v>6.3</v>
      </c>
      <c r="I5" s="3">
        <v>424.0</v>
      </c>
      <c r="J5" s="3">
        <v>593.0</v>
      </c>
      <c r="K5" s="3">
        <v>709.0</v>
      </c>
      <c r="L5">
        <f>K5*10^8/G5</f>
        <v>9.453333333</v>
      </c>
      <c r="M5" s="16">
        <f t="shared" si="10"/>
        <v>0.9938369476</v>
      </c>
      <c r="N5" s="3">
        <v>0.15</v>
      </c>
      <c r="O5" s="17">
        <f t="shared" si="11"/>
        <v>0.9655369761</v>
      </c>
      <c r="P5" s="3">
        <v>5.66</v>
      </c>
      <c r="Q5" s="3">
        <v>5.66</v>
      </c>
      <c r="R5" s="3">
        <v>7.64</v>
      </c>
      <c r="S5" s="3">
        <v>9.63</v>
      </c>
      <c r="T5" s="3">
        <v>11.89</v>
      </c>
      <c r="U5" s="3">
        <v>15.62</v>
      </c>
      <c r="V5" s="3">
        <v>18.38</v>
      </c>
      <c r="W5" s="3">
        <v>21.14</v>
      </c>
      <c r="X5" s="3">
        <v>23.89</v>
      </c>
      <c r="Y5" s="3">
        <v>26.65</v>
      </c>
      <c r="Z5" s="18">
        <f t="shared" ref="Z5:Z11" si="14">AVERAGE(AE5:AI5)*10</f>
        <v>2.65023186</v>
      </c>
      <c r="AA5" s="3">
        <f t="shared" ref="AA5:AI5" si="12">(Q5-P5)/(Q$17-P$17)</f>
        <v>0</v>
      </c>
      <c r="AB5" s="3">
        <f t="shared" si="12"/>
        <v>0.264</v>
      </c>
      <c r="AC5" s="3">
        <f t="shared" si="12"/>
        <v>0.2653333333</v>
      </c>
      <c r="AD5" s="3">
        <f t="shared" si="12"/>
        <v>0.2658823529</v>
      </c>
      <c r="AE5" s="3">
        <f t="shared" si="12"/>
        <v>0.2645390071</v>
      </c>
      <c r="AF5" s="3">
        <f t="shared" si="12"/>
        <v>0.2653846154</v>
      </c>
      <c r="AG5" s="3">
        <f t="shared" si="12"/>
        <v>0.2653846154</v>
      </c>
      <c r="AH5" s="3">
        <f t="shared" si="12"/>
        <v>0.2644230769</v>
      </c>
      <c r="AI5" s="3">
        <f t="shared" si="12"/>
        <v>0.2653846154</v>
      </c>
      <c r="AJ5">
        <f t="shared" ref="AJ5:AR5" si="13">(Q5-$P5)/Q$17</f>
        <v>0</v>
      </c>
      <c r="AK5">
        <f t="shared" si="13"/>
        <v>0.1365517241</v>
      </c>
      <c r="AL5">
        <f t="shared" si="13"/>
        <v>0.1804545455</v>
      </c>
      <c r="AM5">
        <f t="shared" si="13"/>
        <v>0.2042622951</v>
      </c>
      <c r="AN5">
        <f t="shared" si="13"/>
        <v>0.2233183857</v>
      </c>
      <c r="AO5">
        <f t="shared" si="13"/>
        <v>0.2312727273</v>
      </c>
      <c r="AP5">
        <f t="shared" si="13"/>
        <v>0.2366972477</v>
      </c>
      <c r="AQ5">
        <f t="shared" si="13"/>
        <v>0.2405013193</v>
      </c>
      <c r="AR5">
        <f t="shared" si="13"/>
        <v>0.2435034803</v>
      </c>
    </row>
    <row r="6">
      <c r="A6" s="6" t="s">
        <v>100</v>
      </c>
      <c r="B6" s="3" t="s">
        <v>93</v>
      </c>
      <c r="C6" s="3">
        <v>2.8</v>
      </c>
      <c r="D6" s="3">
        <v>1.386</v>
      </c>
      <c r="E6">
        <f t="shared" si="3"/>
        <v>0.14</v>
      </c>
      <c r="F6" s="10">
        <f t="shared" si="4"/>
        <v>0.101010101</v>
      </c>
      <c r="G6" s="3">
        <v>3.49694E9</v>
      </c>
      <c r="I6" s="3">
        <v>1846.0</v>
      </c>
      <c r="J6" s="3">
        <v>2017.0</v>
      </c>
      <c r="K6" s="3">
        <v>2180.0</v>
      </c>
      <c r="M6" s="16">
        <f t="shared" si="10"/>
        <v>0.3996274606</v>
      </c>
      <c r="O6" s="17"/>
      <c r="P6" s="3">
        <v>60.69</v>
      </c>
      <c r="Q6" s="3">
        <v>60.69</v>
      </c>
      <c r="R6" s="3">
        <v>62.41</v>
      </c>
      <c r="S6" s="3">
        <v>62.12</v>
      </c>
      <c r="T6" s="3">
        <v>63.07</v>
      </c>
      <c r="U6" s="3">
        <v>66.29</v>
      </c>
      <c r="V6" s="3">
        <v>68.67</v>
      </c>
      <c r="W6" s="3">
        <v>71.05</v>
      </c>
      <c r="X6" s="3">
        <v>73.43</v>
      </c>
      <c r="Y6" s="3">
        <v>75.8</v>
      </c>
      <c r="Z6" s="23">
        <f t="shared" si="14"/>
        <v>2.285583742</v>
      </c>
      <c r="AA6" s="3">
        <f t="shared" ref="AA6:AI6" si="15">(Q6-P6)/(Q$17-P$17)</f>
        <v>0</v>
      </c>
      <c r="AB6" s="3">
        <f t="shared" si="15"/>
        <v>0.2293333333</v>
      </c>
      <c r="AC6" s="3">
        <f t="shared" si="15"/>
        <v>-0.03866666667</v>
      </c>
      <c r="AD6" s="3">
        <f t="shared" si="15"/>
        <v>0.1117647059</v>
      </c>
      <c r="AE6" s="3">
        <f t="shared" si="15"/>
        <v>0.2283687943</v>
      </c>
      <c r="AF6" s="3">
        <f t="shared" si="15"/>
        <v>0.2288461538</v>
      </c>
      <c r="AG6" s="3">
        <f t="shared" si="15"/>
        <v>0.2288461538</v>
      </c>
      <c r="AH6" s="3">
        <f t="shared" si="15"/>
        <v>0.2288461538</v>
      </c>
      <c r="AI6" s="3">
        <f t="shared" si="15"/>
        <v>0.2278846154</v>
      </c>
      <c r="AJ6">
        <f t="shared" ref="AJ6:AR6" si="16">(Q6-$P6)/Q$17</f>
        <v>0</v>
      </c>
      <c r="AK6">
        <f t="shared" si="16"/>
        <v>0.1186206897</v>
      </c>
      <c r="AL6">
        <f t="shared" si="16"/>
        <v>0.065</v>
      </c>
      <c r="AM6">
        <f t="shared" si="16"/>
        <v>0.07803278689</v>
      </c>
      <c r="AN6">
        <f t="shared" si="16"/>
        <v>0.1255605381</v>
      </c>
      <c r="AO6">
        <f t="shared" si="16"/>
        <v>0.1450909091</v>
      </c>
      <c r="AP6">
        <f t="shared" si="16"/>
        <v>0.1584097859</v>
      </c>
      <c r="AQ6">
        <f t="shared" si="16"/>
        <v>0.1680738786</v>
      </c>
      <c r="AR6">
        <f t="shared" si="16"/>
        <v>0.1752900232</v>
      </c>
    </row>
    <row r="7">
      <c r="A7" s="6" t="s">
        <v>91</v>
      </c>
      <c r="B7" s="3" t="s">
        <v>93</v>
      </c>
      <c r="C7" s="3">
        <v>2.8</v>
      </c>
      <c r="D7" s="3">
        <v>1.405</v>
      </c>
      <c r="E7">
        <f t="shared" si="3"/>
        <v>0.14</v>
      </c>
      <c r="F7" s="10">
        <f t="shared" si="4"/>
        <v>0.09964412811</v>
      </c>
      <c r="G7" s="3">
        <v>4.050981E9</v>
      </c>
      <c r="M7" s="16">
        <f t="shared" si="10"/>
        <v>0.4629428157</v>
      </c>
      <c r="O7" s="17"/>
      <c r="P7" s="3">
        <v>60.69</v>
      </c>
      <c r="Q7" s="3">
        <v>60.69</v>
      </c>
      <c r="R7" s="3">
        <v>62.41</v>
      </c>
      <c r="S7" s="3">
        <v>64.12</v>
      </c>
      <c r="T7" s="3">
        <v>65.07</v>
      </c>
      <c r="U7" s="3">
        <v>68.29</v>
      </c>
      <c r="V7" s="3">
        <v>70.67</v>
      </c>
      <c r="W7" s="3">
        <v>73.05</v>
      </c>
      <c r="X7" s="3">
        <v>75.43</v>
      </c>
      <c r="Y7" s="3">
        <v>77.8</v>
      </c>
      <c r="Z7" s="23">
        <f t="shared" si="14"/>
        <v>2.285583742</v>
      </c>
      <c r="AA7" s="3">
        <f t="shared" ref="AA7:AI7" si="17">(Q7-P7)/(Q$17-P$17)</f>
        <v>0</v>
      </c>
      <c r="AB7" s="3">
        <f t="shared" si="17"/>
        <v>0.2293333333</v>
      </c>
      <c r="AC7" s="3">
        <f t="shared" si="17"/>
        <v>0.228</v>
      </c>
      <c r="AD7" s="3">
        <f t="shared" si="17"/>
        <v>0.1117647059</v>
      </c>
      <c r="AE7" s="3">
        <f t="shared" si="17"/>
        <v>0.2283687943</v>
      </c>
      <c r="AF7" s="3">
        <f t="shared" si="17"/>
        <v>0.2288461538</v>
      </c>
      <c r="AG7" s="3">
        <f t="shared" si="17"/>
        <v>0.2288461538</v>
      </c>
      <c r="AH7" s="3">
        <f t="shared" si="17"/>
        <v>0.2288461538</v>
      </c>
      <c r="AI7" s="3">
        <f t="shared" si="17"/>
        <v>0.2278846154</v>
      </c>
      <c r="AJ7">
        <f t="shared" ref="AJ7:AR7" si="18">(Q7-$P7)/Q$17</f>
        <v>0</v>
      </c>
      <c r="AK7">
        <f t="shared" si="18"/>
        <v>0.1186206897</v>
      </c>
      <c r="AL7">
        <f t="shared" si="18"/>
        <v>0.1559090909</v>
      </c>
      <c r="AM7">
        <f t="shared" si="18"/>
        <v>0.1436065574</v>
      </c>
      <c r="AN7">
        <f t="shared" si="18"/>
        <v>0.1704035874</v>
      </c>
      <c r="AO7">
        <f t="shared" si="18"/>
        <v>0.1814545455</v>
      </c>
      <c r="AP7">
        <f t="shared" si="18"/>
        <v>0.1889908257</v>
      </c>
      <c r="AQ7">
        <f t="shared" si="18"/>
        <v>0.1944591029</v>
      </c>
      <c r="AR7">
        <f t="shared" si="18"/>
        <v>0.1984918794</v>
      </c>
    </row>
    <row r="8">
      <c r="A8" s="6" t="s">
        <v>109</v>
      </c>
      <c r="B8" s="3" t="s">
        <v>93</v>
      </c>
      <c r="C8" s="3">
        <v>2.8</v>
      </c>
      <c r="D8" s="3">
        <v>1.471</v>
      </c>
      <c r="E8">
        <f t="shared" si="3"/>
        <v>0.14</v>
      </c>
      <c r="F8" s="10">
        <f t="shared" si="4"/>
        <v>0.09517335146</v>
      </c>
      <c r="G8" s="3">
        <v>2.178507E9</v>
      </c>
      <c r="H8" s="3"/>
      <c r="M8" s="16">
        <f t="shared" si="10"/>
        <v>0.2489580091</v>
      </c>
      <c r="O8" s="17"/>
      <c r="P8" s="3">
        <v>60.69</v>
      </c>
      <c r="Q8" s="3">
        <v>60.69</v>
      </c>
      <c r="R8" s="3">
        <v>62.41</v>
      </c>
      <c r="S8" s="3">
        <v>64.12</v>
      </c>
      <c r="T8" s="3">
        <v>65.07</v>
      </c>
      <c r="U8" s="3">
        <v>68.29</v>
      </c>
      <c r="V8" s="3">
        <v>70.67</v>
      </c>
      <c r="W8" s="3">
        <v>73.05</v>
      </c>
      <c r="X8" s="3">
        <v>75.43</v>
      </c>
      <c r="Y8" s="3">
        <v>77.8</v>
      </c>
      <c r="Z8" s="23">
        <f t="shared" si="14"/>
        <v>2.285583742</v>
      </c>
      <c r="AA8" s="3">
        <f t="shared" ref="AA8:AI8" si="19">(Q8-P8)/(Q$17-P$17)</f>
        <v>0</v>
      </c>
      <c r="AB8" s="3">
        <f t="shared" si="19"/>
        <v>0.2293333333</v>
      </c>
      <c r="AC8" s="3">
        <f t="shared" si="19"/>
        <v>0.228</v>
      </c>
      <c r="AD8" s="3">
        <f t="shared" si="19"/>
        <v>0.1117647059</v>
      </c>
      <c r="AE8" s="3">
        <f t="shared" si="19"/>
        <v>0.2283687943</v>
      </c>
      <c r="AF8" s="3">
        <f t="shared" si="19"/>
        <v>0.2288461538</v>
      </c>
      <c r="AG8" s="3">
        <f t="shared" si="19"/>
        <v>0.2288461538</v>
      </c>
      <c r="AH8" s="3">
        <f t="shared" si="19"/>
        <v>0.2288461538</v>
      </c>
      <c r="AI8" s="3">
        <f t="shared" si="19"/>
        <v>0.2278846154</v>
      </c>
      <c r="AJ8">
        <f t="shared" ref="AJ8:AR8" si="20">(Q8-$P8)/Q$17</f>
        <v>0</v>
      </c>
      <c r="AK8">
        <f t="shared" si="20"/>
        <v>0.1186206897</v>
      </c>
      <c r="AL8">
        <f t="shared" si="20"/>
        <v>0.1559090909</v>
      </c>
      <c r="AM8">
        <f t="shared" si="20"/>
        <v>0.1436065574</v>
      </c>
      <c r="AN8">
        <f t="shared" si="20"/>
        <v>0.1704035874</v>
      </c>
      <c r="AO8">
        <f t="shared" si="20"/>
        <v>0.1814545455</v>
      </c>
      <c r="AP8">
        <f t="shared" si="20"/>
        <v>0.1889908257</v>
      </c>
      <c r="AQ8">
        <f t="shared" si="20"/>
        <v>0.1944591029</v>
      </c>
      <c r="AR8">
        <f t="shared" si="20"/>
        <v>0.1984918794</v>
      </c>
    </row>
    <row r="9">
      <c r="A9" s="6" t="s">
        <v>122</v>
      </c>
      <c r="B9" s="3" t="s">
        <v>93</v>
      </c>
      <c r="C9" s="3">
        <v>2.8</v>
      </c>
      <c r="D9" s="3">
        <f>(D6*G6+D7*G7+D8*G8)/(G6+G7+G8)</f>
        <v>1.412951491</v>
      </c>
      <c r="E9" s="13">
        <f t="shared" si="3"/>
        <v>0.14</v>
      </c>
      <c r="F9" s="10">
        <f t="shared" si="4"/>
        <v>0.09908337329</v>
      </c>
      <c r="G9">
        <f>9822394*1000</f>
        <v>9822394000</v>
      </c>
      <c r="H9" s="3">
        <v>7.7</v>
      </c>
      <c r="I9" s="3">
        <v>5695.0</v>
      </c>
      <c r="J9" s="3">
        <v>5931.0</v>
      </c>
      <c r="K9" s="3">
        <v>6185.0</v>
      </c>
      <c r="L9">
        <f t="shared" ref="L9:L10" si="24">100000000*K9/G9</f>
        <v>62.96835578</v>
      </c>
      <c r="M9" s="16">
        <f t="shared" si="10"/>
        <v>1.122495202</v>
      </c>
      <c r="N9" s="3">
        <v>0.45</v>
      </c>
      <c r="O9" s="17">
        <f t="shared" ref="O9:O10" si="25">M9*(1-N9*F9)</f>
        <v>1.072445927</v>
      </c>
      <c r="P9">
        <f t="shared" ref="P9:Y9" si="21">(P6*$G$6+P7*$G$7+P8*$G$8)/($G$6+$G$7+$G$8)</f>
        <v>60.69</v>
      </c>
      <c r="Q9">
        <f t="shared" si="21"/>
        <v>60.69</v>
      </c>
      <c r="R9">
        <f t="shared" si="21"/>
        <v>62.41</v>
      </c>
      <c r="S9">
        <f t="shared" si="21"/>
        <v>63.40094055</v>
      </c>
      <c r="T9">
        <f t="shared" si="21"/>
        <v>64.35094055</v>
      </c>
      <c r="U9">
        <f t="shared" si="21"/>
        <v>67.57094055</v>
      </c>
      <c r="V9">
        <f t="shared" si="21"/>
        <v>69.95094055</v>
      </c>
      <c r="W9">
        <f t="shared" si="21"/>
        <v>72.33094055</v>
      </c>
      <c r="X9">
        <f t="shared" si="21"/>
        <v>74.71094055</v>
      </c>
      <c r="Y9">
        <f t="shared" si="21"/>
        <v>77.08094055</v>
      </c>
      <c r="Z9" s="18">
        <f t="shared" si="14"/>
        <v>2.285583742</v>
      </c>
      <c r="AA9" s="3">
        <f t="shared" ref="AA9:AI9" si="22">(Q9-P9)/(Q$17-P$17)</f>
        <v>0</v>
      </c>
      <c r="AB9" s="3">
        <f t="shared" si="22"/>
        <v>0.2293333333</v>
      </c>
      <c r="AC9" s="3">
        <f t="shared" si="22"/>
        <v>0.1321254062</v>
      </c>
      <c r="AD9" s="3">
        <f t="shared" si="22"/>
        <v>0.1117647059</v>
      </c>
      <c r="AE9" s="3">
        <f t="shared" si="22"/>
        <v>0.2283687943</v>
      </c>
      <c r="AF9" s="3">
        <f t="shared" si="22"/>
        <v>0.2288461538</v>
      </c>
      <c r="AG9" s="3">
        <f t="shared" si="22"/>
        <v>0.2288461538</v>
      </c>
      <c r="AH9" s="3">
        <f t="shared" si="22"/>
        <v>0.2288461538</v>
      </c>
      <c r="AI9" s="3">
        <f t="shared" si="22"/>
        <v>0.2278846154</v>
      </c>
      <c r="AJ9">
        <f t="shared" ref="AJ9:AR9" si="23">(Q9-$P9)/Q$17</f>
        <v>0</v>
      </c>
      <c r="AK9">
        <f t="shared" si="23"/>
        <v>0.1186206897</v>
      </c>
      <c r="AL9">
        <f t="shared" si="23"/>
        <v>0.1232245703</v>
      </c>
      <c r="AM9">
        <f t="shared" si="23"/>
        <v>0.1200308376</v>
      </c>
      <c r="AN9">
        <f t="shared" si="23"/>
        <v>0.1542811782</v>
      </c>
      <c r="AO9">
        <f t="shared" si="23"/>
        <v>0.1683807372</v>
      </c>
      <c r="AP9">
        <f t="shared" si="23"/>
        <v>0.1779960328</v>
      </c>
      <c r="AQ9">
        <f t="shared" si="23"/>
        <v>0.1849728304</v>
      </c>
      <c r="AR9">
        <f t="shared" si="23"/>
        <v>0.1901501224</v>
      </c>
    </row>
    <row r="10">
      <c r="A10" s="6" t="s">
        <v>94</v>
      </c>
      <c r="B10" s="3" t="s">
        <v>93</v>
      </c>
      <c r="C10" s="3">
        <v>3.16</v>
      </c>
      <c r="D10" s="3">
        <v>1.393</v>
      </c>
      <c r="E10" s="13">
        <f t="shared" si="3"/>
        <v>0.158</v>
      </c>
      <c r="F10" s="10">
        <f t="shared" si="4"/>
        <v>0.1134242642</v>
      </c>
      <c r="G10">
        <f>41173766*1000</f>
        <v>41173766000</v>
      </c>
      <c r="H10" s="3">
        <v>34.7</v>
      </c>
      <c r="I10" s="3">
        <v>17846.0</v>
      </c>
      <c r="J10" s="3">
        <v>19619.0</v>
      </c>
      <c r="K10" s="3">
        <v>20861.0</v>
      </c>
      <c r="L10">
        <f t="shared" si="24"/>
        <v>50.66575644</v>
      </c>
      <c r="M10" s="16">
        <f>G10*Z11*$B$17/10^12</f>
        <v>5.456001323</v>
      </c>
      <c r="N10" s="3">
        <v>0.45</v>
      </c>
      <c r="O10" s="17">
        <f t="shared" si="25"/>
        <v>5.177522002</v>
      </c>
      <c r="P10" s="3">
        <v>42.84</v>
      </c>
      <c r="Q10" s="3">
        <v>42.84</v>
      </c>
      <c r="R10" s="3">
        <v>46.82</v>
      </c>
      <c r="S10" s="3">
        <v>49.81</v>
      </c>
      <c r="T10" s="3">
        <v>53.07</v>
      </c>
      <c r="U10" s="3">
        <v>59.4</v>
      </c>
      <c r="V10" s="3">
        <v>64.76</v>
      </c>
      <c r="W10" s="3">
        <v>70.12</v>
      </c>
      <c r="X10" s="3">
        <v>75.47</v>
      </c>
      <c r="Y10" s="3">
        <v>78.23</v>
      </c>
      <c r="Z10" s="23">
        <f t="shared" si="14"/>
        <v>4.519026187</v>
      </c>
      <c r="AA10" s="3">
        <f t="shared" ref="AA10:AI10" si="26">(Q10-P10)/(Q$17-P$17)</f>
        <v>0</v>
      </c>
      <c r="AB10" s="3">
        <f t="shared" si="26"/>
        <v>0.5306666667</v>
      </c>
      <c r="AC10" s="3">
        <f t="shared" si="26"/>
        <v>0.3986666667</v>
      </c>
      <c r="AD10" s="3">
        <f t="shared" si="26"/>
        <v>0.3835294118</v>
      </c>
      <c r="AE10" s="3">
        <f t="shared" si="26"/>
        <v>0.4489361702</v>
      </c>
      <c r="AF10" s="3">
        <f t="shared" si="26"/>
        <v>0.5153846154</v>
      </c>
      <c r="AG10" s="3">
        <f t="shared" si="26"/>
        <v>0.5153846154</v>
      </c>
      <c r="AH10" s="3">
        <f t="shared" si="26"/>
        <v>0.5144230769</v>
      </c>
      <c r="AI10" s="3">
        <f t="shared" si="26"/>
        <v>0.2653846154</v>
      </c>
      <c r="AJ10">
        <f t="shared" ref="AJ10:AR10" si="27">(Q10-$P10)/Q$17</f>
        <v>0</v>
      </c>
      <c r="AK10">
        <f t="shared" si="27"/>
        <v>0.2744827586</v>
      </c>
      <c r="AL10">
        <f t="shared" si="27"/>
        <v>0.3168181818</v>
      </c>
      <c r="AM10">
        <f t="shared" si="27"/>
        <v>0.3354098361</v>
      </c>
      <c r="AN10">
        <f t="shared" si="27"/>
        <v>0.3713004484</v>
      </c>
      <c r="AO10">
        <f t="shared" si="27"/>
        <v>0.3985454545</v>
      </c>
      <c r="AP10">
        <f t="shared" si="27"/>
        <v>0.4171253823</v>
      </c>
      <c r="AQ10">
        <f t="shared" si="27"/>
        <v>0.430474934</v>
      </c>
      <c r="AR10">
        <f t="shared" si="27"/>
        <v>0.4105568445</v>
      </c>
    </row>
    <row r="11">
      <c r="A11" s="6" t="s">
        <v>142</v>
      </c>
      <c r="B11" s="3"/>
      <c r="C11" s="3"/>
      <c r="D11" s="3"/>
      <c r="F11" s="10"/>
      <c r="H11" s="3"/>
      <c r="P11" s="3">
        <v>42.84</v>
      </c>
      <c r="Q11" s="3">
        <v>42.84</v>
      </c>
      <c r="R11" s="3">
        <v>46.82</v>
      </c>
      <c r="S11" s="3">
        <v>49.81</v>
      </c>
      <c r="T11" s="3">
        <f>53.07-2.6*0</f>
        <v>53.07</v>
      </c>
      <c r="U11" s="3">
        <f>59.4-2.6*1</f>
        <v>56.8</v>
      </c>
      <c r="V11" s="3">
        <f>64.76-2.6*2</f>
        <v>59.56</v>
      </c>
      <c r="W11" s="3">
        <f>70.12-2.6*3</f>
        <v>62.32</v>
      </c>
      <c r="X11" s="3">
        <f>75.47-2.6*4</f>
        <v>65.07</v>
      </c>
      <c r="Y11" s="3">
        <f>78.23-2.6*4</f>
        <v>67.83</v>
      </c>
      <c r="Z11" s="18">
        <f t="shared" si="14"/>
        <v>2.65023186</v>
      </c>
      <c r="AA11" s="3">
        <f t="shared" ref="AA11:AI11" si="28">(Q11-P11)/(Q$17-P$17)</f>
        <v>0</v>
      </c>
      <c r="AB11" s="3">
        <f t="shared" si="28"/>
        <v>0.5306666667</v>
      </c>
      <c r="AC11" s="3">
        <f t="shared" si="28"/>
        <v>0.3986666667</v>
      </c>
      <c r="AD11" s="3">
        <f t="shared" si="28"/>
        <v>0.3835294118</v>
      </c>
      <c r="AE11" s="3">
        <f t="shared" si="28"/>
        <v>0.2645390071</v>
      </c>
      <c r="AF11" s="3">
        <f t="shared" si="28"/>
        <v>0.2653846154</v>
      </c>
      <c r="AG11" s="3">
        <f t="shared" si="28"/>
        <v>0.2653846154</v>
      </c>
      <c r="AH11" s="3">
        <f t="shared" si="28"/>
        <v>0.2644230769</v>
      </c>
      <c r="AI11" s="3">
        <f t="shared" si="28"/>
        <v>0.2653846154</v>
      </c>
      <c r="AJ11">
        <f t="shared" ref="AJ11:AR11" si="29">(Q11-$P11)/Q$17</f>
        <v>0</v>
      </c>
      <c r="AK11">
        <f t="shared" si="29"/>
        <v>0.2744827586</v>
      </c>
      <c r="AL11">
        <f t="shared" si="29"/>
        <v>0.3168181818</v>
      </c>
      <c r="AM11">
        <f t="shared" si="29"/>
        <v>0.3354098361</v>
      </c>
      <c r="AN11">
        <f t="shared" si="29"/>
        <v>0.3130044843</v>
      </c>
      <c r="AO11">
        <f t="shared" si="29"/>
        <v>0.304</v>
      </c>
      <c r="AP11">
        <f t="shared" si="29"/>
        <v>0.2978593272</v>
      </c>
      <c r="AQ11">
        <f t="shared" si="29"/>
        <v>0.2932717678</v>
      </c>
      <c r="AR11">
        <f t="shared" si="29"/>
        <v>0.2899071926</v>
      </c>
    </row>
    <row r="12">
      <c r="A12" s="6" t="s">
        <v>167</v>
      </c>
      <c r="B12" s="3" t="s">
        <v>93</v>
      </c>
      <c r="C12" s="3">
        <v>1.86</v>
      </c>
      <c r="D12" s="3">
        <v>0.86</v>
      </c>
      <c r="E12">
        <f>C12*$B$17/1000</f>
        <v>0.093</v>
      </c>
      <c r="F12" s="10">
        <f>E12/D12</f>
        <v>0.1081395349</v>
      </c>
      <c r="H12" s="3">
        <v>1.8</v>
      </c>
      <c r="AB12" s="3" t="s">
        <v>169</v>
      </c>
      <c r="AK12" s="3" t="s">
        <v>170</v>
      </c>
    </row>
    <row r="13">
      <c r="A13" s="3" t="s">
        <v>171</v>
      </c>
      <c r="J13" s="3"/>
      <c r="K13" s="3"/>
      <c r="L13" s="3"/>
      <c r="M13" s="16">
        <f>M10+M9+M5+M4</f>
        <v>11.78634704</v>
      </c>
      <c r="N13" s="3"/>
      <c r="O13" s="16">
        <f>O10+O9+O5+O4</f>
        <v>11.33267175</v>
      </c>
    </row>
    <row r="14">
      <c r="A14" s="3" t="s">
        <v>173</v>
      </c>
      <c r="I14" s="2"/>
      <c r="J14" s="2"/>
      <c r="K14" s="3"/>
      <c r="L14" s="3"/>
      <c r="M14" s="17">
        <f>M9+M10</f>
        <v>6.578496525</v>
      </c>
      <c r="O14" s="17">
        <f>O9+O10</f>
        <v>6.249967929</v>
      </c>
    </row>
    <row r="15">
      <c r="A15" s="3" t="s">
        <v>179</v>
      </c>
      <c r="I15" s="2"/>
      <c r="J15" s="2"/>
      <c r="K15" s="3"/>
      <c r="L15" s="3"/>
      <c r="M15" s="17">
        <f>M4+M5</f>
        <v>5.207850518</v>
      </c>
      <c r="O15" s="17">
        <f>O4+O5</f>
        <v>5.082703822</v>
      </c>
    </row>
    <row r="16">
      <c r="I16" s="2" t="s">
        <v>181</v>
      </c>
      <c r="J16" s="2" t="s">
        <v>182</v>
      </c>
      <c r="K16" s="3" t="s">
        <v>183</v>
      </c>
      <c r="L16" s="3" t="s">
        <v>184</v>
      </c>
      <c r="M16" s="3" t="s">
        <v>185</v>
      </c>
      <c r="N16" s="3" t="s">
        <v>186</v>
      </c>
      <c r="O16" s="3" t="s">
        <v>187</v>
      </c>
    </row>
    <row r="17">
      <c r="A17" s="2" t="s">
        <v>188</v>
      </c>
      <c r="B17" s="2">
        <v>50.0</v>
      </c>
      <c r="I17" s="3" t="s">
        <v>189</v>
      </c>
      <c r="J17" s="3" t="s">
        <v>190</v>
      </c>
      <c r="K17" s="32">
        <f t="shared" ref="K17:O17" si="30">K18+K19</f>
        <v>1157.996747</v>
      </c>
      <c r="L17" s="32">
        <f t="shared" si="30"/>
        <v>1024.368961</v>
      </c>
      <c r="M17" s="32">
        <f t="shared" si="30"/>
        <v>818.0925923</v>
      </c>
      <c r="N17" s="32">
        <f t="shared" si="30"/>
        <v>654.4740738</v>
      </c>
      <c r="O17" s="32">
        <f t="shared" si="30"/>
        <v>327.2370369</v>
      </c>
      <c r="Q17" s="3">
        <v>7.0</v>
      </c>
      <c r="R17" s="3">
        <v>14.5</v>
      </c>
      <c r="S17" s="3">
        <v>22.0</v>
      </c>
      <c r="T17" s="3">
        <v>30.5</v>
      </c>
      <c r="U17" s="3">
        <v>44.6</v>
      </c>
      <c r="V17" s="3">
        <v>55.0</v>
      </c>
      <c r="W17" s="3">
        <v>65.4</v>
      </c>
      <c r="X17" s="3">
        <v>75.8</v>
      </c>
      <c r="Y17" s="3">
        <v>86.2</v>
      </c>
    </row>
    <row r="18">
      <c r="A18" s="3" t="s">
        <v>194</v>
      </c>
      <c r="B18" s="3">
        <v>11.2</v>
      </c>
      <c r="C18" s="27" t="s">
        <v>195</v>
      </c>
      <c r="J18" s="3" t="s">
        <v>198</v>
      </c>
      <c r="K18" s="32">
        <f>10^9*($M$14)/(1*0.2*$G$20)</f>
        <v>646.3306698</v>
      </c>
      <c r="L18" s="32">
        <f>10^9*($M$14)/(1*0.3*$G$20)</f>
        <v>430.8871132</v>
      </c>
      <c r="M18" s="32">
        <f>10^9*($M$14)/(1*0.4*$B$21)</f>
        <v>562.2595535</v>
      </c>
      <c r="N18" s="32">
        <f>10^9*($M$14)/(1*0.5*$B$21)</f>
        <v>449.8076428</v>
      </c>
      <c r="O18" s="32">
        <f>10^9*($M$14)/(1*$B$21)</f>
        <v>224.9038214</v>
      </c>
    </row>
    <row r="19">
      <c r="A19" s="3" t="s">
        <v>221</v>
      </c>
      <c r="B19" s="3" t="s">
        <v>222</v>
      </c>
      <c r="J19" s="3" t="s">
        <v>223</v>
      </c>
      <c r="K19" s="32">
        <f>10^9*($M$15)/(1*0.2*$G$20)</f>
        <v>511.6660776</v>
      </c>
      <c r="L19" s="32">
        <f>10^9*($M$15)/(1*0.3*$B$21)</f>
        <v>593.4818482</v>
      </c>
      <c r="M19" s="32">
        <f>10^9*($M$15)/(1*0.4*$G$20)</f>
        <v>255.8330388</v>
      </c>
      <c r="N19" s="32">
        <f>10^9*($M$15)/(1*0.5*$G$20)</f>
        <v>204.666431</v>
      </c>
      <c r="O19" s="32">
        <f>10^9*($M$15)/(1*$G$20)</f>
        <v>102.3332155</v>
      </c>
    </row>
    <row r="20">
      <c r="A20" s="3" t="s">
        <v>225</v>
      </c>
      <c r="B20" s="3">
        <v>6.7186638E7</v>
      </c>
      <c r="C20" s="3" t="s">
        <v>226</v>
      </c>
      <c r="D20" s="3">
        <v>6.60743E7</v>
      </c>
      <c r="E20" s="3" t="s">
        <v>227</v>
      </c>
      <c r="G20" s="3">
        <v>5.0891106E7</v>
      </c>
      <c r="I20" s="3" t="s">
        <v>228</v>
      </c>
      <c r="J20" s="3" t="s">
        <v>190</v>
      </c>
      <c r="K20" s="38">
        <f t="shared" ref="K20:O20" si="31">K21+K22</f>
        <v>1113.423606</v>
      </c>
      <c r="L20" s="38">
        <f t="shared" si="31"/>
        <v>742.282404</v>
      </c>
      <c r="M20" s="38">
        <f t="shared" si="31"/>
        <v>556.711803</v>
      </c>
      <c r="N20" s="38">
        <f t="shared" si="31"/>
        <v>445.3694424</v>
      </c>
      <c r="O20" s="38">
        <f t="shared" si="31"/>
        <v>222.6847212</v>
      </c>
      <c r="Q20" s="2" t="s">
        <v>229</v>
      </c>
      <c r="R20" s="2" t="s">
        <v>230</v>
      </c>
      <c r="S20" s="3" t="s">
        <v>183</v>
      </c>
      <c r="T20" s="3" t="s">
        <v>184</v>
      </c>
      <c r="U20" s="3" t="s">
        <v>185</v>
      </c>
      <c r="V20" s="3" t="s">
        <v>186</v>
      </c>
      <c r="W20" s="3" t="s">
        <v>187</v>
      </c>
    </row>
    <row r="21">
      <c r="A21" s="3" t="s">
        <v>231</v>
      </c>
      <c r="B21">
        <f>D21*B20/D20</f>
        <v>29250265.67</v>
      </c>
      <c r="C21" s="3" t="s">
        <v>226</v>
      </c>
      <c r="D21" s="3">
        <v>2.8766E7</v>
      </c>
      <c r="J21" s="3" t="s">
        <v>198</v>
      </c>
      <c r="K21" s="38">
        <f>10^9*($O$14)/(1*0.2*$G$20)</f>
        <v>614.0530655</v>
      </c>
      <c r="L21" s="38">
        <f>10^9*($O$14)/(1*0.3*$G$20)</f>
        <v>409.3687103</v>
      </c>
      <c r="M21" s="38">
        <f>10^9*($O$14)/(1*0.4*$G$20)</f>
        <v>307.0265327</v>
      </c>
      <c r="N21" s="38">
        <f>10^9*($O$14)/(1*0.5*$G$20)</f>
        <v>245.6212262</v>
      </c>
      <c r="O21" s="38">
        <f>10^9*($O$14)/(1*$G$20)</f>
        <v>122.8106131</v>
      </c>
      <c r="Q21" s="3" t="s">
        <v>189</v>
      </c>
      <c r="R21" s="3" t="s">
        <v>190</v>
      </c>
      <c r="S21" s="32">
        <f t="shared" ref="S21:W21" si="32">S22+S23</f>
        <v>167.8951566</v>
      </c>
      <c r="T21" s="32">
        <f t="shared" si="32"/>
        <v>111.9301044</v>
      </c>
      <c r="U21" s="32">
        <f t="shared" si="32"/>
        <v>83.9475783</v>
      </c>
      <c r="V21" s="32">
        <f t="shared" si="32"/>
        <v>67.15806264</v>
      </c>
      <c r="W21" s="32">
        <f t="shared" si="32"/>
        <v>33.57903132</v>
      </c>
    </row>
    <row r="22">
      <c r="A22" s="3" t="s">
        <v>239</v>
      </c>
      <c r="B22" s="32">
        <f>11040/12</f>
        <v>920</v>
      </c>
      <c r="C22" s="32">
        <f>13900/12</f>
        <v>1158.333333</v>
      </c>
      <c r="D22" s="32">
        <f>16220/12</f>
        <v>1351.666667</v>
      </c>
      <c r="E22" s="32">
        <f>18360/12</f>
        <v>1530</v>
      </c>
      <c r="F22" s="32">
        <f>20520/12</f>
        <v>1710</v>
      </c>
      <c r="J22" s="3" t="s">
        <v>223</v>
      </c>
      <c r="K22" s="38">
        <f>10^9*($O$15)/(1*0.2*$G$20)</f>
        <v>499.3705405</v>
      </c>
      <c r="L22" s="38">
        <f>10^9*($O$15)/(1*0.3*$G$20)</f>
        <v>332.9136937</v>
      </c>
      <c r="M22" s="38">
        <f>10^9*($O$15)/(1*0.4*$G$20)</f>
        <v>249.6852703</v>
      </c>
      <c r="N22" s="38">
        <f>10^9*($O$15)/(1*0.5*$G$20)</f>
        <v>199.7482162</v>
      </c>
      <c r="O22" s="38">
        <f>10^9*($O$15)/(1*$G$20)</f>
        <v>99.87410811</v>
      </c>
      <c r="R22" s="3" t="s">
        <v>198</v>
      </c>
      <c r="S22" s="32">
        <f>10^9*($M$14)/(12*0.2*$B$21)</f>
        <v>93.70992558</v>
      </c>
      <c r="T22" s="32">
        <f>10^9*($M$14)/(12*0.3*$B$21)</f>
        <v>62.47328372</v>
      </c>
      <c r="U22" s="32">
        <f>10^9*($M$14)/(12*0.4*$B$21)</f>
        <v>46.85496279</v>
      </c>
      <c r="V22" s="32">
        <f>10^9*($M$14)/(12*0.5*$B$21)</f>
        <v>37.48397023</v>
      </c>
      <c r="W22" s="32">
        <f>10^9*($M$14)/(12*$B$21)</f>
        <v>18.74198512</v>
      </c>
    </row>
    <row r="23">
      <c r="A23" s="3"/>
      <c r="B23" s="32">
        <f>22880/12</f>
        <v>1906.666667</v>
      </c>
      <c r="C23" s="32">
        <f>25780/12</f>
        <v>2148.333333</v>
      </c>
      <c r="D23" s="32">
        <f>29850/12</f>
        <v>2487.5</v>
      </c>
      <c r="E23" s="32">
        <f>37570/12</f>
        <v>3130.833333</v>
      </c>
      <c r="F23" s="32">
        <f>47010/12</f>
        <v>3917.5</v>
      </c>
      <c r="J23" s="3" t="s">
        <v>242</v>
      </c>
      <c r="K23" s="3">
        <v>1158.0</v>
      </c>
      <c r="L23" s="32">
        <f>16220/12</f>
        <v>1351.666667</v>
      </c>
      <c r="M23" s="32">
        <f>18360/12</f>
        <v>1530</v>
      </c>
      <c r="N23" s="32">
        <f>20520/12</f>
        <v>1710</v>
      </c>
      <c r="R23" s="3" t="s">
        <v>223</v>
      </c>
      <c r="S23" s="32">
        <f>10^9*($M$15)/(12*0.2*$B$21)</f>
        <v>74.18523102</v>
      </c>
      <c r="T23" s="32">
        <f>10^9*($M$15)/(12*0.3*$B$21)</f>
        <v>49.45682068</v>
      </c>
      <c r="U23" s="32">
        <f>10^9*($M$15)/(12*0.4*$B$21)</f>
        <v>37.09261551</v>
      </c>
      <c r="V23" s="32">
        <f>10^9*($M$15)/(12*0.5*$B$21)</f>
        <v>29.67409241</v>
      </c>
      <c r="W23" s="32">
        <f>10^9*($M$15)/(12*$B$21)</f>
        <v>14.8370462</v>
      </c>
    </row>
    <row r="24">
      <c r="A24" s="41" t="s">
        <v>248</v>
      </c>
      <c r="C24" s="3" t="s">
        <v>250</v>
      </c>
      <c r="D24" s="3">
        <v>21.0</v>
      </c>
      <c r="E24" s="3" t="s">
        <v>251</v>
      </c>
      <c r="F24" s="3">
        <f>154.6*0.84</f>
        <v>129.864</v>
      </c>
      <c r="G24" s="3" t="s">
        <v>254</v>
      </c>
      <c r="H24">
        <f>D24*12*G20/10^9</f>
        <v>12.82455871</v>
      </c>
      <c r="I24" s="3" t="s">
        <v>259</v>
      </c>
      <c r="J24">
        <f>H24/F24</f>
        <v>0.09875376326</v>
      </c>
      <c r="K24" s="3" t="s">
        <v>262</v>
      </c>
      <c r="L24">
        <f>20*J24</f>
        <v>1.975075265</v>
      </c>
      <c r="Q24" s="3" t="s">
        <v>228</v>
      </c>
      <c r="R24" s="3" t="s">
        <v>190</v>
      </c>
      <c r="S24" s="38">
        <f t="shared" ref="S24:W24" si="33">S25+S26</f>
        <v>161.4326043</v>
      </c>
      <c r="T24" s="38">
        <f t="shared" si="33"/>
        <v>107.6217362</v>
      </c>
      <c r="U24" s="38">
        <f t="shared" si="33"/>
        <v>80.71630215</v>
      </c>
      <c r="V24" s="38">
        <f t="shared" si="33"/>
        <v>64.57304172</v>
      </c>
      <c r="W24" s="38">
        <f t="shared" si="33"/>
        <v>32.28652086</v>
      </c>
    </row>
    <row r="25">
      <c r="A25" s="3" t="s">
        <v>269</v>
      </c>
      <c r="B25" s="27" t="s">
        <v>270</v>
      </c>
      <c r="J25" s="3" t="s">
        <v>271</v>
      </c>
      <c r="K25" s="3">
        <v>778.0</v>
      </c>
      <c r="L25" s="3">
        <v>1085.0</v>
      </c>
      <c r="M25" s="3">
        <v>1342.0</v>
      </c>
      <c r="N25" s="3">
        <v>1560.0</v>
      </c>
      <c r="O25" s="3">
        <v>2067.0</v>
      </c>
      <c r="R25" s="3" t="s">
        <v>198</v>
      </c>
      <c r="S25" s="38">
        <f>10^9*($O$14)/(12*0.2*$B$21)</f>
        <v>89.03007356</v>
      </c>
      <c r="T25" s="38">
        <f>10^9*($O$14)/(12*0.3*$B$21)</f>
        <v>59.35338237</v>
      </c>
      <c r="U25" s="38">
        <f>10^9*($O$14)/(12*0.4*$B$21)</f>
        <v>44.51503678</v>
      </c>
      <c r="V25" s="38">
        <f>10^9*($O$14)/(12*0.5*$B$21)</f>
        <v>35.61202942</v>
      </c>
      <c r="W25" s="38">
        <f>10^9*($O$14)/(12*$B$21)</f>
        <v>17.80601471</v>
      </c>
    </row>
    <row r="26">
      <c r="A26" s="3" t="s">
        <v>272</v>
      </c>
      <c r="B26" s="27" t="s">
        <v>273</v>
      </c>
      <c r="D26" s="27" t="s">
        <v>274</v>
      </c>
      <c r="F26" s="27" t="s">
        <v>276</v>
      </c>
      <c r="J26" s="3" t="s">
        <v>278</v>
      </c>
      <c r="K26" s="3">
        <v>729.0</v>
      </c>
      <c r="L26" s="3">
        <v>1073.0</v>
      </c>
      <c r="M26" s="3">
        <v>1343.0</v>
      </c>
      <c r="N26" s="3">
        <v>1572.0</v>
      </c>
      <c r="O26" s="3">
        <v>2090.0</v>
      </c>
      <c r="R26" s="3" t="s">
        <v>223</v>
      </c>
      <c r="S26" s="38">
        <f>10^9*($O$15)/(12*0.2*$B$21)</f>
        <v>72.40253075</v>
      </c>
      <c r="T26" s="38">
        <f>10^9*($O$15)/(12*0.3*$B$21)</f>
        <v>48.26835383</v>
      </c>
      <c r="U26" s="38">
        <f>10^9*($O$15)/(12*0.4*$B$21)</f>
        <v>36.20126537</v>
      </c>
      <c r="V26" s="38">
        <f>10^9*($O$15)/(12*0.5*$B$21)</f>
        <v>28.9610123</v>
      </c>
      <c r="W26" s="38">
        <f>10^9*($O$15)/(12*$B$21)</f>
        <v>14.48050615</v>
      </c>
    </row>
    <row r="27">
      <c r="A27" s="3" t="s">
        <v>280</v>
      </c>
      <c r="B27" s="27" t="s">
        <v>281</v>
      </c>
      <c r="I27" s="27" t="s">
        <v>282</v>
      </c>
      <c r="J27" s="3" t="s">
        <v>284</v>
      </c>
      <c r="K27" s="3">
        <v>734.0</v>
      </c>
      <c r="L27" s="3">
        <v>1077.0</v>
      </c>
      <c r="M27" s="3">
        <v>1347.0</v>
      </c>
      <c r="N27" s="3">
        <v>1575.0</v>
      </c>
      <c r="O27" s="3">
        <v>2095.0</v>
      </c>
      <c r="R27" s="3" t="s">
        <v>242</v>
      </c>
      <c r="S27" s="3">
        <v>1158.0</v>
      </c>
      <c r="T27" s="32">
        <f>16220/12</f>
        <v>1351.666667</v>
      </c>
      <c r="U27" s="32">
        <f>18360/12</f>
        <v>1530</v>
      </c>
      <c r="V27" s="32">
        <f>20520/12</f>
        <v>1710</v>
      </c>
    </row>
    <row r="28">
      <c r="A28" s="3" t="s">
        <v>285</v>
      </c>
      <c r="B28" s="27" t="s">
        <v>136</v>
      </c>
      <c r="J28" s="2" t="s">
        <v>288</v>
      </c>
      <c r="K28" s="38">
        <f t="shared" ref="K28:O28" si="34">K27*$B$38</f>
        <v>778.5905512</v>
      </c>
      <c r="L28" s="38">
        <f t="shared" si="34"/>
        <v>1142.427825</v>
      </c>
      <c r="M28" s="38">
        <f t="shared" si="34"/>
        <v>1428.830344</v>
      </c>
      <c r="N28" s="38">
        <f t="shared" si="34"/>
        <v>1670.68136</v>
      </c>
      <c r="O28" s="38">
        <f t="shared" si="34"/>
        <v>2222.271396</v>
      </c>
    </row>
    <row r="29">
      <c r="A29" s="3" t="s">
        <v>289</v>
      </c>
      <c r="B29" s="27" t="s">
        <v>238</v>
      </c>
      <c r="F29" s="27" t="s">
        <v>291</v>
      </c>
      <c r="H29" s="27" t="s">
        <v>292</v>
      </c>
    </row>
    <row r="30">
      <c r="A30" s="3" t="s">
        <v>293</v>
      </c>
      <c r="H30" s="27" t="s">
        <v>294</v>
      </c>
    </row>
    <row r="31">
      <c r="A31" s="3" t="s">
        <v>295</v>
      </c>
      <c r="B31" s="27" t="s">
        <v>296</v>
      </c>
      <c r="F31" s="27" t="s">
        <v>297</v>
      </c>
      <c r="J31" s="27" t="s">
        <v>298</v>
      </c>
    </row>
    <row r="32">
      <c r="A32" s="3" t="s">
        <v>299</v>
      </c>
      <c r="B32" s="27" t="s">
        <v>300</v>
      </c>
    </row>
    <row r="33">
      <c r="A33" s="3" t="s">
        <v>301</v>
      </c>
      <c r="B33" s="27" t="s">
        <v>302</v>
      </c>
      <c r="H33" s="45" t="s">
        <v>303</v>
      </c>
    </row>
    <row r="34">
      <c r="A34" s="3" t="s">
        <v>304</v>
      </c>
      <c r="B34" s="27" t="s">
        <v>305</v>
      </c>
    </row>
    <row r="35">
      <c r="A35" s="3" t="s">
        <v>306</v>
      </c>
      <c r="B35" s="27" t="s">
        <v>307</v>
      </c>
    </row>
    <row r="36">
      <c r="A36" s="3" t="s">
        <v>308</v>
      </c>
      <c r="B36" s="27" t="s">
        <v>309</v>
      </c>
    </row>
    <row r="37">
      <c r="A37" s="3" t="s">
        <v>310</v>
      </c>
      <c r="B37" s="3" t="s">
        <v>311</v>
      </c>
    </row>
    <row r="38">
      <c r="A38" s="3" t="s">
        <v>312</v>
      </c>
      <c r="B38">
        <f>1.015*2246.7/2149.8</f>
        <v>1.06075007</v>
      </c>
      <c r="C38" s="27" t="s">
        <v>313</v>
      </c>
      <c r="E38" s="27" t="s">
        <v>314</v>
      </c>
    </row>
    <row r="39">
      <c r="A39" s="3" t="s">
        <v>315</v>
      </c>
      <c r="B39" s="27" t="s">
        <v>316</v>
      </c>
    </row>
    <row r="41">
      <c r="A41" s="3" t="s">
        <v>317</v>
      </c>
      <c r="B41" s="3" t="s">
        <v>318</v>
      </c>
      <c r="C41" s="3">
        <v>0.125</v>
      </c>
      <c r="D41" s="3" t="s">
        <v>319</v>
      </c>
      <c r="E41" s="3" t="s">
        <v>320</v>
      </c>
    </row>
    <row r="42">
      <c r="A42" s="3" t="s">
        <v>321</v>
      </c>
      <c r="B42" s="3" t="s">
        <v>322</v>
      </c>
      <c r="C42" s="3">
        <v>0.11</v>
      </c>
      <c r="D42" s="3" t="s">
        <v>323</v>
      </c>
      <c r="E42" s="3" t="s">
        <v>324</v>
      </c>
    </row>
  </sheetData>
  <mergeCells count="4">
    <mergeCell ref="I17:I19"/>
    <mergeCell ref="I20:I22"/>
    <mergeCell ref="Q21:Q23"/>
    <mergeCell ref="Q24:Q26"/>
  </mergeCells>
  <hyperlinks>
    <hyperlink r:id="rId1" ref="C18"/>
    <hyperlink r:id="rId2" ref="B25"/>
    <hyperlink r:id="rId3" ref="B26"/>
    <hyperlink r:id="rId4" ref="D26"/>
    <hyperlink r:id="rId5" ref="F26"/>
    <hyperlink r:id="rId6" ref="B27"/>
    <hyperlink r:id="rId7" ref="I27"/>
    <hyperlink r:id="rId8" ref="B28"/>
    <hyperlink r:id="rId9" ref="B29"/>
    <hyperlink r:id="rId10" ref="F29"/>
    <hyperlink r:id="rId11" ref="H29"/>
    <hyperlink r:id="rId12" location="tableau-Donnes" ref="H30"/>
    <hyperlink r:id="rId13" location=".XCfNAcZ7mis" ref="B31"/>
    <hyperlink r:id="rId14" ref="F31"/>
    <hyperlink r:id="rId15" ref="J31"/>
    <hyperlink r:id="rId16" ref="B32"/>
    <hyperlink r:id="rId17" ref="B33"/>
    <hyperlink r:id="rId18" ref="B34"/>
    <hyperlink r:id="rId19" ref="B35"/>
    <hyperlink r:id="rId20" ref="B36"/>
    <hyperlink r:id="rId21" location="tableau-Tableau1" ref="C38"/>
    <hyperlink r:id="rId22" location="titre-croissance" ref="E38"/>
    <hyperlink r:id="rId23" ref="B39"/>
  </hyperlinks>
  <drawing r:id="rId2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4" t="s">
        <v>21</v>
      </c>
      <c r="C1" s="4" t="s">
        <v>36</v>
      </c>
      <c r="D1" s="4" t="s">
        <v>37</v>
      </c>
      <c r="E1" s="4" t="s">
        <v>39</v>
      </c>
      <c r="F1" s="4" t="s">
        <v>40</v>
      </c>
      <c r="G1" s="4" t="s">
        <v>41</v>
      </c>
      <c r="H1" s="4" t="s">
        <v>42</v>
      </c>
      <c r="I1" s="4" t="s">
        <v>43</v>
      </c>
      <c r="J1" s="8" t="s">
        <v>44</v>
      </c>
      <c r="K1" s="9" t="s">
        <v>50</v>
      </c>
      <c r="L1" s="8" t="s">
        <v>51</v>
      </c>
      <c r="M1" s="9" t="s">
        <v>53</v>
      </c>
      <c r="N1" s="8" t="s">
        <v>54</v>
      </c>
      <c r="O1" s="8" t="s">
        <v>57</v>
      </c>
      <c r="P1" s="9" t="s">
        <v>59</v>
      </c>
      <c r="Q1" s="8" t="s">
        <v>60</v>
      </c>
      <c r="R1" s="8" t="s">
        <v>61</v>
      </c>
      <c r="S1" s="4" t="s">
        <v>69</v>
      </c>
      <c r="T1" s="7">
        <v>-20.0</v>
      </c>
      <c r="U1" s="4" t="s">
        <v>70</v>
      </c>
      <c r="V1" s="4" t="s">
        <v>71</v>
      </c>
      <c r="W1" s="4" t="s">
        <v>72</v>
      </c>
      <c r="X1" s="4" t="s">
        <v>73</v>
      </c>
      <c r="Y1" s="4" t="s">
        <v>74</v>
      </c>
      <c r="Z1" s="4" t="s">
        <v>75</v>
      </c>
      <c r="AA1" s="4" t="s">
        <v>76</v>
      </c>
      <c r="AB1" s="4" t="s">
        <v>77</v>
      </c>
      <c r="AC1" s="4" t="s">
        <v>78</v>
      </c>
      <c r="AD1" s="4" t="s">
        <v>79</v>
      </c>
      <c r="AE1" s="4" t="s">
        <v>80</v>
      </c>
      <c r="AF1" s="4" t="s">
        <v>81</v>
      </c>
      <c r="AG1" s="4" t="s">
        <v>82</v>
      </c>
      <c r="AH1" s="4" t="s">
        <v>83</v>
      </c>
      <c r="AI1" s="4" t="s">
        <v>84</v>
      </c>
      <c r="AJ1" s="4" t="s">
        <v>85</v>
      </c>
      <c r="AK1" s="4" t="s">
        <v>86</v>
      </c>
      <c r="AL1" s="4" t="s">
        <v>87</v>
      </c>
    </row>
    <row r="2">
      <c r="A2" s="3" t="s">
        <v>88</v>
      </c>
      <c r="J2" s="3">
        <v>1.2213364E7</v>
      </c>
      <c r="K2" s="3">
        <v>5978266.0</v>
      </c>
      <c r="L2" s="3">
        <f>5518188+2795301</f>
        <v>8313489</v>
      </c>
      <c r="M2" s="3">
        <v>5987014.0</v>
      </c>
      <c r="N2">
        <f>2566759+3786545</f>
        <v>6353304</v>
      </c>
      <c r="O2">
        <f>3329395+3319067</f>
        <v>6648462</v>
      </c>
      <c r="P2" s="3">
        <v>5892817.0</v>
      </c>
      <c r="Q2" s="3">
        <v>8026685.0</v>
      </c>
      <c r="R2">
        <f>5059473</f>
        <v>5059473</v>
      </c>
      <c r="S2" s="3">
        <v>1.3912E7</v>
      </c>
      <c r="T2">
        <f>4145000+3516000+3077000</f>
        <v>10738000</v>
      </c>
      <c r="U2">
        <f>3878000+4498000</f>
        <v>8376000</v>
      </c>
      <c r="V2">
        <f>3260000+15205000</f>
        <v>18465000</v>
      </c>
      <c r="W2" s="3">
        <v>1.0303E7</v>
      </c>
      <c r="X2" s="3">
        <v>3.3450613E7</v>
      </c>
      <c r="Y2" s="3">
        <v>3.1361439E7</v>
      </c>
      <c r="Z2" s="3">
        <v>6233624.0</v>
      </c>
      <c r="AA2" s="3">
        <v>7860624.0</v>
      </c>
      <c r="AB2" s="3">
        <v>1.2900046E7</v>
      </c>
      <c r="AC2" s="3">
        <v>1.2910137E7</v>
      </c>
      <c r="AD2" s="3">
        <v>1.3413337E7</v>
      </c>
      <c r="AE2" s="3"/>
      <c r="AF2" s="3"/>
      <c r="AG2" s="3"/>
      <c r="AH2" s="3"/>
      <c r="AI2" s="3">
        <f>sum(J2:R2)</f>
        <v>64472874</v>
      </c>
      <c r="AJ2" s="3">
        <v>6.4812052E7</v>
      </c>
      <c r="AK2" s="3">
        <v>6.1795E7</v>
      </c>
      <c r="AL2" s="3">
        <f>sum(Z2:AD2)</f>
        <v>53317768</v>
      </c>
    </row>
    <row r="3">
      <c r="A3" s="3" t="s">
        <v>90</v>
      </c>
      <c r="B3" s="15">
        <f>0.008/0.997</f>
        <v>0.008024072217</v>
      </c>
      <c r="C3" s="15">
        <f>0.034/0.997</f>
        <v>0.03410230692</v>
      </c>
      <c r="D3" s="15">
        <f>0.094/0.997</f>
        <v>0.09428284855</v>
      </c>
      <c r="E3" s="15">
        <f>0.136/0.997</f>
        <v>0.1364092277</v>
      </c>
      <c r="F3" s="15">
        <f>0.153/0.997</f>
        <v>0.1534603811</v>
      </c>
      <c r="G3" s="15">
        <f>0.121/0.997</f>
        <v>0.1213640923</v>
      </c>
      <c r="H3" s="15">
        <f>0.327/0.997</f>
        <v>0.3279839519</v>
      </c>
      <c r="I3" s="15">
        <f>0.124/0.997</f>
        <v>0.1243731194</v>
      </c>
      <c r="J3" s="19">
        <f t="shared" ref="J3:R3" si="1">J2/$AI$2</f>
        <v>0.1894341487</v>
      </c>
      <c r="K3" s="19">
        <f t="shared" si="1"/>
        <v>0.09272529095</v>
      </c>
      <c r="L3" s="19">
        <f t="shared" si="1"/>
        <v>0.1289455314</v>
      </c>
      <c r="M3" s="19">
        <f t="shared" si="1"/>
        <v>0.09286097592</v>
      </c>
      <c r="N3" s="19">
        <f t="shared" si="1"/>
        <v>0.09854227997</v>
      </c>
      <c r="O3" s="19">
        <f t="shared" si="1"/>
        <v>0.1031202983</v>
      </c>
      <c r="P3" s="19">
        <f t="shared" si="1"/>
        <v>0.09139994287</v>
      </c>
      <c r="Q3" s="19">
        <f t="shared" si="1"/>
        <v>0.1244970869</v>
      </c>
      <c r="R3" s="19">
        <f t="shared" si="1"/>
        <v>0.07847444493</v>
      </c>
      <c r="S3" s="15">
        <v>0.2165568</v>
      </c>
      <c r="T3" s="15">
        <v>0.1710374</v>
      </c>
      <c r="U3" s="15">
        <v>0.1407523</v>
      </c>
      <c r="V3" s="15">
        <v>0.3083281</v>
      </c>
      <c r="W3" s="15">
        <v>0.1633254</v>
      </c>
      <c r="X3" s="19">
        <f t="shared" ref="X3:Y3" si="2">X2/$AJ$2</f>
        <v>0.5161171722</v>
      </c>
      <c r="Y3" s="19">
        <f t="shared" si="2"/>
        <v>0.4838828278</v>
      </c>
      <c r="Z3" s="19">
        <f t="shared" ref="Z3:AD3" si="3">Z2/$AL$2</f>
        <v>0.1169145715</v>
      </c>
      <c r="AA3" s="19">
        <f t="shared" si="3"/>
        <v>0.1474297274</v>
      </c>
      <c r="AB3" s="19">
        <f t="shared" si="3"/>
        <v>0.2419464746</v>
      </c>
      <c r="AC3" s="19">
        <f t="shared" si="3"/>
        <v>0.2421357361</v>
      </c>
      <c r="AD3" s="19">
        <f t="shared" si="3"/>
        <v>0.2515734905</v>
      </c>
      <c r="AE3" s="15">
        <v>0.301</v>
      </c>
      <c r="AF3" s="15">
        <v>0.246</v>
      </c>
      <c r="AG3" s="15">
        <v>0.168</v>
      </c>
      <c r="AH3" s="15">
        <v>0.285</v>
      </c>
    </row>
    <row r="4">
      <c r="A4" s="3">
        <v>3000.0</v>
      </c>
      <c r="B4">
        <f t="shared" ref="B4:AH4" si="4">ceiling(B$3*$A4)</f>
        <v>25</v>
      </c>
      <c r="C4">
        <f t="shared" si="4"/>
        <v>103</v>
      </c>
      <c r="D4">
        <f t="shared" si="4"/>
        <v>283</v>
      </c>
      <c r="E4">
        <f t="shared" si="4"/>
        <v>410</v>
      </c>
      <c r="F4">
        <f t="shared" si="4"/>
        <v>461</v>
      </c>
      <c r="G4">
        <f t="shared" si="4"/>
        <v>365</v>
      </c>
      <c r="H4">
        <f t="shared" si="4"/>
        <v>984</v>
      </c>
      <c r="I4">
        <f t="shared" si="4"/>
        <v>374</v>
      </c>
      <c r="J4">
        <f t="shared" si="4"/>
        <v>569</v>
      </c>
      <c r="K4">
        <f t="shared" si="4"/>
        <v>279</v>
      </c>
      <c r="L4">
        <f t="shared" si="4"/>
        <v>387</v>
      </c>
      <c r="M4">
        <f t="shared" si="4"/>
        <v>279</v>
      </c>
      <c r="N4">
        <f t="shared" si="4"/>
        <v>296</v>
      </c>
      <c r="O4">
        <f t="shared" si="4"/>
        <v>310</v>
      </c>
      <c r="P4">
        <f t="shared" si="4"/>
        <v>275</v>
      </c>
      <c r="Q4">
        <f t="shared" si="4"/>
        <v>374</v>
      </c>
      <c r="R4">
        <f t="shared" si="4"/>
        <v>236</v>
      </c>
      <c r="S4">
        <f t="shared" si="4"/>
        <v>650</v>
      </c>
      <c r="T4">
        <f t="shared" si="4"/>
        <v>514</v>
      </c>
      <c r="U4">
        <f t="shared" si="4"/>
        <v>423</v>
      </c>
      <c r="V4">
        <f t="shared" si="4"/>
        <v>925</v>
      </c>
      <c r="W4">
        <f t="shared" si="4"/>
        <v>490</v>
      </c>
      <c r="X4">
        <f t="shared" si="4"/>
        <v>1549</v>
      </c>
      <c r="Y4">
        <f t="shared" si="4"/>
        <v>1452</v>
      </c>
      <c r="Z4">
        <f t="shared" si="4"/>
        <v>351</v>
      </c>
      <c r="AA4">
        <f t="shared" si="4"/>
        <v>443</v>
      </c>
      <c r="AB4">
        <f t="shared" si="4"/>
        <v>726</v>
      </c>
      <c r="AC4">
        <f t="shared" si="4"/>
        <v>727</v>
      </c>
      <c r="AD4">
        <f t="shared" si="4"/>
        <v>755</v>
      </c>
      <c r="AE4">
        <f t="shared" si="4"/>
        <v>903</v>
      </c>
      <c r="AF4">
        <f t="shared" si="4"/>
        <v>738</v>
      </c>
      <c r="AG4">
        <f t="shared" si="4"/>
        <v>504</v>
      </c>
      <c r="AH4">
        <f t="shared" si="4"/>
        <v>855</v>
      </c>
    </row>
    <row r="5">
      <c r="A5" s="13">
        <f>3000*1.05</f>
        <v>3150</v>
      </c>
      <c r="B5" s="13">
        <f t="shared" ref="B5:AH5" si="5">ceiling(B$3*$A5)</f>
        <v>26</v>
      </c>
      <c r="C5" s="13">
        <f t="shared" si="5"/>
        <v>108</v>
      </c>
      <c r="D5" s="13">
        <f t="shared" si="5"/>
        <v>297</v>
      </c>
      <c r="E5" s="13">
        <f t="shared" si="5"/>
        <v>430</v>
      </c>
      <c r="F5" s="13">
        <f t="shared" si="5"/>
        <v>484</v>
      </c>
      <c r="G5" s="13">
        <f t="shared" si="5"/>
        <v>383</v>
      </c>
      <c r="H5" s="13">
        <f t="shared" si="5"/>
        <v>1034</v>
      </c>
      <c r="I5" s="13">
        <f t="shared" si="5"/>
        <v>392</v>
      </c>
      <c r="J5" s="13">
        <f t="shared" si="5"/>
        <v>597</v>
      </c>
      <c r="K5" s="13">
        <f t="shared" si="5"/>
        <v>293</v>
      </c>
      <c r="L5" s="13">
        <f t="shared" si="5"/>
        <v>407</v>
      </c>
      <c r="M5" s="13">
        <f t="shared" si="5"/>
        <v>293</v>
      </c>
      <c r="N5" s="13">
        <f t="shared" si="5"/>
        <v>311</v>
      </c>
      <c r="O5" s="13">
        <f t="shared" si="5"/>
        <v>325</v>
      </c>
      <c r="P5" s="13">
        <f t="shared" si="5"/>
        <v>288</v>
      </c>
      <c r="Q5" s="13">
        <f t="shared" si="5"/>
        <v>393</v>
      </c>
      <c r="R5" s="13">
        <f t="shared" si="5"/>
        <v>248</v>
      </c>
      <c r="S5" s="13">
        <f t="shared" si="5"/>
        <v>683</v>
      </c>
      <c r="T5" s="13">
        <f t="shared" si="5"/>
        <v>539</v>
      </c>
      <c r="U5" s="13">
        <f t="shared" si="5"/>
        <v>444</v>
      </c>
      <c r="V5" s="13">
        <f t="shared" si="5"/>
        <v>972</v>
      </c>
      <c r="W5" s="13">
        <f t="shared" si="5"/>
        <v>515</v>
      </c>
      <c r="X5" s="13">
        <f t="shared" si="5"/>
        <v>1626</v>
      </c>
      <c r="Y5" s="13">
        <f t="shared" si="5"/>
        <v>1525</v>
      </c>
      <c r="Z5" s="13">
        <f t="shared" si="5"/>
        <v>369</v>
      </c>
      <c r="AA5" s="13">
        <f t="shared" si="5"/>
        <v>465</v>
      </c>
      <c r="AB5" s="13">
        <f t="shared" si="5"/>
        <v>763</v>
      </c>
      <c r="AC5" s="13">
        <f t="shared" si="5"/>
        <v>763</v>
      </c>
      <c r="AD5" s="13">
        <f t="shared" si="5"/>
        <v>793</v>
      </c>
      <c r="AE5" s="13">
        <f t="shared" si="5"/>
        <v>949</v>
      </c>
      <c r="AF5" s="13">
        <f t="shared" si="5"/>
        <v>775</v>
      </c>
      <c r="AG5" s="13">
        <f t="shared" si="5"/>
        <v>530</v>
      </c>
      <c r="AH5" s="13">
        <f t="shared" si="5"/>
        <v>898</v>
      </c>
    </row>
    <row r="6">
      <c r="A6">
        <f>3000*1.1</f>
        <v>3300</v>
      </c>
      <c r="B6">
        <f t="shared" ref="B6:AH6" si="6">ceiling(B$3*$A6)</f>
        <v>27</v>
      </c>
      <c r="C6">
        <f t="shared" si="6"/>
        <v>113</v>
      </c>
      <c r="D6">
        <f t="shared" si="6"/>
        <v>312</v>
      </c>
      <c r="E6">
        <f t="shared" si="6"/>
        <v>451</v>
      </c>
      <c r="F6">
        <f t="shared" si="6"/>
        <v>507</v>
      </c>
      <c r="G6">
        <f t="shared" si="6"/>
        <v>401</v>
      </c>
      <c r="H6">
        <f t="shared" si="6"/>
        <v>1083</v>
      </c>
      <c r="I6">
        <f t="shared" si="6"/>
        <v>411</v>
      </c>
      <c r="J6">
        <f t="shared" si="6"/>
        <v>626</v>
      </c>
      <c r="K6">
        <f t="shared" si="6"/>
        <v>306</v>
      </c>
      <c r="L6">
        <f t="shared" si="6"/>
        <v>426</v>
      </c>
      <c r="M6">
        <f t="shared" si="6"/>
        <v>307</v>
      </c>
      <c r="N6">
        <f t="shared" si="6"/>
        <v>326</v>
      </c>
      <c r="O6">
        <f t="shared" si="6"/>
        <v>341</v>
      </c>
      <c r="P6">
        <f t="shared" si="6"/>
        <v>302</v>
      </c>
      <c r="Q6">
        <f t="shared" si="6"/>
        <v>411</v>
      </c>
      <c r="R6">
        <f t="shared" si="6"/>
        <v>259</v>
      </c>
      <c r="S6">
        <f t="shared" si="6"/>
        <v>715</v>
      </c>
      <c r="T6">
        <f t="shared" si="6"/>
        <v>565</v>
      </c>
      <c r="U6">
        <f t="shared" si="6"/>
        <v>465</v>
      </c>
      <c r="V6">
        <f t="shared" si="6"/>
        <v>1018</v>
      </c>
      <c r="W6">
        <f t="shared" si="6"/>
        <v>539</v>
      </c>
      <c r="X6">
        <f t="shared" si="6"/>
        <v>1704</v>
      </c>
      <c r="Y6">
        <f t="shared" si="6"/>
        <v>1597</v>
      </c>
      <c r="Z6">
        <f t="shared" si="6"/>
        <v>386</v>
      </c>
      <c r="AA6">
        <f t="shared" si="6"/>
        <v>487</v>
      </c>
      <c r="AB6">
        <f t="shared" si="6"/>
        <v>799</v>
      </c>
      <c r="AC6">
        <f t="shared" si="6"/>
        <v>800</v>
      </c>
      <c r="AD6">
        <f t="shared" si="6"/>
        <v>831</v>
      </c>
      <c r="AE6">
        <f t="shared" si="6"/>
        <v>994</v>
      </c>
      <c r="AF6">
        <f t="shared" si="6"/>
        <v>812</v>
      </c>
      <c r="AG6">
        <f t="shared" si="6"/>
        <v>555</v>
      </c>
      <c r="AH6">
        <f t="shared" si="6"/>
        <v>941</v>
      </c>
    </row>
    <row r="8">
      <c r="A8" s="3" t="s">
        <v>104</v>
      </c>
      <c r="B8" s="3">
        <v>0.0</v>
      </c>
      <c r="C8" s="3">
        <v>0.0</v>
      </c>
      <c r="D8" s="3">
        <v>0.0</v>
      </c>
      <c r="E8" s="3">
        <v>0.0</v>
      </c>
      <c r="F8" s="3">
        <v>115.0</v>
      </c>
      <c r="G8" s="3">
        <v>0.0</v>
      </c>
      <c r="H8" s="3">
        <v>0.0</v>
      </c>
      <c r="I8" s="3">
        <v>0.0</v>
      </c>
      <c r="J8" s="3">
        <v>22.0</v>
      </c>
      <c r="K8" s="3">
        <v>11.0</v>
      </c>
      <c r="L8" s="3">
        <v>16.0</v>
      </c>
      <c r="M8" s="3">
        <v>12.0</v>
      </c>
      <c r="N8" s="3">
        <v>15.0</v>
      </c>
      <c r="O8" s="3">
        <v>12.0</v>
      </c>
      <c r="P8" s="3">
        <v>6.0</v>
      </c>
      <c r="Q8" s="3">
        <v>15.0</v>
      </c>
      <c r="R8" s="3">
        <v>6.0</v>
      </c>
      <c r="S8" s="3">
        <v>35.0</v>
      </c>
      <c r="T8" s="3">
        <v>19.0</v>
      </c>
      <c r="U8" s="3">
        <v>19.0</v>
      </c>
      <c r="V8" s="3">
        <v>22.0</v>
      </c>
      <c r="W8" s="3">
        <v>20.0</v>
      </c>
      <c r="X8" s="3">
        <v>61.0</v>
      </c>
      <c r="Y8" s="3">
        <v>54.0</v>
      </c>
      <c r="Z8" s="3">
        <v>6.0</v>
      </c>
      <c r="AA8" s="3">
        <v>52.0</v>
      </c>
      <c r="AB8" s="3">
        <v>21.0</v>
      </c>
      <c r="AC8" s="3">
        <v>30.0</v>
      </c>
      <c r="AD8" s="3">
        <v>6.0</v>
      </c>
      <c r="AE8" s="3">
        <v>21.0</v>
      </c>
      <c r="AF8" s="3">
        <v>28.0</v>
      </c>
      <c r="AG8" s="3">
        <v>16.0</v>
      </c>
      <c r="AH8" s="3">
        <v>50.0</v>
      </c>
    </row>
    <row r="9">
      <c r="A9" s="3" t="s">
        <v>106</v>
      </c>
      <c r="B9">
        <f t="shared" ref="B9:AH9" si="7">B5+B8</f>
        <v>26</v>
      </c>
      <c r="C9">
        <f t="shared" si="7"/>
        <v>108</v>
      </c>
      <c r="D9">
        <f t="shared" si="7"/>
        <v>297</v>
      </c>
      <c r="E9">
        <f t="shared" si="7"/>
        <v>430</v>
      </c>
      <c r="F9">
        <f t="shared" si="7"/>
        <v>599</v>
      </c>
      <c r="G9">
        <f t="shared" si="7"/>
        <v>383</v>
      </c>
      <c r="H9">
        <f t="shared" si="7"/>
        <v>1034</v>
      </c>
      <c r="I9">
        <f t="shared" si="7"/>
        <v>392</v>
      </c>
      <c r="J9">
        <f t="shared" si="7"/>
        <v>619</v>
      </c>
      <c r="K9">
        <f t="shared" si="7"/>
        <v>304</v>
      </c>
      <c r="L9">
        <f t="shared" si="7"/>
        <v>423</v>
      </c>
      <c r="M9">
        <f t="shared" si="7"/>
        <v>305</v>
      </c>
      <c r="N9">
        <f t="shared" si="7"/>
        <v>326</v>
      </c>
      <c r="O9">
        <f t="shared" si="7"/>
        <v>337</v>
      </c>
      <c r="P9">
        <f t="shared" si="7"/>
        <v>294</v>
      </c>
      <c r="Q9">
        <f t="shared" si="7"/>
        <v>408</v>
      </c>
      <c r="R9">
        <f t="shared" si="7"/>
        <v>254</v>
      </c>
      <c r="S9">
        <f t="shared" si="7"/>
        <v>718</v>
      </c>
      <c r="T9">
        <f t="shared" si="7"/>
        <v>558</v>
      </c>
      <c r="U9">
        <f t="shared" si="7"/>
        <v>463</v>
      </c>
      <c r="V9">
        <f t="shared" si="7"/>
        <v>994</v>
      </c>
      <c r="W9">
        <f t="shared" si="7"/>
        <v>535</v>
      </c>
      <c r="X9">
        <f t="shared" si="7"/>
        <v>1687</v>
      </c>
      <c r="Y9">
        <f t="shared" si="7"/>
        <v>1579</v>
      </c>
      <c r="Z9">
        <f t="shared" si="7"/>
        <v>375</v>
      </c>
      <c r="AA9">
        <f t="shared" si="7"/>
        <v>517</v>
      </c>
      <c r="AB9">
        <f t="shared" si="7"/>
        <v>784</v>
      </c>
      <c r="AC9">
        <f t="shared" si="7"/>
        <v>793</v>
      </c>
      <c r="AD9">
        <f t="shared" si="7"/>
        <v>799</v>
      </c>
      <c r="AE9">
        <f t="shared" si="7"/>
        <v>970</v>
      </c>
      <c r="AF9">
        <f t="shared" si="7"/>
        <v>803</v>
      </c>
      <c r="AG9">
        <f t="shared" si="7"/>
        <v>546</v>
      </c>
      <c r="AH9">
        <f t="shared" si="7"/>
        <v>948</v>
      </c>
    </row>
    <row r="10">
      <c r="A10" s="3" t="s">
        <v>104</v>
      </c>
      <c r="B10" s="3">
        <v>0.0</v>
      </c>
      <c r="C10" s="3">
        <v>2.0</v>
      </c>
      <c r="D10" s="3">
        <v>9.0</v>
      </c>
      <c r="E10" s="3">
        <v>18.0</v>
      </c>
      <c r="F10" s="3">
        <v>0.0</v>
      </c>
      <c r="G10" s="3">
        <v>39.0</v>
      </c>
      <c r="H10" s="3">
        <v>6.0</v>
      </c>
      <c r="I10" s="3">
        <v>14.0</v>
      </c>
      <c r="J10" s="3">
        <v>16.0</v>
      </c>
      <c r="K10" s="3">
        <v>5.0</v>
      </c>
      <c r="L10" s="3">
        <v>11.0</v>
      </c>
      <c r="M10" s="3">
        <v>5.0</v>
      </c>
      <c r="N10" s="3">
        <v>15.0</v>
      </c>
      <c r="O10" s="3">
        <v>13.0</v>
      </c>
      <c r="P10" s="3">
        <v>3.0</v>
      </c>
      <c r="Q10" s="3">
        <v>11.0</v>
      </c>
      <c r="R10" s="3">
        <v>9.0</v>
      </c>
      <c r="S10" s="3">
        <v>24.0</v>
      </c>
      <c r="T10" s="3">
        <v>13.0</v>
      </c>
      <c r="U10" s="3">
        <v>14.0</v>
      </c>
      <c r="V10" s="3">
        <v>25.0</v>
      </c>
      <c r="W10" s="3">
        <v>12.0</v>
      </c>
      <c r="X10" s="3">
        <v>44.0</v>
      </c>
      <c r="Y10" s="3">
        <v>44.0</v>
      </c>
      <c r="Z10" s="3">
        <v>15.0</v>
      </c>
      <c r="AA10" s="3">
        <v>25.0</v>
      </c>
      <c r="AB10" s="3">
        <v>34.0</v>
      </c>
      <c r="AC10" s="3">
        <v>11.0</v>
      </c>
      <c r="AD10" s="3">
        <v>3.0</v>
      </c>
      <c r="AE10" s="3">
        <v>10.0</v>
      </c>
      <c r="AF10" s="3">
        <v>19.0</v>
      </c>
      <c r="AG10" s="3">
        <v>12.0</v>
      </c>
      <c r="AH10" s="3">
        <v>47.0</v>
      </c>
    </row>
    <row r="11">
      <c r="A11" s="3" t="s">
        <v>106</v>
      </c>
      <c r="B11">
        <f t="shared" ref="B11:AH11" si="8">B9+B10</f>
        <v>26</v>
      </c>
      <c r="C11">
        <f t="shared" si="8"/>
        <v>110</v>
      </c>
      <c r="D11">
        <f t="shared" si="8"/>
        <v>306</v>
      </c>
      <c r="E11">
        <f t="shared" si="8"/>
        <v>448</v>
      </c>
      <c r="F11">
        <f t="shared" si="8"/>
        <v>599</v>
      </c>
      <c r="G11">
        <f t="shared" si="8"/>
        <v>422</v>
      </c>
      <c r="H11">
        <f t="shared" si="8"/>
        <v>1040</v>
      </c>
      <c r="I11">
        <f t="shared" si="8"/>
        <v>406</v>
      </c>
      <c r="J11">
        <f t="shared" si="8"/>
        <v>635</v>
      </c>
      <c r="K11">
        <f t="shared" si="8"/>
        <v>309</v>
      </c>
      <c r="L11">
        <f t="shared" si="8"/>
        <v>434</v>
      </c>
      <c r="M11">
        <f t="shared" si="8"/>
        <v>310</v>
      </c>
      <c r="N11">
        <f t="shared" si="8"/>
        <v>341</v>
      </c>
      <c r="O11">
        <f t="shared" si="8"/>
        <v>350</v>
      </c>
      <c r="P11">
        <f t="shared" si="8"/>
        <v>297</v>
      </c>
      <c r="Q11">
        <f t="shared" si="8"/>
        <v>419</v>
      </c>
      <c r="R11">
        <f t="shared" si="8"/>
        <v>263</v>
      </c>
      <c r="S11">
        <f t="shared" si="8"/>
        <v>742</v>
      </c>
      <c r="T11">
        <f t="shared" si="8"/>
        <v>571</v>
      </c>
      <c r="U11">
        <f t="shared" si="8"/>
        <v>477</v>
      </c>
      <c r="V11">
        <f t="shared" si="8"/>
        <v>1019</v>
      </c>
      <c r="W11">
        <f t="shared" si="8"/>
        <v>547</v>
      </c>
      <c r="X11">
        <f t="shared" si="8"/>
        <v>1731</v>
      </c>
      <c r="Y11">
        <f t="shared" si="8"/>
        <v>1623</v>
      </c>
      <c r="Z11">
        <f t="shared" si="8"/>
        <v>390</v>
      </c>
      <c r="AA11">
        <f t="shared" si="8"/>
        <v>542</v>
      </c>
      <c r="AB11">
        <f t="shared" si="8"/>
        <v>818</v>
      </c>
      <c r="AC11">
        <f t="shared" si="8"/>
        <v>804</v>
      </c>
      <c r="AD11">
        <f t="shared" si="8"/>
        <v>802</v>
      </c>
      <c r="AE11">
        <f t="shared" si="8"/>
        <v>980</v>
      </c>
      <c r="AF11">
        <f t="shared" si="8"/>
        <v>822</v>
      </c>
      <c r="AG11">
        <f t="shared" si="8"/>
        <v>558</v>
      </c>
      <c r="AH11">
        <f t="shared" si="8"/>
        <v>995</v>
      </c>
    </row>
    <row r="13">
      <c r="A13" s="3" t="s">
        <v>117</v>
      </c>
      <c r="B13">
        <f t="shared" ref="B13:AB13" si="9">B11</f>
        <v>26</v>
      </c>
      <c r="C13">
        <f t="shared" si="9"/>
        <v>110</v>
      </c>
      <c r="D13">
        <f t="shared" si="9"/>
        <v>306</v>
      </c>
      <c r="E13">
        <f t="shared" si="9"/>
        <v>448</v>
      </c>
      <c r="F13">
        <f t="shared" si="9"/>
        <v>599</v>
      </c>
      <c r="G13">
        <f t="shared" si="9"/>
        <v>422</v>
      </c>
      <c r="H13">
        <f t="shared" si="9"/>
        <v>1040</v>
      </c>
      <c r="I13">
        <f t="shared" si="9"/>
        <v>406</v>
      </c>
      <c r="J13">
        <f t="shared" si="9"/>
        <v>635</v>
      </c>
      <c r="K13">
        <f t="shared" si="9"/>
        <v>309</v>
      </c>
      <c r="L13">
        <f t="shared" si="9"/>
        <v>434</v>
      </c>
      <c r="M13">
        <f t="shared" si="9"/>
        <v>310</v>
      </c>
      <c r="N13">
        <f t="shared" si="9"/>
        <v>341</v>
      </c>
      <c r="O13">
        <f t="shared" si="9"/>
        <v>350</v>
      </c>
      <c r="P13">
        <f t="shared" si="9"/>
        <v>297</v>
      </c>
      <c r="Q13">
        <f t="shared" si="9"/>
        <v>419</v>
      </c>
      <c r="R13">
        <f t="shared" si="9"/>
        <v>263</v>
      </c>
      <c r="S13">
        <f t="shared" si="9"/>
        <v>742</v>
      </c>
      <c r="T13">
        <f t="shared" si="9"/>
        <v>571</v>
      </c>
      <c r="U13">
        <f t="shared" si="9"/>
        <v>477</v>
      </c>
      <c r="V13">
        <f t="shared" si="9"/>
        <v>1019</v>
      </c>
      <c r="W13">
        <f t="shared" si="9"/>
        <v>547</v>
      </c>
      <c r="X13">
        <f t="shared" si="9"/>
        <v>1731</v>
      </c>
      <c r="Y13">
        <f t="shared" si="9"/>
        <v>1623</v>
      </c>
      <c r="Z13">
        <f t="shared" si="9"/>
        <v>390</v>
      </c>
      <c r="AA13">
        <f t="shared" si="9"/>
        <v>542</v>
      </c>
      <c r="AB13">
        <f t="shared" si="9"/>
        <v>818</v>
      </c>
      <c r="AC13" s="3">
        <v>839.0</v>
      </c>
      <c r="AD13" s="3">
        <v>839.0</v>
      </c>
      <c r="AE13">
        <f t="shared" ref="AE13:AH13" si="10">AE11</f>
        <v>980</v>
      </c>
      <c r="AF13">
        <f t="shared" si="10"/>
        <v>822</v>
      </c>
      <c r="AG13">
        <f t="shared" si="10"/>
        <v>558</v>
      </c>
      <c r="AH13">
        <f t="shared" si="10"/>
        <v>995</v>
      </c>
    </row>
    <row r="14">
      <c r="AC14">
        <f>sum(AC13:AD13)-sum(AC11:AD11)</f>
        <v>72</v>
      </c>
      <c r="AE14">
        <f t="shared" ref="AE14:AH14" si="11">round(AE13*1.03)</f>
        <v>1009</v>
      </c>
      <c r="AF14">
        <f t="shared" si="11"/>
        <v>847</v>
      </c>
      <c r="AG14">
        <f t="shared" si="11"/>
        <v>575</v>
      </c>
      <c r="AH14">
        <f t="shared" si="11"/>
        <v>1025</v>
      </c>
    </row>
    <row r="15">
      <c r="A15" s="3" t="s">
        <v>137</v>
      </c>
      <c r="B15" s="3">
        <v>23.0</v>
      </c>
      <c r="C15" s="3">
        <v>106.0</v>
      </c>
      <c r="D15" s="3">
        <v>266.0</v>
      </c>
      <c r="E15" s="3">
        <v>420.0</v>
      </c>
      <c r="F15" s="3">
        <v>484.0</v>
      </c>
      <c r="G15" s="3">
        <v>383.0</v>
      </c>
      <c r="H15" s="3">
        <v>986.0</v>
      </c>
      <c r="I15" s="3">
        <v>334.0</v>
      </c>
      <c r="J15" s="3">
        <v>498.0</v>
      </c>
      <c r="K15" s="3">
        <v>306.0</v>
      </c>
      <c r="L15" s="3">
        <v>366.0</v>
      </c>
      <c r="M15" s="3">
        <v>283.0</v>
      </c>
      <c r="N15" s="3">
        <v>354.0</v>
      </c>
      <c r="O15" s="3">
        <v>314.0</v>
      </c>
      <c r="P15" s="3">
        <v>252.0</v>
      </c>
      <c r="Q15" s="3">
        <v>392.0</v>
      </c>
      <c r="R15" s="3">
        <v>236.0</v>
      </c>
      <c r="S15" s="3">
        <v>721.0</v>
      </c>
      <c r="T15" s="3">
        <v>544.0</v>
      </c>
      <c r="U15" s="3">
        <v>403.0</v>
      </c>
      <c r="V15" s="3">
        <v>885.0</v>
      </c>
      <c r="W15" s="3">
        <v>449.0</v>
      </c>
      <c r="X15" s="3">
        <v>1578.0</v>
      </c>
      <c r="Y15" s="3">
        <v>1424.0</v>
      </c>
      <c r="Z15" s="3">
        <v>333.0</v>
      </c>
      <c r="AA15" s="3">
        <v>333.0</v>
      </c>
      <c r="AB15" s="3">
        <v>734.0</v>
      </c>
      <c r="AC15" s="3">
        <v>792.0</v>
      </c>
      <c r="AD15" s="3">
        <v>810.0</v>
      </c>
      <c r="AE15" s="3">
        <v>733.0</v>
      </c>
      <c r="AF15" s="3">
        <v>795.0</v>
      </c>
      <c r="AG15" s="3">
        <v>546.0</v>
      </c>
      <c r="AH15" s="3">
        <v>928.0</v>
      </c>
    </row>
    <row r="16">
      <c r="A16" s="3" t="s">
        <v>138</v>
      </c>
      <c r="B16" s="19">
        <f t="shared" ref="B16:AH16" si="12">B15/3002</f>
        <v>0.007661558961</v>
      </c>
      <c r="C16" s="19">
        <f t="shared" si="12"/>
        <v>0.03530979347</v>
      </c>
      <c r="D16" s="19">
        <f t="shared" si="12"/>
        <v>0.08860759494</v>
      </c>
      <c r="E16" s="19">
        <f t="shared" si="12"/>
        <v>0.1399067288</v>
      </c>
      <c r="F16" s="19">
        <f t="shared" si="12"/>
        <v>0.1612258494</v>
      </c>
      <c r="G16" s="19">
        <f t="shared" si="12"/>
        <v>0.1275816123</v>
      </c>
      <c r="H16" s="19">
        <f t="shared" si="12"/>
        <v>0.3284477015</v>
      </c>
      <c r="I16" s="19">
        <f t="shared" si="12"/>
        <v>0.1112591606</v>
      </c>
      <c r="J16" s="19">
        <f t="shared" si="12"/>
        <v>0.1658894071</v>
      </c>
      <c r="K16" s="19">
        <f t="shared" si="12"/>
        <v>0.1019320453</v>
      </c>
      <c r="L16" s="19">
        <f t="shared" si="12"/>
        <v>0.1219187209</v>
      </c>
      <c r="M16" s="19">
        <f t="shared" si="12"/>
        <v>0.09427048634</v>
      </c>
      <c r="N16" s="19">
        <f t="shared" si="12"/>
        <v>0.1179213857</v>
      </c>
      <c r="O16" s="19">
        <f t="shared" si="12"/>
        <v>0.1045969354</v>
      </c>
      <c r="P16" s="19">
        <f t="shared" si="12"/>
        <v>0.08394403731</v>
      </c>
      <c r="Q16" s="19">
        <f t="shared" si="12"/>
        <v>0.1305796136</v>
      </c>
      <c r="R16" s="19">
        <f t="shared" si="12"/>
        <v>0.07861425716</v>
      </c>
      <c r="S16" s="19">
        <f t="shared" si="12"/>
        <v>0.2401732179</v>
      </c>
      <c r="T16" s="19">
        <f t="shared" si="12"/>
        <v>0.181212525</v>
      </c>
      <c r="U16" s="19">
        <f t="shared" si="12"/>
        <v>0.1342438374</v>
      </c>
      <c r="V16" s="19">
        <f t="shared" si="12"/>
        <v>0.2948034644</v>
      </c>
      <c r="W16" s="19">
        <f t="shared" si="12"/>
        <v>0.1495669554</v>
      </c>
      <c r="X16" s="19">
        <f t="shared" si="12"/>
        <v>0.525649567</v>
      </c>
      <c r="Y16" s="19">
        <f t="shared" si="12"/>
        <v>0.474350433</v>
      </c>
      <c r="Z16" s="19">
        <f t="shared" si="12"/>
        <v>0.1109260493</v>
      </c>
      <c r="AA16" s="19">
        <f t="shared" si="12"/>
        <v>0.1109260493</v>
      </c>
      <c r="AB16" s="19">
        <f t="shared" si="12"/>
        <v>0.2445036642</v>
      </c>
      <c r="AC16" s="19">
        <f t="shared" si="12"/>
        <v>0.2638241173</v>
      </c>
      <c r="AD16" s="19">
        <f t="shared" si="12"/>
        <v>0.2698201199</v>
      </c>
      <c r="AE16" s="19">
        <f t="shared" si="12"/>
        <v>0.244170553</v>
      </c>
      <c r="AF16" s="19">
        <f t="shared" si="12"/>
        <v>0.264823451</v>
      </c>
      <c r="AG16" s="19">
        <f t="shared" si="12"/>
        <v>0.1818787475</v>
      </c>
      <c r="AH16" s="19">
        <f t="shared" si="12"/>
        <v>0.3091272485</v>
      </c>
    </row>
    <row r="17">
      <c r="A17" s="3" t="s">
        <v>141</v>
      </c>
      <c r="B17" s="19">
        <f t="shared" ref="B17:AH17" si="13">(B15/3002-B3)/B3</f>
        <v>-0.04517821452</v>
      </c>
      <c r="C17" s="19">
        <f t="shared" si="13"/>
        <v>0.03540776737</v>
      </c>
      <c r="D17" s="19">
        <f t="shared" si="13"/>
        <v>-0.06019391328</v>
      </c>
      <c r="E17" s="19">
        <f t="shared" si="13"/>
        <v>0.02563976957</v>
      </c>
      <c r="F17" s="19">
        <f t="shared" si="13"/>
        <v>0.05060243062</v>
      </c>
      <c r="G17" s="19">
        <f t="shared" si="13"/>
        <v>0.05123030927</v>
      </c>
      <c r="H17" s="19">
        <f t="shared" si="13"/>
        <v>0.001413940146</v>
      </c>
      <c r="I17" s="28">
        <f t="shared" si="13"/>
        <v>-0.105440459</v>
      </c>
      <c r="J17" s="28">
        <f t="shared" si="13"/>
        <v>-0.1242898484</v>
      </c>
      <c r="K17" s="28">
        <f t="shared" si="13"/>
        <v>0.09929064939</v>
      </c>
      <c r="L17" s="19">
        <f t="shared" si="13"/>
        <v>-0.05449440929</v>
      </c>
      <c r="M17" s="19">
        <f t="shared" si="13"/>
        <v>0.01517871645</v>
      </c>
      <c r="N17" s="28">
        <f t="shared" si="13"/>
        <v>0.1966577776</v>
      </c>
      <c r="O17" s="19">
        <f t="shared" si="13"/>
        <v>0.01431955771</v>
      </c>
      <c r="P17" s="19">
        <f t="shared" si="13"/>
        <v>-0.08157451005</v>
      </c>
      <c r="Q17" s="19">
        <f t="shared" si="13"/>
        <v>0.04885677886</v>
      </c>
      <c r="R17" s="19">
        <f t="shared" si="13"/>
        <v>0.001781627573</v>
      </c>
      <c r="S17" s="28">
        <f t="shared" si="13"/>
        <v>0.1090541505</v>
      </c>
      <c r="T17" s="19">
        <f t="shared" si="13"/>
        <v>0.05949064347</v>
      </c>
      <c r="U17" s="19">
        <f t="shared" si="13"/>
        <v>-0.04624054142</v>
      </c>
      <c r="V17" s="19">
        <f t="shared" si="13"/>
        <v>-0.04386442768</v>
      </c>
      <c r="W17" s="19">
        <f t="shared" si="13"/>
        <v>-0.08423946696</v>
      </c>
      <c r="X17" s="19">
        <f t="shared" si="13"/>
        <v>0.01846943933</v>
      </c>
      <c r="Y17" s="19">
        <f t="shared" si="13"/>
        <v>-0.01969979972</v>
      </c>
      <c r="Z17" s="19">
        <f t="shared" si="13"/>
        <v>-0.05122135025</v>
      </c>
      <c r="AA17" s="28">
        <f t="shared" si="13"/>
        <v>-0.2476005261</v>
      </c>
      <c r="AB17" s="19">
        <f t="shared" si="13"/>
        <v>0.01056923706</v>
      </c>
      <c r="AC17" s="19">
        <f t="shared" si="13"/>
        <v>0.08957117005</v>
      </c>
      <c r="AD17" s="19">
        <f t="shared" si="13"/>
        <v>0.07253001663</v>
      </c>
      <c r="AE17" s="28">
        <f t="shared" si="13"/>
        <v>-0.1888021496</v>
      </c>
      <c r="AF17" s="19">
        <f t="shared" si="13"/>
        <v>0.07651809363</v>
      </c>
      <c r="AG17" s="19">
        <f t="shared" si="13"/>
        <v>0.08261159227</v>
      </c>
      <c r="AH17" s="19">
        <f t="shared" si="13"/>
        <v>0.08465701228</v>
      </c>
    </row>
    <row r="20">
      <c r="A20" s="3" t="s">
        <v>143</v>
      </c>
      <c r="B20" s="3" t="s">
        <v>144</v>
      </c>
      <c r="C20" s="3" t="s">
        <v>145</v>
      </c>
      <c r="D20" s="3" t="s">
        <v>146</v>
      </c>
      <c r="E20" s="3" t="s">
        <v>147</v>
      </c>
      <c r="F20" s="3" t="s">
        <v>148</v>
      </c>
      <c r="G20" s="3" t="s">
        <v>149</v>
      </c>
      <c r="H20" s="3" t="s">
        <v>150</v>
      </c>
      <c r="Z20" s="4" t="s">
        <v>75</v>
      </c>
      <c r="AA20" s="4" t="s">
        <v>76</v>
      </c>
      <c r="AB20" s="4" t="s">
        <v>151</v>
      </c>
      <c r="AC20" s="4" t="s">
        <v>152</v>
      </c>
      <c r="AD20" s="4" t="s">
        <v>153</v>
      </c>
      <c r="AE20" s="4" t="s">
        <v>154</v>
      </c>
      <c r="AF20" s="4" t="s">
        <v>155</v>
      </c>
    </row>
    <row r="21">
      <c r="B21" s="29" t="s">
        <v>156</v>
      </c>
      <c r="C21" s="27" t="s">
        <v>157</v>
      </c>
      <c r="D21" s="3" t="s">
        <v>158</v>
      </c>
      <c r="E21" s="27" t="s">
        <v>159</v>
      </c>
      <c r="F21" s="27" t="s">
        <v>165</v>
      </c>
      <c r="G21" s="29" t="s">
        <v>168</v>
      </c>
      <c r="H21" s="29" t="s">
        <v>172</v>
      </c>
      <c r="Z21" s="3">
        <v>6233624.0</v>
      </c>
      <c r="AA21" s="3">
        <v>7860624.0</v>
      </c>
      <c r="AB21" s="3">
        <v>8336708.0</v>
      </c>
      <c r="AC21" s="3">
        <v>9039846.0</v>
      </c>
      <c r="AD21" s="3">
        <v>8433629.0</v>
      </c>
      <c r="AE21" s="3">
        <v>7194489.0</v>
      </c>
      <c r="AF21" s="3">
        <v>6218848.0</v>
      </c>
    </row>
    <row r="22">
      <c r="B22" s="3">
        <v>2017.0</v>
      </c>
      <c r="C22" s="3">
        <v>2019.0</v>
      </c>
      <c r="D22" s="3">
        <v>2013.0</v>
      </c>
      <c r="E22" s="3">
        <v>2007.0</v>
      </c>
      <c r="F22" s="3">
        <v>2019.0</v>
      </c>
      <c r="G22" s="3">
        <v>2019.0</v>
      </c>
      <c r="H22" s="3">
        <v>2015.0</v>
      </c>
    </row>
    <row r="23">
      <c r="D23" s="3" t="s">
        <v>174</v>
      </c>
      <c r="E23" s="3" t="s">
        <v>175</v>
      </c>
    </row>
    <row r="24">
      <c r="D24" s="3" t="s">
        <v>176</v>
      </c>
      <c r="E24" s="3" t="s">
        <v>177</v>
      </c>
      <c r="Z24" s="13"/>
      <c r="AA24" s="13"/>
      <c r="AB24" s="13"/>
      <c r="AC24" s="13"/>
      <c r="AD24" s="13"/>
      <c r="AE24" s="13"/>
      <c r="AF24" s="13"/>
    </row>
  </sheetData>
  <hyperlinks>
    <hyperlink r:id="rId1" ref="J1"/>
    <hyperlink r:id="rId2" ref="L1"/>
    <hyperlink r:id="rId3" ref="N1"/>
    <hyperlink r:id="rId4" ref="O1"/>
    <hyperlink r:id="rId5" ref="Q1"/>
    <hyperlink r:id="rId6" ref="R1"/>
    <hyperlink r:id="rId7" ref="B21"/>
    <hyperlink r:id="rId8" ref="C21"/>
    <hyperlink r:id="rId9" ref="E21"/>
    <hyperlink r:id="rId10" ref="F21"/>
    <hyperlink r:id="rId11" ref="G21"/>
    <hyperlink r:id="rId12" ref="H21"/>
  </hyperlinks>
  <drawing r:id="rId1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0.57"/>
    <col customWidth="1" min="2" max="2" width="16.71"/>
    <col customWidth="1" min="3" max="3" width="20.14"/>
    <col customWidth="1" min="4" max="5" width="28.14"/>
    <col customWidth="1" min="6" max="6" width="28.43"/>
    <col customWidth="1" min="7" max="7" width="28.0"/>
    <col customWidth="1" min="8" max="8" width="29.86"/>
    <col customWidth="1" min="9" max="9" width="26.0"/>
  </cols>
  <sheetData>
    <row r="1">
      <c r="B1" s="3" t="s">
        <v>27</v>
      </c>
      <c r="C1" s="3" t="s">
        <v>28</v>
      </c>
      <c r="D1" s="3" t="s">
        <v>29</v>
      </c>
      <c r="E1" s="3" t="s">
        <v>30</v>
      </c>
      <c r="F1" s="3" t="s">
        <v>31</v>
      </c>
      <c r="G1" s="3" t="s">
        <v>33</v>
      </c>
      <c r="H1" s="3" t="s">
        <v>34</v>
      </c>
      <c r="I1" s="3" t="s">
        <v>35</v>
      </c>
    </row>
    <row r="2">
      <c r="A2" s="6" t="s">
        <v>38</v>
      </c>
      <c r="B2" s="7" t="s">
        <v>46</v>
      </c>
      <c r="C2" s="7" t="s">
        <v>46</v>
      </c>
      <c r="D2" s="7" t="s">
        <v>46</v>
      </c>
      <c r="E2" s="7" t="s">
        <v>46</v>
      </c>
      <c r="F2" s="7" t="s">
        <v>46</v>
      </c>
      <c r="G2" s="7" t="s">
        <v>46</v>
      </c>
      <c r="H2" s="7" t="s">
        <v>46</v>
      </c>
      <c r="I2" s="7" t="s">
        <v>46</v>
      </c>
    </row>
    <row r="3">
      <c r="A3" s="6" t="s">
        <v>47</v>
      </c>
      <c r="B3" s="7" t="s">
        <v>46</v>
      </c>
      <c r="C3" s="7" t="s">
        <v>46</v>
      </c>
      <c r="D3" s="7" t="s">
        <v>46</v>
      </c>
      <c r="E3" s="7" t="s">
        <v>46</v>
      </c>
      <c r="F3" s="7" t="s">
        <v>46</v>
      </c>
      <c r="G3" s="7" t="s">
        <v>46</v>
      </c>
      <c r="H3" s="7" t="s">
        <v>46</v>
      </c>
      <c r="I3" s="7" t="s">
        <v>46</v>
      </c>
    </row>
    <row r="4">
      <c r="A4" s="6" t="s">
        <v>48</v>
      </c>
      <c r="B4" s="7" t="s">
        <v>46</v>
      </c>
      <c r="C4" s="7" t="s">
        <v>46</v>
      </c>
      <c r="D4" s="7" t="s">
        <v>46</v>
      </c>
      <c r="E4" s="7" t="s">
        <v>46</v>
      </c>
      <c r="F4" s="7" t="s">
        <v>46</v>
      </c>
      <c r="G4" s="7" t="s">
        <v>46</v>
      </c>
      <c r="H4" s="7" t="s">
        <v>46</v>
      </c>
      <c r="I4" s="7" t="s">
        <v>46</v>
      </c>
    </row>
    <row r="5">
      <c r="A5" s="6" t="s">
        <v>49</v>
      </c>
      <c r="B5" s="3">
        <v>8604.0</v>
      </c>
      <c r="C5" s="7" t="s">
        <v>46</v>
      </c>
      <c r="D5" s="7" t="s">
        <v>46</v>
      </c>
      <c r="E5" s="7" t="s">
        <v>46</v>
      </c>
      <c r="F5" s="7" t="s">
        <v>46</v>
      </c>
      <c r="G5" s="7" t="s">
        <v>46</v>
      </c>
      <c r="H5">
        <f>9822394/1000</f>
        <v>9822.394</v>
      </c>
      <c r="I5">
        <f>H5*1.45</f>
        <v>14242.4713</v>
      </c>
    </row>
    <row r="6">
      <c r="A6" s="6" t="s">
        <v>52</v>
      </c>
      <c r="B6" s="3">
        <v>24808.0</v>
      </c>
      <c r="C6" s="7" t="s">
        <v>46</v>
      </c>
      <c r="D6" s="7" t="s">
        <v>46</v>
      </c>
      <c r="E6" s="7" t="s">
        <v>46</v>
      </c>
      <c r="F6" s="7" t="s">
        <v>46</v>
      </c>
      <c r="G6" s="7" t="s">
        <v>46</v>
      </c>
      <c r="H6">
        <f>41173766/1000</f>
        <v>41173.766</v>
      </c>
      <c r="I6">
        <f>1.4*H6</f>
        <v>57643.2724</v>
      </c>
    </row>
    <row r="7">
      <c r="A7" s="6" t="s">
        <v>55</v>
      </c>
      <c r="B7" s="3">
        <f>B5+B6</f>
        <v>33412</v>
      </c>
      <c r="C7" s="7" t="s">
        <v>46</v>
      </c>
      <c r="D7" s="3">
        <v>36916.0</v>
      </c>
      <c r="E7" s="3">
        <v>33633.0</v>
      </c>
      <c r="F7" s="3">
        <v>38807.0</v>
      </c>
      <c r="G7" s="3">
        <v>39046.0</v>
      </c>
      <c r="I7">
        <f>I5+I6</f>
        <v>71885.7437</v>
      </c>
    </row>
    <row r="8">
      <c r="A8" s="6" t="s">
        <v>56</v>
      </c>
      <c r="B8" s="3">
        <v>4710.0</v>
      </c>
      <c r="C8" s="3">
        <v>7866.0</v>
      </c>
      <c r="D8" s="3">
        <v>6040.0</v>
      </c>
      <c r="E8" s="3">
        <v>5034.0</v>
      </c>
      <c r="F8" s="3">
        <v>7968.0</v>
      </c>
      <c r="G8" s="3">
        <v>7689.0</v>
      </c>
      <c r="H8" s="12">
        <f>7500000000/1000000</f>
        <v>7500</v>
      </c>
      <c r="I8">
        <f>H8*0.859</f>
        <v>6442.5</v>
      </c>
    </row>
    <row r="9">
      <c r="A9" s="6" t="s">
        <v>58</v>
      </c>
      <c r="B9" s="3">
        <v>12560.0</v>
      </c>
      <c r="C9" s="3">
        <v>15403.0</v>
      </c>
      <c r="D9" s="3">
        <v>12987.0</v>
      </c>
      <c r="E9" s="3">
        <v>12727.0</v>
      </c>
      <c r="F9" s="3">
        <v>15828.0</v>
      </c>
      <c r="G9" s="3">
        <v>13505.0</v>
      </c>
      <c r="H9">
        <f>463*10^3</f>
        <v>463000</v>
      </c>
      <c r="I9">
        <f>H9*0.0651</f>
        <v>30141.3</v>
      </c>
    </row>
    <row r="15">
      <c r="A15" s="3" t="s">
        <v>63</v>
      </c>
    </row>
    <row r="16">
      <c r="A16" s="3" t="s">
        <v>64</v>
      </c>
      <c r="B16" s="3" t="s">
        <v>65</v>
      </c>
    </row>
    <row r="17">
      <c r="B17" s="3" t="s">
        <v>66</v>
      </c>
    </row>
    <row r="19">
      <c r="B19" s="3" t="s">
        <v>67</v>
      </c>
    </row>
    <row r="20">
      <c r="B20" s="3" t="s">
        <v>68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29"/>
  </cols>
  <sheetData>
    <row r="1">
      <c r="A1" s="6"/>
      <c r="B1" s="2" t="s">
        <v>15</v>
      </c>
      <c r="C1" s="2">
        <v>2014.0</v>
      </c>
      <c r="D1" s="2">
        <v>2015.0</v>
      </c>
      <c r="E1" s="2">
        <v>2016.0</v>
      </c>
      <c r="F1" s="2">
        <v>2017.0</v>
      </c>
      <c r="G1" s="2">
        <v>2018.0</v>
      </c>
      <c r="H1" s="2">
        <v>2019.0</v>
      </c>
      <c r="I1" s="2">
        <v>2020.0</v>
      </c>
      <c r="J1" s="2">
        <v>2021.0</v>
      </c>
      <c r="K1" s="2">
        <v>2022.0</v>
      </c>
    </row>
    <row r="2">
      <c r="A2" s="6" t="s">
        <v>91</v>
      </c>
      <c r="B2" s="3">
        <v>60.69</v>
      </c>
      <c r="C2" s="3">
        <v>60.69</v>
      </c>
      <c r="D2" s="3">
        <v>62.41</v>
      </c>
      <c r="E2" s="3">
        <v>64.12</v>
      </c>
      <c r="F2" s="3">
        <v>65.07</v>
      </c>
      <c r="G2" s="3">
        <v>68.29</v>
      </c>
      <c r="H2" s="3">
        <v>70.67</v>
      </c>
      <c r="I2" s="3">
        <v>73.05</v>
      </c>
      <c r="J2" s="3">
        <v>75.43</v>
      </c>
      <c r="K2" s="3">
        <v>77.8</v>
      </c>
    </row>
    <row r="3">
      <c r="A3" s="6" t="s">
        <v>94</v>
      </c>
      <c r="B3" s="3">
        <v>42.84</v>
      </c>
      <c r="C3" s="3">
        <v>42.84</v>
      </c>
      <c r="D3" s="3">
        <v>46.82</v>
      </c>
      <c r="E3" s="3">
        <v>49.81</v>
      </c>
      <c r="F3" s="3">
        <v>53.07</v>
      </c>
      <c r="G3" s="3">
        <v>59.4</v>
      </c>
      <c r="H3" s="3">
        <v>64.76</v>
      </c>
      <c r="I3" s="3">
        <v>70.12</v>
      </c>
      <c r="J3" s="3">
        <v>75.47</v>
      </c>
      <c r="K3" s="3">
        <v>78.23</v>
      </c>
    </row>
    <row r="4">
      <c r="A4" s="6" t="s">
        <v>56</v>
      </c>
      <c r="C4" s="20">
        <v>5.66</v>
      </c>
      <c r="D4" s="20">
        <v>7.64</v>
      </c>
      <c r="E4" s="20">
        <v>9.63</v>
      </c>
      <c r="F4" s="20">
        <v>11.89</v>
      </c>
      <c r="G4" s="20">
        <v>15.62</v>
      </c>
      <c r="H4" s="20">
        <v>18.38</v>
      </c>
      <c r="I4" s="20">
        <v>21.14</v>
      </c>
      <c r="J4" s="20">
        <v>23.89</v>
      </c>
      <c r="K4" s="20">
        <v>26.65</v>
      </c>
    </row>
    <row r="5">
      <c r="A5" s="6" t="s">
        <v>58</v>
      </c>
      <c r="C5" s="21">
        <v>1.27</v>
      </c>
      <c r="D5" s="21">
        <v>2.64</v>
      </c>
      <c r="E5" s="21">
        <v>4.34</v>
      </c>
      <c r="F5" s="21">
        <v>5.88</v>
      </c>
      <c r="G5" s="21">
        <v>8.45</v>
      </c>
      <c r="H5" s="21">
        <v>10.34</v>
      </c>
      <c r="I5" s="21">
        <v>12.24</v>
      </c>
      <c r="J5" s="21">
        <v>14.13</v>
      </c>
      <c r="K5" s="21">
        <v>16.02</v>
      </c>
    </row>
    <row r="7">
      <c r="A7" s="3" t="s">
        <v>95</v>
      </c>
      <c r="B7" s="3">
        <v>0.0</v>
      </c>
      <c r="C7" s="3">
        <v>7.0</v>
      </c>
      <c r="D7" s="3">
        <v>14.5</v>
      </c>
      <c r="E7" s="3">
        <v>22.0</v>
      </c>
      <c r="F7" s="3">
        <v>30.5</v>
      </c>
      <c r="G7" s="3">
        <v>44.6</v>
      </c>
      <c r="H7" s="3">
        <v>55.0</v>
      </c>
      <c r="I7" s="3">
        <v>65.4</v>
      </c>
      <c r="J7" s="3">
        <v>75.8</v>
      </c>
      <c r="K7" s="3">
        <v>86.2</v>
      </c>
    </row>
    <row r="8">
      <c r="A8" s="3" t="s">
        <v>96</v>
      </c>
      <c r="D8">
        <f t="shared" ref="D8:K8" si="1">D7-C7</f>
        <v>7.5</v>
      </c>
      <c r="E8">
        <f t="shared" si="1"/>
        <v>7.5</v>
      </c>
      <c r="F8">
        <f t="shared" si="1"/>
        <v>8.5</v>
      </c>
      <c r="G8">
        <f t="shared" si="1"/>
        <v>14.1</v>
      </c>
      <c r="H8">
        <f t="shared" si="1"/>
        <v>10.4</v>
      </c>
      <c r="I8">
        <f t="shared" si="1"/>
        <v>10.4</v>
      </c>
      <c r="J8">
        <f t="shared" si="1"/>
        <v>10.4</v>
      </c>
      <c r="K8">
        <f t="shared" si="1"/>
        <v>10.4</v>
      </c>
    </row>
    <row r="10">
      <c r="A10" s="3" t="s">
        <v>97</v>
      </c>
      <c r="D10">
        <f t="shared" ref="D10:K10" si="2">D2-C2</f>
        <v>1.72</v>
      </c>
      <c r="E10">
        <f t="shared" si="2"/>
        <v>1.71</v>
      </c>
      <c r="F10">
        <f t="shared" si="2"/>
        <v>0.95</v>
      </c>
      <c r="G10">
        <f t="shared" si="2"/>
        <v>3.22</v>
      </c>
      <c r="H10">
        <f t="shared" si="2"/>
        <v>2.38</v>
      </c>
      <c r="I10">
        <f t="shared" si="2"/>
        <v>2.38</v>
      </c>
      <c r="J10">
        <f t="shared" si="2"/>
        <v>2.38</v>
      </c>
      <c r="K10">
        <f t="shared" si="2"/>
        <v>2.37</v>
      </c>
    </row>
    <row r="11">
      <c r="A11" s="3" t="s">
        <v>98</v>
      </c>
      <c r="D11">
        <f t="shared" ref="D11:K11" si="3">D3-C3</f>
        <v>3.98</v>
      </c>
      <c r="E11">
        <f t="shared" si="3"/>
        <v>2.99</v>
      </c>
      <c r="F11">
        <f t="shared" si="3"/>
        <v>3.26</v>
      </c>
      <c r="G11">
        <f t="shared" si="3"/>
        <v>6.33</v>
      </c>
      <c r="H11">
        <f t="shared" si="3"/>
        <v>5.36</v>
      </c>
      <c r="I11">
        <f t="shared" si="3"/>
        <v>5.36</v>
      </c>
      <c r="J11">
        <f t="shared" si="3"/>
        <v>5.35</v>
      </c>
      <c r="K11">
        <f t="shared" si="3"/>
        <v>2.76</v>
      </c>
    </row>
    <row r="12">
      <c r="A12" s="3" t="s">
        <v>99</v>
      </c>
      <c r="D12">
        <f>D11</f>
        <v>3.98</v>
      </c>
      <c r="E12">
        <f t="shared" ref="E12:F12" si="4">E11-1</f>
        <v>1.99</v>
      </c>
      <c r="F12">
        <f t="shared" si="4"/>
        <v>2.26</v>
      </c>
      <c r="G12">
        <f t="shared" ref="G12:J12" si="5">G11-2.6</f>
        <v>3.73</v>
      </c>
      <c r="H12">
        <f t="shared" si="5"/>
        <v>2.76</v>
      </c>
      <c r="I12">
        <f t="shared" si="5"/>
        <v>2.76</v>
      </c>
      <c r="J12">
        <f t="shared" si="5"/>
        <v>2.75</v>
      </c>
      <c r="K12">
        <f>K11</f>
        <v>2.76</v>
      </c>
      <c r="L12" s="22"/>
    </row>
    <row r="13">
      <c r="A13" s="3" t="s">
        <v>101</v>
      </c>
      <c r="D13">
        <f t="shared" ref="D13:K13" si="6">D4-C4</f>
        <v>1.98</v>
      </c>
      <c r="E13">
        <f t="shared" si="6"/>
        <v>1.99</v>
      </c>
      <c r="F13">
        <f t="shared" si="6"/>
        <v>2.26</v>
      </c>
      <c r="G13">
        <f t="shared" si="6"/>
        <v>3.73</v>
      </c>
      <c r="H13">
        <f t="shared" si="6"/>
        <v>2.76</v>
      </c>
      <c r="I13">
        <f t="shared" si="6"/>
        <v>2.76</v>
      </c>
      <c r="J13">
        <f t="shared" si="6"/>
        <v>2.75</v>
      </c>
      <c r="K13">
        <f t="shared" si="6"/>
        <v>2.76</v>
      </c>
    </row>
    <row r="14">
      <c r="A14" s="3" t="s">
        <v>102</v>
      </c>
      <c r="D14">
        <f t="shared" ref="D14:K14" si="7">D5-C5</f>
        <v>1.37</v>
      </c>
      <c r="E14">
        <f t="shared" si="7"/>
        <v>1.7</v>
      </c>
      <c r="F14">
        <f t="shared" si="7"/>
        <v>1.54</v>
      </c>
      <c r="G14">
        <f t="shared" si="7"/>
        <v>2.57</v>
      </c>
      <c r="H14">
        <f t="shared" si="7"/>
        <v>1.89</v>
      </c>
      <c r="I14">
        <f t="shared" si="7"/>
        <v>1.9</v>
      </c>
      <c r="J14">
        <f t="shared" si="7"/>
        <v>1.89</v>
      </c>
      <c r="K14">
        <f t="shared" si="7"/>
        <v>1.89</v>
      </c>
    </row>
    <row r="16">
      <c r="A16" s="3" t="s">
        <v>103</v>
      </c>
      <c r="D16" s="24">
        <f t="shared" ref="D16:K16" si="8">D10/D8</f>
        <v>0.2293333333</v>
      </c>
      <c r="E16" s="24">
        <f t="shared" si="8"/>
        <v>0.228</v>
      </c>
      <c r="F16" s="25">
        <f t="shared" si="8"/>
        <v>0.1117647059</v>
      </c>
      <c r="G16" s="24">
        <f t="shared" si="8"/>
        <v>0.2283687943</v>
      </c>
      <c r="H16" s="24">
        <f t="shared" si="8"/>
        <v>0.2288461538</v>
      </c>
      <c r="I16" s="24">
        <f t="shared" si="8"/>
        <v>0.2288461538</v>
      </c>
      <c r="J16" s="24">
        <f t="shared" si="8"/>
        <v>0.2288461538</v>
      </c>
      <c r="K16" s="24">
        <f t="shared" si="8"/>
        <v>0.2278846154</v>
      </c>
    </row>
    <row r="17">
      <c r="A17" s="3" t="s">
        <v>105</v>
      </c>
      <c r="D17" s="25">
        <f t="shared" ref="D17:K17" si="9">D12/D8</f>
        <v>0.5306666667</v>
      </c>
      <c r="E17" s="24">
        <f t="shared" si="9"/>
        <v>0.2653333333</v>
      </c>
      <c r="F17" s="24">
        <f t="shared" si="9"/>
        <v>0.2658823529</v>
      </c>
      <c r="G17" s="24">
        <f t="shared" si="9"/>
        <v>0.2645390071</v>
      </c>
      <c r="H17" s="24">
        <f t="shared" si="9"/>
        <v>0.2653846154</v>
      </c>
      <c r="I17" s="24">
        <f t="shared" si="9"/>
        <v>0.2653846154</v>
      </c>
      <c r="J17" s="24">
        <f t="shared" si="9"/>
        <v>0.2644230769</v>
      </c>
      <c r="K17" s="24">
        <f t="shared" si="9"/>
        <v>0.2653846154</v>
      </c>
    </row>
    <row r="18">
      <c r="A18" s="3" t="s">
        <v>107</v>
      </c>
      <c r="D18" s="24">
        <f t="shared" ref="D18:K18" si="10">D13/D8</f>
        <v>0.264</v>
      </c>
      <c r="E18" s="24">
        <f t="shared" si="10"/>
        <v>0.2653333333</v>
      </c>
      <c r="F18" s="24">
        <f t="shared" si="10"/>
        <v>0.2658823529</v>
      </c>
      <c r="G18" s="24">
        <f t="shared" si="10"/>
        <v>0.2645390071</v>
      </c>
      <c r="H18" s="24">
        <f t="shared" si="10"/>
        <v>0.2653846154</v>
      </c>
      <c r="I18" s="24">
        <f t="shared" si="10"/>
        <v>0.2653846154</v>
      </c>
      <c r="J18" s="24">
        <f t="shared" si="10"/>
        <v>0.2644230769</v>
      </c>
      <c r="K18" s="24">
        <f t="shared" si="10"/>
        <v>0.2653846154</v>
      </c>
    </row>
    <row r="19">
      <c r="A19" s="3" t="s">
        <v>108</v>
      </c>
      <c r="D19" s="24">
        <f t="shared" ref="D19:K19" si="11">D14/D8</f>
        <v>0.1826666667</v>
      </c>
      <c r="E19" s="25">
        <f t="shared" si="11"/>
        <v>0.2266666667</v>
      </c>
      <c r="F19" s="24">
        <f t="shared" si="11"/>
        <v>0.1811764706</v>
      </c>
      <c r="G19" s="24">
        <f t="shared" si="11"/>
        <v>0.1822695035</v>
      </c>
      <c r="H19" s="24">
        <f t="shared" si="11"/>
        <v>0.1817307692</v>
      </c>
      <c r="I19" s="24">
        <f t="shared" si="11"/>
        <v>0.1826923077</v>
      </c>
      <c r="J19" s="24">
        <f t="shared" si="11"/>
        <v>0.1817307692</v>
      </c>
      <c r="K19" s="24">
        <f t="shared" si="11"/>
        <v>0.1817307692</v>
      </c>
    </row>
    <row r="20">
      <c r="A20" s="3"/>
    </row>
    <row r="21">
      <c r="A21" s="3" t="s">
        <v>110</v>
      </c>
      <c r="D21">
        <f>G2-G7*G16</f>
        <v>58.10475177</v>
      </c>
      <c r="F21" s="3" t="s">
        <v>111</v>
      </c>
    </row>
    <row r="22">
      <c r="A22" s="3" t="s">
        <v>112</v>
      </c>
      <c r="D22">
        <f>G3-G7*G17</f>
        <v>47.60156028</v>
      </c>
    </row>
    <row r="23">
      <c r="A23" s="3" t="s">
        <v>113</v>
      </c>
      <c r="D23">
        <f>G4-G7*G18</f>
        <v>3.821560284</v>
      </c>
    </row>
    <row r="24">
      <c r="A24" s="3" t="s">
        <v>114</v>
      </c>
      <c r="D24">
        <f>G5-G7*G19</f>
        <v>0.3207801418</v>
      </c>
    </row>
    <row r="25">
      <c r="A25" s="3"/>
    </row>
    <row r="26">
      <c r="A26" s="3" t="s">
        <v>115</v>
      </c>
    </row>
    <row r="27">
      <c r="A27" s="26" t="s">
        <v>116</v>
      </c>
      <c r="C27" s="3"/>
      <c r="D27" s="3"/>
    </row>
    <row r="28">
      <c r="A28" s="3"/>
      <c r="B28" s="3"/>
    </row>
    <row r="29">
      <c r="B29" s="3" t="s">
        <v>118</v>
      </c>
      <c r="C29" s="3" t="s">
        <v>119</v>
      </c>
    </row>
    <row r="30">
      <c r="B30" s="3" t="s">
        <v>120</v>
      </c>
      <c r="C30" s="3" t="s">
        <v>121</v>
      </c>
    </row>
    <row r="31">
      <c r="B31" s="3" t="s">
        <v>123</v>
      </c>
      <c r="C31" s="3" t="s">
        <v>124</v>
      </c>
    </row>
    <row r="32">
      <c r="B32" s="3" t="s">
        <v>125</v>
      </c>
      <c r="C32" s="26" t="s">
        <v>126</v>
      </c>
    </row>
    <row r="33">
      <c r="B33" s="3" t="s">
        <v>127</v>
      </c>
      <c r="C33" s="3" t="s">
        <v>128</v>
      </c>
    </row>
    <row r="34">
      <c r="B34" s="3" t="s">
        <v>129</v>
      </c>
      <c r="C34" s="3" t="s">
        <v>128</v>
      </c>
    </row>
    <row r="35">
      <c r="B35" s="3" t="s">
        <v>130</v>
      </c>
      <c r="C35" s="3" t="s">
        <v>128</v>
      </c>
    </row>
    <row r="36">
      <c r="B36" s="3" t="s">
        <v>131</v>
      </c>
      <c r="C36" s="3" t="s">
        <v>128</v>
      </c>
    </row>
    <row r="37">
      <c r="B37" s="3" t="s">
        <v>132</v>
      </c>
      <c r="C37" s="3" t="s">
        <v>128</v>
      </c>
    </row>
    <row r="39">
      <c r="A39" s="3" t="s">
        <v>63</v>
      </c>
    </row>
    <row r="40">
      <c r="A40" s="3" t="s">
        <v>133</v>
      </c>
      <c r="C40" s="27" t="s">
        <v>134</v>
      </c>
    </row>
    <row r="41">
      <c r="A41" s="3" t="s">
        <v>135</v>
      </c>
      <c r="C41" s="27" t="s">
        <v>136</v>
      </c>
    </row>
    <row r="42">
      <c r="A42" s="3" t="s">
        <v>139</v>
      </c>
      <c r="C42" s="27" t="s">
        <v>140</v>
      </c>
    </row>
  </sheetData>
  <hyperlinks>
    <hyperlink r:id="rId1" ref="C40"/>
    <hyperlink r:id="rId2" ref="C41"/>
    <hyperlink r:id="rId3" ref="C42"/>
  </hyperlink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7.57"/>
    <col customWidth="1" min="4" max="4" width="24.86"/>
    <col customWidth="1" min="5" max="6" width="28.43"/>
    <col customWidth="1" min="7" max="7" width="25.0"/>
  </cols>
  <sheetData>
    <row r="1">
      <c r="C1" s="3" t="s">
        <v>160</v>
      </c>
      <c r="D1" s="3" t="s">
        <v>161</v>
      </c>
      <c r="E1" s="3" t="s">
        <v>162</v>
      </c>
      <c r="F1" s="2" t="s">
        <v>163</v>
      </c>
      <c r="G1" s="3" t="s">
        <v>164</v>
      </c>
    </row>
    <row r="2">
      <c r="A2" s="6" t="s">
        <v>91</v>
      </c>
      <c r="C2" s="3">
        <v>1.441</v>
      </c>
      <c r="D2" s="3">
        <v>1.5782</v>
      </c>
      <c r="E2" s="3">
        <v>1.5644</v>
      </c>
      <c r="F2" s="2">
        <v>1.5507</v>
      </c>
      <c r="G2" s="3">
        <v>1.5096</v>
      </c>
    </row>
    <row r="3">
      <c r="A3" s="6" t="s">
        <v>94</v>
      </c>
      <c r="C3" s="3">
        <v>1.399</v>
      </c>
      <c r="D3" s="3">
        <v>1.5581</v>
      </c>
      <c r="E3" s="3">
        <v>1.5422</v>
      </c>
      <c r="F3" s="2">
        <v>1.5262</v>
      </c>
      <c r="G3" s="3">
        <v>1.4785</v>
      </c>
    </row>
    <row r="4">
      <c r="A4" s="6" t="s">
        <v>56</v>
      </c>
      <c r="C4" s="3">
        <v>0.859</v>
      </c>
      <c r="D4" s="3">
        <v>1.0181</v>
      </c>
      <c r="E4" s="3">
        <v>1.0022</v>
      </c>
      <c r="F4" s="2">
        <v>0.9862</v>
      </c>
      <c r="G4" s="3">
        <v>0.9385</v>
      </c>
    </row>
    <row r="5">
      <c r="A5" s="6" t="s">
        <v>58</v>
      </c>
      <c r="C5" s="3">
        <v>0.651</v>
      </c>
      <c r="D5" s="3">
        <v>0.7596</v>
      </c>
      <c r="E5" s="3">
        <v>0.74874</v>
      </c>
      <c r="F5" s="2">
        <v>0.73788</v>
      </c>
      <c r="G5" s="3">
        <v>0.7053</v>
      </c>
    </row>
    <row r="6">
      <c r="F6" s="13"/>
    </row>
    <row r="7">
      <c r="A7" s="6" t="s">
        <v>166</v>
      </c>
      <c r="D7" s="30">
        <f t="shared" ref="D7:D10" si="1">(D2-C2)/C2</f>
        <v>0.09521165857</v>
      </c>
      <c r="E7" s="30">
        <f t="shared" ref="E7:E10" si="2">(E2-C2)/C2</f>
        <v>0.08563497571</v>
      </c>
      <c r="F7" s="31">
        <f t="shared" ref="F7:F10" si="3">(F2-C2)/C2</f>
        <v>0.0761276891</v>
      </c>
      <c r="G7" s="30">
        <f t="shared" ref="G7:G10" si="4">(G2-C2)/C2</f>
        <v>0.04760582929</v>
      </c>
    </row>
    <row r="8">
      <c r="A8" s="6" t="s">
        <v>178</v>
      </c>
      <c r="D8" s="30">
        <f t="shared" si="1"/>
        <v>0.1137240886</v>
      </c>
      <c r="E8" s="30">
        <f t="shared" si="2"/>
        <v>0.1023588277</v>
      </c>
      <c r="F8" s="31">
        <f t="shared" si="3"/>
        <v>0.09092208721</v>
      </c>
      <c r="G8" s="30">
        <f t="shared" si="4"/>
        <v>0.0568263045</v>
      </c>
    </row>
    <row r="9">
      <c r="A9" s="6" t="s">
        <v>180</v>
      </c>
      <c r="D9" s="30">
        <f t="shared" si="1"/>
        <v>0.1852153667</v>
      </c>
      <c r="E9" s="30">
        <f t="shared" si="2"/>
        <v>0.1667054715</v>
      </c>
      <c r="F9" s="31">
        <f t="shared" si="3"/>
        <v>0.1480791618</v>
      </c>
      <c r="G9" s="30">
        <f t="shared" si="4"/>
        <v>0.09254947614</v>
      </c>
    </row>
    <row r="10">
      <c r="A10" s="6" t="s">
        <v>191</v>
      </c>
      <c r="D10" s="30">
        <f t="shared" si="1"/>
        <v>0.1668202765</v>
      </c>
      <c r="E10" s="30">
        <f t="shared" si="2"/>
        <v>0.1501382488</v>
      </c>
      <c r="F10" s="31">
        <f t="shared" si="3"/>
        <v>0.1334562212</v>
      </c>
      <c r="G10" s="30">
        <f t="shared" si="4"/>
        <v>0.08341013825</v>
      </c>
    </row>
    <row r="11">
      <c r="F11" s="13"/>
    </row>
    <row r="12">
      <c r="A12" s="6" t="s">
        <v>192</v>
      </c>
      <c r="D12">
        <f t="shared" ref="D12:G12" si="5">D2-$C$2</f>
        <v>0.1372</v>
      </c>
      <c r="E12">
        <f t="shared" si="5"/>
        <v>0.1234</v>
      </c>
      <c r="F12" s="13">
        <f t="shared" si="5"/>
        <v>0.1097</v>
      </c>
      <c r="G12">
        <f t="shared" si="5"/>
        <v>0.0686</v>
      </c>
    </row>
    <row r="13">
      <c r="A13" s="6" t="s">
        <v>193</v>
      </c>
      <c r="D13">
        <f t="shared" ref="D13:G13" si="6">D3-$C$3</f>
        <v>0.1591</v>
      </c>
      <c r="E13">
        <f t="shared" si="6"/>
        <v>0.1432</v>
      </c>
      <c r="F13" s="13">
        <f t="shared" si="6"/>
        <v>0.1272</v>
      </c>
      <c r="G13">
        <f t="shared" si="6"/>
        <v>0.0795</v>
      </c>
    </row>
    <row r="14">
      <c r="A14" s="6" t="s">
        <v>196</v>
      </c>
      <c r="D14">
        <f t="shared" ref="D14:G14" si="7">D4-$C$4</f>
        <v>0.1591</v>
      </c>
      <c r="E14">
        <f t="shared" si="7"/>
        <v>0.1432</v>
      </c>
      <c r="F14" s="13">
        <f t="shared" si="7"/>
        <v>0.1272</v>
      </c>
      <c r="G14">
        <f t="shared" si="7"/>
        <v>0.0795</v>
      </c>
    </row>
    <row r="15">
      <c r="A15" s="6" t="s">
        <v>197</v>
      </c>
      <c r="D15">
        <f t="shared" ref="D15:G15" si="8">D5-$C$5</f>
        <v>0.1086</v>
      </c>
      <c r="E15">
        <f t="shared" si="8"/>
        <v>0.09774</v>
      </c>
      <c r="F15" s="13">
        <f t="shared" si="8"/>
        <v>0.08688</v>
      </c>
      <c r="G15">
        <f t="shared" si="8"/>
        <v>0.0543</v>
      </c>
    </row>
    <row r="16">
      <c r="F16" s="13"/>
    </row>
    <row r="17">
      <c r="F17" s="13"/>
    </row>
    <row r="18">
      <c r="A18" s="3" t="s">
        <v>63</v>
      </c>
      <c r="F18" s="13"/>
    </row>
    <row r="19">
      <c r="A19" s="3" t="s">
        <v>199</v>
      </c>
      <c r="C19" s="3" t="s">
        <v>200</v>
      </c>
      <c r="F19" s="13"/>
    </row>
    <row r="20">
      <c r="A20" s="3" t="s">
        <v>201</v>
      </c>
      <c r="C20" s="3" t="s">
        <v>202</v>
      </c>
      <c r="F20" s="13"/>
    </row>
    <row r="21">
      <c r="A21" s="3" t="s">
        <v>203</v>
      </c>
      <c r="C21" s="3" t="s">
        <v>204</v>
      </c>
      <c r="F21" s="13"/>
    </row>
    <row r="22">
      <c r="F22" s="13"/>
    </row>
    <row r="23">
      <c r="A23" s="3" t="s">
        <v>205</v>
      </c>
      <c r="C23" s="3" t="s">
        <v>206</v>
      </c>
      <c r="F23" s="13"/>
    </row>
    <row r="24">
      <c r="A24" s="3" t="s">
        <v>207</v>
      </c>
      <c r="F24" s="13"/>
    </row>
    <row r="25">
      <c r="F25" s="13"/>
    </row>
    <row r="26">
      <c r="F26" s="13"/>
    </row>
    <row r="27">
      <c r="F27" s="13"/>
    </row>
    <row r="28">
      <c r="F28" s="13"/>
    </row>
    <row r="29">
      <c r="F29" s="13"/>
    </row>
    <row r="30">
      <c r="F30" s="13"/>
    </row>
    <row r="31">
      <c r="F31" s="13"/>
    </row>
    <row r="32">
      <c r="F32" s="13"/>
    </row>
    <row r="33">
      <c r="F33" s="13"/>
    </row>
    <row r="34">
      <c r="F34" s="13"/>
    </row>
    <row r="35">
      <c r="F35" s="13"/>
    </row>
    <row r="36">
      <c r="F36" s="13"/>
    </row>
    <row r="37">
      <c r="F37" s="13"/>
    </row>
    <row r="38">
      <c r="F38" s="13"/>
    </row>
    <row r="39">
      <c r="F39" s="13"/>
    </row>
    <row r="40">
      <c r="F40" s="13"/>
    </row>
    <row r="41">
      <c r="F41" s="13"/>
    </row>
    <row r="42">
      <c r="F42" s="13"/>
    </row>
    <row r="43">
      <c r="F43" s="13"/>
    </row>
    <row r="44">
      <c r="F44" s="13"/>
    </row>
    <row r="45">
      <c r="F45" s="13"/>
    </row>
    <row r="46">
      <c r="F46" s="13"/>
    </row>
    <row r="47">
      <c r="F47" s="13"/>
    </row>
    <row r="48">
      <c r="F48" s="13"/>
    </row>
    <row r="49">
      <c r="F49" s="13"/>
    </row>
    <row r="50">
      <c r="F50" s="13"/>
    </row>
    <row r="51">
      <c r="F51" s="13"/>
    </row>
    <row r="52">
      <c r="F52" s="13"/>
    </row>
    <row r="53">
      <c r="F53" s="13"/>
    </row>
    <row r="54">
      <c r="F54" s="13"/>
    </row>
    <row r="55">
      <c r="F55" s="13"/>
    </row>
    <row r="56">
      <c r="F56" s="13"/>
    </row>
    <row r="57">
      <c r="F57" s="13"/>
    </row>
    <row r="58">
      <c r="F58" s="13"/>
    </row>
    <row r="59">
      <c r="F59" s="13"/>
    </row>
    <row r="60">
      <c r="F60" s="13"/>
    </row>
    <row r="61">
      <c r="F61" s="13"/>
    </row>
    <row r="62">
      <c r="F62" s="13"/>
    </row>
    <row r="63">
      <c r="F63" s="13"/>
    </row>
    <row r="64">
      <c r="F64" s="13"/>
    </row>
    <row r="65">
      <c r="F65" s="13"/>
    </row>
    <row r="66">
      <c r="F66" s="13"/>
    </row>
    <row r="67">
      <c r="F67" s="13"/>
    </row>
    <row r="68">
      <c r="F68" s="13"/>
    </row>
    <row r="69">
      <c r="F69" s="13"/>
    </row>
    <row r="70">
      <c r="F70" s="13"/>
    </row>
    <row r="71">
      <c r="F71" s="13"/>
    </row>
    <row r="72">
      <c r="F72" s="13"/>
    </row>
    <row r="73">
      <c r="F73" s="13"/>
    </row>
    <row r="74">
      <c r="F74" s="13"/>
    </row>
    <row r="75">
      <c r="F75" s="13"/>
    </row>
    <row r="76">
      <c r="F76" s="13"/>
    </row>
    <row r="77">
      <c r="F77" s="13"/>
    </row>
    <row r="78">
      <c r="F78" s="13"/>
    </row>
    <row r="79">
      <c r="F79" s="13"/>
    </row>
    <row r="80">
      <c r="F80" s="13"/>
    </row>
    <row r="81">
      <c r="F81" s="13"/>
    </row>
    <row r="82">
      <c r="F82" s="13"/>
    </row>
    <row r="83">
      <c r="F83" s="13"/>
    </row>
    <row r="84">
      <c r="F84" s="13"/>
    </row>
    <row r="85">
      <c r="F85" s="13"/>
    </row>
    <row r="86">
      <c r="F86" s="13"/>
    </row>
    <row r="87">
      <c r="F87" s="13"/>
    </row>
    <row r="88">
      <c r="F88" s="13"/>
    </row>
    <row r="89">
      <c r="F89" s="13"/>
    </row>
    <row r="90">
      <c r="F90" s="13"/>
    </row>
    <row r="91">
      <c r="F91" s="13"/>
    </row>
    <row r="92">
      <c r="F92" s="13"/>
    </row>
    <row r="93">
      <c r="F93" s="13"/>
    </row>
    <row r="94">
      <c r="F94" s="13"/>
    </row>
    <row r="95">
      <c r="F95" s="13"/>
    </row>
    <row r="96">
      <c r="F96" s="13"/>
    </row>
    <row r="97">
      <c r="F97" s="13"/>
    </row>
    <row r="98">
      <c r="F98" s="13"/>
    </row>
    <row r="99">
      <c r="F99" s="13"/>
    </row>
    <row r="100">
      <c r="F100" s="13"/>
    </row>
    <row r="101">
      <c r="F101" s="13"/>
    </row>
    <row r="102">
      <c r="F102" s="13"/>
    </row>
    <row r="103">
      <c r="F103" s="13"/>
    </row>
    <row r="104">
      <c r="F104" s="13"/>
    </row>
    <row r="105">
      <c r="F105" s="13"/>
    </row>
    <row r="106">
      <c r="F106" s="13"/>
    </row>
    <row r="107">
      <c r="F107" s="13"/>
    </row>
    <row r="108">
      <c r="F108" s="13"/>
    </row>
    <row r="109">
      <c r="F109" s="13"/>
    </row>
    <row r="110">
      <c r="F110" s="13"/>
    </row>
    <row r="111">
      <c r="F111" s="13"/>
    </row>
    <row r="112">
      <c r="F112" s="13"/>
    </row>
    <row r="113">
      <c r="F113" s="13"/>
    </row>
    <row r="114">
      <c r="F114" s="13"/>
    </row>
    <row r="115">
      <c r="F115" s="13"/>
    </row>
    <row r="116">
      <c r="F116" s="13"/>
    </row>
    <row r="117">
      <c r="F117" s="13"/>
    </row>
    <row r="118">
      <c r="F118" s="13"/>
    </row>
    <row r="119">
      <c r="F119" s="13"/>
    </row>
    <row r="120">
      <c r="F120" s="13"/>
    </row>
    <row r="121">
      <c r="F121" s="13"/>
    </row>
    <row r="122">
      <c r="F122" s="13"/>
    </row>
    <row r="123">
      <c r="F123" s="13"/>
    </row>
    <row r="124">
      <c r="F124" s="13"/>
    </row>
    <row r="125">
      <c r="F125" s="13"/>
    </row>
    <row r="126">
      <c r="F126" s="13"/>
    </row>
    <row r="127">
      <c r="F127" s="13"/>
    </row>
    <row r="128">
      <c r="F128" s="13"/>
    </row>
    <row r="129">
      <c r="F129" s="13"/>
    </row>
    <row r="130">
      <c r="F130" s="13"/>
    </row>
    <row r="131">
      <c r="F131" s="13"/>
    </row>
    <row r="132">
      <c r="F132" s="13"/>
    </row>
    <row r="133">
      <c r="F133" s="13"/>
    </row>
    <row r="134">
      <c r="F134" s="13"/>
    </row>
    <row r="135">
      <c r="F135" s="13"/>
    </row>
    <row r="136">
      <c r="F136" s="13"/>
    </row>
    <row r="137">
      <c r="F137" s="13"/>
    </row>
    <row r="138">
      <c r="F138" s="13"/>
    </row>
    <row r="139">
      <c r="F139" s="13"/>
    </row>
    <row r="140">
      <c r="F140" s="13"/>
    </row>
    <row r="141">
      <c r="F141" s="13"/>
    </row>
    <row r="142">
      <c r="F142" s="13"/>
    </row>
    <row r="143">
      <c r="F143" s="13"/>
    </row>
    <row r="144">
      <c r="F144" s="13"/>
    </row>
    <row r="145">
      <c r="F145" s="13"/>
    </row>
    <row r="146">
      <c r="F146" s="13"/>
    </row>
    <row r="147">
      <c r="F147" s="13"/>
    </row>
    <row r="148">
      <c r="F148" s="13"/>
    </row>
    <row r="149">
      <c r="F149" s="13"/>
    </row>
    <row r="150">
      <c r="F150" s="13"/>
    </row>
    <row r="151">
      <c r="F151" s="13"/>
    </row>
    <row r="152">
      <c r="F152" s="13"/>
    </row>
    <row r="153">
      <c r="F153" s="13"/>
    </row>
    <row r="154">
      <c r="F154" s="13"/>
    </row>
    <row r="155">
      <c r="F155" s="13"/>
    </row>
    <row r="156">
      <c r="F156" s="13"/>
    </row>
    <row r="157">
      <c r="F157" s="13"/>
    </row>
    <row r="158">
      <c r="F158" s="13"/>
    </row>
    <row r="159">
      <c r="F159" s="13"/>
    </row>
    <row r="160">
      <c r="F160" s="13"/>
    </row>
    <row r="161">
      <c r="F161" s="13"/>
    </row>
    <row r="162">
      <c r="F162" s="13"/>
    </row>
    <row r="163">
      <c r="F163" s="13"/>
    </row>
    <row r="164">
      <c r="F164" s="13"/>
    </row>
    <row r="165">
      <c r="F165" s="13"/>
    </row>
    <row r="166">
      <c r="F166" s="13"/>
    </row>
    <row r="167">
      <c r="F167" s="13"/>
    </row>
    <row r="168">
      <c r="F168" s="13"/>
    </row>
    <row r="169">
      <c r="F169" s="13"/>
    </row>
    <row r="170">
      <c r="F170" s="13"/>
    </row>
    <row r="171">
      <c r="F171" s="13"/>
    </row>
    <row r="172">
      <c r="F172" s="13"/>
    </row>
    <row r="173">
      <c r="F173" s="13"/>
    </row>
    <row r="174">
      <c r="F174" s="13"/>
    </row>
    <row r="175">
      <c r="F175" s="13"/>
    </row>
    <row r="176">
      <c r="F176" s="13"/>
    </row>
    <row r="177">
      <c r="F177" s="13"/>
    </row>
    <row r="178">
      <c r="F178" s="13"/>
    </row>
    <row r="179">
      <c r="F179" s="13"/>
    </row>
    <row r="180">
      <c r="F180" s="13"/>
    </row>
    <row r="181">
      <c r="F181" s="13"/>
    </row>
    <row r="182">
      <c r="F182" s="13"/>
    </row>
    <row r="183">
      <c r="F183" s="13"/>
    </row>
    <row r="184">
      <c r="F184" s="13"/>
    </row>
    <row r="185">
      <c r="F185" s="13"/>
    </row>
    <row r="186">
      <c r="F186" s="13"/>
    </row>
    <row r="187">
      <c r="F187" s="13"/>
    </row>
    <row r="188">
      <c r="F188" s="13"/>
    </row>
    <row r="189">
      <c r="F189" s="13"/>
    </row>
    <row r="190">
      <c r="F190" s="13"/>
    </row>
    <row r="191">
      <c r="F191" s="13"/>
    </row>
    <row r="192">
      <c r="F192" s="13"/>
    </row>
    <row r="193">
      <c r="F193" s="13"/>
    </row>
    <row r="194">
      <c r="F194" s="13"/>
    </row>
    <row r="195">
      <c r="F195" s="13"/>
    </row>
    <row r="196">
      <c r="F196" s="13"/>
    </row>
    <row r="197">
      <c r="F197" s="13"/>
    </row>
    <row r="198">
      <c r="F198" s="13"/>
    </row>
    <row r="199">
      <c r="F199" s="13"/>
    </row>
    <row r="200">
      <c r="F200" s="13"/>
    </row>
    <row r="201">
      <c r="F201" s="13"/>
    </row>
    <row r="202">
      <c r="F202" s="13"/>
    </row>
    <row r="203">
      <c r="F203" s="13"/>
    </row>
    <row r="204">
      <c r="F204" s="13"/>
    </row>
    <row r="205">
      <c r="F205" s="13"/>
    </row>
    <row r="206">
      <c r="F206" s="13"/>
    </row>
    <row r="207">
      <c r="F207" s="13"/>
    </row>
    <row r="208">
      <c r="F208" s="13"/>
    </row>
    <row r="209">
      <c r="F209" s="13"/>
    </row>
    <row r="210">
      <c r="F210" s="13"/>
    </row>
    <row r="211">
      <c r="F211" s="13"/>
    </row>
    <row r="212">
      <c r="F212" s="13"/>
    </row>
    <row r="213">
      <c r="F213" s="13"/>
    </row>
    <row r="214">
      <c r="F214" s="13"/>
    </row>
    <row r="215">
      <c r="F215" s="13"/>
    </row>
    <row r="216">
      <c r="F216" s="13"/>
    </row>
    <row r="217">
      <c r="F217" s="13"/>
    </row>
    <row r="218">
      <c r="F218" s="13"/>
    </row>
    <row r="219">
      <c r="F219" s="13"/>
    </row>
    <row r="220">
      <c r="F220" s="13"/>
    </row>
    <row r="221">
      <c r="F221" s="13"/>
    </row>
    <row r="222">
      <c r="F222" s="13"/>
    </row>
    <row r="223">
      <c r="F223" s="13"/>
    </row>
    <row r="224">
      <c r="F224" s="13"/>
    </row>
    <row r="225">
      <c r="F225" s="13"/>
    </row>
    <row r="226">
      <c r="F226" s="13"/>
    </row>
    <row r="227">
      <c r="F227" s="13"/>
    </row>
    <row r="228">
      <c r="F228" s="13"/>
    </row>
    <row r="229">
      <c r="F229" s="13"/>
    </row>
    <row r="230">
      <c r="F230" s="13"/>
    </row>
    <row r="231">
      <c r="F231" s="13"/>
    </row>
    <row r="232">
      <c r="F232" s="13"/>
    </row>
    <row r="233">
      <c r="F233" s="13"/>
    </row>
    <row r="234">
      <c r="F234" s="13"/>
    </row>
    <row r="235">
      <c r="F235" s="13"/>
    </row>
    <row r="236">
      <c r="F236" s="13"/>
    </row>
    <row r="237">
      <c r="F237" s="13"/>
    </row>
    <row r="238">
      <c r="F238" s="13"/>
    </row>
    <row r="239">
      <c r="F239" s="13"/>
    </row>
    <row r="240">
      <c r="F240" s="13"/>
    </row>
    <row r="241">
      <c r="F241" s="13"/>
    </row>
    <row r="242">
      <c r="F242" s="13"/>
    </row>
    <row r="243">
      <c r="F243" s="13"/>
    </row>
    <row r="244">
      <c r="F244" s="13"/>
    </row>
    <row r="245">
      <c r="F245" s="13"/>
    </row>
    <row r="246">
      <c r="F246" s="13"/>
    </row>
    <row r="247">
      <c r="F247" s="13"/>
    </row>
    <row r="248">
      <c r="F248" s="13"/>
    </row>
    <row r="249">
      <c r="F249" s="13"/>
    </row>
    <row r="250">
      <c r="F250" s="13"/>
    </row>
    <row r="251">
      <c r="F251" s="13"/>
    </row>
    <row r="252">
      <c r="F252" s="13"/>
    </row>
    <row r="253">
      <c r="F253" s="13"/>
    </row>
    <row r="254">
      <c r="F254" s="13"/>
    </row>
    <row r="255">
      <c r="F255" s="13"/>
    </row>
    <row r="256">
      <c r="F256" s="13"/>
    </row>
    <row r="257">
      <c r="F257" s="13"/>
    </row>
    <row r="258">
      <c r="F258" s="13"/>
    </row>
    <row r="259">
      <c r="F259" s="13"/>
    </row>
    <row r="260">
      <c r="F260" s="13"/>
    </row>
    <row r="261">
      <c r="F261" s="13"/>
    </row>
    <row r="262">
      <c r="F262" s="13"/>
    </row>
    <row r="263">
      <c r="F263" s="13"/>
    </row>
    <row r="264">
      <c r="F264" s="13"/>
    </row>
    <row r="265">
      <c r="F265" s="13"/>
    </row>
    <row r="266">
      <c r="F266" s="13"/>
    </row>
    <row r="267">
      <c r="F267" s="13"/>
    </row>
    <row r="268">
      <c r="F268" s="13"/>
    </row>
    <row r="269">
      <c r="F269" s="13"/>
    </row>
    <row r="270">
      <c r="F270" s="13"/>
    </row>
    <row r="271">
      <c r="F271" s="13"/>
    </row>
    <row r="272">
      <c r="F272" s="13"/>
    </row>
    <row r="273">
      <c r="F273" s="13"/>
    </row>
    <row r="274">
      <c r="F274" s="13"/>
    </row>
    <row r="275">
      <c r="F275" s="13"/>
    </row>
    <row r="276">
      <c r="F276" s="13"/>
    </row>
    <row r="277">
      <c r="F277" s="13"/>
    </row>
    <row r="278">
      <c r="F278" s="13"/>
    </row>
    <row r="279">
      <c r="F279" s="13"/>
    </row>
    <row r="280">
      <c r="F280" s="13"/>
    </row>
    <row r="281">
      <c r="F281" s="13"/>
    </row>
    <row r="282">
      <c r="F282" s="13"/>
    </row>
    <row r="283">
      <c r="F283" s="13"/>
    </row>
    <row r="284">
      <c r="F284" s="13"/>
    </row>
    <row r="285">
      <c r="F285" s="13"/>
    </row>
    <row r="286">
      <c r="F286" s="13"/>
    </row>
    <row r="287">
      <c r="F287" s="13"/>
    </row>
    <row r="288">
      <c r="F288" s="13"/>
    </row>
    <row r="289">
      <c r="F289" s="13"/>
    </row>
    <row r="290">
      <c r="F290" s="13"/>
    </row>
    <row r="291">
      <c r="F291" s="13"/>
    </row>
    <row r="292">
      <c r="F292" s="13"/>
    </row>
    <row r="293">
      <c r="F293" s="13"/>
    </row>
    <row r="294">
      <c r="F294" s="13"/>
    </row>
    <row r="295">
      <c r="F295" s="13"/>
    </row>
    <row r="296">
      <c r="F296" s="13"/>
    </row>
    <row r="297">
      <c r="F297" s="13"/>
    </row>
    <row r="298">
      <c r="F298" s="13"/>
    </row>
    <row r="299">
      <c r="F299" s="13"/>
    </row>
    <row r="300">
      <c r="F300" s="13"/>
    </row>
    <row r="301">
      <c r="F301" s="13"/>
    </row>
    <row r="302">
      <c r="F302" s="13"/>
    </row>
    <row r="303">
      <c r="F303" s="13"/>
    </row>
    <row r="304">
      <c r="F304" s="13"/>
    </row>
    <row r="305">
      <c r="F305" s="13"/>
    </row>
    <row r="306">
      <c r="F306" s="13"/>
    </row>
    <row r="307">
      <c r="F307" s="13"/>
    </row>
    <row r="308">
      <c r="F308" s="13"/>
    </row>
    <row r="309">
      <c r="F309" s="13"/>
    </row>
    <row r="310">
      <c r="F310" s="13"/>
    </row>
    <row r="311">
      <c r="F311" s="13"/>
    </row>
    <row r="312">
      <c r="F312" s="13"/>
    </row>
    <row r="313">
      <c r="F313" s="13"/>
    </row>
    <row r="314">
      <c r="F314" s="13"/>
    </row>
    <row r="315">
      <c r="F315" s="13"/>
    </row>
    <row r="316">
      <c r="F316" s="13"/>
    </row>
    <row r="317">
      <c r="F317" s="13"/>
    </row>
    <row r="318">
      <c r="F318" s="13"/>
    </row>
    <row r="319">
      <c r="F319" s="13"/>
    </row>
    <row r="320">
      <c r="F320" s="13"/>
    </row>
    <row r="321">
      <c r="F321" s="13"/>
    </row>
    <row r="322">
      <c r="F322" s="13"/>
    </row>
    <row r="323">
      <c r="F323" s="13"/>
    </row>
    <row r="324">
      <c r="F324" s="13"/>
    </row>
    <row r="325">
      <c r="F325" s="13"/>
    </row>
    <row r="326">
      <c r="F326" s="13"/>
    </row>
    <row r="327">
      <c r="F327" s="13"/>
    </row>
    <row r="328">
      <c r="F328" s="13"/>
    </row>
    <row r="329">
      <c r="F329" s="13"/>
    </row>
    <row r="330">
      <c r="F330" s="13"/>
    </row>
    <row r="331">
      <c r="F331" s="13"/>
    </row>
    <row r="332">
      <c r="F332" s="13"/>
    </row>
    <row r="333">
      <c r="F333" s="13"/>
    </row>
    <row r="334">
      <c r="F334" s="13"/>
    </row>
    <row r="335">
      <c r="F335" s="13"/>
    </row>
    <row r="336">
      <c r="F336" s="13"/>
    </row>
    <row r="337">
      <c r="F337" s="13"/>
    </row>
    <row r="338">
      <c r="F338" s="13"/>
    </row>
    <row r="339">
      <c r="F339" s="13"/>
    </row>
    <row r="340">
      <c r="F340" s="13"/>
    </row>
    <row r="341">
      <c r="F341" s="13"/>
    </row>
    <row r="342">
      <c r="F342" s="13"/>
    </row>
    <row r="343">
      <c r="F343" s="13"/>
    </row>
    <row r="344">
      <c r="F344" s="13"/>
    </row>
    <row r="345">
      <c r="F345" s="13"/>
    </row>
    <row r="346">
      <c r="F346" s="13"/>
    </row>
    <row r="347">
      <c r="F347" s="13"/>
    </row>
    <row r="348">
      <c r="F348" s="13"/>
    </row>
    <row r="349">
      <c r="F349" s="13"/>
    </row>
    <row r="350">
      <c r="F350" s="13"/>
    </row>
    <row r="351">
      <c r="F351" s="13"/>
    </row>
    <row r="352">
      <c r="F352" s="13"/>
    </row>
    <row r="353">
      <c r="F353" s="13"/>
    </row>
    <row r="354">
      <c r="F354" s="13"/>
    </row>
    <row r="355">
      <c r="F355" s="13"/>
    </row>
    <row r="356">
      <c r="F356" s="13"/>
    </row>
    <row r="357">
      <c r="F357" s="13"/>
    </row>
    <row r="358">
      <c r="F358" s="13"/>
    </row>
    <row r="359">
      <c r="F359" s="13"/>
    </row>
    <row r="360">
      <c r="F360" s="13"/>
    </row>
    <row r="361">
      <c r="F361" s="13"/>
    </row>
    <row r="362">
      <c r="F362" s="13"/>
    </row>
    <row r="363">
      <c r="F363" s="13"/>
    </row>
    <row r="364">
      <c r="F364" s="13"/>
    </row>
    <row r="365">
      <c r="F365" s="13"/>
    </row>
    <row r="366">
      <c r="F366" s="13"/>
    </row>
    <row r="367">
      <c r="F367" s="13"/>
    </row>
    <row r="368">
      <c r="F368" s="13"/>
    </row>
    <row r="369">
      <c r="F369" s="13"/>
    </row>
    <row r="370">
      <c r="F370" s="13"/>
    </row>
    <row r="371">
      <c r="F371" s="13"/>
    </row>
    <row r="372">
      <c r="F372" s="13"/>
    </row>
    <row r="373">
      <c r="F373" s="13"/>
    </row>
    <row r="374">
      <c r="F374" s="13"/>
    </row>
    <row r="375">
      <c r="F375" s="13"/>
    </row>
    <row r="376">
      <c r="F376" s="13"/>
    </row>
    <row r="377">
      <c r="F377" s="13"/>
    </row>
    <row r="378">
      <c r="F378" s="13"/>
    </row>
    <row r="379">
      <c r="F379" s="13"/>
    </row>
    <row r="380">
      <c r="F380" s="13"/>
    </row>
    <row r="381">
      <c r="F381" s="13"/>
    </row>
    <row r="382">
      <c r="F382" s="13"/>
    </row>
    <row r="383">
      <c r="F383" s="13"/>
    </row>
    <row r="384">
      <c r="F384" s="13"/>
    </row>
    <row r="385">
      <c r="F385" s="13"/>
    </row>
    <row r="386">
      <c r="F386" s="13"/>
    </row>
    <row r="387">
      <c r="F387" s="13"/>
    </row>
    <row r="388">
      <c r="F388" s="13"/>
    </row>
    <row r="389">
      <c r="F389" s="13"/>
    </row>
    <row r="390">
      <c r="F390" s="13"/>
    </row>
    <row r="391">
      <c r="F391" s="13"/>
    </row>
    <row r="392">
      <c r="F392" s="13"/>
    </row>
    <row r="393">
      <c r="F393" s="13"/>
    </row>
    <row r="394">
      <c r="F394" s="13"/>
    </row>
    <row r="395">
      <c r="F395" s="13"/>
    </row>
    <row r="396">
      <c r="F396" s="13"/>
    </row>
    <row r="397">
      <c r="F397" s="13"/>
    </row>
    <row r="398">
      <c r="F398" s="13"/>
    </row>
    <row r="399">
      <c r="F399" s="13"/>
    </row>
    <row r="400">
      <c r="F400" s="13"/>
    </row>
    <row r="401">
      <c r="F401" s="13"/>
    </row>
    <row r="402">
      <c r="F402" s="13"/>
    </row>
    <row r="403">
      <c r="F403" s="13"/>
    </row>
    <row r="404">
      <c r="F404" s="13"/>
    </row>
    <row r="405">
      <c r="F405" s="13"/>
    </row>
    <row r="406">
      <c r="F406" s="13"/>
    </row>
    <row r="407">
      <c r="F407" s="13"/>
    </row>
    <row r="408">
      <c r="F408" s="13"/>
    </row>
    <row r="409">
      <c r="F409" s="13"/>
    </row>
    <row r="410">
      <c r="F410" s="13"/>
    </row>
    <row r="411">
      <c r="F411" s="13"/>
    </row>
    <row r="412">
      <c r="F412" s="13"/>
    </row>
    <row r="413">
      <c r="F413" s="13"/>
    </row>
    <row r="414">
      <c r="F414" s="13"/>
    </row>
    <row r="415">
      <c r="F415" s="13"/>
    </row>
    <row r="416">
      <c r="F416" s="13"/>
    </row>
    <row r="417">
      <c r="F417" s="13"/>
    </row>
    <row r="418">
      <c r="F418" s="13"/>
    </row>
    <row r="419">
      <c r="F419" s="13"/>
    </row>
    <row r="420">
      <c r="F420" s="13"/>
    </row>
    <row r="421">
      <c r="F421" s="13"/>
    </row>
    <row r="422">
      <c r="F422" s="13"/>
    </row>
    <row r="423">
      <c r="F423" s="13"/>
    </row>
    <row r="424">
      <c r="F424" s="13"/>
    </row>
    <row r="425">
      <c r="F425" s="13"/>
    </row>
    <row r="426">
      <c r="F426" s="13"/>
    </row>
    <row r="427">
      <c r="F427" s="13"/>
    </row>
    <row r="428">
      <c r="F428" s="13"/>
    </row>
    <row r="429">
      <c r="F429" s="13"/>
    </row>
    <row r="430">
      <c r="F430" s="13"/>
    </row>
    <row r="431">
      <c r="F431" s="13"/>
    </row>
    <row r="432">
      <c r="F432" s="13"/>
    </row>
    <row r="433">
      <c r="F433" s="13"/>
    </row>
    <row r="434">
      <c r="F434" s="13"/>
    </row>
    <row r="435">
      <c r="F435" s="13"/>
    </row>
    <row r="436">
      <c r="F436" s="13"/>
    </row>
    <row r="437">
      <c r="F437" s="13"/>
    </row>
    <row r="438">
      <c r="F438" s="13"/>
    </row>
    <row r="439">
      <c r="F439" s="13"/>
    </row>
    <row r="440">
      <c r="F440" s="13"/>
    </row>
    <row r="441">
      <c r="F441" s="13"/>
    </row>
    <row r="442">
      <c r="F442" s="13"/>
    </row>
    <row r="443">
      <c r="F443" s="13"/>
    </row>
    <row r="444">
      <c r="F444" s="13"/>
    </row>
    <row r="445">
      <c r="F445" s="13"/>
    </row>
    <row r="446">
      <c r="F446" s="13"/>
    </row>
    <row r="447">
      <c r="F447" s="13"/>
    </row>
    <row r="448">
      <c r="F448" s="13"/>
    </row>
    <row r="449">
      <c r="F449" s="13"/>
    </row>
    <row r="450">
      <c r="F450" s="13"/>
    </row>
    <row r="451">
      <c r="F451" s="13"/>
    </row>
    <row r="452">
      <c r="F452" s="13"/>
    </row>
    <row r="453">
      <c r="F453" s="13"/>
    </row>
    <row r="454">
      <c r="F454" s="13"/>
    </row>
    <row r="455">
      <c r="F455" s="13"/>
    </row>
    <row r="456">
      <c r="F456" s="13"/>
    </row>
    <row r="457">
      <c r="F457" s="13"/>
    </row>
    <row r="458">
      <c r="F458" s="13"/>
    </row>
    <row r="459">
      <c r="F459" s="13"/>
    </row>
    <row r="460">
      <c r="F460" s="13"/>
    </row>
    <row r="461">
      <c r="F461" s="13"/>
    </row>
    <row r="462">
      <c r="F462" s="13"/>
    </row>
    <row r="463">
      <c r="F463" s="13"/>
    </row>
    <row r="464">
      <c r="F464" s="13"/>
    </row>
    <row r="465">
      <c r="F465" s="13"/>
    </row>
    <row r="466">
      <c r="F466" s="13"/>
    </row>
    <row r="467">
      <c r="F467" s="13"/>
    </row>
    <row r="468">
      <c r="F468" s="13"/>
    </row>
    <row r="469">
      <c r="F469" s="13"/>
    </row>
    <row r="470">
      <c r="F470" s="13"/>
    </row>
    <row r="471">
      <c r="F471" s="13"/>
    </row>
    <row r="472">
      <c r="F472" s="13"/>
    </row>
    <row r="473">
      <c r="F473" s="13"/>
    </row>
    <row r="474">
      <c r="F474" s="13"/>
    </row>
    <row r="475">
      <c r="F475" s="13"/>
    </row>
    <row r="476">
      <c r="F476" s="13"/>
    </row>
    <row r="477">
      <c r="F477" s="13"/>
    </row>
    <row r="478">
      <c r="F478" s="13"/>
    </row>
    <row r="479">
      <c r="F479" s="13"/>
    </row>
    <row r="480">
      <c r="F480" s="13"/>
    </row>
    <row r="481">
      <c r="F481" s="13"/>
    </row>
    <row r="482">
      <c r="F482" s="13"/>
    </row>
    <row r="483">
      <c r="F483" s="13"/>
    </row>
    <row r="484">
      <c r="F484" s="13"/>
    </row>
    <row r="485">
      <c r="F485" s="13"/>
    </row>
    <row r="486">
      <c r="F486" s="13"/>
    </row>
    <row r="487">
      <c r="F487" s="13"/>
    </row>
    <row r="488">
      <c r="F488" s="13"/>
    </row>
    <row r="489">
      <c r="F489" s="13"/>
    </row>
    <row r="490">
      <c r="F490" s="13"/>
    </row>
    <row r="491">
      <c r="F491" s="13"/>
    </row>
    <row r="492">
      <c r="F492" s="13"/>
    </row>
    <row r="493">
      <c r="F493" s="13"/>
    </row>
    <row r="494">
      <c r="F494" s="13"/>
    </row>
    <row r="495">
      <c r="F495" s="13"/>
    </row>
    <row r="496">
      <c r="F496" s="13"/>
    </row>
    <row r="497">
      <c r="F497" s="13"/>
    </row>
    <row r="498">
      <c r="F498" s="13"/>
    </row>
    <row r="499">
      <c r="F499" s="13"/>
    </row>
    <row r="500">
      <c r="F500" s="13"/>
    </row>
    <row r="501">
      <c r="F501" s="13"/>
    </row>
    <row r="502">
      <c r="F502" s="13"/>
    </row>
    <row r="503">
      <c r="F503" s="13"/>
    </row>
    <row r="504">
      <c r="F504" s="13"/>
    </row>
    <row r="505">
      <c r="F505" s="13"/>
    </row>
    <row r="506">
      <c r="F506" s="13"/>
    </row>
    <row r="507">
      <c r="F507" s="13"/>
    </row>
    <row r="508">
      <c r="F508" s="13"/>
    </row>
    <row r="509">
      <c r="F509" s="13"/>
    </row>
    <row r="510">
      <c r="F510" s="13"/>
    </row>
    <row r="511">
      <c r="F511" s="13"/>
    </row>
    <row r="512">
      <c r="F512" s="13"/>
    </row>
    <row r="513">
      <c r="F513" s="13"/>
    </row>
    <row r="514">
      <c r="F514" s="13"/>
    </row>
    <row r="515">
      <c r="F515" s="13"/>
    </row>
    <row r="516">
      <c r="F516" s="13"/>
    </row>
    <row r="517">
      <c r="F517" s="13"/>
    </row>
    <row r="518">
      <c r="F518" s="13"/>
    </row>
    <row r="519">
      <c r="F519" s="13"/>
    </row>
    <row r="520">
      <c r="F520" s="13"/>
    </row>
    <row r="521">
      <c r="F521" s="13"/>
    </row>
    <row r="522">
      <c r="F522" s="13"/>
    </row>
    <row r="523">
      <c r="F523" s="13"/>
    </row>
    <row r="524">
      <c r="F524" s="13"/>
    </row>
    <row r="525">
      <c r="F525" s="13"/>
    </row>
    <row r="526">
      <c r="F526" s="13"/>
    </row>
    <row r="527">
      <c r="F527" s="13"/>
    </row>
    <row r="528">
      <c r="F528" s="13"/>
    </row>
    <row r="529">
      <c r="F529" s="13"/>
    </row>
    <row r="530">
      <c r="F530" s="13"/>
    </row>
    <row r="531">
      <c r="F531" s="13"/>
    </row>
    <row r="532">
      <c r="F532" s="13"/>
    </row>
    <row r="533">
      <c r="F533" s="13"/>
    </row>
    <row r="534">
      <c r="F534" s="13"/>
    </row>
    <row r="535">
      <c r="F535" s="13"/>
    </row>
    <row r="536">
      <c r="F536" s="13"/>
    </row>
    <row r="537">
      <c r="F537" s="13"/>
    </row>
    <row r="538">
      <c r="F538" s="13"/>
    </row>
    <row r="539">
      <c r="F539" s="13"/>
    </row>
    <row r="540">
      <c r="F540" s="13"/>
    </row>
    <row r="541">
      <c r="F541" s="13"/>
    </row>
    <row r="542">
      <c r="F542" s="13"/>
    </row>
    <row r="543">
      <c r="F543" s="13"/>
    </row>
    <row r="544">
      <c r="F544" s="13"/>
    </row>
    <row r="545">
      <c r="F545" s="13"/>
    </row>
    <row r="546">
      <c r="F546" s="13"/>
    </row>
    <row r="547">
      <c r="F547" s="13"/>
    </row>
    <row r="548">
      <c r="F548" s="13"/>
    </row>
    <row r="549">
      <c r="F549" s="13"/>
    </row>
    <row r="550">
      <c r="F550" s="13"/>
    </row>
    <row r="551">
      <c r="F551" s="13"/>
    </row>
    <row r="552">
      <c r="F552" s="13"/>
    </row>
    <row r="553">
      <c r="F553" s="13"/>
    </row>
    <row r="554">
      <c r="F554" s="13"/>
    </row>
    <row r="555">
      <c r="F555" s="13"/>
    </row>
    <row r="556">
      <c r="F556" s="13"/>
    </row>
    <row r="557">
      <c r="F557" s="13"/>
    </row>
    <row r="558">
      <c r="F558" s="13"/>
    </row>
    <row r="559">
      <c r="F559" s="13"/>
    </row>
    <row r="560">
      <c r="F560" s="13"/>
    </row>
    <row r="561">
      <c r="F561" s="13"/>
    </row>
    <row r="562">
      <c r="F562" s="13"/>
    </row>
    <row r="563">
      <c r="F563" s="13"/>
    </row>
    <row r="564">
      <c r="F564" s="13"/>
    </row>
    <row r="565">
      <c r="F565" s="13"/>
    </row>
    <row r="566">
      <c r="F566" s="13"/>
    </row>
    <row r="567">
      <c r="F567" s="13"/>
    </row>
    <row r="568">
      <c r="F568" s="13"/>
    </row>
    <row r="569">
      <c r="F569" s="13"/>
    </row>
    <row r="570">
      <c r="F570" s="13"/>
    </row>
    <row r="571">
      <c r="F571" s="13"/>
    </row>
    <row r="572">
      <c r="F572" s="13"/>
    </row>
    <row r="573">
      <c r="F573" s="13"/>
    </row>
    <row r="574">
      <c r="F574" s="13"/>
    </row>
    <row r="575">
      <c r="F575" s="13"/>
    </row>
    <row r="576">
      <c r="F576" s="13"/>
    </row>
    <row r="577">
      <c r="F577" s="13"/>
    </row>
    <row r="578">
      <c r="F578" s="13"/>
    </row>
    <row r="579">
      <c r="F579" s="13"/>
    </row>
    <row r="580">
      <c r="F580" s="13"/>
    </row>
    <row r="581">
      <c r="F581" s="13"/>
    </row>
    <row r="582">
      <c r="F582" s="13"/>
    </row>
    <row r="583">
      <c r="F583" s="13"/>
    </row>
    <row r="584">
      <c r="F584" s="13"/>
    </row>
    <row r="585">
      <c r="F585" s="13"/>
    </row>
    <row r="586">
      <c r="F586" s="13"/>
    </row>
    <row r="587">
      <c r="F587" s="13"/>
    </row>
    <row r="588">
      <c r="F588" s="13"/>
    </row>
    <row r="589">
      <c r="F589" s="13"/>
    </row>
    <row r="590">
      <c r="F590" s="13"/>
    </row>
    <row r="591">
      <c r="F591" s="13"/>
    </row>
    <row r="592">
      <c r="F592" s="13"/>
    </row>
    <row r="593">
      <c r="F593" s="13"/>
    </row>
    <row r="594">
      <c r="F594" s="13"/>
    </row>
    <row r="595">
      <c r="F595" s="13"/>
    </row>
    <row r="596">
      <c r="F596" s="13"/>
    </row>
    <row r="597">
      <c r="F597" s="13"/>
    </row>
    <row r="598">
      <c r="F598" s="13"/>
    </row>
    <row r="599">
      <c r="F599" s="13"/>
    </row>
    <row r="600">
      <c r="F600" s="13"/>
    </row>
    <row r="601">
      <c r="F601" s="13"/>
    </row>
    <row r="602">
      <c r="F602" s="13"/>
    </row>
    <row r="603">
      <c r="F603" s="13"/>
    </row>
    <row r="604">
      <c r="F604" s="13"/>
    </row>
    <row r="605">
      <c r="F605" s="13"/>
    </row>
    <row r="606">
      <c r="F606" s="13"/>
    </row>
    <row r="607">
      <c r="F607" s="13"/>
    </row>
    <row r="608">
      <c r="F608" s="13"/>
    </row>
    <row r="609">
      <c r="F609" s="13"/>
    </row>
    <row r="610">
      <c r="F610" s="13"/>
    </row>
    <row r="611">
      <c r="F611" s="13"/>
    </row>
    <row r="612">
      <c r="F612" s="13"/>
    </row>
    <row r="613">
      <c r="F613" s="13"/>
    </row>
    <row r="614">
      <c r="F614" s="13"/>
    </row>
    <row r="615">
      <c r="F615" s="13"/>
    </row>
    <row r="616">
      <c r="F616" s="13"/>
    </row>
    <row r="617">
      <c r="F617" s="13"/>
    </row>
    <row r="618">
      <c r="F618" s="13"/>
    </row>
    <row r="619">
      <c r="F619" s="13"/>
    </row>
    <row r="620">
      <c r="F620" s="13"/>
    </row>
    <row r="621">
      <c r="F621" s="13"/>
    </row>
    <row r="622">
      <c r="F622" s="13"/>
    </row>
    <row r="623">
      <c r="F623" s="13"/>
    </row>
    <row r="624">
      <c r="F624" s="13"/>
    </row>
    <row r="625">
      <c r="F625" s="13"/>
    </row>
    <row r="626">
      <c r="F626" s="13"/>
    </row>
    <row r="627">
      <c r="F627" s="13"/>
    </row>
    <row r="628">
      <c r="F628" s="13"/>
    </row>
    <row r="629">
      <c r="F629" s="13"/>
    </row>
    <row r="630">
      <c r="F630" s="13"/>
    </row>
    <row r="631">
      <c r="F631" s="13"/>
    </row>
    <row r="632">
      <c r="F632" s="13"/>
    </row>
    <row r="633">
      <c r="F633" s="13"/>
    </row>
    <row r="634">
      <c r="F634" s="13"/>
    </row>
    <row r="635">
      <c r="F635" s="13"/>
    </row>
    <row r="636">
      <c r="F636" s="13"/>
    </row>
    <row r="637">
      <c r="F637" s="13"/>
    </row>
    <row r="638">
      <c r="F638" s="13"/>
    </row>
    <row r="639">
      <c r="F639" s="13"/>
    </row>
    <row r="640">
      <c r="F640" s="13"/>
    </row>
    <row r="641">
      <c r="F641" s="13"/>
    </row>
    <row r="642">
      <c r="F642" s="13"/>
    </row>
    <row r="643">
      <c r="F643" s="13"/>
    </row>
    <row r="644">
      <c r="F644" s="13"/>
    </row>
    <row r="645">
      <c r="F645" s="13"/>
    </row>
    <row r="646">
      <c r="F646" s="13"/>
    </row>
    <row r="647">
      <c r="F647" s="13"/>
    </row>
    <row r="648">
      <c r="F648" s="13"/>
    </row>
    <row r="649">
      <c r="F649" s="13"/>
    </row>
    <row r="650">
      <c r="F650" s="13"/>
    </row>
    <row r="651">
      <c r="F651" s="13"/>
    </row>
    <row r="652">
      <c r="F652" s="13"/>
    </row>
    <row r="653">
      <c r="F653" s="13"/>
    </row>
    <row r="654">
      <c r="F654" s="13"/>
    </row>
    <row r="655">
      <c r="F655" s="13"/>
    </row>
    <row r="656">
      <c r="F656" s="13"/>
    </row>
    <row r="657">
      <c r="F657" s="13"/>
    </row>
    <row r="658">
      <c r="F658" s="13"/>
    </row>
    <row r="659">
      <c r="F659" s="13"/>
    </row>
    <row r="660">
      <c r="F660" s="13"/>
    </row>
    <row r="661">
      <c r="F661" s="13"/>
    </row>
    <row r="662">
      <c r="F662" s="13"/>
    </row>
    <row r="663">
      <c r="F663" s="13"/>
    </row>
    <row r="664">
      <c r="F664" s="13"/>
    </row>
    <row r="665">
      <c r="F665" s="13"/>
    </row>
    <row r="666">
      <c r="F666" s="13"/>
    </row>
    <row r="667">
      <c r="F667" s="13"/>
    </row>
    <row r="668">
      <c r="F668" s="13"/>
    </row>
    <row r="669">
      <c r="F669" s="13"/>
    </row>
    <row r="670">
      <c r="F670" s="13"/>
    </row>
    <row r="671">
      <c r="F671" s="13"/>
    </row>
    <row r="672">
      <c r="F672" s="13"/>
    </row>
    <row r="673">
      <c r="F673" s="13"/>
    </row>
    <row r="674">
      <c r="F674" s="13"/>
    </row>
    <row r="675">
      <c r="F675" s="13"/>
    </row>
    <row r="676">
      <c r="F676" s="13"/>
    </row>
    <row r="677">
      <c r="F677" s="13"/>
    </row>
    <row r="678">
      <c r="F678" s="13"/>
    </row>
    <row r="679">
      <c r="F679" s="13"/>
    </row>
    <row r="680">
      <c r="F680" s="13"/>
    </row>
    <row r="681">
      <c r="F681" s="13"/>
    </row>
    <row r="682">
      <c r="F682" s="13"/>
    </row>
    <row r="683">
      <c r="F683" s="13"/>
    </row>
    <row r="684">
      <c r="F684" s="13"/>
    </row>
    <row r="685">
      <c r="F685" s="13"/>
    </row>
    <row r="686">
      <c r="F686" s="13"/>
    </row>
    <row r="687">
      <c r="F687" s="13"/>
    </row>
    <row r="688">
      <c r="F688" s="13"/>
    </row>
    <row r="689">
      <c r="F689" s="13"/>
    </row>
    <row r="690">
      <c r="F690" s="13"/>
    </row>
    <row r="691">
      <c r="F691" s="13"/>
    </row>
    <row r="692">
      <c r="F692" s="13"/>
    </row>
    <row r="693">
      <c r="F693" s="13"/>
    </row>
    <row r="694">
      <c r="F694" s="13"/>
    </row>
    <row r="695">
      <c r="F695" s="13"/>
    </row>
    <row r="696">
      <c r="F696" s="13"/>
    </row>
    <row r="697">
      <c r="F697" s="13"/>
    </row>
    <row r="698">
      <c r="F698" s="13"/>
    </row>
    <row r="699">
      <c r="F699" s="13"/>
    </row>
    <row r="700">
      <c r="F700" s="13"/>
    </row>
    <row r="701">
      <c r="F701" s="13"/>
    </row>
    <row r="702">
      <c r="F702" s="13"/>
    </row>
    <row r="703">
      <c r="F703" s="13"/>
    </row>
    <row r="704">
      <c r="F704" s="13"/>
    </row>
    <row r="705">
      <c r="F705" s="13"/>
    </row>
    <row r="706">
      <c r="F706" s="13"/>
    </row>
    <row r="707">
      <c r="F707" s="13"/>
    </row>
    <row r="708">
      <c r="F708" s="13"/>
    </row>
    <row r="709">
      <c r="F709" s="13"/>
    </row>
    <row r="710">
      <c r="F710" s="13"/>
    </row>
    <row r="711">
      <c r="F711" s="13"/>
    </row>
    <row r="712">
      <c r="F712" s="13"/>
    </row>
    <row r="713">
      <c r="F713" s="13"/>
    </row>
    <row r="714">
      <c r="F714" s="13"/>
    </row>
    <row r="715">
      <c r="F715" s="13"/>
    </row>
    <row r="716">
      <c r="F716" s="13"/>
    </row>
    <row r="717">
      <c r="F717" s="13"/>
    </row>
    <row r="718">
      <c r="F718" s="13"/>
    </row>
    <row r="719">
      <c r="F719" s="13"/>
    </row>
    <row r="720">
      <c r="F720" s="13"/>
    </row>
    <row r="721">
      <c r="F721" s="13"/>
    </row>
    <row r="722">
      <c r="F722" s="13"/>
    </row>
    <row r="723">
      <c r="F723" s="13"/>
    </row>
    <row r="724">
      <c r="F724" s="13"/>
    </row>
    <row r="725">
      <c r="F725" s="13"/>
    </row>
    <row r="726">
      <c r="F726" s="13"/>
    </row>
    <row r="727">
      <c r="F727" s="13"/>
    </row>
    <row r="728">
      <c r="F728" s="13"/>
    </row>
    <row r="729">
      <c r="F729" s="13"/>
    </row>
    <row r="730">
      <c r="F730" s="13"/>
    </row>
    <row r="731">
      <c r="F731" s="13"/>
    </row>
    <row r="732">
      <c r="F732" s="13"/>
    </row>
    <row r="733">
      <c r="F733" s="13"/>
    </row>
    <row r="734">
      <c r="F734" s="13"/>
    </row>
    <row r="735">
      <c r="F735" s="13"/>
    </row>
    <row r="736">
      <c r="F736" s="13"/>
    </row>
    <row r="737">
      <c r="F737" s="13"/>
    </row>
    <row r="738">
      <c r="F738" s="13"/>
    </row>
    <row r="739">
      <c r="F739" s="13"/>
    </row>
    <row r="740">
      <c r="F740" s="13"/>
    </row>
    <row r="741">
      <c r="F741" s="13"/>
    </row>
    <row r="742">
      <c r="F742" s="13"/>
    </row>
    <row r="743">
      <c r="F743" s="13"/>
    </row>
    <row r="744">
      <c r="F744" s="13"/>
    </row>
    <row r="745">
      <c r="F745" s="13"/>
    </row>
    <row r="746">
      <c r="F746" s="13"/>
    </row>
    <row r="747">
      <c r="F747" s="13"/>
    </row>
    <row r="748">
      <c r="F748" s="13"/>
    </row>
    <row r="749">
      <c r="F749" s="13"/>
    </row>
    <row r="750">
      <c r="F750" s="13"/>
    </row>
    <row r="751">
      <c r="F751" s="13"/>
    </row>
    <row r="752">
      <c r="F752" s="13"/>
    </row>
    <row r="753">
      <c r="F753" s="13"/>
    </row>
    <row r="754">
      <c r="F754" s="13"/>
    </row>
    <row r="755">
      <c r="F755" s="13"/>
    </row>
    <row r="756">
      <c r="F756" s="13"/>
    </row>
    <row r="757">
      <c r="F757" s="13"/>
    </row>
    <row r="758">
      <c r="F758" s="13"/>
    </row>
    <row r="759">
      <c r="F759" s="13"/>
    </row>
    <row r="760">
      <c r="F760" s="13"/>
    </row>
    <row r="761">
      <c r="F761" s="13"/>
    </row>
    <row r="762">
      <c r="F762" s="13"/>
    </row>
    <row r="763">
      <c r="F763" s="13"/>
    </row>
    <row r="764">
      <c r="F764" s="13"/>
    </row>
    <row r="765">
      <c r="F765" s="13"/>
    </row>
    <row r="766">
      <c r="F766" s="13"/>
    </row>
    <row r="767">
      <c r="F767" s="13"/>
    </row>
    <row r="768">
      <c r="F768" s="13"/>
    </row>
    <row r="769">
      <c r="F769" s="13"/>
    </row>
    <row r="770">
      <c r="F770" s="13"/>
    </row>
    <row r="771">
      <c r="F771" s="13"/>
    </row>
    <row r="772">
      <c r="F772" s="13"/>
    </row>
    <row r="773">
      <c r="F773" s="13"/>
    </row>
    <row r="774">
      <c r="F774" s="13"/>
    </row>
    <row r="775">
      <c r="F775" s="13"/>
    </row>
    <row r="776">
      <c r="F776" s="13"/>
    </row>
    <row r="777">
      <c r="F777" s="13"/>
    </row>
    <row r="778">
      <c r="F778" s="13"/>
    </row>
    <row r="779">
      <c r="F779" s="13"/>
    </row>
    <row r="780">
      <c r="F780" s="13"/>
    </row>
    <row r="781">
      <c r="F781" s="13"/>
    </row>
    <row r="782">
      <c r="F782" s="13"/>
    </row>
    <row r="783">
      <c r="F783" s="13"/>
    </row>
    <row r="784">
      <c r="F784" s="13"/>
    </row>
    <row r="785">
      <c r="F785" s="13"/>
    </row>
    <row r="786">
      <c r="F786" s="13"/>
    </row>
    <row r="787">
      <c r="F787" s="13"/>
    </row>
    <row r="788">
      <c r="F788" s="13"/>
    </row>
    <row r="789">
      <c r="F789" s="13"/>
    </row>
    <row r="790">
      <c r="F790" s="13"/>
    </row>
    <row r="791">
      <c r="F791" s="13"/>
    </row>
    <row r="792">
      <c r="F792" s="13"/>
    </row>
    <row r="793">
      <c r="F793" s="13"/>
    </row>
    <row r="794">
      <c r="F794" s="13"/>
    </row>
    <row r="795">
      <c r="F795" s="13"/>
    </row>
    <row r="796">
      <c r="F796" s="13"/>
    </row>
    <row r="797">
      <c r="F797" s="13"/>
    </row>
    <row r="798">
      <c r="F798" s="13"/>
    </row>
    <row r="799">
      <c r="F799" s="13"/>
    </row>
    <row r="800">
      <c r="F800" s="13"/>
    </row>
    <row r="801">
      <c r="F801" s="13"/>
    </row>
    <row r="802">
      <c r="F802" s="13"/>
    </row>
    <row r="803">
      <c r="F803" s="13"/>
    </row>
    <row r="804">
      <c r="F804" s="13"/>
    </row>
    <row r="805">
      <c r="F805" s="13"/>
    </row>
    <row r="806">
      <c r="F806" s="13"/>
    </row>
    <row r="807">
      <c r="F807" s="13"/>
    </row>
    <row r="808">
      <c r="F808" s="13"/>
    </row>
    <row r="809">
      <c r="F809" s="13"/>
    </row>
    <row r="810">
      <c r="F810" s="13"/>
    </row>
    <row r="811">
      <c r="F811" s="13"/>
    </row>
    <row r="812">
      <c r="F812" s="13"/>
    </row>
    <row r="813">
      <c r="F813" s="13"/>
    </row>
    <row r="814">
      <c r="F814" s="13"/>
    </row>
    <row r="815">
      <c r="F815" s="13"/>
    </row>
    <row r="816">
      <c r="F816" s="13"/>
    </row>
    <row r="817">
      <c r="F817" s="13"/>
    </row>
    <row r="818">
      <c r="F818" s="13"/>
    </row>
    <row r="819">
      <c r="F819" s="13"/>
    </row>
    <row r="820">
      <c r="F820" s="13"/>
    </row>
    <row r="821">
      <c r="F821" s="13"/>
    </row>
    <row r="822">
      <c r="F822" s="13"/>
    </row>
    <row r="823">
      <c r="F823" s="13"/>
    </row>
    <row r="824">
      <c r="F824" s="13"/>
    </row>
    <row r="825">
      <c r="F825" s="13"/>
    </row>
    <row r="826">
      <c r="F826" s="13"/>
    </row>
    <row r="827">
      <c r="F827" s="13"/>
    </row>
    <row r="828">
      <c r="F828" s="13"/>
    </row>
    <row r="829">
      <c r="F829" s="13"/>
    </row>
    <row r="830">
      <c r="F830" s="13"/>
    </row>
    <row r="831">
      <c r="F831" s="13"/>
    </row>
    <row r="832">
      <c r="F832" s="13"/>
    </row>
    <row r="833">
      <c r="F833" s="13"/>
    </row>
    <row r="834">
      <c r="F834" s="13"/>
    </row>
    <row r="835">
      <c r="F835" s="13"/>
    </row>
    <row r="836">
      <c r="F836" s="13"/>
    </row>
    <row r="837">
      <c r="F837" s="13"/>
    </row>
    <row r="838">
      <c r="F838" s="13"/>
    </row>
    <row r="839">
      <c r="F839" s="13"/>
    </row>
    <row r="840">
      <c r="F840" s="13"/>
    </row>
    <row r="841">
      <c r="F841" s="13"/>
    </row>
    <row r="842">
      <c r="F842" s="13"/>
    </row>
    <row r="843">
      <c r="F843" s="13"/>
    </row>
    <row r="844">
      <c r="F844" s="13"/>
    </row>
    <row r="845">
      <c r="F845" s="13"/>
    </row>
    <row r="846">
      <c r="F846" s="13"/>
    </row>
    <row r="847">
      <c r="F847" s="13"/>
    </row>
    <row r="848">
      <c r="F848" s="13"/>
    </row>
    <row r="849">
      <c r="F849" s="13"/>
    </row>
    <row r="850">
      <c r="F850" s="13"/>
    </row>
    <row r="851">
      <c r="F851" s="13"/>
    </row>
    <row r="852">
      <c r="F852" s="13"/>
    </row>
    <row r="853">
      <c r="F853" s="13"/>
    </row>
    <row r="854">
      <c r="F854" s="13"/>
    </row>
    <row r="855">
      <c r="F855" s="13"/>
    </row>
    <row r="856">
      <c r="F856" s="13"/>
    </row>
    <row r="857">
      <c r="F857" s="13"/>
    </row>
    <row r="858">
      <c r="F858" s="13"/>
    </row>
    <row r="859">
      <c r="F859" s="13"/>
    </row>
    <row r="860">
      <c r="F860" s="13"/>
    </row>
    <row r="861">
      <c r="F861" s="13"/>
    </row>
    <row r="862">
      <c r="F862" s="13"/>
    </row>
    <row r="863">
      <c r="F863" s="13"/>
    </row>
    <row r="864">
      <c r="F864" s="13"/>
    </row>
    <row r="865">
      <c r="F865" s="13"/>
    </row>
    <row r="866">
      <c r="F866" s="13"/>
    </row>
    <row r="867">
      <c r="F867" s="13"/>
    </row>
    <row r="868">
      <c r="F868" s="13"/>
    </row>
    <row r="869">
      <c r="F869" s="13"/>
    </row>
    <row r="870">
      <c r="F870" s="13"/>
    </row>
    <row r="871">
      <c r="F871" s="13"/>
    </row>
    <row r="872">
      <c r="F872" s="13"/>
    </row>
    <row r="873">
      <c r="F873" s="13"/>
    </row>
    <row r="874">
      <c r="F874" s="13"/>
    </row>
    <row r="875">
      <c r="F875" s="13"/>
    </row>
    <row r="876">
      <c r="F876" s="13"/>
    </row>
    <row r="877">
      <c r="F877" s="13"/>
    </row>
    <row r="878">
      <c r="F878" s="13"/>
    </row>
    <row r="879">
      <c r="F879" s="13"/>
    </row>
    <row r="880">
      <c r="F880" s="13"/>
    </row>
    <row r="881">
      <c r="F881" s="13"/>
    </row>
    <row r="882">
      <c r="F882" s="13"/>
    </row>
    <row r="883">
      <c r="F883" s="13"/>
    </row>
    <row r="884">
      <c r="F884" s="13"/>
    </row>
    <row r="885">
      <c r="F885" s="13"/>
    </row>
    <row r="886">
      <c r="F886" s="13"/>
    </row>
    <row r="887">
      <c r="F887" s="13"/>
    </row>
    <row r="888">
      <c r="F888" s="13"/>
    </row>
    <row r="889">
      <c r="F889" s="13"/>
    </row>
    <row r="890">
      <c r="F890" s="13"/>
    </row>
    <row r="891">
      <c r="F891" s="13"/>
    </row>
    <row r="892">
      <c r="F892" s="13"/>
    </row>
    <row r="893">
      <c r="F893" s="13"/>
    </row>
    <row r="894">
      <c r="F894" s="13"/>
    </row>
    <row r="895">
      <c r="F895" s="13"/>
    </row>
    <row r="896">
      <c r="F896" s="13"/>
    </row>
    <row r="897">
      <c r="F897" s="13"/>
    </row>
    <row r="898">
      <c r="F898" s="13"/>
    </row>
    <row r="899">
      <c r="F899" s="13"/>
    </row>
    <row r="900">
      <c r="F900" s="13"/>
    </row>
    <row r="901">
      <c r="F901" s="13"/>
    </row>
    <row r="902">
      <c r="F902" s="13"/>
    </row>
    <row r="903">
      <c r="F903" s="13"/>
    </row>
    <row r="904">
      <c r="F904" s="13"/>
    </row>
    <row r="905">
      <c r="F905" s="13"/>
    </row>
    <row r="906">
      <c r="F906" s="13"/>
    </row>
    <row r="907">
      <c r="F907" s="13"/>
    </row>
    <row r="908">
      <c r="F908" s="13"/>
    </row>
    <row r="909">
      <c r="F909" s="13"/>
    </row>
    <row r="910">
      <c r="F910" s="13"/>
    </row>
    <row r="911">
      <c r="F911" s="13"/>
    </row>
    <row r="912">
      <c r="F912" s="13"/>
    </row>
    <row r="913">
      <c r="F913" s="13"/>
    </row>
    <row r="914">
      <c r="F914" s="13"/>
    </row>
    <row r="915">
      <c r="F915" s="13"/>
    </row>
    <row r="916">
      <c r="F916" s="13"/>
    </row>
    <row r="917">
      <c r="F917" s="13"/>
    </row>
    <row r="918">
      <c r="F918" s="13"/>
    </row>
    <row r="919">
      <c r="F919" s="13"/>
    </row>
    <row r="920">
      <c r="F920" s="13"/>
    </row>
    <row r="921">
      <c r="F921" s="13"/>
    </row>
    <row r="922">
      <c r="F922" s="13"/>
    </row>
    <row r="923">
      <c r="F923" s="13"/>
    </row>
    <row r="924">
      <c r="F924" s="13"/>
    </row>
    <row r="925">
      <c r="F925" s="13"/>
    </row>
    <row r="926">
      <c r="F926" s="13"/>
    </row>
    <row r="927">
      <c r="F927" s="13"/>
    </row>
    <row r="928">
      <c r="F928" s="13"/>
    </row>
    <row r="929">
      <c r="F929" s="13"/>
    </row>
    <row r="930">
      <c r="F930" s="13"/>
    </row>
    <row r="931">
      <c r="F931" s="13"/>
    </row>
    <row r="932">
      <c r="F932" s="13"/>
    </row>
    <row r="933">
      <c r="F933" s="13"/>
    </row>
    <row r="934">
      <c r="F934" s="13"/>
    </row>
    <row r="935">
      <c r="F935" s="13"/>
    </row>
    <row r="936">
      <c r="F936" s="13"/>
    </row>
    <row r="937">
      <c r="F937" s="13"/>
    </row>
    <row r="938">
      <c r="F938" s="13"/>
    </row>
    <row r="939">
      <c r="F939" s="13"/>
    </row>
    <row r="940">
      <c r="F940" s="13"/>
    </row>
    <row r="941">
      <c r="F941" s="13"/>
    </row>
    <row r="942">
      <c r="F942" s="13"/>
    </row>
    <row r="943">
      <c r="F943" s="13"/>
    </row>
    <row r="944">
      <c r="F944" s="13"/>
    </row>
    <row r="945">
      <c r="F945" s="13"/>
    </row>
    <row r="946">
      <c r="F946" s="13"/>
    </row>
    <row r="947">
      <c r="F947" s="13"/>
    </row>
    <row r="948">
      <c r="F948" s="13"/>
    </row>
    <row r="949">
      <c r="F949" s="13"/>
    </row>
    <row r="950">
      <c r="F950" s="13"/>
    </row>
    <row r="951">
      <c r="F951" s="13"/>
    </row>
    <row r="952">
      <c r="F952" s="13"/>
    </row>
    <row r="953">
      <c r="F953" s="13"/>
    </row>
    <row r="954">
      <c r="F954" s="13"/>
    </row>
    <row r="955">
      <c r="F955" s="13"/>
    </row>
    <row r="956">
      <c r="F956" s="13"/>
    </row>
    <row r="957">
      <c r="F957" s="13"/>
    </row>
    <row r="958">
      <c r="F958" s="13"/>
    </row>
    <row r="959">
      <c r="F959" s="13"/>
    </row>
    <row r="960">
      <c r="F960" s="13"/>
    </row>
    <row r="961">
      <c r="F961" s="13"/>
    </row>
    <row r="962">
      <c r="F962" s="13"/>
    </row>
    <row r="963">
      <c r="F963" s="13"/>
    </row>
    <row r="964">
      <c r="F964" s="13"/>
    </row>
    <row r="965">
      <c r="F965" s="13"/>
    </row>
    <row r="966">
      <c r="F966" s="13"/>
    </row>
    <row r="967">
      <c r="F967" s="13"/>
    </row>
    <row r="968">
      <c r="F968" s="13"/>
    </row>
    <row r="969">
      <c r="F969" s="13"/>
    </row>
    <row r="970">
      <c r="F970" s="13"/>
    </row>
    <row r="971">
      <c r="F971" s="13"/>
    </row>
    <row r="972">
      <c r="F972" s="13"/>
    </row>
    <row r="973">
      <c r="F973" s="13"/>
    </row>
    <row r="974">
      <c r="F974" s="13"/>
    </row>
    <row r="975">
      <c r="F975" s="13"/>
    </row>
    <row r="976">
      <c r="F976" s="13"/>
    </row>
    <row r="977">
      <c r="F977" s="13"/>
    </row>
    <row r="978">
      <c r="F978" s="13"/>
    </row>
    <row r="979">
      <c r="F979" s="13"/>
    </row>
    <row r="980">
      <c r="F980" s="13"/>
    </row>
    <row r="981">
      <c r="F981" s="13"/>
    </row>
    <row r="982">
      <c r="F982" s="13"/>
    </row>
    <row r="983">
      <c r="F983" s="13"/>
    </row>
    <row r="984">
      <c r="F984" s="13"/>
    </row>
    <row r="985">
      <c r="F985" s="13"/>
    </row>
    <row r="986">
      <c r="F986" s="13"/>
    </row>
    <row r="987">
      <c r="F987" s="13"/>
    </row>
    <row r="988">
      <c r="F988" s="13"/>
    </row>
    <row r="989">
      <c r="F989" s="13"/>
    </row>
    <row r="990">
      <c r="F990" s="13"/>
    </row>
    <row r="991">
      <c r="F991" s="13"/>
    </row>
    <row r="992">
      <c r="F992" s="13"/>
    </row>
    <row r="993">
      <c r="F993" s="13"/>
    </row>
    <row r="994">
      <c r="F994" s="13"/>
    </row>
    <row r="995">
      <c r="F995" s="13"/>
    </row>
    <row r="996">
      <c r="F996" s="13"/>
    </row>
    <row r="997">
      <c r="F997" s="13"/>
    </row>
    <row r="998">
      <c r="F998" s="13"/>
    </row>
    <row r="999">
      <c r="F999" s="13"/>
    </row>
    <row r="1000">
      <c r="F1000" s="13"/>
    </row>
    <row r="1001">
      <c r="F1001" s="13"/>
    </row>
    <row r="1002">
      <c r="F1002" s="1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23.14"/>
    <col customWidth="1" min="2" max="2" width="19.86"/>
    <col customWidth="1" min="3" max="3" width="22.57"/>
    <col customWidth="1" min="4" max="4" width="23.29"/>
    <col customWidth="1" min="5" max="5" width="21.57"/>
    <col customWidth="1" min="6" max="6" width="24.29"/>
    <col customWidth="1" min="7" max="7" width="24.0"/>
  </cols>
  <sheetData>
    <row r="1">
      <c r="A1" s="2" t="s">
        <v>208</v>
      </c>
    </row>
    <row r="2">
      <c r="B2" s="3" t="s">
        <v>209</v>
      </c>
      <c r="C2" s="3" t="s">
        <v>210</v>
      </c>
      <c r="D2" s="3" t="s">
        <v>211</v>
      </c>
      <c r="E2" s="3" t="s">
        <v>212</v>
      </c>
      <c r="F2" s="3" t="s">
        <v>213</v>
      </c>
      <c r="G2" s="3" t="s">
        <v>214</v>
      </c>
    </row>
    <row r="3">
      <c r="A3" s="3" t="s">
        <v>215</v>
      </c>
      <c r="B3" s="33">
        <v>4.02</v>
      </c>
      <c r="C3" s="33">
        <v>3.16</v>
      </c>
      <c r="D3" s="33">
        <v>2.73</v>
      </c>
      <c r="E3" s="33">
        <v>3.89</v>
      </c>
      <c r="F3" s="33">
        <v>3.2</v>
      </c>
      <c r="G3" s="33">
        <v>2.97</v>
      </c>
      <c r="H3" s="25"/>
      <c r="I3" s="25"/>
    </row>
    <row r="4">
      <c r="A4" s="3" t="s">
        <v>216</v>
      </c>
      <c r="B4" s="33">
        <v>2.92</v>
      </c>
      <c r="C4" s="33">
        <v>2.78</v>
      </c>
      <c r="D4" s="33">
        <v>2.63</v>
      </c>
      <c r="E4" s="33">
        <v>2.82</v>
      </c>
      <c r="F4" s="33">
        <v>2.71</v>
      </c>
      <c r="G4" s="33">
        <v>2.6</v>
      </c>
      <c r="H4" s="25"/>
      <c r="I4" s="25"/>
    </row>
    <row r="5">
      <c r="A5" s="3" t="s">
        <v>217</v>
      </c>
      <c r="B5" s="33">
        <v>6.93</v>
      </c>
      <c r="C5" s="33">
        <v>5.93</v>
      </c>
      <c r="D5" s="33">
        <v>5.36</v>
      </c>
      <c r="E5" s="33">
        <v>6.71</v>
      </c>
      <c r="F5" s="33">
        <v>5.91</v>
      </c>
      <c r="G5" s="33">
        <v>5.56</v>
      </c>
      <c r="H5" s="25"/>
      <c r="I5" s="25"/>
    </row>
    <row r="6">
      <c r="B6" s="3"/>
      <c r="C6" s="3"/>
      <c r="D6" s="3"/>
      <c r="E6" s="3"/>
      <c r="F6" s="3"/>
      <c r="G6" s="3"/>
    </row>
    <row r="7">
      <c r="A7" s="2" t="s">
        <v>218</v>
      </c>
      <c r="B7" s="3"/>
      <c r="C7" s="3"/>
      <c r="D7" s="34" t="s">
        <v>219</v>
      </c>
      <c r="E7" s="35">
        <v>5.0891106E7</v>
      </c>
      <c r="F7" s="3"/>
      <c r="G7" s="3"/>
    </row>
    <row r="8">
      <c r="A8" s="3" t="s">
        <v>215</v>
      </c>
      <c r="B8" s="3">
        <v>3.35</v>
      </c>
      <c r="C8" s="3">
        <v>2.82</v>
      </c>
      <c r="D8" s="3">
        <v>2.55</v>
      </c>
      <c r="E8" s="3">
        <v>3.35</v>
      </c>
      <c r="F8" s="3">
        <v>2.93</v>
      </c>
      <c r="G8" s="3">
        <v>2.71</v>
      </c>
    </row>
    <row r="9">
      <c r="A9" s="3" t="s">
        <v>216</v>
      </c>
      <c r="B9" s="3">
        <v>2.43</v>
      </c>
      <c r="C9" s="3">
        <v>2.36</v>
      </c>
      <c r="D9" s="3">
        <v>2.29</v>
      </c>
      <c r="E9" s="3">
        <v>2.43</v>
      </c>
      <c r="F9" s="3">
        <v>2.37</v>
      </c>
      <c r="G9" s="3">
        <v>2.32</v>
      </c>
    </row>
    <row r="10">
      <c r="A10" s="3" t="s">
        <v>217</v>
      </c>
      <c r="B10" s="3">
        <v>5.78</v>
      </c>
      <c r="C10" s="3">
        <v>5.18</v>
      </c>
      <c r="D10" s="3">
        <v>4.84</v>
      </c>
      <c r="E10" s="3">
        <v>5.78</v>
      </c>
      <c r="F10" s="3">
        <v>5.3</v>
      </c>
      <c r="G10" s="3">
        <v>5.03</v>
      </c>
    </row>
    <row r="12">
      <c r="A12" s="2" t="s">
        <v>220</v>
      </c>
    </row>
    <row r="13">
      <c r="A13" s="3" t="s">
        <v>215</v>
      </c>
      <c r="B13" s="32">
        <f t="shared" ref="B13:G13" si="1">B3/$E$7*1000000000</f>
        <v>78.99219168</v>
      </c>
      <c r="C13" s="32">
        <f t="shared" si="1"/>
        <v>62.0933646</v>
      </c>
      <c r="D13" s="32">
        <f t="shared" si="1"/>
        <v>53.64395107</v>
      </c>
      <c r="E13" s="32">
        <f t="shared" si="1"/>
        <v>76.43771782</v>
      </c>
      <c r="F13" s="32">
        <f t="shared" si="1"/>
        <v>62.87935656</v>
      </c>
      <c r="G13" s="32">
        <f t="shared" si="1"/>
        <v>58.35990281</v>
      </c>
    </row>
    <row r="14">
      <c r="A14" s="3" t="s">
        <v>216</v>
      </c>
      <c r="B14" s="32">
        <f t="shared" ref="B14:G14" si="2">B4/$E$7*1000000000</f>
        <v>57.37741286</v>
      </c>
      <c r="C14" s="32">
        <f t="shared" si="2"/>
        <v>54.62644101</v>
      </c>
      <c r="D14" s="32">
        <f t="shared" si="2"/>
        <v>51.67897117</v>
      </c>
      <c r="E14" s="32">
        <f t="shared" si="2"/>
        <v>55.41243297</v>
      </c>
      <c r="F14" s="32">
        <f t="shared" si="2"/>
        <v>53.25095509</v>
      </c>
      <c r="G14" s="32">
        <f t="shared" si="2"/>
        <v>51.08947721</v>
      </c>
    </row>
    <row r="15">
      <c r="A15" s="3" t="s">
        <v>217</v>
      </c>
      <c r="B15" s="32">
        <f t="shared" ref="B15:G15" si="3">B5/$E$7*1000000000</f>
        <v>136.1731066</v>
      </c>
      <c r="C15" s="32">
        <f t="shared" si="3"/>
        <v>116.5233076</v>
      </c>
      <c r="D15" s="32">
        <f t="shared" si="3"/>
        <v>105.3229222</v>
      </c>
      <c r="E15" s="32">
        <f t="shared" si="3"/>
        <v>131.8501508</v>
      </c>
      <c r="F15" s="32">
        <f t="shared" si="3"/>
        <v>116.1303117</v>
      </c>
      <c r="G15" s="32">
        <f t="shared" si="3"/>
        <v>109.252882</v>
      </c>
    </row>
    <row r="16">
      <c r="B16" s="32"/>
      <c r="C16" s="32"/>
      <c r="D16" s="32"/>
      <c r="E16" s="32"/>
      <c r="F16" s="32"/>
      <c r="G16" s="32"/>
    </row>
    <row r="17">
      <c r="A17" s="2" t="s">
        <v>224</v>
      </c>
      <c r="B17" s="32"/>
      <c r="C17" s="32"/>
      <c r="D17" s="36"/>
      <c r="E17" s="37"/>
      <c r="F17" s="32"/>
      <c r="G17" s="32"/>
    </row>
    <row r="18">
      <c r="A18" s="15">
        <v>0.5</v>
      </c>
      <c r="B18" s="32">
        <f t="shared" ref="B18:B21" si="4">$B$15/$A18</f>
        <v>272.3462131</v>
      </c>
      <c r="C18" s="32">
        <f t="shared" ref="C18:C21" si="5">$C$15/$A18</f>
        <v>233.0466153</v>
      </c>
      <c r="D18" s="32">
        <f t="shared" ref="D18:D21" si="6">$D$15/$A18</f>
        <v>210.6458445</v>
      </c>
      <c r="E18" s="32">
        <f t="shared" ref="E18:E21" si="7">$E$15/$A18</f>
        <v>263.7003016</v>
      </c>
      <c r="F18" s="32">
        <f t="shared" ref="F18:F21" si="8">$F$15/$A18</f>
        <v>232.2606233</v>
      </c>
      <c r="G18" s="38">
        <f t="shared" ref="G18:G21" si="9">$G$15/$A18</f>
        <v>218.5057641</v>
      </c>
    </row>
    <row r="19">
      <c r="A19" s="15">
        <v>0.4</v>
      </c>
      <c r="B19" s="32">
        <f t="shared" si="4"/>
        <v>340.4327664</v>
      </c>
      <c r="C19" s="32">
        <f t="shared" si="5"/>
        <v>291.3082691</v>
      </c>
      <c r="D19" s="32">
        <f t="shared" si="6"/>
        <v>263.3073056</v>
      </c>
      <c r="E19" s="32">
        <f t="shared" si="7"/>
        <v>329.625377</v>
      </c>
      <c r="F19" s="32">
        <f t="shared" si="8"/>
        <v>290.3257791</v>
      </c>
      <c r="G19" s="38">
        <f t="shared" si="9"/>
        <v>273.1322051</v>
      </c>
    </row>
    <row r="20">
      <c r="A20" s="39">
        <v>0.3</v>
      </c>
      <c r="B20" s="32">
        <f t="shared" si="4"/>
        <v>453.9103552</v>
      </c>
      <c r="C20" s="32">
        <f t="shared" si="5"/>
        <v>388.4110254</v>
      </c>
      <c r="D20" s="32">
        <f t="shared" si="6"/>
        <v>351.0764075</v>
      </c>
      <c r="E20" s="32">
        <f t="shared" si="7"/>
        <v>439.5005026</v>
      </c>
      <c r="F20" s="32">
        <f t="shared" si="8"/>
        <v>387.1010388</v>
      </c>
      <c r="G20" s="38">
        <f t="shared" si="9"/>
        <v>364.1762734</v>
      </c>
    </row>
    <row r="21">
      <c r="A21" s="39">
        <v>0.2</v>
      </c>
      <c r="B21" s="32">
        <f t="shared" si="4"/>
        <v>680.8655328</v>
      </c>
      <c r="C21" s="32">
        <f t="shared" si="5"/>
        <v>582.6165381</v>
      </c>
      <c r="D21" s="32">
        <f t="shared" si="6"/>
        <v>526.6146112</v>
      </c>
      <c r="E21" s="32">
        <f t="shared" si="7"/>
        <v>659.250754</v>
      </c>
      <c r="F21" s="32">
        <f t="shared" si="8"/>
        <v>580.6515583</v>
      </c>
      <c r="G21" s="38">
        <f t="shared" si="9"/>
        <v>546.2644101</v>
      </c>
    </row>
    <row r="23">
      <c r="A23" s="3" t="s">
        <v>232</v>
      </c>
    </row>
    <row r="26">
      <c r="A26" s="33" t="s">
        <v>233</v>
      </c>
      <c r="B26" s="40" t="s">
        <v>234</v>
      </c>
    </row>
    <row r="27">
      <c r="B27" s="40" t="s">
        <v>235</v>
      </c>
    </row>
    <row r="28">
      <c r="B28" s="26" t="s">
        <v>236</v>
      </c>
    </row>
    <row r="30">
      <c r="A30" s="3" t="s">
        <v>63</v>
      </c>
    </row>
    <row r="31">
      <c r="A31" s="3" t="s">
        <v>237</v>
      </c>
      <c r="B31" s="27" t="s">
        <v>238</v>
      </c>
    </row>
    <row r="32">
      <c r="A32" s="3" t="s">
        <v>240</v>
      </c>
      <c r="B32" s="3" t="s">
        <v>241</v>
      </c>
    </row>
  </sheetData>
  <hyperlinks>
    <hyperlink r:id="rId1" ref="B31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29"/>
    <col customWidth="1" min="2" max="2" width="20.57"/>
    <col customWidth="1" min="4" max="4" width="28.57"/>
    <col customWidth="1" min="5" max="5" width="27.86"/>
  </cols>
  <sheetData>
    <row r="1">
      <c r="A1" s="2" t="s">
        <v>243</v>
      </c>
      <c r="B1" s="2" t="s">
        <v>244</v>
      </c>
      <c r="C1" s="2" t="s">
        <v>245</v>
      </c>
      <c r="D1" s="2" t="s">
        <v>246</v>
      </c>
      <c r="E1" s="2" t="s">
        <v>247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6" t="s">
        <v>249</v>
      </c>
      <c r="B2" s="3" t="s">
        <v>216</v>
      </c>
      <c r="C2" s="42">
        <v>0.195</v>
      </c>
      <c r="D2" s="42">
        <v>0.2</v>
      </c>
      <c r="E2" s="42">
        <v>0.186</v>
      </c>
    </row>
    <row r="3">
      <c r="A3" s="6" t="s">
        <v>252</v>
      </c>
      <c r="B3" s="3" t="s">
        <v>216</v>
      </c>
      <c r="C3" s="42">
        <v>0.197</v>
      </c>
      <c r="D3" s="42">
        <v>0.196</v>
      </c>
      <c r="E3" s="42">
        <v>0.2</v>
      </c>
    </row>
    <row r="4">
      <c r="A4" s="6" t="s">
        <v>253</v>
      </c>
      <c r="B4" s="3" t="s">
        <v>216</v>
      </c>
      <c r="C4" s="42">
        <v>0.204</v>
      </c>
      <c r="D4" s="42">
        <v>0.305</v>
      </c>
      <c r="E4" s="42">
        <v>0.001</v>
      </c>
    </row>
    <row r="5">
      <c r="A5" s="6" t="s">
        <v>255</v>
      </c>
      <c r="B5" s="3" t="s">
        <v>216</v>
      </c>
      <c r="C5" s="42">
        <v>0.173</v>
      </c>
      <c r="D5" s="42">
        <v>0.171</v>
      </c>
      <c r="E5" s="42">
        <v>0.178</v>
      </c>
    </row>
    <row r="6">
      <c r="A6" s="6" t="s">
        <v>256</v>
      </c>
      <c r="B6" s="3" t="s">
        <v>216</v>
      </c>
      <c r="C6" s="42">
        <v>0.205</v>
      </c>
      <c r="D6" s="42">
        <v>0.302</v>
      </c>
      <c r="E6" s="42">
        <v>0.02</v>
      </c>
    </row>
    <row r="7">
      <c r="A7" s="6" t="s">
        <v>256</v>
      </c>
      <c r="B7" s="3" t="s">
        <v>257</v>
      </c>
      <c r="C7" s="42">
        <v>0.183</v>
      </c>
      <c r="D7" s="42">
        <v>0.222</v>
      </c>
      <c r="E7" s="42">
        <v>0.1</v>
      </c>
    </row>
    <row r="8">
      <c r="A8" s="6" t="s">
        <v>258</v>
      </c>
      <c r="B8" s="3" t="s">
        <v>257</v>
      </c>
      <c r="C8" s="42">
        <v>0.165</v>
      </c>
      <c r="D8" s="42">
        <v>0.163</v>
      </c>
      <c r="E8" s="42">
        <v>0.169</v>
      </c>
    </row>
    <row r="9">
      <c r="A9" s="3" t="s">
        <v>260</v>
      </c>
      <c r="B9" s="3" t="s">
        <v>216</v>
      </c>
      <c r="D9" s="43"/>
      <c r="E9" s="43"/>
    </row>
    <row r="10">
      <c r="A10" s="3" t="s">
        <v>261</v>
      </c>
      <c r="B10" s="3" t="s">
        <v>216</v>
      </c>
      <c r="D10" s="43"/>
      <c r="E10" s="43"/>
    </row>
    <row r="11">
      <c r="A11" s="3" t="s">
        <v>260</v>
      </c>
      <c r="B11" s="3" t="s">
        <v>257</v>
      </c>
      <c r="D11" s="43"/>
      <c r="E11" s="43"/>
    </row>
    <row r="12">
      <c r="A12" s="3" t="s">
        <v>261</v>
      </c>
      <c r="B12" s="3" t="s">
        <v>257</v>
      </c>
      <c r="D12" s="43"/>
      <c r="E12" s="43"/>
    </row>
    <row r="13">
      <c r="A13" s="3"/>
    </row>
    <row r="14">
      <c r="A14" s="3"/>
    </row>
    <row r="15">
      <c r="A15" s="3" t="s">
        <v>263</v>
      </c>
    </row>
    <row r="16">
      <c r="A16" s="12" t="s">
        <v>264</v>
      </c>
    </row>
    <row r="17">
      <c r="A17" s="3"/>
    </row>
    <row r="18">
      <c r="A18" s="3" t="s">
        <v>265</v>
      </c>
    </row>
    <row r="19">
      <c r="A19" s="12" t="s">
        <v>266</v>
      </c>
    </row>
    <row r="21">
      <c r="A21" s="3" t="s">
        <v>267</v>
      </c>
    </row>
    <row r="22">
      <c r="A22" s="3" t="s">
        <v>268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>
        <f>1</f>
        <v>1</v>
      </c>
      <c r="B1" s="44" t="s">
        <v>275</v>
      </c>
    </row>
    <row r="2">
      <c r="A2">
        <f t="shared" ref="A2:A95" si="1">A1+1</f>
        <v>2</v>
      </c>
      <c r="B2" s="44" t="s">
        <v>275</v>
      </c>
    </row>
    <row r="3">
      <c r="A3">
        <f t="shared" si="1"/>
        <v>3</v>
      </c>
      <c r="B3" s="3" t="s">
        <v>277</v>
      </c>
    </row>
    <row r="4">
      <c r="A4">
        <f t="shared" si="1"/>
        <v>4</v>
      </c>
      <c r="B4" s="44" t="s">
        <v>275</v>
      </c>
    </row>
    <row r="5">
      <c r="A5">
        <f t="shared" si="1"/>
        <v>5</v>
      </c>
      <c r="B5" s="3" t="s">
        <v>277</v>
      </c>
    </row>
    <row r="6">
      <c r="A6">
        <f t="shared" si="1"/>
        <v>6</v>
      </c>
      <c r="B6" s="44" t="s">
        <v>275</v>
      </c>
    </row>
    <row r="7">
      <c r="A7">
        <f t="shared" si="1"/>
        <v>7</v>
      </c>
      <c r="B7" s="44" t="s">
        <v>275</v>
      </c>
    </row>
    <row r="8">
      <c r="A8">
        <f t="shared" si="1"/>
        <v>8</v>
      </c>
      <c r="B8" s="44" t="s">
        <v>275</v>
      </c>
    </row>
    <row r="9">
      <c r="A9">
        <f t="shared" si="1"/>
        <v>9</v>
      </c>
      <c r="B9" s="3" t="s">
        <v>277</v>
      </c>
    </row>
    <row r="10">
      <c r="A10">
        <f t="shared" si="1"/>
        <v>10</v>
      </c>
      <c r="B10" s="44" t="s">
        <v>275</v>
      </c>
    </row>
    <row r="11">
      <c r="A11">
        <f t="shared" si="1"/>
        <v>11</v>
      </c>
      <c r="B11" s="44" t="s">
        <v>275</v>
      </c>
    </row>
    <row r="12">
      <c r="A12">
        <f t="shared" si="1"/>
        <v>12</v>
      </c>
      <c r="B12" s="44" t="s">
        <v>275</v>
      </c>
    </row>
    <row r="13">
      <c r="A13">
        <f t="shared" si="1"/>
        <v>13</v>
      </c>
      <c r="B13" s="44" t="s">
        <v>275</v>
      </c>
    </row>
    <row r="14">
      <c r="A14">
        <f t="shared" si="1"/>
        <v>14</v>
      </c>
      <c r="B14" s="3" t="s">
        <v>277</v>
      </c>
    </row>
    <row r="15">
      <c r="A15">
        <f t="shared" si="1"/>
        <v>15</v>
      </c>
      <c r="B15" s="3" t="s">
        <v>277</v>
      </c>
    </row>
    <row r="16">
      <c r="A16">
        <f t="shared" si="1"/>
        <v>16</v>
      </c>
      <c r="B16" s="3" t="s">
        <v>277</v>
      </c>
    </row>
    <row r="17">
      <c r="A17">
        <f t="shared" si="1"/>
        <v>17</v>
      </c>
      <c r="B17" s="3" t="s">
        <v>277</v>
      </c>
    </row>
    <row r="18">
      <c r="A18">
        <f t="shared" si="1"/>
        <v>18</v>
      </c>
      <c r="B18" s="3" t="s">
        <v>277</v>
      </c>
    </row>
    <row r="19">
      <c r="A19">
        <f t="shared" si="1"/>
        <v>19</v>
      </c>
      <c r="B19" s="3" t="s">
        <v>277</v>
      </c>
    </row>
    <row r="20">
      <c r="A20">
        <f t="shared" si="1"/>
        <v>20</v>
      </c>
      <c r="B20" s="3" t="s">
        <v>279</v>
      </c>
    </row>
    <row r="21">
      <c r="A21">
        <f t="shared" si="1"/>
        <v>21</v>
      </c>
      <c r="B21" s="3" t="s">
        <v>277</v>
      </c>
    </row>
    <row r="22">
      <c r="A22">
        <f t="shared" si="1"/>
        <v>22</v>
      </c>
      <c r="B22" s="3" t="s">
        <v>277</v>
      </c>
    </row>
    <row r="23">
      <c r="A23">
        <f t="shared" si="1"/>
        <v>23</v>
      </c>
      <c r="B23" s="3" t="s">
        <v>277</v>
      </c>
    </row>
    <row r="24">
      <c r="A24">
        <f t="shared" si="1"/>
        <v>24</v>
      </c>
      <c r="B24" s="44" t="s">
        <v>275</v>
      </c>
    </row>
    <row r="25">
      <c r="A25">
        <f t="shared" si="1"/>
        <v>25</v>
      </c>
      <c r="B25" s="44" t="s">
        <v>275</v>
      </c>
    </row>
    <row r="26">
      <c r="A26">
        <f t="shared" si="1"/>
        <v>26</v>
      </c>
      <c r="B26" s="44" t="s">
        <v>275</v>
      </c>
    </row>
    <row r="27">
      <c r="A27">
        <f t="shared" si="1"/>
        <v>27</v>
      </c>
      <c r="B27" s="3" t="s">
        <v>277</v>
      </c>
    </row>
    <row r="28">
      <c r="A28">
        <f t="shared" si="1"/>
        <v>28</v>
      </c>
      <c r="B28" s="3" t="s">
        <v>277</v>
      </c>
    </row>
    <row r="29">
      <c r="A29">
        <f t="shared" si="1"/>
        <v>29</v>
      </c>
      <c r="B29" s="3" t="s">
        <v>277</v>
      </c>
    </row>
    <row r="30">
      <c r="A30">
        <f t="shared" si="1"/>
        <v>30</v>
      </c>
      <c r="B30" s="44" t="s">
        <v>275</v>
      </c>
    </row>
    <row r="31">
      <c r="A31">
        <f t="shared" si="1"/>
        <v>31</v>
      </c>
      <c r="B31" s="44" t="s">
        <v>275</v>
      </c>
    </row>
    <row r="32">
      <c r="A32">
        <f t="shared" si="1"/>
        <v>32</v>
      </c>
      <c r="B32" s="44" t="s">
        <v>275</v>
      </c>
    </row>
    <row r="33">
      <c r="A33">
        <f t="shared" si="1"/>
        <v>33</v>
      </c>
      <c r="B33" s="44" t="s">
        <v>275</v>
      </c>
    </row>
    <row r="34">
      <c r="A34">
        <f t="shared" si="1"/>
        <v>34</v>
      </c>
      <c r="B34" s="44" t="s">
        <v>275</v>
      </c>
    </row>
    <row r="35">
      <c r="A35">
        <f t="shared" si="1"/>
        <v>35</v>
      </c>
      <c r="B35" s="3" t="s">
        <v>277</v>
      </c>
    </row>
    <row r="36">
      <c r="A36">
        <f t="shared" si="1"/>
        <v>36</v>
      </c>
      <c r="B36" s="3" t="s">
        <v>277</v>
      </c>
    </row>
    <row r="37">
      <c r="A37">
        <f t="shared" si="1"/>
        <v>37</v>
      </c>
      <c r="B37" s="3" t="s">
        <v>277</v>
      </c>
    </row>
    <row r="38">
      <c r="A38">
        <f t="shared" si="1"/>
        <v>38</v>
      </c>
      <c r="B38" s="44" t="s">
        <v>275</v>
      </c>
    </row>
    <row r="39">
      <c r="A39">
        <f t="shared" si="1"/>
        <v>39</v>
      </c>
      <c r="B39" s="44" t="s">
        <v>275</v>
      </c>
    </row>
    <row r="40">
      <c r="A40">
        <f t="shared" si="1"/>
        <v>40</v>
      </c>
      <c r="B40" s="44" t="s">
        <v>275</v>
      </c>
    </row>
    <row r="41">
      <c r="A41">
        <f t="shared" si="1"/>
        <v>41</v>
      </c>
      <c r="B41" s="3" t="s">
        <v>277</v>
      </c>
    </row>
    <row r="42">
      <c r="A42">
        <f t="shared" si="1"/>
        <v>42</v>
      </c>
      <c r="B42" s="3" t="s">
        <v>277</v>
      </c>
    </row>
    <row r="43">
      <c r="A43">
        <f t="shared" si="1"/>
        <v>43</v>
      </c>
      <c r="B43" s="3" t="s">
        <v>283</v>
      </c>
    </row>
    <row r="44">
      <c r="A44">
        <f t="shared" si="1"/>
        <v>44</v>
      </c>
      <c r="B44" s="3" t="s">
        <v>277</v>
      </c>
    </row>
    <row r="45">
      <c r="A45">
        <f t="shared" si="1"/>
        <v>45</v>
      </c>
      <c r="B45" s="44" t="s">
        <v>275</v>
      </c>
    </row>
    <row r="46">
      <c r="A46">
        <f t="shared" si="1"/>
        <v>46</v>
      </c>
      <c r="B46" s="44" t="s">
        <v>275</v>
      </c>
    </row>
    <row r="47">
      <c r="A47">
        <f t="shared" si="1"/>
        <v>47</v>
      </c>
      <c r="B47" s="3" t="s">
        <v>277</v>
      </c>
    </row>
    <row r="48">
      <c r="A48">
        <f t="shared" si="1"/>
        <v>48</v>
      </c>
      <c r="B48" s="44" t="s">
        <v>275</v>
      </c>
    </row>
    <row r="49">
      <c r="A49">
        <f t="shared" si="1"/>
        <v>49</v>
      </c>
      <c r="B49" s="3" t="s">
        <v>277</v>
      </c>
    </row>
    <row r="50">
      <c r="A50">
        <f t="shared" si="1"/>
        <v>50</v>
      </c>
      <c r="B50" s="3" t="s">
        <v>277</v>
      </c>
    </row>
    <row r="51">
      <c r="A51">
        <f t="shared" si="1"/>
        <v>51</v>
      </c>
      <c r="B51" s="44" t="s">
        <v>275</v>
      </c>
    </row>
    <row r="52">
      <c r="A52">
        <f t="shared" si="1"/>
        <v>52</v>
      </c>
      <c r="B52" s="3" t="s">
        <v>277</v>
      </c>
    </row>
    <row r="53">
      <c r="A53">
        <f t="shared" si="1"/>
        <v>53</v>
      </c>
      <c r="B53" s="3" t="s">
        <v>277</v>
      </c>
    </row>
    <row r="54">
      <c r="A54">
        <f t="shared" si="1"/>
        <v>54</v>
      </c>
      <c r="B54" s="44" t="s">
        <v>275</v>
      </c>
    </row>
    <row r="55">
      <c r="A55">
        <f t="shared" si="1"/>
        <v>55</v>
      </c>
      <c r="B55" s="44" t="s">
        <v>275</v>
      </c>
    </row>
    <row r="56">
      <c r="A56">
        <f t="shared" si="1"/>
        <v>56</v>
      </c>
      <c r="B56" s="3" t="s">
        <v>277</v>
      </c>
    </row>
    <row r="57">
      <c r="A57">
        <f t="shared" si="1"/>
        <v>57</v>
      </c>
      <c r="B57" s="44" t="s">
        <v>275</v>
      </c>
    </row>
    <row r="58">
      <c r="A58">
        <f t="shared" si="1"/>
        <v>58</v>
      </c>
      <c r="B58" s="3" t="s">
        <v>277</v>
      </c>
    </row>
    <row r="59">
      <c r="A59">
        <f t="shared" si="1"/>
        <v>59</v>
      </c>
      <c r="B59" s="44" t="s">
        <v>275</v>
      </c>
    </row>
    <row r="60">
      <c r="A60">
        <f t="shared" si="1"/>
        <v>60</v>
      </c>
      <c r="B60" s="44" t="s">
        <v>275</v>
      </c>
    </row>
    <row r="61">
      <c r="A61">
        <f t="shared" si="1"/>
        <v>61</v>
      </c>
      <c r="B61" s="3" t="s">
        <v>277</v>
      </c>
    </row>
    <row r="62">
      <c r="A62">
        <f t="shared" si="1"/>
        <v>62</v>
      </c>
      <c r="B62" s="44" t="s">
        <v>275</v>
      </c>
    </row>
    <row r="63">
      <c r="A63">
        <f t="shared" si="1"/>
        <v>63</v>
      </c>
      <c r="B63" s="3" t="s">
        <v>277</v>
      </c>
    </row>
    <row r="64">
      <c r="A64">
        <f t="shared" si="1"/>
        <v>64</v>
      </c>
      <c r="B64" s="44" t="s">
        <v>275</v>
      </c>
    </row>
    <row r="65">
      <c r="A65">
        <f t="shared" si="1"/>
        <v>65</v>
      </c>
      <c r="B65" s="44" t="s">
        <v>275</v>
      </c>
    </row>
    <row r="66">
      <c r="A66">
        <f t="shared" si="1"/>
        <v>66</v>
      </c>
      <c r="B66" s="3" t="s">
        <v>277</v>
      </c>
    </row>
    <row r="67">
      <c r="A67">
        <f t="shared" si="1"/>
        <v>67</v>
      </c>
      <c r="B67" s="44" t="s">
        <v>275</v>
      </c>
    </row>
    <row r="68">
      <c r="A68">
        <f t="shared" si="1"/>
        <v>68</v>
      </c>
      <c r="B68" s="44" t="s">
        <v>275</v>
      </c>
    </row>
    <row r="69">
      <c r="A69">
        <f t="shared" si="1"/>
        <v>69</v>
      </c>
      <c r="B69" s="44" t="s">
        <v>286</v>
      </c>
    </row>
    <row r="70">
      <c r="A70">
        <f t="shared" si="1"/>
        <v>70</v>
      </c>
      <c r="B70" s="3" t="s">
        <v>277</v>
      </c>
    </row>
    <row r="71">
      <c r="A71">
        <f t="shared" si="1"/>
        <v>71</v>
      </c>
      <c r="B71" s="44" t="s">
        <v>275</v>
      </c>
    </row>
    <row r="72">
      <c r="A72">
        <f t="shared" si="1"/>
        <v>72</v>
      </c>
      <c r="B72" s="3" t="s">
        <v>277</v>
      </c>
    </row>
    <row r="73">
      <c r="A73">
        <f t="shared" si="1"/>
        <v>73</v>
      </c>
      <c r="B73" s="44" t="s">
        <v>275</v>
      </c>
    </row>
    <row r="74">
      <c r="A74">
        <f t="shared" si="1"/>
        <v>74</v>
      </c>
      <c r="B74" s="44" t="s">
        <v>275</v>
      </c>
    </row>
    <row r="75">
      <c r="A75">
        <f t="shared" si="1"/>
        <v>75</v>
      </c>
      <c r="B75" s="3" t="s">
        <v>287</v>
      </c>
    </row>
    <row r="76">
      <c r="A76">
        <f t="shared" si="1"/>
        <v>76</v>
      </c>
      <c r="B76" s="3" t="s">
        <v>277</v>
      </c>
    </row>
    <row r="77">
      <c r="A77">
        <f t="shared" si="1"/>
        <v>77</v>
      </c>
      <c r="B77" s="44" t="s">
        <v>275</v>
      </c>
    </row>
    <row r="78">
      <c r="A78">
        <f t="shared" si="1"/>
        <v>78</v>
      </c>
      <c r="B78" s="44" t="s">
        <v>275</v>
      </c>
    </row>
    <row r="79">
      <c r="A79">
        <f t="shared" si="1"/>
        <v>79</v>
      </c>
      <c r="B79" s="3" t="s">
        <v>277</v>
      </c>
    </row>
    <row r="80">
      <c r="A80">
        <f t="shared" si="1"/>
        <v>80</v>
      </c>
      <c r="B80" s="3" t="s">
        <v>277</v>
      </c>
    </row>
    <row r="81">
      <c r="A81">
        <f t="shared" si="1"/>
        <v>81</v>
      </c>
      <c r="B81" s="3" t="s">
        <v>283</v>
      </c>
    </row>
    <row r="82">
      <c r="A82">
        <f t="shared" si="1"/>
        <v>82</v>
      </c>
      <c r="B82" s="44" t="s">
        <v>275</v>
      </c>
    </row>
    <row r="83">
      <c r="A83">
        <f t="shared" si="1"/>
        <v>83</v>
      </c>
      <c r="B83" s="44" t="s">
        <v>275</v>
      </c>
    </row>
    <row r="84">
      <c r="A84">
        <f t="shared" si="1"/>
        <v>84</v>
      </c>
      <c r="B84" s="44" t="s">
        <v>275</v>
      </c>
    </row>
    <row r="85">
      <c r="A85">
        <f t="shared" si="1"/>
        <v>85</v>
      </c>
      <c r="B85" s="3" t="s">
        <v>277</v>
      </c>
    </row>
    <row r="86">
      <c r="A86">
        <f t="shared" si="1"/>
        <v>86</v>
      </c>
      <c r="B86" s="3" t="s">
        <v>277</v>
      </c>
    </row>
    <row r="87">
      <c r="A87">
        <f t="shared" si="1"/>
        <v>87</v>
      </c>
      <c r="B87" s="3" t="s">
        <v>277</v>
      </c>
    </row>
    <row r="88">
      <c r="A88">
        <f t="shared" si="1"/>
        <v>88</v>
      </c>
      <c r="B88" s="3" t="s">
        <v>283</v>
      </c>
    </row>
    <row r="89">
      <c r="A89">
        <f t="shared" si="1"/>
        <v>89</v>
      </c>
      <c r="B89" s="44" t="s">
        <v>275</v>
      </c>
    </row>
    <row r="90">
      <c r="A90">
        <f t="shared" si="1"/>
        <v>90</v>
      </c>
      <c r="B90" s="44" t="s">
        <v>275</v>
      </c>
    </row>
    <row r="91">
      <c r="A91">
        <f t="shared" si="1"/>
        <v>91</v>
      </c>
      <c r="B91" s="44" t="s">
        <v>275</v>
      </c>
    </row>
    <row r="92">
      <c r="A92">
        <f t="shared" si="1"/>
        <v>92</v>
      </c>
      <c r="B92" s="3" t="s">
        <v>283</v>
      </c>
    </row>
    <row r="93">
      <c r="A93">
        <f t="shared" si="1"/>
        <v>93</v>
      </c>
      <c r="B93" s="44" t="s">
        <v>275</v>
      </c>
    </row>
    <row r="94">
      <c r="A94">
        <f t="shared" si="1"/>
        <v>94</v>
      </c>
      <c r="B94" s="44" t="s">
        <v>275</v>
      </c>
    </row>
    <row r="95">
      <c r="A95">
        <f t="shared" si="1"/>
        <v>95</v>
      </c>
      <c r="B95" s="44" t="s">
        <v>286</v>
      </c>
    </row>
    <row r="111">
      <c r="A111" s="3" t="s">
        <v>63</v>
      </c>
      <c r="B111" s="27" t="s">
        <v>290</v>
      </c>
    </row>
  </sheetData>
  <hyperlinks>
    <hyperlink r:id="rId1" ref="B111"/>
  </hyperlinks>
  <drawing r:id="rId2"/>
</worksheet>
</file>