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fabre\Documents\www\global_tax_attitudes\questionnaire\"/>
    </mc:Choice>
  </mc:AlternateContent>
  <bookViews>
    <workbookView xWindow="0" yWindow="0" windowWidth="19215" windowHeight="11880" tabRatio="687" activeTab="1"/>
  </bookViews>
  <sheets>
    <sheet name="Figures" sheetId="3" r:id="rId1"/>
    <sheet name="Wording" sheetId="13" r:id="rId2"/>
    <sheet name="Quotas" sheetId="12" r:id="rId3"/>
    <sheet name="Constants" sheetId="2" r:id="rId4"/>
    <sheet name="Income" sheetId="4" r:id="rId5"/>
    <sheet name="Education" sheetId="5" r:id="rId6"/>
    <sheet name="Policies" sheetId="6" r:id="rId7"/>
    <sheet name="Wealth tax" sheetId="7" r:id="rId8"/>
    <sheet name="Rotated (old)" sheetId="1" r:id="rId9"/>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Q8" i="12" l="1"/>
  <c r="AQ5" i="12"/>
  <c r="AQ4" i="12"/>
  <c r="AQ3" i="12"/>
  <c r="AQ2" i="12"/>
  <c r="AN6" i="12"/>
  <c r="AO6" i="12"/>
  <c r="AP6" i="12"/>
  <c r="AQ6" i="12" l="1"/>
  <c r="AI6" i="12"/>
  <c r="AJ6" i="12"/>
  <c r="AK6" i="12"/>
  <c r="AL6" i="12"/>
  <c r="AM6" i="12"/>
  <c r="B18" i="3" l="1"/>
  <c r="D18" i="3"/>
  <c r="C18" i="3"/>
  <c r="B17" i="3" l="1"/>
  <c r="C17" i="3"/>
  <c r="D17" i="3"/>
  <c r="J17" i="3"/>
  <c r="Z9" i="12" l="1"/>
  <c r="X9" i="12"/>
  <c r="Y9" i="12"/>
  <c r="W9" i="12"/>
  <c r="X8" i="12"/>
  <c r="Y8" i="12"/>
  <c r="Z8" i="12"/>
  <c r="W8" i="12"/>
  <c r="AE10" i="12"/>
  <c r="AF10" i="12"/>
  <c r="AG10" i="12"/>
  <c r="AD10" i="12"/>
  <c r="AD9" i="12"/>
  <c r="AE9" i="12"/>
  <c r="AF9" i="12"/>
  <c r="AG9" i="12"/>
  <c r="C15" i="3" l="1"/>
  <c r="D15" i="3"/>
  <c r="E15" i="3"/>
  <c r="F15" i="3"/>
  <c r="G15" i="3"/>
  <c r="B15" i="3"/>
  <c r="U9" i="12" l="1"/>
  <c r="V9" i="12"/>
  <c r="V10" i="12"/>
  <c r="AE8" i="12"/>
  <c r="AD8" i="12"/>
  <c r="L8" i="12"/>
  <c r="M8" i="12"/>
  <c r="N8" i="12"/>
  <c r="N9" i="12" s="1"/>
  <c r="F9" i="12"/>
  <c r="G9" i="12"/>
  <c r="H9" i="12"/>
  <c r="I9" i="12"/>
  <c r="J9" i="12"/>
  <c r="K9" i="12"/>
  <c r="L9" i="12"/>
  <c r="M9" i="12"/>
  <c r="O9" i="12"/>
  <c r="P9" i="12"/>
  <c r="Q9" i="12"/>
  <c r="R9" i="12"/>
  <c r="S9" i="12"/>
  <c r="T9" i="12"/>
  <c r="F10" i="12"/>
  <c r="G10" i="12"/>
  <c r="H10" i="12"/>
  <c r="I10" i="12"/>
  <c r="J10" i="12"/>
  <c r="K10" i="12"/>
  <c r="L10" i="12"/>
  <c r="M10" i="12"/>
  <c r="N10" i="12"/>
  <c r="O10" i="12"/>
  <c r="P10" i="12"/>
  <c r="Q10" i="12"/>
  <c r="R10" i="12"/>
  <c r="S10" i="12"/>
  <c r="T10" i="12"/>
  <c r="U10" i="12"/>
  <c r="E10" i="12"/>
  <c r="E9" i="12"/>
  <c r="X7" i="12" l="1"/>
  <c r="Y7" i="12"/>
  <c r="Z7" i="12"/>
  <c r="Z6" i="12"/>
  <c r="Y6" i="12"/>
  <c r="X6" i="12"/>
  <c r="W7" i="12"/>
  <c r="W6" i="12"/>
  <c r="L2" i="12" l="1"/>
  <c r="M2" i="12"/>
  <c r="N2" i="12"/>
  <c r="M3" i="12"/>
  <c r="N3" i="12"/>
  <c r="M4" i="12"/>
  <c r="N4" i="12"/>
  <c r="M5" i="12"/>
  <c r="N5" i="12"/>
  <c r="L3" i="12"/>
  <c r="L4" i="12"/>
  <c r="L5" i="12"/>
  <c r="AC6" i="12"/>
  <c r="AC7" i="12"/>
  <c r="G2" i="3" l="1"/>
  <c r="F2" i="3"/>
  <c r="E2" i="3"/>
  <c r="D2" i="3"/>
  <c r="C2" i="3"/>
  <c r="B2" i="3"/>
  <c r="B12" i="3"/>
  <c r="B9" i="3" s="1"/>
  <c r="C12" i="3"/>
  <c r="C9" i="3" s="1"/>
  <c r="D12" i="3"/>
  <c r="D9" i="3" s="1"/>
  <c r="E12" i="3"/>
  <c r="E9" i="3" s="1"/>
  <c r="F12" i="3"/>
  <c r="F9" i="3" s="1"/>
  <c r="G12" i="3"/>
  <c r="G9" i="3" s="1"/>
  <c r="B36" i="3"/>
  <c r="B34" i="3"/>
  <c r="G37" i="3"/>
  <c r="B6" i="3" l="1"/>
  <c r="B7" i="3" s="1"/>
  <c r="C6" i="3"/>
  <c r="C7" i="3" s="1"/>
  <c r="G6" i="3"/>
  <c r="G7" i="3" s="1"/>
  <c r="F6" i="3"/>
  <c r="F7" i="3" s="1"/>
  <c r="E6" i="3"/>
  <c r="E7" i="3" s="1"/>
  <c r="D6" i="3"/>
  <c r="D7" i="3" s="1"/>
  <c r="P12" i="4"/>
  <c r="P13" i="4"/>
  <c r="P14" i="4"/>
  <c r="P16" i="4"/>
  <c r="P11" i="4"/>
  <c r="B6" i="12" l="1"/>
  <c r="B7" i="12"/>
  <c r="C3" i="12" l="1"/>
  <c r="D3" i="12" l="1"/>
  <c r="AD3" i="12"/>
  <c r="AH3" i="12"/>
  <c r="AG3" i="12"/>
  <c r="AF3" i="12"/>
  <c r="AE3" i="12"/>
  <c r="C5" i="12"/>
  <c r="C2" i="12"/>
  <c r="C4" i="12"/>
  <c r="O6" i="12" l="1"/>
  <c r="AA6" i="12"/>
  <c r="AA7" i="12"/>
  <c r="O7" i="12"/>
  <c r="AB6" i="12"/>
  <c r="AB7" i="12"/>
  <c r="AG2" i="12"/>
  <c r="P7" i="12"/>
  <c r="Q7" i="12"/>
  <c r="P6" i="12"/>
  <c r="Q6" i="12"/>
  <c r="R7" i="12"/>
  <c r="R6" i="12"/>
  <c r="H7" i="12"/>
  <c r="I6" i="12"/>
  <c r="E6" i="12"/>
  <c r="J6" i="12"/>
  <c r="AJ7" i="12"/>
  <c r="K6" i="12"/>
  <c r="F6" i="12"/>
  <c r="H6" i="12"/>
  <c r="G6" i="12"/>
  <c r="AK7" i="12"/>
  <c r="AI7" i="12"/>
  <c r="J7" i="12"/>
  <c r="K7" i="12"/>
  <c r="I7" i="12"/>
  <c r="E7" i="12"/>
  <c r="F7" i="12"/>
  <c r="G7" i="12"/>
  <c r="D4" i="12"/>
  <c r="AF4" i="12"/>
  <c r="AD4" i="12"/>
  <c r="AE4" i="12"/>
  <c r="AH4" i="12"/>
  <c r="AG4" i="12"/>
  <c r="D5" i="12"/>
  <c r="AE5" i="12"/>
  <c r="AD5" i="12"/>
  <c r="AF5" i="12"/>
  <c r="AG5" i="12"/>
  <c r="AH5" i="12"/>
  <c r="AF2" i="12"/>
  <c r="AE2" i="12"/>
  <c r="AH2" i="12"/>
  <c r="AD2" i="12"/>
  <c r="D2" i="12"/>
  <c r="M6" i="12" l="1"/>
  <c r="N6" i="12"/>
  <c r="L6" i="12"/>
  <c r="L7" i="12"/>
  <c r="M7" i="12"/>
  <c r="N7" i="12"/>
  <c r="AB13" i="12"/>
  <c r="AB14" i="12"/>
  <c r="AB16" i="12"/>
  <c r="AB15" i="12"/>
  <c r="AA13" i="12"/>
  <c r="AA15" i="12"/>
  <c r="AA14" i="12"/>
  <c r="AA16" i="12"/>
  <c r="Q14" i="12"/>
  <c r="Q16" i="12"/>
  <c r="Q15" i="12"/>
  <c r="Q13" i="12"/>
  <c r="R14" i="12"/>
  <c r="R15" i="12"/>
  <c r="R16" i="12"/>
  <c r="R13" i="12"/>
  <c r="P16" i="12"/>
  <c r="P15" i="12"/>
  <c r="P14" i="12"/>
  <c r="P13" i="12"/>
  <c r="F16" i="12"/>
  <c r="F15" i="12"/>
  <c r="F14" i="12"/>
  <c r="F13" i="12"/>
  <c r="G13" i="12"/>
  <c r="G14" i="12"/>
  <c r="G16" i="12"/>
  <c r="G15" i="12"/>
  <c r="E14" i="12"/>
  <c r="E13" i="12"/>
  <c r="E16" i="12"/>
  <c r="E15" i="12"/>
  <c r="K15" i="12"/>
  <c r="K14" i="12"/>
  <c r="K13" i="12"/>
  <c r="K16" i="12"/>
  <c r="I13" i="12"/>
  <c r="I14" i="12"/>
  <c r="I16" i="12"/>
  <c r="I15" i="12"/>
  <c r="O16" i="12"/>
  <c r="O15" i="12"/>
  <c r="O14" i="12"/>
  <c r="O13" i="12"/>
  <c r="J14" i="12"/>
  <c r="J16" i="12"/>
  <c r="J13" i="12"/>
  <c r="J15" i="12"/>
  <c r="H14" i="12"/>
  <c r="H13" i="12"/>
  <c r="H16" i="12"/>
  <c r="H15" i="12"/>
  <c r="L15" i="12" l="1"/>
  <c r="L13" i="12"/>
  <c r="L16" i="12"/>
  <c r="L14" i="12"/>
  <c r="N14" i="12"/>
  <c r="N16" i="12"/>
  <c r="N13" i="12"/>
  <c r="N15" i="12"/>
  <c r="N17" i="12" s="1"/>
  <c r="M15" i="12"/>
  <c r="M14" i="12"/>
  <c r="M13" i="12"/>
  <c r="M16" i="12"/>
  <c r="AA18" i="12"/>
  <c r="AB18" i="12"/>
  <c r="AA17" i="12"/>
  <c r="AB17" i="12"/>
  <c r="AB19" i="12" s="1"/>
  <c r="K17" i="12"/>
  <c r="E17" i="12"/>
  <c r="F17" i="12"/>
  <c r="R18" i="12"/>
  <c r="R17" i="12"/>
  <c r="O18" i="12"/>
  <c r="G17" i="12"/>
  <c r="P17" i="12"/>
  <c r="P18" i="12"/>
  <c r="Q18" i="12"/>
  <c r="Q17" i="12"/>
  <c r="K18" i="12"/>
  <c r="J18" i="12"/>
  <c r="I17" i="12"/>
  <c r="I18" i="12"/>
  <c r="G18" i="12"/>
  <c r="H18" i="12"/>
  <c r="J17" i="12"/>
  <c r="F18" i="12"/>
  <c r="F19" i="12" s="1"/>
  <c r="O17" i="12"/>
  <c r="E18" i="12"/>
  <c r="H17" i="12"/>
  <c r="I19" i="12" l="1"/>
  <c r="G19" i="12"/>
  <c r="L17" i="12"/>
  <c r="L18" i="12"/>
  <c r="L19" i="12" s="1"/>
  <c r="N18" i="12"/>
  <c r="N19" i="12" s="1"/>
  <c r="M17" i="12"/>
  <c r="M18" i="12"/>
  <c r="K19" i="12"/>
  <c r="O19" i="12"/>
  <c r="E19" i="12"/>
  <c r="AA19" i="12"/>
  <c r="J19" i="12"/>
  <c r="P19" i="12"/>
  <c r="Q19" i="12"/>
  <c r="H19" i="12"/>
  <c r="R19" i="12"/>
  <c r="G22" i="7"/>
  <c r="H21" i="7"/>
  <c r="G21" i="7" s="1"/>
  <c r="G20" i="7"/>
  <c r="G3" i="7"/>
  <c r="G4" i="7"/>
  <c r="G5" i="7"/>
  <c r="G2" i="7"/>
  <c r="F9" i="7"/>
  <c r="D9" i="7"/>
  <c r="E3" i="7"/>
  <c r="E4" i="7"/>
  <c r="E5" i="7"/>
  <c r="E2" i="7"/>
  <c r="D5" i="7"/>
  <c r="D13" i="7"/>
  <c r="D14" i="7"/>
  <c r="D15" i="7"/>
  <c r="D16" i="7"/>
  <c r="D17" i="7"/>
  <c r="D18" i="7"/>
  <c r="D19" i="7"/>
  <c r="B14" i="7"/>
  <c r="B15" i="7"/>
  <c r="B16" i="7"/>
  <c r="B17" i="7"/>
  <c r="B18" i="7"/>
  <c r="B19" i="7"/>
  <c r="B13" i="7"/>
  <c r="B2" i="7"/>
  <c r="Y19" i="7"/>
  <c r="H19" i="7"/>
  <c r="C19" i="7"/>
  <c r="Y18" i="7"/>
  <c r="H18" i="7"/>
  <c r="C18" i="7"/>
  <c r="Y17" i="7"/>
  <c r="H17" i="7"/>
  <c r="C17" i="7"/>
  <c r="Y16" i="7"/>
  <c r="H16" i="7"/>
  <c r="C16" i="7"/>
  <c r="Y15" i="7"/>
  <c r="H15" i="7"/>
  <c r="C15" i="7"/>
  <c r="Y14" i="7"/>
  <c r="H14" i="7"/>
  <c r="C14" i="7"/>
  <c r="Y13" i="7"/>
  <c r="H13" i="7"/>
  <c r="C13" i="7"/>
  <c r="AA7" i="7"/>
  <c r="V7" i="7"/>
  <c r="U7" i="7"/>
  <c r="B7" i="7" s="1"/>
  <c r="S7" i="7"/>
  <c r="R7" i="7" s="1"/>
  <c r="C7" i="7" s="1"/>
  <c r="F7" i="7" s="1"/>
  <c r="H7" i="7"/>
  <c r="AA6" i="7"/>
  <c r="Y6" i="7"/>
  <c r="X6" i="7"/>
  <c r="V6" i="7"/>
  <c r="U6" i="7" s="1"/>
  <c r="S6" i="7"/>
  <c r="E6" i="7" s="1"/>
  <c r="P6" i="7"/>
  <c r="M6" i="7"/>
  <c r="L6" i="7" s="1"/>
  <c r="J6" i="7"/>
  <c r="I6" i="7" s="1"/>
  <c r="X5" i="7"/>
  <c r="U5" i="7"/>
  <c r="R5" i="7"/>
  <c r="O5" i="7"/>
  <c r="H5" i="7" s="1"/>
  <c r="L5" i="7"/>
  <c r="I5" i="7"/>
  <c r="X4" i="7"/>
  <c r="U4" i="7"/>
  <c r="R4" i="7"/>
  <c r="O4" i="7"/>
  <c r="B4" i="7" s="1"/>
  <c r="L4" i="7"/>
  <c r="I4" i="7"/>
  <c r="D4" i="7" s="1"/>
  <c r="C4" i="7"/>
  <c r="F4" i="7" s="1"/>
  <c r="X3" i="7"/>
  <c r="U3" i="7"/>
  <c r="R3" i="7"/>
  <c r="O3" i="7"/>
  <c r="B3" i="7" s="1"/>
  <c r="L3" i="7"/>
  <c r="I3" i="7"/>
  <c r="D3" i="7" s="1"/>
  <c r="H3" i="7"/>
  <c r="C3" i="7"/>
  <c r="F3" i="7" s="1"/>
  <c r="X2" i="7"/>
  <c r="U2" i="7"/>
  <c r="R2" i="7"/>
  <c r="D2" i="7" s="1"/>
  <c r="O2" i="7"/>
  <c r="L2" i="7"/>
  <c r="I2" i="7"/>
  <c r="H2" i="7"/>
  <c r="C2" i="7"/>
  <c r="F2" i="7" s="1"/>
  <c r="M19" i="12" l="1"/>
  <c r="H4" i="7"/>
  <c r="G7" i="7"/>
  <c r="B5" i="7"/>
  <c r="E7" i="7"/>
  <c r="R6" i="7"/>
  <c r="D6" i="7" s="1"/>
  <c r="D7" i="7"/>
  <c r="C5" i="7"/>
  <c r="F5" i="7" s="1"/>
  <c r="G6" i="7"/>
  <c r="AB6" i="7"/>
  <c r="O6" i="7"/>
  <c r="B6" i="7" s="1"/>
  <c r="C6" i="7" l="1"/>
  <c r="F6" i="7" s="1"/>
  <c r="H6" i="7"/>
  <c r="K12" i="3"/>
  <c r="O11" i="1"/>
  <c r="O7" i="1"/>
  <c r="O6" i="1"/>
  <c r="O5" i="1"/>
  <c r="O4" i="1"/>
  <c r="O3" i="1"/>
  <c r="O2" i="1"/>
  <c r="G38" i="3" l="1"/>
  <c r="F35" i="3"/>
  <c r="E35" i="3"/>
  <c r="D35" i="3"/>
  <c r="C35" i="3"/>
  <c r="B35" i="3"/>
  <c r="F32" i="3"/>
  <c r="F34" i="3" s="1"/>
  <c r="E32" i="3"/>
  <c r="E34" i="3" s="1"/>
  <c r="D32" i="3"/>
  <c r="C32" i="3"/>
  <c r="H30" i="3"/>
  <c r="H29" i="3"/>
  <c r="I29" i="3" s="1"/>
  <c r="I14" i="3"/>
  <c r="H14" i="3"/>
  <c r="I13" i="3"/>
  <c r="H13" i="3"/>
  <c r="E38" i="3"/>
  <c r="D38" i="3"/>
  <c r="H10" i="3"/>
  <c r="I10" i="3" s="1"/>
  <c r="C38" i="3"/>
  <c r="C24" i="3"/>
  <c r="C21" i="3" s="1"/>
  <c r="M8" i="1"/>
  <c r="M9" i="1" s="1"/>
  <c r="Z8" i="1"/>
  <c r="Z9" i="1" s="1"/>
  <c r="D34" i="3" l="1"/>
  <c r="D36" i="3"/>
  <c r="C34" i="3"/>
  <c r="C36" i="3"/>
  <c r="C20" i="3"/>
  <c r="C39" i="3"/>
  <c r="D39" i="3"/>
  <c r="F39" i="3"/>
  <c r="B39" i="3"/>
  <c r="I30" i="3"/>
  <c r="B24" i="3"/>
  <c r="B21" i="3" s="1"/>
  <c r="D37" i="3"/>
  <c r="G41" i="3"/>
  <c r="B38" i="3"/>
  <c r="F37" i="3"/>
  <c r="F24" i="3"/>
  <c r="F21" i="3" s="1"/>
  <c r="G40" i="3"/>
  <c r="G27" i="3"/>
  <c r="G24" i="3" s="1"/>
  <c r="F38" i="3"/>
  <c r="C37" i="3"/>
  <c r="H32" i="3"/>
  <c r="H36" i="3" s="1"/>
  <c r="B6" i="1"/>
  <c r="B5" i="1"/>
  <c r="B7" i="1"/>
  <c r="G3" i="1"/>
  <c r="B3" i="1" s="1"/>
  <c r="G4" i="1"/>
  <c r="B4" i="1" s="1"/>
  <c r="G2" i="1"/>
  <c r="B2" i="1" s="1"/>
  <c r="AE3" i="1"/>
  <c r="AE4" i="1"/>
  <c r="AE6" i="1"/>
  <c r="AE5" i="1"/>
  <c r="AE7" i="1"/>
  <c r="AE2" i="1"/>
  <c r="AF2" i="1"/>
  <c r="AD2" i="1"/>
  <c r="AD7" i="1"/>
  <c r="I32" i="3" l="1"/>
  <c r="H34" i="3"/>
  <c r="F20" i="3"/>
  <c r="G23" i="3"/>
  <c r="B20" i="3"/>
  <c r="B37" i="3"/>
  <c r="H9" i="3"/>
  <c r="H38" i="3" s="1"/>
  <c r="D24" i="3"/>
  <c r="D21" i="3" s="1"/>
  <c r="E24" i="3"/>
  <c r="E37" i="3"/>
  <c r="I9" i="3"/>
  <c r="I38" i="3" s="1"/>
  <c r="L6" i="1"/>
  <c r="AH6" i="1" s="1"/>
  <c r="I6" i="1"/>
  <c r="L2" i="1"/>
  <c r="AH2" i="1" s="1"/>
  <c r="I2" i="1"/>
  <c r="L4" i="1"/>
  <c r="AH4" i="1" s="1"/>
  <c r="I4" i="1"/>
  <c r="L3" i="1"/>
  <c r="AH3" i="1" s="1"/>
  <c r="I3" i="1"/>
  <c r="L5" i="1"/>
  <c r="AH5" i="1" s="1"/>
  <c r="I5" i="1"/>
  <c r="I7" i="1"/>
  <c r="L7" i="1"/>
  <c r="AH7" i="1" s="1"/>
  <c r="Q8" i="1"/>
  <c r="Q9" i="1"/>
  <c r="P9" i="1"/>
  <c r="P8" i="1"/>
  <c r="E8" i="1"/>
  <c r="Y8" i="1"/>
  <c r="Y9" i="1" s="1"/>
  <c r="I34" i="3" l="1"/>
  <c r="I36" i="3"/>
  <c r="E20" i="3"/>
  <c r="D20" i="3"/>
  <c r="J2" i="1"/>
  <c r="U2" i="1" s="1"/>
  <c r="S2" i="1" s="1"/>
  <c r="AG2" i="1"/>
  <c r="J7" i="1"/>
  <c r="U7" i="1" s="1"/>
  <c r="S7" i="1" s="1"/>
  <c r="AG7" i="1"/>
  <c r="AG5" i="1"/>
  <c r="J5" i="1"/>
  <c r="U5" i="1" s="1"/>
  <c r="S5" i="1" s="1"/>
  <c r="AG6" i="1"/>
  <c r="J6" i="1"/>
  <c r="U6" i="1" s="1"/>
  <c r="S6" i="1" s="1"/>
  <c r="J3" i="1"/>
  <c r="U3" i="1" s="1"/>
  <c r="S3" i="1" s="1"/>
  <c r="AG3" i="1"/>
  <c r="AG4" i="1"/>
  <c r="J4" i="1"/>
  <c r="U4" i="1" s="1"/>
  <c r="S4" i="1" s="1"/>
  <c r="L8" i="1"/>
  <c r="AH8" i="1" s="1"/>
  <c r="L9" i="1"/>
  <c r="AH9" i="1" s="1"/>
  <c r="E9" i="1"/>
  <c r="AB3" i="1"/>
  <c r="AD3" i="1" s="1"/>
  <c r="AB4" i="1"/>
  <c r="AD4" i="1" s="1"/>
  <c r="AB6" i="1"/>
  <c r="AD6" i="1" s="1"/>
  <c r="AB5" i="1"/>
  <c r="AD5" i="1" s="1"/>
  <c r="AF3" i="1" l="1"/>
  <c r="F9" i="1"/>
  <c r="F8" i="1"/>
  <c r="AF4" i="1"/>
  <c r="AB8" i="1"/>
  <c r="AB9" i="1" l="1"/>
  <c r="AD9" i="1" s="1"/>
  <c r="AD8" i="1"/>
  <c r="AF8" i="1"/>
  <c r="AF9" i="1" l="1"/>
</calcChain>
</file>

<file path=xl/sharedStrings.xml><?xml version="1.0" encoding="utf-8"?>
<sst xmlns="http://schemas.openxmlformats.org/spreadsheetml/2006/main" count="1034" uniqueCount="721">
  <si>
    <t>France</t>
  </si>
  <si>
    <t>Germany</t>
  </si>
  <si>
    <t>Spain</t>
  </si>
  <si>
    <t>UK</t>
  </si>
  <si>
    <t>Switzerland</t>
  </si>
  <si>
    <t>US</t>
  </si>
  <si>
    <t>Country</t>
  </si>
  <si>
    <t>ODA/spending</t>
  </si>
  <si>
    <t>Source</t>
  </si>
  <si>
    <t>https://data.oecd.org/gga/general-government-spending.htm</t>
  </si>
  <si>
    <t>Govt spending pc ($)</t>
  </si>
  <si>
    <t>Govt spending (M$)</t>
  </si>
  <si>
    <t>https://data.oecd.org/pop/population.htm</t>
  </si>
  <si>
    <t>https://www.oecd.org/dac/financing-sustainable-development/development-finance-data/ODA-2019-detailed-summary.pdf</t>
  </si>
  <si>
    <t>https://en.wikipedia.org/wiki/Budget_of_the_European_Union</t>
  </si>
  <si>
    <t>ODA*/spending</t>
  </si>
  <si>
    <t>net loss GCS ($/month)</t>
  </si>
  <si>
    <t>Pop &gt;15 2015</t>
  </si>
  <si>
    <t>Pop &gt;15 2030</t>
  </si>
  <si>
    <t>€ per $</t>
  </si>
  <si>
    <t>net loss (G€/year)</t>
  </si>
  <si>
    <t>2015 global pop &gt;15</t>
  </si>
  <si>
    <t>A</t>
  </si>
  <si>
    <t>2030 global pop &gt;15</t>
  </si>
  <si>
    <t>F</t>
  </si>
  <si>
    <t>Carbon tax revenues in 2030</t>
  </si>
  <si>
    <t>R</t>
  </si>
  <si>
    <t>2015 Global CO2 emission (MtCO2)</t>
  </si>
  <si>
    <t>E</t>
  </si>
  <si>
    <t>adrien-fabre.com/Documents/estimate%20of%20a%20global%20basic%20income.pdf</t>
  </si>
  <si>
    <t>e national emission</t>
  </si>
  <si>
    <t>e/E global emission share</t>
  </si>
  <si>
    <t>EU28</t>
  </si>
  <si>
    <t>US 2021 https://www.govinfo.gov/content/pkg/BUDGET-2021-BUD/pdf/BUDGET-2021-BUD.pdf p. 115, 127  total outlays minus net interest</t>
  </si>
  <si>
    <t>FR 2019 https://fr.wikipedia.org/wiki/Budget_de_l%27%C3%89tat_fran%C3%A7ais_en_2019</t>
  </si>
  <si>
    <t>ODA national (M)</t>
  </si>
  <si>
    <t>UK 2019 % of Total Managed Expenditures i.e. 15,0G£ over 886 public spending (403,8 in state budget i.e. Departmental Expenditures Limits) https://ifs.org.uk/taxlab/taxlab-data-item/ifs-spending-composition-sheet  https://www.gov.uk/government/statistics/public-spending-statistics-release-november-2020/public-spending-statistics-november-2020  https://www.gov.uk/government/publications/how-to-understand-public-sector-spending/how-to-understand-public-sector-spending</t>
  </si>
  <si>
    <t>ODA/GNI (2019)</t>
  </si>
  <si>
    <t>govt spending/GDP (2019)</t>
  </si>
  <si>
    <t>ODA/govt spending (2019)</t>
  </si>
  <si>
    <t>ODA*/GNI (2019)</t>
  </si>
  <si>
    <t>ODA*/govt spending (2019)</t>
  </si>
  <si>
    <t>Median/Average carbon footprint</t>
  </si>
  <si>
    <t>US individual average of deciles 5 and 6 (or 4 to 7) over individual average, from Fremstad &amp; Paul (2019)</t>
  </si>
  <si>
    <t>EU from Ivanova &amp; Wood (2020)</t>
  </si>
  <si>
    <t>UK 82% from Ivanova &amp; Wood (2020) Supplementary material (Table 6)</t>
  </si>
  <si>
    <t>Compatible carbon price ($/tCO2)</t>
  </si>
  <si>
    <t>https://data.worldbank.org/indicator/NY.GDP.MKTP.CD?locations=DE</t>
  </si>
  <si>
    <t>GDP (G 2021$)</t>
  </si>
  <si>
    <t>Top 5% post-tax income share</t>
  </si>
  <si>
    <t>Top 5% post-tax threshold  (k $2021)</t>
  </si>
  <si>
    <t>tax revenue over top 5% share</t>
  </si>
  <si>
    <t>2020 equal-split https://wid.world/</t>
  </si>
  <si>
    <t>Adult pop 2020</t>
  </si>
  <si>
    <t>Adult pop 2030</t>
  </si>
  <si>
    <t>tax revenues needed for compensation of 2020 typical person</t>
  </si>
  <si>
    <t>tax revenues needed for compensation of 2030 typical person</t>
  </si>
  <si>
    <t>* includes ODA from EU institutions</t>
  </si>
  <si>
    <t>cf. 'Constants' sheet</t>
  </si>
  <si>
    <t>UN World Population Prospects (2017) POP/7-1</t>
  </si>
  <si>
    <t>https://di.unfccc.int/time_series (cf. 'Constants' sheet)</t>
  </si>
  <si>
    <t>EU27 (excl. UK)</t>
  </si>
  <si>
    <t>Eu5 (Eu4+CH)</t>
  </si>
  <si>
    <t>Eu4 (FR+DE+SP+UK)</t>
  </si>
  <si>
    <t>Italic denotes raw/external data</t>
  </si>
  <si>
    <t>ODA (2019 M$)</t>
  </si>
  <si>
    <t>share in EU revenues (2023)</t>
  </si>
  <si>
    <t>median loss from GCS in 2030</t>
  </si>
  <si>
    <t>Assumption: emissions per adult (&gt;15) will evolve in the same way in all countries</t>
  </si>
  <si>
    <t>tax revenues needed over GDP</t>
  </si>
  <si>
    <t>Pop (2021 M)</t>
  </si>
  <si>
    <t>Deprecated:</t>
  </si>
  <si>
    <t>Bold denotes figures used in the questionnaire</t>
  </si>
  <si>
    <t>2030 has been chosen because it is the date where the Global Climate Scheme (GCS) should cost the most (i.e. the share of its revenues over global GDP will be highest)</t>
  </si>
  <si>
    <t>Sources : global price/emission trajectory: Hood (2017); Stern &amp; Stiglitz (2017); population, etc.: OCDE: bit.ly/37kSVUx ; ONU: bit.ly/38kUOAb ; CO2 emissions for countries absent from OECD (UK, NG, EG, except IR: conso-based): CO2e production-based with LULUCF 2018 https://en.wikipedia.org/wiki/List_of_countries_by_greenhouse_gas_emissions i.e. https://di.unfccc.int/time_series</t>
  </si>
  <si>
    <t>D1</t>
  </si>
  <si>
    <t>D2</t>
  </si>
  <si>
    <t>Q1</t>
  </si>
  <si>
    <t>D3</t>
  </si>
  <si>
    <t>D4</t>
  </si>
  <si>
    <t>Q2</t>
  </si>
  <si>
    <t>D6</t>
  </si>
  <si>
    <t>D7</t>
  </si>
  <si>
    <t>Q3</t>
  </si>
  <si>
    <t>D8</t>
  </si>
  <si>
    <t>D9</t>
  </si>
  <si>
    <t>FR</t>
  </si>
  <si>
    <t>DE</t>
  </si>
  <si>
    <t>ES</t>
  </si>
  <si>
    <t>CH</t>
  </si>
  <si>
    <t>Eurostat 2021</t>
  </si>
  <si>
    <t>Eurostat 2018  inflated to 2021</t>
  </si>
  <si>
    <t>Eurostat 2019  inflated to 2021</t>
  </si>
  <si>
    <t>Variable</t>
  </si>
  <si>
    <t>Equivalised disposable income</t>
  </si>
  <si>
    <t>Household total income</t>
  </si>
  <si>
    <t>Unit</t>
  </si>
  <si>
    <t>€/Month</t>
  </si>
  <si>
    <t>£/Month</t>
  </si>
  <si>
    <t>CHF/Month</t>
  </si>
  <si>
    <t>k$/Year</t>
  </si>
  <si>
    <t>Eurostat data: https://ec.europa.eu/eurostat/estat-navtree-portlet-prod/BulkDownloadListing?file=data/ilc_di01.tsv.gz</t>
  </si>
  <si>
    <t>To inflate data, we use nominal GDP growth in LCU from https://data.worldbank.org/indicator/NY.GDP.MKTP.CN?end=2021&amp;locations=GB-CH&amp;start=1960&amp;view=chart</t>
  </si>
  <si>
    <t>Census 2021 HINC-01 (Current Population Survey)</t>
  </si>
  <si>
    <t>US data: https://www.census.gov/data/tables/time-series/demo/income-poverty/cps-hinc/hinc-01.html</t>
  </si>
  <si>
    <t>Sample (total 2000, proportional to 2020 adult pop)</t>
  </si>
  <si>
    <t>Brevet</t>
  </si>
  <si>
    <t>CAP ou BEP</t>
  </si>
  <si>
    <t>Bac +2 (BTS, DUT, DEUG…)</t>
  </si>
  <si>
    <t>Bac +3 (licence…)</t>
  </si>
  <si>
    <t>Bac +5 ou plus (master, école d'ingénieur ou de commerce, doctorat, médecine, maîtrise, DEA, DESS...)</t>
  </si>
  <si>
    <t>Eigth grade</t>
  </si>
  <si>
    <t>Primary school or less</t>
  </si>
  <si>
    <t>Some high school</t>
  </si>
  <si>
    <t>Bachelor's degree (for example: BA, BS)</t>
  </si>
  <si>
    <t>2-year college degree or associates degree (for example: AA, AS) / Some college, no degree</t>
  </si>
  <si>
    <t>Educación secundaria obligatoria (ESO)</t>
  </si>
  <si>
    <t>Formación profesional básica (FP)</t>
  </si>
  <si>
    <t>Bachillerato</t>
  </si>
  <si>
    <t>Formación profesional de grado medio</t>
  </si>
  <si>
    <t>Formación profesional de grado superior</t>
  </si>
  <si>
    <t>Grado universitario</t>
  </si>
  <si>
    <t>Máster/doctorado</t>
  </si>
  <si>
    <t>Primary education or less</t>
  </si>
  <si>
    <t>High school degree (A level)</t>
  </si>
  <si>
    <t>Vocational Upper secondary (Level 3 award, level 3 certificate, level 3 diploma, advanced apprenticeship, etc.)</t>
  </si>
  <si>
    <t>Higher vocational education (Level 4+ award, level 4+ certificate, level 4+ diploma, higher apprenticeship, etc.)</t>
  </si>
  <si>
    <t>Bachelor's Degree (BA, BSc, BEng, etc.)</t>
  </si>
  <si>
    <t>Postgraduate diploma or certificate, Master's Degree (MSc, MA, MBA, etc.) or Ph.D.</t>
  </si>
  <si>
    <t>Keine abgeschlossene Schulbildung / Grundschule</t>
  </si>
  <si>
    <t>Educación primaria / No he completado la enseñanza básica</t>
  </si>
  <si>
    <t>École primaire / Aucun</t>
  </si>
  <si>
    <t>Untere Sekundarstufe (z.B. Haupt- oder Realschulabschluss)</t>
  </si>
  <si>
    <t>Beruflicher Abschluss / Ausbildung</t>
  </si>
  <si>
    <t>Abitur</t>
  </si>
  <si>
    <t>Master-Abschluss oder höher</t>
  </si>
  <si>
    <t>Erstausbildung</t>
  </si>
  <si>
    <t>Some secondary school</t>
  </si>
  <si>
    <t>Decrease the payroll tax</t>
  </si>
  <si>
    <t>Permit completion of the Keystone pipeline</t>
  </si>
  <si>
    <t>Withdrawal of the Paris agreement</t>
  </si>
  <si>
    <t>Marriage only for opposite-sex couples</t>
  </si>
  <si>
    <t>Strict enforcement of immigration and border legislation</t>
  </si>
  <si>
    <t>Increase corporate income tax rate from 21% to 28%</t>
  </si>
  <si>
    <t>Coal exit</t>
  </si>
  <si>
    <t>Trillion dollar investment in clean transportation infrastructure and building insulation</t>
  </si>
  <si>
    <t>$15 minimum wage</t>
  </si>
  <si>
    <t>National redistribution scheme</t>
  </si>
  <si>
    <t>Student loan forgiveness</t>
  </si>
  <si>
    <t>Universal childcare/pre-K</t>
  </si>
  <si>
    <t>Funding affordable housing</t>
  </si>
  <si>
    <t>Expanding the Supreme Court</t>
  </si>
  <si>
    <t>Handgun ban</t>
  </si>
  <si>
    <t>Making abortion a right at the federal level</t>
  </si>
  <si>
    <t>Ban the sale of new combustion-engine cars by 2030</t>
  </si>
  <si>
    <t>Wealth tax</t>
  </si>
  <si>
    <t>Global climate scheme</t>
  </si>
  <si>
    <t>Global democratic assembly on climate change</t>
  </si>
  <si>
    <t>Global tax on millionaires</t>
  </si>
  <si>
    <t>Doubling foreign aid</t>
  </si>
  <si>
    <t>-</t>
  </si>
  <si>
    <t>Conservative: Economic issues</t>
  </si>
  <si>
    <t>Progressive: Economic issues</t>
  </si>
  <si>
    <t>Progressive: Climate policy</t>
  </si>
  <si>
    <t>Conservative: Climate policy</t>
  </si>
  <si>
    <t>Conservative: Societal issues</t>
  </si>
  <si>
    <t>Progressive: Tax system</t>
  </si>
  <si>
    <t>Conservative: Salient topic</t>
  </si>
  <si>
    <t>Unternehmenssteuerlast auf 25 Prozent senken</t>
  </si>
  <si>
    <t>Rétablissement de l'impôt sur la fortune (ISF)</t>
  </si>
  <si>
    <t>15 heures d'activité par semaine obligatoires pour bénéficier du RSA</t>
  </si>
  <si>
    <t>Plan pour l'isolation thermique</t>
  </si>
  <si>
    <t>Plan de redistribution nationale</t>
  </si>
  <si>
    <t>Exonération des droits de succession pour 95% des Français</t>
  </si>
  <si>
    <t>Second tour Présidentielle</t>
  </si>
  <si>
    <t>Conjoint analysis d</t>
  </si>
  <si>
    <t>Investitionen für Gigabit-Netzwerke bereitstellen.</t>
  </si>
  <si>
    <t>Die Vermögensteuer wieder in Kraft setzen</t>
  </si>
  <si>
    <t>Luchar firmemente contra el independentismo</t>
  </si>
  <si>
    <t xml:space="preserve">Rebaja del IRPF para todos los contribuyentes / reducción del tipo del impuesto de sociedades al 20% / </t>
  </si>
  <si>
    <t>Supresión del impuesto sobre el patrimonio y el impuesto de sucesiones</t>
  </si>
  <si>
    <t>Cut the burden of tax on business</t>
  </si>
  <si>
    <t>£100 billion for infrastructures like road and rail</t>
  </si>
  <si>
    <t>£150 billion to upgrade schools, hospitals, care homes and council houses</t>
  </si>
  <si>
    <t>Inversión en el sistema educativo y universalización de la educación preescolar</t>
  </si>
  <si>
    <t>Rep vs Dem and Dem primary</t>
  </si>
  <si>
    <t>Plan nacional de redistribución</t>
  </si>
  <si>
    <t>Plan zur nationalen Umverteilung</t>
  </si>
  <si>
    <t>Plan mondial pour le climat</t>
  </si>
  <si>
    <t>SMIC à 1600€ net</t>
  </si>
  <si>
    <t>100% de electricidad producida con energías renovables en 2040 / 90%?</t>
  </si>
  <si>
    <t>Más necesidades sanitarias dentro del sistema público (cuidado dental, gafas, salud mental)</t>
  </si>
  <si>
    <t>Modernización y simplificación de los procedimientos administrativos / desgravar la vivienda en los impuestos e impulsar el campo</t>
  </si>
  <si>
    <t>€/Year</t>
  </si>
  <si>
    <t>£/Year</t>
  </si>
  <si>
    <t>CHF/Year</t>
  </si>
  <si>
    <t>country</t>
  </si>
  <si>
    <t>III-II+I/2</t>
  </si>
  <si>
    <t>Modifzierte Daten + Ausweicheffekte (modest evasion)</t>
  </si>
  <si>
    <t>affected pop-share</t>
  </si>
  <si>
    <t>GDP World Bank https://data.worldbank.org/indicator/NY.GDP.MKTP.CN?end=2018&amp;locations=ES-FR-DE&amp;start=2017</t>
  </si>
  <si>
    <t>Year</t>
  </si>
  <si>
    <t>IT</t>
  </si>
  <si>
    <t>DE+ES+FR+IT</t>
  </si>
  <si>
    <t>of UE22 GDP</t>
  </si>
  <si>
    <t>UE22</t>
  </si>
  <si>
    <t>cf. Kapeller et al. (2021)</t>
  </si>
  <si>
    <t>Tax rates</t>
  </si>
  <si>
    <t>%</t>
  </si>
  <si>
    <t>Av. wealth</t>
  </si>
  <si>
    <t xml:space="preserve">M€ threshold if av. wealth = </t>
  </si>
  <si>
    <t>1M</t>
  </si>
  <si>
    <t>2M</t>
  </si>
  <si>
    <t>5M</t>
  </si>
  <si>
    <t>10M</t>
  </si>
  <si>
    <t>50M</t>
  </si>
  <si>
    <t>100M</t>
  </si>
  <si>
    <t>500M</t>
  </si>
  <si>
    <t>AT</t>
  </si>
  <si>
    <t>BE</t>
  </si>
  <si>
    <t>CY</t>
  </si>
  <si>
    <t>EE</t>
  </si>
  <si>
    <t>FI</t>
  </si>
  <si>
    <t>GR</t>
  </si>
  <si>
    <t>HR</t>
  </si>
  <si>
    <t>HU</t>
  </si>
  <si>
    <t>IE</t>
  </si>
  <si>
    <t>LT</t>
  </si>
  <si>
    <t>LU</t>
  </si>
  <si>
    <t>LV</t>
  </si>
  <si>
    <t>MT</t>
  </si>
  <si>
    <t>NL</t>
  </si>
  <si>
    <t>PL</t>
  </si>
  <si>
    <t>PT</t>
  </si>
  <si>
    <t>SI</t>
  </si>
  <si>
    <t>SK</t>
  </si>
  <si>
    <t>I (M2)</t>
  </si>
  <si>
    <t>II (M4)</t>
  </si>
  <si>
    <t>III (M6)</t>
  </si>
  <si>
    <t>IV (M7)</t>
  </si>
  <si>
    <t>M3</t>
  </si>
  <si>
    <t>M5</t>
  </si>
  <si>
    <t>II-M3</t>
  </si>
  <si>
    <t>2*(III-M5)</t>
  </si>
  <si>
    <t>2*M3-I</t>
  </si>
  <si>
    <t>£ 2018</t>
  </si>
  <si>
    <t>$ 2019</t>
  </si>
  <si>
    <t>cf. Advani et al. (2020) http://taxsimulator.ukwealth.tax/#/appendix</t>
  </si>
  <si>
    <t>cf. Saez &amp; Zucman (2019) https://taxjusticenow.org/</t>
  </si>
  <si>
    <t>2*(II-M3)</t>
  </si>
  <si>
    <t>wid.world</t>
  </si>
  <si>
    <t>SS Africa</t>
  </si>
  <si>
    <t>cf. also Chancel et al. (2022) https://wid.world/world-wealth-tax-simulator/</t>
  </si>
  <si>
    <t>World</t>
  </si>
  <si>
    <t>Low-income</t>
  </si>
  <si>
    <t>https://data.worldbank.org/country/XM</t>
  </si>
  <si>
    <t>IDF</t>
  </si>
  <si>
    <t>Nord-Ouest</t>
  </si>
  <si>
    <t>Nord-Est</t>
  </si>
  <si>
    <t>Sud-Ouest</t>
  </si>
  <si>
    <t>Sud-Est</t>
  </si>
  <si>
    <t>Sample</t>
  </si>
  <si>
    <t>18-24</t>
  </si>
  <si>
    <t>25-34</t>
  </si>
  <si>
    <t>35-49</t>
  </si>
  <si>
    <t>50-64</t>
  </si>
  <si>
    <t>&gt;65</t>
  </si>
  <si>
    <t>Couronne GP</t>
  </si>
  <si>
    <t>Autre</t>
  </si>
  <si>
    <t>Northern Germany</t>
  </si>
  <si>
    <t>Western Germany</t>
  </si>
  <si>
    <t>Central Germany</t>
  </si>
  <si>
    <t>Eastern Germany</t>
  </si>
  <si>
    <t>Southern Germany</t>
  </si>
  <si>
    <t>Rural</t>
  </si>
  <si>
    <t>Town and Suburbs</t>
  </si>
  <si>
    <t>Cities</t>
  </si>
  <si>
    <t>South</t>
  </si>
  <si>
    <t>North</t>
  </si>
  <si>
    <t>Norht-West</t>
  </si>
  <si>
    <t>London</t>
  </si>
  <si>
    <t>Southern England</t>
  </si>
  <si>
    <t>Central UK</t>
  </si>
  <si>
    <t>Northern England</t>
  </si>
  <si>
    <t>Northern UK</t>
  </si>
  <si>
    <t>Rural and other</t>
  </si>
  <si>
    <t>men</t>
  </si>
  <si>
    <t>Cities definition</t>
  </si>
  <si>
    <t>Grand pôle</t>
  </si>
  <si>
    <t>https://www.destatis.de/DE/Themen/Laender-Regionen/Regionales/Gemeindeverzeichnis/Administrativ/Archiv/GVAuszugJ/31122019_Auszug_GV.html https://ec.europa.eu/eurostat/ramon/miscellaneous/index.cfm?TargetUrl=DSP_DEGURBA</t>
  </si>
  <si>
    <t>Towns and suburbs</t>
  </si>
  <si>
    <t>Towns and suburbs definition</t>
  </si>
  <si>
    <t>Rural definition</t>
  </si>
  <si>
    <t>Town &gt;20k</t>
  </si>
  <si>
    <t>Town &lt;20k</t>
  </si>
  <si>
    <t>Large urban</t>
  </si>
  <si>
    <t>City or town</t>
  </si>
  <si>
    <t>https://www.doogal.co.uk/postcodedownloads.php https://www.ons.gov.uk/file?uri=/methodology/geography/geographicalproducts/ruralurbanclassifications/2011ruralurbanclassification/rucladleafletmay2015tcm77406355.pdf</t>
  </si>
  <si>
    <t>women</t>
  </si>
  <si>
    <t>Share Eu4</t>
  </si>
  <si>
    <t>White non Hispanic</t>
  </si>
  <si>
    <t>Hispanic</t>
  </si>
  <si>
    <t>Black</t>
  </si>
  <si>
    <t>https://www.ers.usda.gov/data-products/rural-urban-commuting-area-codes/</t>
  </si>
  <si>
    <t>Deviation</t>
  </si>
  <si>
    <t>min</t>
  </si>
  <si>
    <t>max</t>
  </si>
  <si>
    <t>max deviation</t>
  </si>
  <si>
    <t>arg max dev</t>
  </si>
  <si>
    <t>Region 1</t>
  </si>
  <si>
    <t>Region 2</t>
  </si>
  <si>
    <t>Region 3</t>
  </si>
  <si>
    <t>Region 5</t>
  </si>
  <si>
    <t>Region 4</t>
  </si>
  <si>
    <t>Name</t>
  </si>
  <si>
    <t>Northeast</t>
  </si>
  <si>
    <t>Midwest</t>
  </si>
  <si>
    <t>West</t>
  </si>
  <si>
    <t>East</t>
  </si>
  <si>
    <t>Center</t>
  </si>
  <si>
    <t>https://ec.europa.eu/eurostat/web/degree-of-urbanisation/statistics-illustrated</t>
  </si>
  <si>
    <t>https://gisco-services.ec.europa.eu/tercet/flat-files &gt; Various: https://gisco-services.ec.europa.eu/tercet/Various/PC_DGURBA_2018.zip</t>
  </si>
  <si>
    <t>Source alternative</t>
  </si>
  <si>
    <t>?</t>
  </si>
  <si>
    <t>ISCED</t>
  </si>
  <si>
    <t>0-1</t>
  </si>
  <si>
    <t>4-5</t>
  </si>
  <si>
    <t>7-8</t>
  </si>
  <si>
    <t>GSCE [not professional but ~16 years]</t>
  </si>
  <si>
    <t>Post-secondary in 25-64</t>
  </si>
  <si>
    <t>Question</t>
  </si>
  <si>
    <t>Baccalauréat professionnel ou technologique</t>
  </si>
  <si>
    <t>Baccalauréat général</t>
  </si>
  <si>
    <t>Master’s degree or above (MA, MS, MEng, MEd, MSW, MBA, MD, DDS, DVM, LLB, JD, PhD)</t>
  </si>
  <si>
    <t>Q2.4 zipcode</t>
  </si>
  <si>
    <t>Outcode</t>
  </si>
  <si>
    <t>Q2.14 income</t>
  </si>
  <si>
    <t>monthly</t>
  </si>
  <si>
    <t>yearly</t>
  </si>
  <si>
    <t>Q2.8 education</t>
  </si>
  <si>
    <t>cf. related sheet, levels correspond to ISCED 0-1, 2, 3a (16-17 yrs, pro), 3b (18 yrs, pro), 3c (18 yrs, general), 4-5, 6, 7-8</t>
  </si>
  <si>
    <t>Same except it's …3a, 3c, 5a (no degree), 5b (associate degree)…</t>
  </si>
  <si>
    <t>5-digit zipcode</t>
  </si>
  <si>
    <t>€</t>
  </si>
  <si>
    <t>£</t>
  </si>
  <si>
    <t>$</t>
  </si>
  <si>
    <t>Coal exit, Marriage only for opposite-sex couples</t>
  </si>
  <si>
    <t xml:space="preserve">Q258 R threshold </t>
  </si>
  <si>
    <t>TODO</t>
  </si>
  <si>
    <t>$315,000/year</t>
  </si>
  <si>
    <t>Q258 R tax rates</t>
  </si>
  <si>
    <t>Unspecified</t>
  </si>
  <si>
    <t>given in "See more details": 315-400k: 32=&gt;41%; 400-600k: 35=&gt;50%; 600k-2.5M: 37=&gt;60%; 2.5-5M: 37=&gt;65%; 5M+: 37=&gt;70% Raises $285.9 billion in 2019 according to Saez &amp; Zucman (2019) https://taxjusticenow.org/#makeYourOwnTaxPlan  "&lt;br&gt;&lt;br&gt;The marginal income taxe rates would evolve as follows:&lt;br&gt;Below $315,000: unchanged&lt;br&gt;$315,000 - $400,000: current rate 32% =&gt; new rate 41%&lt;br&gt;$400,000 - $600,000: 35% =&gt; 50%&lt;br&gt;$600,000 - $2.5 million: 37% =&gt; 60%&lt;br&gt;$2.5 - $5 million: 37% =&gt; 65%&lt;br&gt;Above $5 million: 37% =&gt; 70%"</t>
  </si>
  <si>
    <t>monthly?</t>
  </si>
  <si>
    <t>Q258 G basic income</t>
  </si>
  <si>
    <t>$30 / $2/day</t>
  </si>
  <si>
    <t>$86 per month / $1000 per year</t>
  </si>
  <si>
    <t>€5/month</t>
  </si>
  <si>
    <t>median loss from GCS in 2030 ($)</t>
  </si>
  <si>
    <t>£ per $</t>
  </si>
  <si>
    <t>Français</t>
  </si>
  <si>
    <t>Deutsch</t>
  </si>
  <si>
    <t>Espanol</t>
  </si>
  <si>
    <t>British</t>
  </si>
  <si>
    <t>Americans</t>
  </si>
  <si>
    <t>Insulation plan, Death penalty for major crimes</t>
  </si>
  <si>
    <t>Q284, 285 conjoint analysis (c)</t>
  </si>
  <si>
    <t>cf. related sheet "Policies" TODO</t>
  </si>
  <si>
    <t xml:space="preserve">Q270, 271 petition </t>
  </si>
  <si>
    <t>the Prime minister's office</t>
  </si>
  <si>
    <t>the President's office</t>
  </si>
  <si>
    <t>française</t>
  </si>
  <si>
    <t>deutsch</t>
  </si>
  <si>
    <t>espanol</t>
  </si>
  <si>
    <t>of the U.K.</t>
  </si>
  <si>
    <t>the U.S.</t>
  </si>
  <si>
    <t>No ONG specified</t>
  </si>
  <si>
    <t>GiveDirectly</t>
  </si>
  <si>
    <t>Deutschland</t>
  </si>
  <si>
    <t>Espana</t>
  </si>
  <si>
    <t>the U.K.</t>
  </si>
  <si>
    <t>$430 billion / 2% of GDP</t>
  </si>
  <si>
    <t>Q277, 279 wealthy tax</t>
  </si>
  <si>
    <t>hospitals, schools</t>
  </si>
  <si>
    <t>affordable housing, universal childcare/pre-K</t>
  </si>
  <si>
    <t>Q1 foreign aid: govt spending/GDP</t>
  </si>
  <si>
    <t>Q1 foreign aid: other items</t>
  </si>
  <si>
    <t xml:space="preserve"> defense, social security (retirement pensions), health (including Medicare and Medicaid), welfare benefits (including food stamps and EITC), education, roads, justice, other programs and federal agencies (including in energy, science...).</t>
  </si>
  <si>
    <t>Q1, 2 foreign aid: other items</t>
  </si>
  <si>
    <t>other programs and federal agencies</t>
  </si>
  <si>
    <t>other budgets like justice or culture / no parentheses TODO</t>
  </si>
  <si>
    <t>Q3, 47 foreign aid / govt spending</t>
  </si>
  <si>
    <t>0.4% / 2% of GDP</t>
  </si>
  <si>
    <t>1.7% / 0.7% of GDP</t>
  </si>
  <si>
    <t>Q50, 258, 259, 90, 275, 278, 272</t>
  </si>
  <si>
    <t>Q273, 1, 3, 1, 2, 47, 48, 49, 23.4</t>
  </si>
  <si>
    <t>2020 presidential</t>
  </si>
  <si>
    <t>2019 general</t>
  </si>
  <si>
    <t>Conservative/Labour/Liberal Democrats/SNP/Green/Brexit Party/Other/Prefer not to say</t>
  </si>
  <si>
    <t>¿A qué partido votó en las últimas elecciones generales de noviembre 2019?</t>
  </si>
  <si>
    <t>Welche Partei haben Sie bei der 2021 Bundestagswahl gewählt?</t>
  </si>
  <si>
    <t>CDU/CSU /SPD/AfD/FDP/Die Linke/ Bündnis 90/Die Grünen / Sonstige/Ich möchte das nicht beantworten</t>
  </si>
  <si>
    <t>PSOE/PP/VOX/Unidas Podemos/Esquerra Republicana/Ciudadanos/otro/Prefiero no decirlo</t>
  </si>
  <si>
    <t>Biden/Trump/Jorgensen/Hawkins/Prefer not to say</t>
  </si>
  <si>
    <t>Pour quel candidat⋅e avez-vous voté au premier tour de la dernière élection présidentielle en 2022?</t>
  </si>
  <si>
    <t xml:space="preserve"> Emmanuel Macron / Marine Le Pen / Jean-Luc Mélenchon / Éric Zemmour / Valérie Pécresse / Yannick Jadot / Jean Lassalle / Fabien Roussel / Nicolas Dupont-Aignan  / Anne Hidalgo / Philippe Poutou / Nathalie Arthaud / Préfère ne pas le dire</t>
  </si>
  <si>
    <t>Q23.4, 24.1, 24.2 election</t>
  </si>
  <si>
    <t>Q277, 279, 23.4, 273</t>
  </si>
  <si>
    <t>Land</t>
  </si>
  <si>
    <t>Provincia</t>
  </si>
  <si>
    <t>State</t>
  </si>
  <si>
    <t>Q274 group defended</t>
  </si>
  <si>
    <t>country, region or county</t>
  </si>
  <si>
    <t>région ou département</t>
  </si>
  <si>
    <t>Q259, 261, 90, 264, 265, 275, 276, 92, 49, 274</t>
  </si>
  <si>
    <t>€16 billion / 0.7% of GDP</t>
  </si>
  <si>
    <t>£20 billion / 0.9% of GDP</t>
  </si>
  <si>
    <t>€5 billion / 0.4% of GDP</t>
  </si>
  <si>
    <t>same source as above</t>
  </si>
  <si>
    <t>P98 monthly</t>
  </si>
  <si>
    <t>P98 yearly</t>
  </si>
  <si>
    <t>P95 monthly</t>
  </si>
  <si>
    <t>P95 yearly</t>
  </si>
  <si>
    <t>pre-tax national income 2021 LCU (2015 inflated) WID.world equal split https://wid.world/data/#countriestimeseries/tfiinc_p95p100_z/US;FR;DE;GB;WO;ES/1930/2021/cc/c/x/yearly/t</t>
  </si>
  <si>
    <t>Top 1% post-tax income share</t>
  </si>
  <si>
    <t>2021 equal-split https://wid.world/</t>
  </si>
  <si>
    <t>tax revenue over top 1% share</t>
  </si>
  <si>
    <t>Top 1% pre-tax threshold  (k LCU 2021)</t>
  </si>
  <si>
    <t>15k€ per month</t>
  </si>
  <si>
    <t>20k€ per month</t>
  </si>
  <si>
    <t>10k€ per month</t>
  </si>
  <si>
    <t>15k£ per month</t>
  </si>
  <si>
    <t>equal split https://wid.world/data/#countriestimeseries/tfiinc_p95p100_z/US;FR;DE;GB;WO;ES/1930/2021/cc/c/x/yearly/t</t>
  </si>
  <si>
    <t>Q258 Policies described y.c. list experiment / conjoint</t>
  </si>
  <si>
    <t xml:space="preserve">Q275, 276 donation lottery </t>
  </si>
  <si>
    <t>Q24.1, 24.2 candidates</t>
  </si>
  <si>
    <t xml:space="preserve">an das Bundeskanzleramt </t>
  </si>
  <si>
    <t>la oficina del Presidente</t>
  </si>
  <si>
    <t xml:space="preserve">cabinet du Président de la République </t>
  </si>
  <si>
    <t>1/36/129/283</t>
  </si>
  <si>
    <t>0/47/93/200</t>
  </si>
  <si>
    <t>Wealth wid.world equal-split 2021 kLCU</t>
  </si>
  <si>
    <t>3/44/115/267</t>
  </si>
  <si>
    <t>6/55/150/308</t>
  </si>
  <si>
    <t>0/36/136/491</t>
  </si>
  <si>
    <t>Q2.16 Wealth indiv</t>
  </si>
  <si>
    <t>Q50 Wealth couple</t>
  </si>
  <si>
    <t>5/50/150/300k</t>
  </si>
  <si>
    <t>10/100/300/600k</t>
  </si>
  <si>
    <t>0/50/100/200k</t>
  </si>
  <si>
    <t>0/100/200/400k</t>
  </si>
  <si>
    <t>6/90/230/530k</t>
  </si>
  <si>
    <t>3/45/115/270k</t>
  </si>
  <si>
    <t>0/4/60/190</t>
  </si>
  <si>
    <t>0/35/130/280k</t>
  </si>
  <si>
    <t>0/70/260/560k</t>
  </si>
  <si>
    <t>What platform do you prefer?</t>
  </si>
  <si>
    <t>Imagine if the two favorite candidates in your constituency in the next general election campaigned with the following policies in their party's platforms.&lt;br&gt;
&lt;br&gt;
Which of these candidates would you vote for?&lt;div&gt;</t>
  </si>
  <si>
    <t>Suppression de 150 000 fonctionnaires</t>
  </si>
  <si>
    <t>Recul de l'âge légal de départ à la retraite à 65 ans</t>
  </si>
  <si>
    <t>Bürgerversicherung als gerechtere Sozialversicherung</t>
  </si>
  <si>
    <t>Versement du RSA aux 18-25 ans sans emploi</t>
  </si>
  <si>
    <t>Staatsschuldenquote auf unter 60% reduzieren</t>
  </si>
  <si>
    <t>Élection des députés à la proportionnelle</t>
  </si>
  <si>
    <t>Volksentscheid auf Bundesebene</t>
  </si>
  <si>
    <t>Référendum d'Initiative Citoyenne (RIC)</t>
  </si>
  <si>
    <t>Interdiction des véhicules les plus polluants dans les centres-villes (ZFE)</t>
  </si>
  <si>
    <t>Interdiction de la vente de voitures thermiques neuves d'ici 2030</t>
  </si>
  <si>
    <t>100% de electricidad producida con energías renovables en 2040</t>
  </si>
  <si>
    <t>For the UK we don't use Eurostat because it has only 1.7 million zipcodes instead of 2.6, thus missing about half of population (mostly in Large urban). The definition of urban/rural is different from Eurostat and tends to classify zipcodes as more rural than Eurostat.</t>
  </si>
  <si>
    <t>IAT</t>
  </si>
  <si>
    <t>Fair</t>
  </si>
  <si>
    <t>Equitable</t>
  </si>
  <si>
    <t>Honest</t>
  </si>
  <si>
    <t>Just</t>
  </si>
  <si>
    <t>Positive</t>
  </si>
  <si>
    <t>Valid</t>
  </si>
  <si>
    <t>Unfair</t>
  </si>
  <si>
    <t>Unbalanced</t>
  </si>
  <si>
    <t>Costly</t>
  </si>
  <si>
    <t>Improper</t>
  </si>
  <si>
    <t>Negative</t>
  </si>
  <si>
    <t>Bad</t>
  </si>
  <si>
    <t>Global wealth tax</t>
  </si>
  <si>
    <t>Foreign aid</t>
  </si>
  <si>
    <t>Overseas Development Assistance</t>
  </si>
  <si>
    <t>Global climate program</t>
  </si>
  <si>
    <t>Global basic income</t>
  </si>
  <si>
    <t>Paris agreement</t>
  </si>
  <si>
    <t>Federal wealth tax</t>
  </si>
  <si>
    <t>Medicare / Medicaid</t>
  </si>
  <si>
    <t xml:space="preserve">Food stamps # now renamed Supplemental Nutrition Assistance Program                         </t>
  </si>
  <si>
    <t>National carbon fee and divdend</t>
  </si>
  <si>
    <t>Earned Income Tax Credit</t>
  </si>
  <si>
    <t>Clean Power Plan</t>
  </si>
  <si>
    <t>includes ODA from EU institutions</t>
  </si>
  <si>
    <t>1 Cities</t>
  </si>
  <si>
    <t>2 Towns and suburbs</t>
  </si>
  <si>
    <t>3 Rural areas</t>
  </si>
  <si>
    <t>Below upper secondary 25-64</t>
  </si>
  <si>
    <t>Upper secondary 25-64</t>
  </si>
  <si>
    <t>Above Upper secondary 25-64</t>
  </si>
  <si>
    <t>Below upper secondary 25-64 0-2</t>
  </si>
  <si>
    <t>Upper secondary 25-64 3</t>
  </si>
  <si>
    <t>Above Upper secondary 25-64 4-8</t>
  </si>
  <si>
    <t>Legalization of cannabis</t>
  </si>
  <si>
    <t>Abolición de la prostitución</t>
  </si>
  <si>
    <t>Jornada laboral de 34 horas semanales</t>
  </si>
  <si>
    <t>Real Living Wage of £11 per hour for all workers aged 16 and over</t>
  </si>
  <si>
    <t>Re-establish neighbourhood policing and recruit 2,000 more frontline officers</t>
  </si>
  <si>
    <t>Taxe mondiale sur les millionaires</t>
  </si>
  <si>
    <t>Assemblée démocratique mondiale sur le changement climatique</t>
  </si>
  <si>
    <t>Doubler l'aide au développement des pays à faibles revenus</t>
  </si>
  <si>
    <t>Can be both CDU and SPD</t>
  </si>
  <si>
    <t>Globale Steuer auf Millionäre</t>
  </si>
  <si>
    <t>Globale demokratische Versammlung zum Klimawandel</t>
  </si>
  <si>
    <t>Impuesto mundial a los millonarios</t>
  </si>
  <si>
    <t>Asamblea democrática mundial sobre el cambio climático</t>
  </si>
  <si>
    <t>Duplicar la ayuda exterior a los países de renta baja</t>
  </si>
  <si>
    <t>italic: costly</t>
  </si>
  <si>
    <t>Ingreso Básico Garantizado de 600€ al mes</t>
  </si>
  <si>
    <t>Reformar la ley electoral para hacer el Senado más proporcional</t>
  </si>
  <si>
    <t>Hausse de 20% du financement de l'hôpital public et de l'Éducation nationale</t>
  </si>
  <si>
    <t>Reduce the average full-time weekly working hours to 32</t>
  </si>
  <si>
    <t>SMIC à 1600€ net par mois</t>
  </si>
  <si>
    <t>Aumentar los impuestos sobre las rentas superiores a 100.000 euros anuales</t>
  </si>
  <si>
    <t>bold: revenue-generating</t>
  </si>
  <si>
    <t>Costly measures appear only if there is a revenue-generating one</t>
  </si>
  <si>
    <t>tax1</t>
  </si>
  <si>
    <t>econ1</t>
  </si>
  <si>
    <t>econ2</t>
  </si>
  <si>
    <t>econ3</t>
  </si>
  <si>
    <t>econ4</t>
  </si>
  <si>
    <t>soc1</t>
  </si>
  <si>
    <t>soc2</t>
  </si>
  <si>
    <t>climate1</t>
  </si>
  <si>
    <t>climate2</t>
  </si>
  <si>
    <t>climate3</t>
  </si>
  <si>
    <t>tax2</t>
  </si>
  <si>
    <t>foreign1</t>
  </si>
  <si>
    <t>foreign2</t>
  </si>
  <si>
    <t>foreign3</t>
  </si>
  <si>
    <t>foreign4</t>
  </si>
  <si>
    <t>econ_issues</t>
  </si>
  <si>
    <t>foreign_policy</t>
  </si>
  <si>
    <t>tax_system</t>
  </si>
  <si>
    <t>climate_pol</t>
  </si>
  <si>
    <t>society_issues</t>
  </si>
  <si>
    <t>Societal issues</t>
  </si>
  <si>
    <t>Climate policy</t>
  </si>
  <si>
    <t>Tax system</t>
  </si>
  <si>
    <t>Foreign policy</t>
  </si>
  <si>
    <t>Économie</t>
  </si>
  <si>
    <t>Démocratie</t>
  </si>
  <si>
    <t>Climat</t>
  </si>
  <si>
    <t>Fiscalité</t>
  </si>
  <si>
    <t>Politique étrangère</t>
  </si>
  <si>
    <t>Gesellschaft</t>
  </si>
  <si>
    <t>Klimaschutz</t>
  </si>
  <si>
    <t>Steuerpolitik</t>
  </si>
  <si>
    <t>Política climática</t>
  </si>
  <si>
    <t>Política exterior</t>
  </si>
  <si>
    <t>Außenpolitik</t>
  </si>
  <si>
    <t>Progressive: Climate policy2</t>
  </si>
  <si>
    <t>Progressive: Tax system2</t>
  </si>
  <si>
    <t>€24 =&gt; 25/month</t>
  </si>
  <si>
    <t>28€ / 2$ par jour</t>
  </si>
  <si>
    <t>€28 / €2 pro Tag</t>
  </si>
  <si>
    <t>28€ / 2$ al dia</t>
  </si>
  <si>
    <t>£25 / $2/day</t>
  </si>
  <si>
    <t>Q258 R loss</t>
  </si>
  <si>
    <t>Prohibir la venta de coches nuevos con motor de combustión para 2030</t>
  </si>
  <si>
    <t>Investitionen für Gigabit-Netzwerke bereitstellen</t>
  </si>
  <si>
    <t>Instauration de quotas d'immigration</t>
  </si>
  <si>
    <t>0.8% / 0.4% of GDP</t>
  </si>
  <si>
    <t>1.3% / 0.6% of GDP</t>
  </si>
  <si>
    <t>0.5% / 0.2% of GDP</t>
  </si>
  <si>
    <t>Plan zur Wärmedämmung</t>
  </si>
  <si>
    <t>€44 billion / 1.3% of GDP</t>
  </si>
  <si>
    <t>Erhöhung des Regelsatzes des Bürgergelds auf bis zu 600€ pro Monat</t>
  </si>
  <si>
    <t>Pilot link</t>
  </si>
  <si>
    <t>Final link</t>
  </si>
  <si>
    <t>Quotas board</t>
  </si>
  <si>
    <t>US2</t>
  </si>
  <si>
    <t>https://uvafeb.eu.qualtrics.com/jfe/form/SV_6YwWvAlKFeH0AXI?Q_Language=FR</t>
  </si>
  <si>
    <t>https://uvafeb.eu.qualtrics.com/jfe/form/SV_6YwWvAlKFeH0AXI?Q_Language=DE</t>
  </si>
  <si>
    <t>https://uvafeb.eu.qualtrics.com/jfe/form/SV_6YwWvAlKFeH0AXI?Q_Language=ES-ES</t>
  </si>
  <si>
    <t>https://uvafeb.eu.qualtrics.com/jfe/form/SV_6YwWvAlKFeH0AXI?Q_Language=EN-GB</t>
  </si>
  <si>
    <t>https://uvafeb.eu.qualtrics.com/jfe/form/SV_6Lr0J9IcSfZXiT4</t>
  </si>
  <si>
    <t>https://uvafeb.eu.qualtrics.com/jfe/form/SV_0qDQXkpqdnaXYl8</t>
  </si>
  <si>
    <t>https://uvafeb.eu.qualtrics.com/jfe/form/SV_cZmqbTXQxczwOLs?Q_Language=FR</t>
  </si>
  <si>
    <t>https://uvafeb.eu.qualtrics.com/jfe/form/SV_cZmqbTXQxczwOLs?Q_Language=DE</t>
  </si>
  <si>
    <t>https://uvafeb.eu.qualtrics.com/jfe/form/SV_cZmqbTXQxczwOLs?Q_Language=ES-ES</t>
  </si>
  <si>
    <t>https://uvafeb.eu.qualtrics.com/jfe/form/SV_cZmqbTXQxczwOLs?Q_Language=EN-GB</t>
  </si>
  <si>
    <t>https://uvafeb.eu.qualtrics.com/jfe/form/SV_b1VnxweOs0HQEey</t>
  </si>
  <si>
    <t>https://uvafeb.eu.qualtrics.com/jfe/form/SV_3UhqnMLBo6Nl5ZQ</t>
  </si>
  <si>
    <t>Test link</t>
  </si>
  <si>
    <t>https://uvafeb.eu.qualtrics.com/jfe/form/SV_08Uw76JwzKfiUJg?Q_Language=FR</t>
  </si>
  <si>
    <t>https://uvafeb.eu.qualtrics.com/jfe/form/SV_08Uw76JwzKfiUJg?Q_Language=DE</t>
  </si>
  <si>
    <t>https://uvafeb.eu.qualtrics.com/jfe/form/SV_08Uw76JwzKfiUJg?Q_Language=ES-ES</t>
  </si>
  <si>
    <t>https://uvafeb.eu.qualtrics.com/jfe/form/SV_08Uw76JwzKfiUJg?Q_Language=EN-GB</t>
  </si>
  <si>
    <t>https://uvafeb.eu.qualtrics.com/jfe/form/SV_5bYFuWL1enXMRRY</t>
  </si>
  <si>
    <t>https://uvafeb.eu.qualtrics.com/jfe/form/SV_2tSGbYYQIi15sxw</t>
  </si>
  <si>
    <t>Klimaneutrale Industrie fördern</t>
  </si>
  <si>
    <t>Wirtschaftspolitik</t>
  </si>
  <si>
    <t>Tougher sentencing for the worst offenders and 10,000 more prison places</t>
  </si>
  <si>
    <t>Ban of most polluting vehicles in city centers (low-emission zones)</t>
  </si>
  <si>
    <t>Bachelor oder Fachhochschulabschluss</t>
  </si>
  <si>
    <t>Zweitausbildung</t>
  </si>
  <si>
    <t>Globales Klimaprogramm</t>
  </si>
  <si>
    <t>Nationales Umverteilungsprogramm</t>
  </si>
  <si>
    <t>EU</t>
  </si>
  <si>
    <t>US1</t>
  </si>
  <si>
    <t>Other</t>
  </si>
  <si>
    <t>Some college, no degree</t>
  </si>
  <si>
    <t>Regular high school diploma/GED or alternative credential</t>
  </si>
  <si>
    <t>3.1</t>
  </si>
  <si>
    <t>3.2</t>
  </si>
  <si>
    <t>3.3</t>
  </si>
  <si>
    <t>https://uvafeb.fra1.qualtrics.com/public-quotas?SID=SV_5bYFuWL1enXMRRY</t>
  </si>
  <si>
    <t>https://uvafeb.fra1.qualtrics.com/public-quotas?SID=SV_2tSGbYYQIi15sxw</t>
  </si>
  <si>
    <t>https://uvafeb.fra1.qualtrics.com/public-quotas?SID=SV_08Uw76JwzKfiUJg</t>
  </si>
  <si>
    <t>Asuntos económicos</t>
  </si>
  <si>
    <t>Condonación de préstamos para estudiantes</t>
  </si>
  <si>
    <t>Salario mínimo de 15 dólares</t>
  </si>
  <si>
    <t>Atención infantil/preescolar universal</t>
  </si>
  <si>
    <t>Financiación de viviendas asequibles</t>
  </si>
  <si>
    <t>Asuntos sociales</t>
  </si>
  <si>
    <t>Ampliación del Tribunal Supremo</t>
  </si>
  <si>
    <t>Prohibición de las armas de fuego</t>
  </si>
  <si>
    <t>Establecer el aborto como un derecho a nivel federal</t>
  </si>
  <si>
    <t>Salida del carbón</t>
  </si>
  <si>
    <t>Inversión de un billón de dólares en infraestructuras de transporte limpias y aislamiento de edificios</t>
  </si>
  <si>
    <t>Prohibición de la venta de vehículos nuevos con motor de combustión para el año 2030</t>
  </si>
  <si>
    <t>Sistema fiscal</t>
  </si>
  <si>
    <t>Impuesto sobre el patrimonio</t>
  </si>
  <si>
    <t>Aumento del tipo del impuesto de sociedades del 21% al 28%.</t>
  </si>
  <si>
    <t>Impuesto global a los millonarios</t>
  </si>
  <si>
    <t>Asamblea democrática global sobre el cambio climático</t>
  </si>
  <si>
    <t>Duplicar la ayuda exterior</t>
  </si>
  <si>
    <t>Justo</t>
  </si>
  <si>
    <t>Equitativo</t>
  </si>
  <si>
    <t>Honesto</t>
  </si>
  <si>
    <t>Positivo</t>
  </si>
  <si>
    <t>Válido</t>
  </si>
  <si>
    <t>Injusto</t>
  </si>
  <si>
    <t>Desequilibrado</t>
  </si>
  <si>
    <t>Costoso</t>
  </si>
  <si>
    <t>Inadecuado</t>
  </si>
  <si>
    <t>Negativo</t>
  </si>
  <si>
    <t>Malo</t>
  </si>
  <si>
    <t>Impuesto global sobre el patrimonio</t>
  </si>
  <si>
    <t>Ayuda exterior</t>
  </si>
  <si>
    <t>Ayuda exterior al desarrollo</t>
  </si>
  <si>
    <t>Ingreso básico global</t>
  </si>
  <si>
    <t>Acuerdo de París</t>
  </si>
  <si>
    <t>Impuesto federal sobre el patrimonio</t>
  </si>
  <si>
    <t>Cupones de alimentos # ahora rebautizado Programa de Asistencia Nutricional Suplementaria</t>
  </si>
  <si>
    <t>Tasa y dividendos nacionales sobre el carbono</t>
  </si>
  <si>
    <t>Plan de energía limpia</t>
  </si>
  <si>
    <t>Food stamps # now renamed Supplemental Nutrition Assistance Program</t>
  </si>
  <si>
    <t>Plan Climático Global</t>
  </si>
  <si>
    <t>Plan de redistribución nacional</t>
  </si>
  <si>
    <t>Trillion dollar investment in childcare, healthcare, education and housing</t>
  </si>
  <si>
    <t xml:space="preserve">Windfall tax on oil companies / </t>
  </si>
  <si>
    <t>Increase taxes on capital income (rents and dividends)</t>
  </si>
  <si>
    <t>Thermal insulation plan</t>
  </si>
  <si>
    <t>Einen Fonds für gerechte Klimainvestitionen einsetzen</t>
  </si>
  <si>
    <t xml:space="preserve">Solaranlagen auf allen geeigneten Dächern / </t>
  </si>
  <si>
    <t>Mehr finanzielle Unterstützung für berufstätige Eltern</t>
  </si>
  <si>
    <t>. / einkommensschwache Haushalte entlasten/stärker unterstützen</t>
  </si>
  <si>
    <t>Plan de aislamiento térmico</t>
  </si>
  <si>
    <t>Plan climático global</t>
  </si>
  <si>
    <t>Good</t>
  </si>
  <si>
    <t>Appropriate</t>
  </si>
  <si>
    <t>Unsound</t>
  </si>
  <si>
    <t>Inappropriate</t>
  </si>
  <si>
    <t>Harmful</t>
  </si>
  <si>
    <t>Useful</t>
  </si>
  <si>
    <t>National carbon fee and dividend</t>
  </si>
  <si>
    <t>average carbon footprint</t>
  </si>
  <si>
    <t>income</t>
  </si>
  <si>
    <t>Q4</t>
  </si>
  <si>
    <t>Economic issues</t>
  </si>
  <si>
    <t>Verpflichtende Solaranlagen auf allen geeigneten Dächern</t>
  </si>
  <si>
    <t>Verdoppelung der Mittel für die Entwicklungshilfe in einkommensschwachen Ländern</t>
  </si>
  <si>
    <t>Verbot des Verkaufs von Neuwagen mit Verbrennungsmotor bis 2030</t>
  </si>
  <si>
    <t>Cannabis-Legalisierung</t>
  </si>
  <si>
    <t>12 =&gt; 10€/month</t>
  </si>
  <si>
    <t>£19 =&gt; £20/month</t>
  </si>
  <si>
    <t>Formula: ((e/E)*(f/a)*A/F)*R/a (this is an approximation, for the full computation, see code_global/map_GCS_incidence.R)</t>
  </si>
  <si>
    <t>Mt CO2 emissions</t>
  </si>
  <si>
    <t>Price (€/tCO2)</t>
  </si>
  <si>
    <t>2019 road transport + household fuel emissions share of EU's</t>
  </si>
  <si>
    <t>EU27 &gt;14 population from World Bank (2023) https://databank.worldbank.org/source/population-estimates-and-projections</t>
  </si>
  <si>
    <t>Pop &gt;14 2015</t>
  </si>
  <si>
    <t>Pop &gt;14 2030</t>
  </si>
  <si>
    <t>ETS2 revenues per adult &gt;14 (in €/month, at €45/tCO2 for 800MtCO2)</t>
  </si>
  <si>
    <t>Eurostat's env_air_gge, summing CO2 emissions from fuel combustion in road transport, commercial and institutional sector, and by households</t>
  </si>
  <si>
    <t>EU's objective is 2,2Gt in 2030 (https://climateactiontracker.org/countries/eu/targets/), of which 40-45% should be in ETS2 (hence 900Mt-1Gt).</t>
  </si>
  <si>
    <t>Q123 revenues pc ETS2 (EU: €105 per year)</t>
  </si>
  <si>
    <t>sources</t>
  </si>
  <si>
    <t>education</t>
  </si>
  <si>
    <t>https://stats.oecd.org/Index.aspx?datasetcode=EAG_NEAC</t>
  </si>
  <si>
    <t>https://stats.oecd.org/index.aspx?queryid=35562#</t>
  </si>
  <si>
    <t>Inactivity</t>
  </si>
  <si>
    <t>inactivity 15-64 2022Q3</t>
  </si>
  <si>
    <t>Unemployment</t>
  </si>
  <si>
    <t>unemployment 15-64 2022-12</t>
  </si>
  <si>
    <t>Left</t>
  </si>
  <si>
    <t>Center-right or Right</t>
  </si>
  <si>
    <t>Far right</t>
  </si>
  <si>
    <t>Abstention</t>
  </si>
  <si>
    <t>Die Vermögenssteuer wieder in Kraft setzen</t>
  </si>
  <si>
    <t>Q278, 279 wealth tax revenues (2% tax above $/£/€5M), Kapeller et al. (21) for EU (double checked with Chancel et al. (2022) https://wid.world/world-wealth-tax-simulator/, giving almost identical results); Advani et al. (2020) http://taxsimulator.ukwealth.tax/#/appendix in the UK; Saez &amp; Zucman (2019) https://taxjusticenow.org/ in the U.S.</t>
  </si>
  <si>
    <t>Democratic primary (not asked to Republican)</t>
  </si>
  <si>
    <t>gauche ou centre gauche wins</t>
  </si>
  <si>
    <t>rot-rot-grüne wins</t>
  </si>
  <si>
    <t>PSOE wins</t>
  </si>
  <si>
    <t>Labour wins</t>
  </si>
  <si>
    <t>Q30, Q48 conjoint analyses d, r (cf. sheet "Policies")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</si>
</sst>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6" formatCode="#,##0\ &quot;€&quot;;[Red]\-#,##0\ &quot;€&quot;"/>
    <numFmt numFmtId="164" formatCode="0.0%"/>
    <numFmt numFmtId="165" formatCode="0.000"/>
    <numFmt numFmtId="166" formatCode="[$€-2]\ #,##0;[Red]\-[$€-2]\ #,##0"/>
    <numFmt numFmtId="167" formatCode="0.0"/>
  </numFmts>
  <fonts count="17" x14ac:knownFonts="1">
    <font>
      <sz val="11"/>
      <color theme="1"/>
      <name val="Calibri"/>
      <family val="2"/>
      <scheme val="minor"/>
    </font>
    <font>
      <sz val="11"/>
      <color theme="1"/>
      <name val="Calibri"/>
      <family val="2"/>
      <scheme val="minor"/>
    </font>
    <font>
      <b/>
      <sz val="11"/>
      <color theme="1"/>
      <name val="Calibri"/>
      <family val="2"/>
      <scheme val="minor"/>
    </font>
    <font>
      <sz val="11"/>
      <name val="Calibri"/>
      <family val="2"/>
      <scheme val="minor"/>
    </font>
    <font>
      <b/>
      <i/>
      <sz val="11"/>
      <color theme="1"/>
      <name val="Calibri"/>
      <family val="2"/>
      <scheme val="minor"/>
    </font>
    <font>
      <i/>
      <sz val="11"/>
      <color theme="1"/>
      <name val="Calibri"/>
      <family val="2"/>
      <scheme val="minor"/>
    </font>
    <font>
      <b/>
      <sz val="11"/>
      <color rgb="FFC00000"/>
      <name val="Calibri"/>
      <family val="2"/>
      <scheme val="minor"/>
    </font>
    <font>
      <sz val="11"/>
      <color rgb="FFC00000"/>
      <name val="Calibri"/>
      <family val="2"/>
      <scheme val="minor"/>
    </font>
    <font>
      <sz val="10"/>
      <color rgb="FF000000"/>
      <name val="Arial"/>
      <family val="2"/>
      <charset val="1"/>
    </font>
    <font>
      <sz val="10"/>
      <color rgb="FF000000"/>
      <name val="Arial"/>
      <family val="2"/>
    </font>
    <font>
      <sz val="10"/>
      <color theme="1"/>
      <name val="Arial"/>
      <family val="2"/>
    </font>
    <font>
      <sz val="11"/>
      <color rgb="FF000000"/>
      <name val="Arial"/>
      <family val="2"/>
    </font>
    <font>
      <sz val="11"/>
      <color rgb="FFFF0000"/>
      <name val="Calibri"/>
      <family val="2"/>
      <scheme val="minor"/>
    </font>
    <font>
      <sz val="11"/>
      <color rgb="FF7030A0"/>
      <name val="Calibri"/>
      <family val="2"/>
      <scheme val="minor"/>
    </font>
    <font>
      <b/>
      <sz val="11"/>
      <name val="Calibri"/>
      <family val="2"/>
      <scheme val="minor"/>
    </font>
    <font>
      <i/>
      <sz val="11"/>
      <name val="Calibri"/>
      <family val="2"/>
      <scheme val="minor"/>
    </font>
    <font>
      <sz val="11"/>
      <color theme="0" tint="-0.249977111117893"/>
      <name val="Calibri"/>
      <family val="2"/>
      <scheme val="minor"/>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2">
    <xf numFmtId="0" fontId="0" fillId="0" borderId="0"/>
    <xf numFmtId="9" fontId="1" fillId="0" borderId="0" applyFont="0" applyFill="0" applyBorder="0" applyAlignment="0" applyProtection="0"/>
  </cellStyleXfs>
  <cellXfs count="93">
    <xf numFmtId="0" fontId="0" fillId="0" borderId="0" xfId="0"/>
    <xf numFmtId="2" fontId="0" fillId="0" borderId="0" xfId="0" applyNumberFormat="1"/>
    <xf numFmtId="1" fontId="0" fillId="0" borderId="0" xfId="0" applyNumberFormat="1"/>
    <xf numFmtId="10" fontId="0" fillId="0" borderId="0" xfId="1" applyNumberFormat="1" applyFont="1"/>
    <xf numFmtId="1" fontId="3" fillId="0" borderId="0" xfId="0" applyNumberFormat="1" applyFont="1"/>
    <xf numFmtId="9" fontId="0" fillId="0" borderId="0" xfId="1" applyFont="1"/>
    <xf numFmtId="11" fontId="0" fillId="0" borderId="0" xfId="0" applyNumberFormat="1"/>
    <xf numFmtId="0" fontId="2" fillId="0" borderId="0" xfId="0" applyFont="1"/>
    <xf numFmtId="0" fontId="3" fillId="0" borderId="0" xfId="0" applyFont="1"/>
    <xf numFmtId="10" fontId="3" fillId="0" borderId="0" xfId="1" applyNumberFormat="1" applyFont="1"/>
    <xf numFmtId="2" fontId="3" fillId="0" borderId="0" xfId="0" applyNumberFormat="1" applyFont="1"/>
    <xf numFmtId="10" fontId="0" fillId="0" borderId="0" xfId="0" applyNumberFormat="1"/>
    <xf numFmtId="10" fontId="2" fillId="0" borderId="0" xfId="1" applyNumberFormat="1" applyFont="1"/>
    <xf numFmtId="9" fontId="0" fillId="0" borderId="0" xfId="0" applyNumberFormat="1"/>
    <xf numFmtId="0" fontId="2" fillId="0" borderId="0" xfId="0" applyFont="1" applyAlignment="1">
      <alignment wrapText="1"/>
    </xf>
    <xf numFmtId="10" fontId="2" fillId="0" borderId="0" xfId="1" applyNumberFormat="1" applyFont="1" applyAlignment="1">
      <alignment wrapText="1"/>
    </xf>
    <xf numFmtId="0" fontId="4" fillId="0" borderId="0" xfId="0" applyFont="1" applyAlignment="1">
      <alignment wrapText="1"/>
    </xf>
    <xf numFmtId="10" fontId="4" fillId="0" borderId="0" xfId="1" applyNumberFormat="1" applyFont="1" applyAlignment="1">
      <alignment wrapText="1"/>
    </xf>
    <xf numFmtId="0" fontId="5" fillId="0" borderId="0" xfId="0" applyFont="1"/>
    <xf numFmtId="0" fontId="0" fillId="0" borderId="0" xfId="0" applyFont="1"/>
    <xf numFmtId="1" fontId="2" fillId="0" borderId="0" xfId="0" applyNumberFormat="1" applyFont="1"/>
    <xf numFmtId="1" fontId="0" fillId="0" borderId="0" xfId="0" applyNumberFormat="1" applyFont="1"/>
    <xf numFmtId="0" fontId="0" fillId="0" borderId="0" xfId="0" applyAlignment="1">
      <alignment wrapText="1"/>
    </xf>
    <xf numFmtId="0" fontId="2" fillId="0" borderId="1" xfId="0" applyFont="1" applyBorder="1" applyAlignment="1">
      <alignment horizontal="center" vertical="top"/>
    </xf>
    <xf numFmtId="0" fontId="2" fillId="0" borderId="2" xfId="0" applyFont="1" applyBorder="1" applyAlignment="1">
      <alignment horizontal="center" vertical="top"/>
    </xf>
    <xf numFmtId="0" fontId="2" fillId="0" borderId="2" xfId="0" applyFont="1" applyFill="1" applyBorder="1" applyAlignment="1">
      <alignment horizontal="center" vertical="top"/>
    </xf>
    <xf numFmtId="164" fontId="2" fillId="0" borderId="0" xfId="0" applyNumberFormat="1" applyFont="1" applyBorder="1" applyAlignment="1">
      <alignment horizontal="center" vertical="top"/>
    </xf>
    <xf numFmtId="164" fontId="2" fillId="0" borderId="0" xfId="1" applyNumberFormat="1" applyFont="1" applyBorder="1" applyAlignment="1">
      <alignment horizontal="center" vertical="top"/>
    </xf>
    <xf numFmtId="164" fontId="2" fillId="0" borderId="0" xfId="1" applyNumberFormat="1" applyFont="1"/>
    <xf numFmtId="0" fontId="0" fillId="0" borderId="1" xfId="0" applyFont="1" applyBorder="1" applyAlignment="1">
      <alignment horizontal="center" vertical="top"/>
    </xf>
    <xf numFmtId="164" fontId="0" fillId="0" borderId="0" xfId="0" applyNumberFormat="1" applyFont="1" applyBorder="1" applyAlignment="1">
      <alignment horizontal="center" vertical="top"/>
    </xf>
    <xf numFmtId="164" fontId="1" fillId="0" borderId="0" xfId="1" applyNumberFormat="1" applyFont="1" applyBorder="1" applyAlignment="1">
      <alignment horizontal="center" vertical="top"/>
    </xf>
    <xf numFmtId="164" fontId="0" fillId="0" borderId="0" xfId="1" applyNumberFormat="1" applyFont="1"/>
    <xf numFmtId="3" fontId="0" fillId="0" borderId="0" xfId="0" applyNumberFormat="1"/>
    <xf numFmtId="0" fontId="0" fillId="0" borderId="2" xfId="0" applyFont="1" applyFill="1" applyBorder="1" applyAlignment="1">
      <alignment horizontal="center" vertical="top"/>
    </xf>
    <xf numFmtId="164" fontId="1" fillId="0" borderId="0" xfId="1" applyNumberFormat="1" applyFont="1" applyFill="1" applyBorder="1" applyAlignment="1">
      <alignment horizontal="center" vertical="top"/>
    </xf>
    <xf numFmtId="0" fontId="0" fillId="0" borderId="0" xfId="0" applyNumberFormat="1"/>
    <xf numFmtId="0" fontId="2" fillId="0" borderId="0" xfId="0" applyFont="1" applyFill="1" applyBorder="1" applyAlignment="1">
      <alignment horizontal="center" vertical="top"/>
    </xf>
    <xf numFmtId="164" fontId="2" fillId="0" borderId="0" xfId="0" applyNumberFormat="1" applyFont="1"/>
    <xf numFmtId="9" fontId="0" fillId="0" borderId="0" xfId="0" applyNumberFormat="1" applyFont="1"/>
    <xf numFmtId="0" fontId="0" fillId="0" borderId="0" xfId="0" applyNumberFormat="1" applyFont="1" applyBorder="1" applyAlignment="1">
      <alignment horizontal="center" vertical="top"/>
    </xf>
    <xf numFmtId="0" fontId="0" fillId="0" borderId="0" xfId="1" applyNumberFormat="1" applyFont="1"/>
    <xf numFmtId="0" fontId="2" fillId="0" borderId="0" xfId="0" applyFont="1" applyBorder="1" applyAlignment="1">
      <alignment horizontal="center" vertical="top"/>
    </xf>
    <xf numFmtId="0" fontId="2" fillId="0" borderId="0" xfId="0" applyNumberFormat="1" applyFont="1" applyBorder="1" applyAlignment="1">
      <alignment horizontal="center" vertical="top"/>
    </xf>
    <xf numFmtId="0" fontId="0" fillId="0" borderId="0" xfId="0" applyNumberFormat="1" applyFont="1"/>
    <xf numFmtId="0" fontId="2" fillId="0" borderId="0" xfId="0" applyNumberFormat="1" applyFont="1"/>
    <xf numFmtId="0" fontId="6" fillId="0" borderId="1" xfId="0" applyFont="1" applyBorder="1" applyAlignment="1">
      <alignment horizontal="center" vertical="top"/>
    </xf>
    <xf numFmtId="164" fontId="6" fillId="0" borderId="0" xfId="1" applyNumberFormat="1" applyFont="1" applyBorder="1" applyAlignment="1">
      <alignment horizontal="center" vertical="top"/>
    </xf>
    <xf numFmtId="0" fontId="6" fillId="0" borderId="0" xfId="1" applyNumberFormat="1" applyFont="1" applyBorder="1" applyAlignment="1">
      <alignment horizontal="center" vertical="top"/>
    </xf>
    <xf numFmtId="10" fontId="6" fillId="0" borderId="0" xfId="1" applyNumberFormat="1" applyFont="1" applyBorder="1" applyAlignment="1">
      <alignment horizontal="center" vertical="top"/>
    </xf>
    <xf numFmtId="10" fontId="7" fillId="0" borderId="0" xfId="0" applyNumberFormat="1" applyFont="1"/>
    <xf numFmtId="0" fontId="6" fillId="0" borderId="0" xfId="0" applyNumberFormat="1" applyFont="1" applyBorder="1" applyAlignment="1">
      <alignment horizontal="center" vertical="top"/>
    </xf>
    <xf numFmtId="164" fontId="6" fillId="0" borderId="0" xfId="0" applyNumberFormat="1" applyFont="1" applyFill="1" applyBorder="1" applyAlignment="1">
      <alignment horizontal="center" vertical="top"/>
    </xf>
    <xf numFmtId="0" fontId="7" fillId="0" borderId="0" xfId="0" applyFont="1"/>
    <xf numFmtId="164" fontId="6" fillId="0" borderId="0" xfId="0" applyNumberFormat="1" applyFont="1" applyBorder="1" applyAlignment="1">
      <alignment horizontal="center" vertical="top"/>
    </xf>
    <xf numFmtId="164" fontId="7" fillId="0" borderId="0" xfId="0" applyNumberFormat="1" applyFont="1" applyBorder="1" applyAlignment="1">
      <alignment horizontal="center" vertical="top"/>
    </xf>
    <xf numFmtId="0" fontId="7" fillId="0" borderId="0" xfId="0" applyNumberFormat="1" applyFont="1" applyBorder="1" applyAlignment="1">
      <alignment horizontal="center" vertical="top"/>
    </xf>
    <xf numFmtId="11" fontId="7" fillId="0" borderId="0" xfId="0" applyNumberFormat="1" applyFont="1"/>
    <xf numFmtId="1" fontId="8" fillId="0" borderId="0" xfId="0" applyNumberFormat="1" applyFont="1" applyBorder="1" applyAlignment="1">
      <alignment horizontal="right" wrapText="1"/>
    </xf>
    <xf numFmtId="1" fontId="9" fillId="0" borderId="0" xfId="0" applyNumberFormat="1" applyFont="1" applyBorder="1" applyAlignment="1">
      <alignment horizontal="right" wrapText="1"/>
    </xf>
    <xf numFmtId="0" fontId="10" fillId="0" borderId="0" xfId="0" applyFont="1"/>
    <xf numFmtId="165" fontId="0" fillId="0" borderId="0" xfId="0" applyNumberFormat="1"/>
    <xf numFmtId="9" fontId="3" fillId="0" borderId="0" xfId="1" applyFont="1"/>
    <xf numFmtId="9" fontId="2" fillId="0" borderId="0" xfId="1" applyNumberFormat="1" applyFont="1"/>
    <xf numFmtId="9" fontId="2" fillId="0" borderId="0" xfId="1" applyFont="1"/>
    <xf numFmtId="49" fontId="0" fillId="0" borderId="0" xfId="0" applyNumberFormat="1"/>
    <xf numFmtId="0" fontId="0" fillId="0" borderId="0" xfId="0" applyAlignment="1">
      <alignment horizontal="center"/>
    </xf>
    <xf numFmtId="6" fontId="0" fillId="0" borderId="0" xfId="0" applyNumberFormat="1"/>
    <xf numFmtId="166" fontId="0" fillId="0" borderId="0" xfId="0" applyNumberFormat="1"/>
    <xf numFmtId="0" fontId="0" fillId="0" borderId="0" xfId="0" applyAlignment="1">
      <alignment vertical="top" wrapText="1"/>
    </xf>
    <xf numFmtId="0" fontId="11" fillId="0" borderId="0" xfId="0" applyFont="1"/>
    <xf numFmtId="0" fontId="12" fillId="0" borderId="0" xfId="0" applyFont="1"/>
    <xf numFmtId="0" fontId="13" fillId="0" borderId="0" xfId="0" applyFont="1"/>
    <xf numFmtId="0" fontId="14" fillId="0" borderId="0" xfId="0" applyFont="1"/>
    <xf numFmtId="0" fontId="3" fillId="0" borderId="0" xfId="0" applyFont="1" applyAlignment="1">
      <alignment wrapText="1"/>
    </xf>
    <xf numFmtId="0" fontId="15" fillId="0" borderId="0" xfId="0" applyFont="1"/>
    <xf numFmtId="9" fontId="3" fillId="0" borderId="0" xfId="0" applyNumberFormat="1" applyFont="1"/>
    <xf numFmtId="0" fontId="16" fillId="0" borderId="0" xfId="0" applyFont="1"/>
    <xf numFmtId="167" fontId="3" fillId="0" borderId="0" xfId="0" applyNumberFormat="1" applyFont="1"/>
    <xf numFmtId="0" fontId="0" fillId="0" borderId="0" xfId="0" applyAlignment="1"/>
    <xf numFmtId="0" fontId="0" fillId="0" borderId="0" xfId="0" applyAlignment="1">
      <alignment horizontal="center"/>
    </xf>
    <xf numFmtId="0" fontId="0" fillId="0" borderId="0" xfId="0"/>
    <xf numFmtId="0" fontId="0" fillId="0" borderId="0" xfId="0"/>
    <xf numFmtId="1" fontId="0" fillId="0" borderId="0" xfId="1" applyNumberFormat="1" applyFont="1"/>
    <xf numFmtId="0" fontId="0" fillId="0" borderId="0" xfId="0"/>
    <xf numFmtId="1" fontId="8" fillId="0" borderId="0" xfId="0" applyNumberFormat="1" applyFont="1" applyFill="1" applyBorder="1" applyAlignment="1">
      <alignment horizontal="right" wrapText="1"/>
    </xf>
    <xf numFmtId="1" fontId="9" fillId="0" borderId="0" xfId="0" applyNumberFormat="1" applyFont="1" applyFill="1" applyBorder="1" applyAlignment="1">
      <alignment horizontal="right" wrapText="1"/>
    </xf>
    <xf numFmtId="0" fontId="0" fillId="0" borderId="0" xfId="0"/>
    <xf numFmtId="1" fontId="9" fillId="0" borderId="0" xfId="0" applyNumberFormat="1" applyFont="1" applyFill="1" applyBorder="1" applyAlignment="1">
      <alignment vertical="center"/>
    </xf>
    <xf numFmtId="0" fontId="0" fillId="0" borderId="0" xfId="0" applyAlignment="1">
      <alignment horizontal="center"/>
    </xf>
    <xf numFmtId="0" fontId="0" fillId="0" borderId="0" xfId="0"/>
    <xf numFmtId="0" fontId="0" fillId="0" borderId="0" xfId="0" applyAlignment="1">
      <alignment horizontal="center"/>
    </xf>
    <xf numFmtId="0" fontId="0" fillId="0" borderId="0" xfId="0"/>
  </cellXfs>
  <cellStyles count="2">
    <cellStyle name="Normal" xfId="0" builtinId="0"/>
    <cellStyle name="Pourcentag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86"/>
  <sheetViews>
    <sheetView workbookViewId="0">
      <pane ySplit="1" topLeftCell="A2" activePane="bottomLeft" state="frozen"/>
      <selection pane="bottomLeft" activeCell="G15" sqref="G15"/>
    </sheetView>
  </sheetViews>
  <sheetFormatPr baseColWidth="10" defaultRowHeight="15" x14ac:dyDescent="0.25"/>
  <cols>
    <col min="1" max="1" width="60.140625" style="22" customWidth="1"/>
  </cols>
  <sheetData>
    <row r="1" spans="1:16" x14ac:dyDescent="0.25">
      <c r="A1" s="14" t="s">
        <v>6</v>
      </c>
      <c r="B1" s="7" t="s">
        <v>0</v>
      </c>
      <c r="C1" s="7" t="s">
        <v>1</v>
      </c>
      <c r="D1" s="7" t="s">
        <v>2</v>
      </c>
      <c r="E1" s="19" t="s">
        <v>4</v>
      </c>
      <c r="F1" s="7" t="s">
        <v>3</v>
      </c>
      <c r="G1" s="7" t="s">
        <v>5</v>
      </c>
      <c r="H1" t="s">
        <v>63</v>
      </c>
      <c r="I1" t="s">
        <v>62</v>
      </c>
      <c r="J1" s="81"/>
      <c r="K1" t="s">
        <v>32</v>
      </c>
      <c r="M1" s="7" t="s">
        <v>8</v>
      </c>
    </row>
    <row r="2" spans="1:16" x14ac:dyDescent="0.25">
      <c r="A2" s="14" t="s">
        <v>39</v>
      </c>
      <c r="B2" s="12">
        <f>B4/B3</f>
        <v>7.9422382671480145E-3</v>
      </c>
      <c r="C2" s="12">
        <f t="shared" ref="C2:G2" si="0">C4/C3</f>
        <v>1.3333333333333332E-2</v>
      </c>
      <c r="D2" s="12">
        <f t="shared" si="0"/>
        <v>4.9881235154394295E-3</v>
      </c>
      <c r="E2" s="12">
        <f t="shared" si="0"/>
        <v>1.3414634146341463E-2</v>
      </c>
      <c r="F2" s="12">
        <f t="shared" si="0"/>
        <v>1.7199017199017199E-2</v>
      </c>
      <c r="G2" s="12">
        <f t="shared" si="0"/>
        <v>4.1884816753926706E-3</v>
      </c>
      <c r="H2" s="3"/>
      <c r="I2" s="3"/>
      <c r="J2" t="s">
        <v>61</v>
      </c>
      <c r="N2" t="s">
        <v>495</v>
      </c>
    </row>
    <row r="3" spans="1:16" x14ac:dyDescent="0.25">
      <c r="A3" s="16" t="s">
        <v>38</v>
      </c>
      <c r="B3" s="3">
        <v>0.55400000000000005</v>
      </c>
      <c r="C3" s="3">
        <v>0.45</v>
      </c>
      <c r="D3" s="3">
        <v>0.42099999999999999</v>
      </c>
      <c r="E3" s="3">
        <v>0.32800000000000001</v>
      </c>
      <c r="F3" s="3">
        <v>0.40699999999999997</v>
      </c>
      <c r="G3" s="3">
        <v>0.38200000000000001</v>
      </c>
      <c r="H3" s="3"/>
      <c r="I3" s="3"/>
      <c r="M3" t="s">
        <v>9</v>
      </c>
    </row>
    <row r="4" spans="1:16" x14ac:dyDescent="0.25">
      <c r="A4" s="17" t="s">
        <v>37</v>
      </c>
      <c r="B4" s="11">
        <v>4.4000000000000003E-3</v>
      </c>
      <c r="C4" s="3">
        <v>6.0000000000000001E-3</v>
      </c>
      <c r="D4" s="3">
        <v>2.0999999999999999E-3</v>
      </c>
      <c r="E4" s="3">
        <v>4.4000000000000003E-3</v>
      </c>
      <c r="F4" s="3">
        <v>7.0000000000000001E-3</v>
      </c>
      <c r="G4" s="3">
        <v>1.6000000000000001E-3</v>
      </c>
      <c r="H4" s="3"/>
      <c r="I4" s="3"/>
      <c r="M4" t="s">
        <v>13</v>
      </c>
    </row>
    <row r="5" spans="1:16" x14ac:dyDescent="0.25">
      <c r="A5" s="15"/>
      <c r="B5" s="11"/>
      <c r="C5" s="11"/>
      <c r="D5" s="11"/>
      <c r="E5" s="3"/>
      <c r="F5" s="3"/>
      <c r="G5" s="3"/>
      <c r="H5" s="3" t="s">
        <v>64</v>
      </c>
      <c r="I5" s="3"/>
      <c r="L5" s="7" t="s">
        <v>72</v>
      </c>
    </row>
    <row r="6" spans="1:16" x14ac:dyDescent="0.25">
      <c r="A6" s="14" t="s">
        <v>358</v>
      </c>
      <c r="B6" s="20">
        <f>B8*(B12*(B14/B13)*Constants!$C$1/Constants!$C$2)*Constants!$C$3/B13/12-30</f>
        <v>11.601525537519159</v>
      </c>
      <c r="C6" s="20">
        <f>C8*(C12*(C14/C13)*Constants!$C$1/Constants!$C$2)*Constants!$C$3/C13/12-30</f>
        <v>25.254793222517712</v>
      </c>
      <c r="D6" s="20">
        <f>D8*(D12*(D14/D13)*Constants!$C$1/Constants!$C$2)*Constants!$C$3/D13/12-30</f>
        <v>5.0865013761834774</v>
      </c>
      <c r="E6" s="21">
        <f>E8*(E12*(E14/E13)*Constants!$C$1/Constants!$C$2)*Constants!$C$3/E13/12-30</f>
        <v>37.428768662577298</v>
      </c>
      <c r="F6" s="20">
        <f>F8*(F12*(F14/F13)*Constants!$C$1/Constants!$C$2)*Constants!$C$3/F13/12-30</f>
        <v>23.310686870464927</v>
      </c>
      <c r="G6" s="20">
        <f>G8*(G12*(G14/G13)*Constants!$C$1/Constants!$C$2)*Constants!$C$3/G13/12-30</f>
        <v>85.616150463269989</v>
      </c>
      <c r="M6" t="s">
        <v>58</v>
      </c>
      <c r="P6" t="s">
        <v>73</v>
      </c>
    </row>
    <row r="7" spans="1:16" x14ac:dyDescent="0.25">
      <c r="A7" s="14" t="s">
        <v>56</v>
      </c>
      <c r="B7" s="2">
        <f t="shared" ref="B7:G7" si="1">B6*B10*12/1000</f>
        <v>7.5317103789574373</v>
      </c>
      <c r="C7" s="2">
        <f t="shared" si="1"/>
        <v>20.850357284510622</v>
      </c>
      <c r="D7" s="2">
        <f t="shared" si="1"/>
        <v>2.392690247356708</v>
      </c>
      <c r="E7" s="2">
        <f t="shared" si="1"/>
        <v>3.3910464408295034</v>
      </c>
      <c r="F7" s="2">
        <f t="shared" si="1"/>
        <v>15.664781576952432</v>
      </c>
      <c r="G7" s="2">
        <f t="shared" si="1"/>
        <v>285.30725980380089</v>
      </c>
    </row>
    <row r="8" spans="1:16" x14ac:dyDescent="0.25">
      <c r="A8" s="16" t="s">
        <v>42</v>
      </c>
      <c r="B8" s="13">
        <v>0.9</v>
      </c>
      <c r="C8" s="13">
        <v>0.9</v>
      </c>
      <c r="D8" s="13">
        <v>0.9</v>
      </c>
      <c r="E8" s="13">
        <v>0.9</v>
      </c>
      <c r="F8" s="5">
        <v>0.9</v>
      </c>
      <c r="G8" s="13">
        <v>0.9</v>
      </c>
      <c r="M8" t="s">
        <v>43</v>
      </c>
      <c r="N8" t="s">
        <v>45</v>
      </c>
      <c r="O8" t="s">
        <v>44</v>
      </c>
    </row>
    <row r="9" spans="1:16" x14ac:dyDescent="0.25">
      <c r="A9" s="14" t="s">
        <v>16</v>
      </c>
      <c r="B9" s="2">
        <f>(B12*(B14/B13)*Constants!$C$1/Constants!$C$2)*Constants!$C$3/B13/12-30</f>
        <v>16.223917263910174</v>
      </c>
      <c r="C9" s="2">
        <f>(C12*(C14/C13)*Constants!$C$1/Constants!$C$2)*Constants!$C$3/C13/12-30</f>
        <v>31.394214691686351</v>
      </c>
      <c r="D9" s="2">
        <f>(D12*(D14/D13)*Constants!$C$1/Constants!$C$2)*Constants!$C$3/D13/12-30</f>
        <v>8.9850015290927558</v>
      </c>
      <c r="E9" s="2">
        <f>(E12*(E14/E13)*Constants!$C$1/Constants!$C$2)*Constants!$C$3/E13/12-30</f>
        <v>44.920854069530336</v>
      </c>
      <c r="F9" s="2">
        <f>(F12*(F14/F13)*Constants!$C$1/Constants!$C$2)*Constants!$C$3/F13/12-30</f>
        <v>29.234096522738803</v>
      </c>
      <c r="G9" s="2">
        <f>(G12*(G14/G13)*Constants!$C$1/Constants!$C$2)*Constants!$C$3/G13/12-30</f>
        <v>98.462389403633296</v>
      </c>
      <c r="H9" s="2">
        <f>SUMPRODUCT(B9:F9,B14:F14)/H14</f>
        <v>23.777393803164124</v>
      </c>
      <c r="I9" s="2">
        <f>SUMPRODUCT(B9:F9,B14:F14)/I14</f>
        <v>23.777393803164124</v>
      </c>
    </row>
    <row r="10" spans="1:16" x14ac:dyDescent="0.25">
      <c r="A10" s="16" t="s">
        <v>54</v>
      </c>
      <c r="B10" s="4">
        <v>54.1</v>
      </c>
      <c r="C10" s="2">
        <v>68.8</v>
      </c>
      <c r="D10" s="2">
        <v>39.200000000000003</v>
      </c>
      <c r="E10" s="2">
        <v>7.55</v>
      </c>
      <c r="F10" s="2">
        <v>56</v>
      </c>
      <c r="G10" s="4">
        <v>277.7</v>
      </c>
      <c r="H10" s="2">
        <f>SUM(B10:F10)</f>
        <v>225.65000000000003</v>
      </c>
      <c r="I10" s="2">
        <f>H10+E10</f>
        <v>233.20000000000005</v>
      </c>
      <c r="M10" t="s">
        <v>59</v>
      </c>
    </row>
    <row r="11" spans="1:16" x14ac:dyDescent="0.25">
      <c r="A11" s="16" t="s">
        <v>30</v>
      </c>
      <c r="B11" s="8">
        <v>445</v>
      </c>
      <c r="C11" s="8">
        <v>853.4</v>
      </c>
      <c r="D11" s="8">
        <v>293.8</v>
      </c>
      <c r="E11" s="8">
        <v>94.2</v>
      </c>
      <c r="F11" s="8">
        <v>575.79999999999995</v>
      </c>
      <c r="G11" s="10">
        <v>5794.5</v>
      </c>
      <c r="K11" s="8">
        <v>3964.1</v>
      </c>
      <c r="M11" t="s">
        <v>60</v>
      </c>
    </row>
    <row r="12" spans="1:16" x14ac:dyDescent="0.25">
      <c r="A12" s="16" t="s">
        <v>31</v>
      </c>
      <c r="B12" s="9">
        <f>B11/Constants!$C$4</f>
        <v>1.3787334242161359E-2</v>
      </c>
      <c r="C12" s="9">
        <f>C11/Constants!$C$4</f>
        <v>2.6440698971371916E-2</v>
      </c>
      <c r="D12" s="9">
        <f>D11/Constants!$C$4</f>
        <v>9.1027388771842861E-3</v>
      </c>
      <c r="E12" s="9">
        <f>E11/Constants!$C$4</f>
        <v>2.9185772710373032E-3</v>
      </c>
      <c r="F12" s="9">
        <f>F11/Constants!$C$4</f>
        <v>1.7839881026149459E-2</v>
      </c>
      <c r="G12" s="9">
        <f>G11/Constants!$C$4</f>
        <v>0.17952968149708762</v>
      </c>
      <c r="K12" s="9">
        <f>K11/Constants!$C$4</f>
        <v>0.1228188127401165</v>
      </c>
      <c r="M12" t="s">
        <v>60</v>
      </c>
    </row>
    <row r="13" spans="1:16" x14ac:dyDescent="0.25">
      <c r="A13" s="16" t="s">
        <v>695</v>
      </c>
      <c r="B13" s="4">
        <v>52684007</v>
      </c>
      <c r="C13" s="2">
        <v>70988740</v>
      </c>
      <c r="D13" s="2">
        <v>39480741</v>
      </c>
      <c r="E13" s="2">
        <v>7089710</v>
      </c>
      <c r="F13" s="2">
        <v>53897217</v>
      </c>
      <c r="G13" s="4">
        <v>258461619</v>
      </c>
      <c r="H13" s="2">
        <f>SUM(B13:F13)</f>
        <v>224140415</v>
      </c>
      <c r="I13" s="2">
        <f>SUM(B13:F13)</f>
        <v>224140415</v>
      </c>
      <c r="M13" t="s">
        <v>59</v>
      </c>
    </row>
    <row r="14" spans="1:16" x14ac:dyDescent="0.25">
      <c r="A14" s="16" t="s">
        <v>696</v>
      </c>
      <c r="B14" s="4">
        <v>56464893</v>
      </c>
      <c r="C14" s="2">
        <v>71001565</v>
      </c>
      <c r="D14" s="2">
        <v>40507042</v>
      </c>
      <c r="E14" s="2">
        <v>7829300</v>
      </c>
      <c r="F14" s="2">
        <v>58525747</v>
      </c>
      <c r="G14" s="4">
        <v>290045629</v>
      </c>
      <c r="H14" s="2">
        <f>SUM(B14:F14)</f>
        <v>234328547</v>
      </c>
      <c r="I14" s="2">
        <f>SUM(B14:F14)</f>
        <v>234328547</v>
      </c>
      <c r="J14" s="2">
        <v>383210000</v>
      </c>
      <c r="M14" t="s">
        <v>59</v>
      </c>
    </row>
    <row r="15" spans="1:16" x14ac:dyDescent="0.25">
      <c r="A15" s="14" t="s">
        <v>680</v>
      </c>
      <c r="B15" s="78">
        <f>10^6*B11/B13</f>
        <v>8.4465860768714887</v>
      </c>
      <c r="C15" s="78">
        <f t="shared" ref="C15:G15" si="2">10^6*C11/C13</f>
        <v>12.021624837967261</v>
      </c>
      <c r="D15" s="78">
        <f t="shared" si="2"/>
        <v>7.4416029830848416</v>
      </c>
      <c r="E15" s="78">
        <f t="shared" si="2"/>
        <v>13.286862227086862</v>
      </c>
      <c r="F15" s="78">
        <f t="shared" si="2"/>
        <v>10.683297432592855</v>
      </c>
      <c r="G15" s="78">
        <f t="shared" si="2"/>
        <v>22.419189442591861</v>
      </c>
      <c r="H15" s="2"/>
      <c r="I15" s="2"/>
    </row>
    <row r="16" spans="1:16" x14ac:dyDescent="0.25">
      <c r="A16" s="14"/>
      <c r="B16" s="3"/>
      <c r="C16" s="3"/>
      <c r="D16" s="3"/>
      <c r="E16" s="3"/>
      <c r="F16" s="3"/>
      <c r="G16" s="78"/>
      <c r="K16" s="18" t="s">
        <v>691</v>
      </c>
      <c r="L16" s="18" t="s">
        <v>692</v>
      </c>
      <c r="M16" t="s">
        <v>699</v>
      </c>
    </row>
    <row r="17" spans="1:14" s="81" customFormat="1" ht="30" x14ac:dyDescent="0.25">
      <c r="A17" s="14" t="s">
        <v>697</v>
      </c>
      <c r="B17" s="83">
        <f>$K$17*1000000*$L$17*B18/B14</f>
        <v>109.68530799528163</v>
      </c>
      <c r="C17" s="83">
        <f t="shared" ref="C17:J17" si="3">$K$17*1000000*$L$17*C18/C14</f>
        <v>130.37348091980942</v>
      </c>
      <c r="D17" s="83">
        <f t="shared" si="3"/>
        <v>89.435739829717861</v>
      </c>
      <c r="E17" s="83"/>
      <c r="F17" s="83"/>
      <c r="G17" s="83"/>
      <c r="H17" s="83"/>
      <c r="I17" s="83"/>
      <c r="J17" s="83">
        <f t="shared" si="3"/>
        <v>105.68617729182432</v>
      </c>
      <c r="K17" s="18">
        <v>900</v>
      </c>
      <c r="L17" s="18">
        <v>45</v>
      </c>
      <c r="M17" s="81" t="s">
        <v>694</v>
      </c>
    </row>
    <row r="18" spans="1:14" s="81" customFormat="1" x14ac:dyDescent="0.25">
      <c r="A18" s="16" t="s">
        <v>693</v>
      </c>
      <c r="B18" s="3">
        <f>(123073+40352+21637)/(783587+301450+125130)</f>
        <v>0.15292269579322523</v>
      </c>
      <c r="C18" s="3">
        <f>(157437+89449+29711)/(783587+301450+125130)</f>
        <v>0.22856101678528665</v>
      </c>
      <c r="D18" s="3">
        <f>(83548+14157+10546)/(783587+301450+125130)</f>
        <v>8.9451290606998871E-2</v>
      </c>
      <c r="E18" s="3"/>
      <c r="F18" s="3"/>
      <c r="G18" s="78"/>
      <c r="J18" s="81">
        <v>1</v>
      </c>
      <c r="M18" s="81" t="s">
        <v>698</v>
      </c>
    </row>
    <row r="19" spans="1:14" s="81" customFormat="1" x14ac:dyDescent="0.25">
      <c r="A19" s="14"/>
      <c r="B19" s="3"/>
      <c r="C19" s="3"/>
      <c r="D19" s="3"/>
      <c r="E19" s="3"/>
      <c r="F19" s="3"/>
      <c r="G19" s="78"/>
    </row>
    <row r="20" spans="1:14" x14ac:dyDescent="0.25">
      <c r="A20" s="14" t="s">
        <v>51</v>
      </c>
      <c r="B20" s="11">
        <f t="shared" ref="B20:G23" si="4">B24/B23</f>
        <v>1.6804869000780116E-2</v>
      </c>
      <c r="C20" s="11">
        <f t="shared" si="4"/>
        <v>2.4285946906251236E-2</v>
      </c>
      <c r="D20" s="11">
        <f t="shared" si="4"/>
        <v>8.4503315316459028E-3</v>
      </c>
      <c r="E20" s="11">
        <f t="shared" si="4"/>
        <v>2.182641984567564E-2</v>
      </c>
      <c r="F20" s="11">
        <f t="shared" si="4"/>
        <v>2.7832459188770545E-2</v>
      </c>
      <c r="G20" s="3"/>
      <c r="J20" s="81"/>
    </row>
    <row r="21" spans="1:14" x14ac:dyDescent="0.25">
      <c r="A21" s="14" t="s">
        <v>426</v>
      </c>
      <c r="B21" s="11">
        <f>B24/B22</f>
        <v>2.8652771056078725E-2</v>
      </c>
      <c r="C21" s="11">
        <f t="shared" ref="C21:G24" si="5">C24/C22</f>
        <v>3.7067064609916489E-2</v>
      </c>
      <c r="D21" s="11">
        <f t="shared" si="5"/>
        <v>1.4677280378829026E-2</v>
      </c>
      <c r="E21" s="11"/>
      <c r="F21" s="11">
        <f t="shared" si="5"/>
        <v>3.8580944213005321E-2</v>
      </c>
      <c r="G21" s="3"/>
    </row>
    <row r="22" spans="1:14" x14ac:dyDescent="0.25">
      <c r="A22" s="16" t="s">
        <v>424</v>
      </c>
      <c r="B22" s="11">
        <v>8.9499999999999996E-2</v>
      </c>
      <c r="C22" s="11">
        <v>0.13320000000000001</v>
      </c>
      <c r="D22" s="11">
        <v>0.1144</v>
      </c>
      <c r="E22" s="11"/>
      <c r="F22" s="11">
        <v>0.12740000000000001</v>
      </c>
      <c r="G22" s="3"/>
      <c r="M22" t="s">
        <v>425</v>
      </c>
    </row>
    <row r="23" spans="1:14" x14ac:dyDescent="0.25">
      <c r="A23" s="16" t="s">
        <v>49</v>
      </c>
      <c r="B23" s="11">
        <v>0.15260000000000001</v>
      </c>
      <c r="C23" s="11">
        <v>0.20330000000000001</v>
      </c>
      <c r="D23" s="11">
        <v>0.19869999999999999</v>
      </c>
      <c r="E23" s="11">
        <v>0.19109999999999999</v>
      </c>
      <c r="F23" s="11">
        <v>0.17660000000000001</v>
      </c>
      <c r="G23" s="11">
        <f t="shared" si="4"/>
        <v>4.5731003235390304E-2</v>
      </c>
      <c r="M23" t="s">
        <v>52</v>
      </c>
    </row>
    <row r="24" spans="1:14" x14ac:dyDescent="0.25">
      <c r="A24" s="14" t="s">
        <v>69</v>
      </c>
      <c r="B24" s="3">
        <f>B7/B25</f>
        <v>2.5644230095190458E-3</v>
      </c>
      <c r="C24" s="3">
        <f>C7/C25</f>
        <v>4.9373330060408765E-3</v>
      </c>
      <c r="D24" s="3">
        <f>D7/D25</f>
        <v>1.6790808753380407E-3</v>
      </c>
      <c r="E24" s="3">
        <f>E7/E25</f>
        <v>4.1710288325086144E-3</v>
      </c>
      <c r="F24" s="3">
        <f>F7/F25</f>
        <v>4.9152122927368785E-3</v>
      </c>
      <c r="G24" s="11">
        <f t="shared" si="5"/>
        <v>6.5196117592019917E-2</v>
      </c>
      <c r="M24" t="s">
        <v>425</v>
      </c>
    </row>
    <row r="25" spans="1:14" x14ac:dyDescent="0.25">
      <c r="A25" s="16" t="s">
        <v>48</v>
      </c>
      <c r="B25">
        <v>2937</v>
      </c>
      <c r="C25">
        <v>4223</v>
      </c>
      <c r="D25">
        <v>1425</v>
      </c>
      <c r="E25">
        <v>813</v>
      </c>
      <c r="F25">
        <v>3187</v>
      </c>
      <c r="G25" s="11">
        <v>0.1903</v>
      </c>
      <c r="M25" t="s">
        <v>47</v>
      </c>
    </row>
    <row r="26" spans="1:14" x14ac:dyDescent="0.25">
      <c r="A26" s="16" t="s">
        <v>427</v>
      </c>
      <c r="B26" s="41">
        <v>175</v>
      </c>
      <c r="C26" s="41">
        <v>249</v>
      </c>
      <c r="D26" s="41">
        <v>132</v>
      </c>
      <c r="E26" s="36"/>
      <c r="F26" s="41">
        <v>178</v>
      </c>
      <c r="G26" s="11">
        <v>0.27129999999999999</v>
      </c>
      <c r="M26" t="s">
        <v>432</v>
      </c>
    </row>
    <row r="27" spans="1:14" x14ac:dyDescent="0.25">
      <c r="A27" s="16" t="s">
        <v>50</v>
      </c>
      <c r="B27">
        <v>95</v>
      </c>
      <c r="C27">
        <v>112</v>
      </c>
      <c r="D27">
        <v>83</v>
      </c>
      <c r="E27">
        <v>152</v>
      </c>
      <c r="F27">
        <v>88</v>
      </c>
      <c r="G27" s="3">
        <f>G7/G28</f>
        <v>1.2406821177761389E-2</v>
      </c>
      <c r="M27" t="s">
        <v>52</v>
      </c>
    </row>
    <row r="28" spans="1:14" x14ac:dyDescent="0.25">
      <c r="A28" s="14" t="s">
        <v>71</v>
      </c>
      <c r="B28" s="3"/>
      <c r="C28" s="3"/>
      <c r="D28" s="3"/>
      <c r="E28" s="3"/>
      <c r="F28" s="3"/>
      <c r="G28">
        <v>22996</v>
      </c>
    </row>
    <row r="29" spans="1:14" x14ac:dyDescent="0.25">
      <c r="A29" s="16" t="s">
        <v>70</v>
      </c>
      <c r="B29">
        <v>67.400000000000006</v>
      </c>
      <c r="C29">
        <v>83.1</v>
      </c>
      <c r="D29">
        <v>47.1</v>
      </c>
      <c r="E29">
        <v>8.6</v>
      </c>
      <c r="F29">
        <v>66.8</v>
      </c>
      <c r="G29" s="41">
        <v>479</v>
      </c>
      <c r="H29">
        <f>SUM(B29+C29+D29+F29)</f>
        <v>264.39999999999998</v>
      </c>
      <c r="I29">
        <f>H29+E29</f>
        <v>273</v>
      </c>
      <c r="M29" t="s">
        <v>12</v>
      </c>
    </row>
    <row r="30" spans="1:14" x14ac:dyDescent="0.25">
      <c r="A30" s="16" t="s">
        <v>53</v>
      </c>
      <c r="B30" s="4">
        <v>51.7</v>
      </c>
      <c r="C30" s="2">
        <v>69.400000000000006</v>
      </c>
      <c r="D30" s="2">
        <v>38.5</v>
      </c>
      <c r="E30" s="2">
        <v>7.11</v>
      </c>
      <c r="F30" s="2">
        <v>53.1</v>
      </c>
      <c r="G30">
        <v>172</v>
      </c>
      <c r="H30" s="2">
        <f>SUM(B30:F30)</f>
        <v>219.81000000000003</v>
      </c>
      <c r="I30" s="2">
        <f>H30+E30</f>
        <v>226.92000000000004</v>
      </c>
      <c r="J30">
        <v>446.8</v>
      </c>
      <c r="M30" t="s">
        <v>59</v>
      </c>
    </row>
    <row r="31" spans="1:14" x14ac:dyDescent="0.25">
      <c r="A31" s="16" t="s">
        <v>10</v>
      </c>
      <c r="B31">
        <v>27012</v>
      </c>
      <c r="C31">
        <v>25039</v>
      </c>
      <c r="D31">
        <v>17656</v>
      </c>
      <c r="E31">
        <v>23603</v>
      </c>
      <c r="F31">
        <v>19798</v>
      </c>
      <c r="G31" s="3"/>
      <c r="M31" t="s">
        <v>9</v>
      </c>
    </row>
    <row r="32" spans="1:14" x14ac:dyDescent="0.25">
      <c r="A32" s="16" t="s">
        <v>11</v>
      </c>
      <c r="B32" s="2">
        <v>469000</v>
      </c>
      <c r="C32" s="2">
        <f>C31*C29</f>
        <v>2080740.9</v>
      </c>
      <c r="D32" s="2">
        <f>D31*D29</f>
        <v>831597.6</v>
      </c>
      <c r="E32" s="2">
        <f>E31*E29</f>
        <v>202985.8</v>
      </c>
      <c r="F32" s="2">
        <f>F31*F29</f>
        <v>1322506.3999999999</v>
      </c>
      <c r="G32">
        <v>328.3</v>
      </c>
      <c r="H32">
        <f>SUM(B32+C32+D32+F32)</f>
        <v>4703844.9000000004</v>
      </c>
      <c r="I32">
        <f>H32+E32</f>
        <v>4906830.7</v>
      </c>
      <c r="K32" s="2"/>
      <c r="M32" t="s">
        <v>33</v>
      </c>
      <c r="N32" t="s">
        <v>34</v>
      </c>
    </row>
    <row r="33" spans="1:14" x14ac:dyDescent="0.25">
      <c r="A33" s="16" t="s">
        <v>35</v>
      </c>
      <c r="B33">
        <v>3079</v>
      </c>
      <c r="G33" s="4">
        <v>257</v>
      </c>
      <c r="J33" s="2"/>
      <c r="M33" t="s">
        <v>33</v>
      </c>
      <c r="N33" t="s">
        <v>34</v>
      </c>
    </row>
    <row r="34" spans="1:14" x14ac:dyDescent="0.25">
      <c r="A34" s="14" t="s">
        <v>7</v>
      </c>
      <c r="B34" s="3">
        <f>B33/B32</f>
        <v>6.5650319829424304E-3</v>
      </c>
      <c r="C34" s="3" t="e">
        <f>#REF!/C32</f>
        <v>#REF!</v>
      </c>
      <c r="D34" s="3" t="e">
        <f>#REF!/D32</f>
        <v>#REF!</v>
      </c>
      <c r="E34" s="3" t="e">
        <f>#REF!/E32</f>
        <v>#REF!</v>
      </c>
      <c r="F34" s="3" t="e">
        <f>#REF!/F32</f>
        <v>#REF!</v>
      </c>
      <c r="G34">
        <v>24858</v>
      </c>
      <c r="H34" s="3" t="e">
        <f>#REF!/H32</f>
        <v>#REF!</v>
      </c>
      <c r="I34" s="3" t="e">
        <f>#REF!/I32</f>
        <v>#REF!</v>
      </c>
    </row>
    <row r="35" spans="1:14" x14ac:dyDescent="0.25">
      <c r="A35" s="14" t="s">
        <v>39</v>
      </c>
      <c r="B35" s="3">
        <f>B4/B3</f>
        <v>7.9422382671480145E-3</v>
      </c>
      <c r="C35" s="3">
        <f>C4/C3</f>
        <v>1.3333333333333332E-2</v>
      </c>
      <c r="D35" s="3">
        <f>D4/D3</f>
        <v>4.9881235154394295E-3</v>
      </c>
      <c r="E35" s="3">
        <f>E4/E3</f>
        <v>1.3414634146341463E-2</v>
      </c>
      <c r="F35" s="3">
        <f>F4/F3</f>
        <v>1.7199017199017199E-2</v>
      </c>
      <c r="G35" s="2">
        <v>4496000</v>
      </c>
      <c r="H35" s="3"/>
      <c r="I35" s="3"/>
    </row>
    <row r="36" spans="1:14" x14ac:dyDescent="0.25">
      <c r="A36" s="14" t="s">
        <v>15</v>
      </c>
      <c r="B36" s="3" t="e">
        <f>(#REF!*#REF!+B33)/B32</f>
        <v>#REF!</v>
      </c>
      <c r="C36" s="3" t="e">
        <f>(#REF!*#REF!+#REF!)/C32</f>
        <v>#REF!</v>
      </c>
      <c r="D36" s="3" t="e">
        <f>(#REF!*#REF!+#REF!)/D32</f>
        <v>#REF!</v>
      </c>
      <c r="F36" s="11">
        <v>1.7000000000000001E-2</v>
      </c>
      <c r="G36">
        <v>44100</v>
      </c>
      <c r="H36" s="3" t="e">
        <f>(#REF!*#REF!+#REF!)/H32</f>
        <v>#REF!</v>
      </c>
      <c r="I36" s="3" t="e">
        <f>(#REF!*#REF!+#REF!)/I32</f>
        <v>#REF!</v>
      </c>
      <c r="M36" t="s">
        <v>36</v>
      </c>
    </row>
    <row r="37" spans="1:14" x14ac:dyDescent="0.25">
      <c r="A37" s="14" t="s">
        <v>55</v>
      </c>
      <c r="B37" s="2">
        <f>B6*B30*12/1000</f>
        <v>7.1975864434768866</v>
      </c>
      <c r="C37" s="2">
        <f>C6*C30*12/1000</f>
        <v>21.032191795712752</v>
      </c>
      <c r="D37" s="2">
        <f>D6*D30*12/1000</f>
        <v>2.3499636357967666</v>
      </c>
      <c r="E37" s="2">
        <f>E6*E30*12/1000</f>
        <v>3.1934225422910951</v>
      </c>
      <c r="F37" s="2">
        <f>F6*F30*12/1000</f>
        <v>14.853569673860253</v>
      </c>
      <c r="G37" s="3">
        <f>G36/G35</f>
        <v>9.8087188612099637E-3</v>
      </c>
    </row>
    <row r="38" spans="1:14" x14ac:dyDescent="0.25">
      <c r="A38" s="14" t="s">
        <v>20</v>
      </c>
      <c r="B38" s="2">
        <f>Constants!$B$6*B9*12*B14/10^9</f>
        <v>10.333402166480258</v>
      </c>
      <c r="C38" s="2">
        <f>Constants!$B$6*C9*12*C14/10^9</f>
        <v>25.143552870628557</v>
      </c>
      <c r="D38" s="2">
        <f>Constants!$B$6*D9*12*D14/10^9</f>
        <v>4.1054218110057965</v>
      </c>
      <c r="E38" s="2">
        <f>Constants!$B$6*E9*12*E14/10^9</f>
        <v>3.9671629464069529</v>
      </c>
      <c r="F38" s="2">
        <f>Constants!$B$6*F9*12*F14/10^9</f>
        <v>19.299485959819044</v>
      </c>
      <c r="G38" s="3">
        <f>G4/G3</f>
        <v>4.1884816753926706E-3</v>
      </c>
      <c r="H38" s="2">
        <f>Constants!$B$6*H9*12*H14/10^9</f>
        <v>62.849025754340616</v>
      </c>
      <c r="I38" s="2">
        <f>Constants!$B$6*I9*12*I14/10^9</f>
        <v>62.849025754340616</v>
      </c>
    </row>
    <row r="39" spans="1:14" x14ac:dyDescent="0.25">
      <c r="A39" s="14" t="s">
        <v>105</v>
      </c>
      <c r="B39" s="2">
        <f>2000*B30/$H$30</f>
        <v>470.40625995177646</v>
      </c>
      <c r="C39" s="2">
        <f t="shared" ref="C39:F39" si="6">2000*C30/$H$30</f>
        <v>631.4544379236612</v>
      </c>
      <c r="D39" s="2">
        <f t="shared" si="6"/>
        <v>350.30253400664208</v>
      </c>
      <c r="E39" s="2"/>
      <c r="F39" s="2">
        <f t="shared" si="6"/>
        <v>483.14453391565434</v>
      </c>
    </row>
    <row r="40" spans="1:14" x14ac:dyDescent="0.25">
      <c r="A40" s="14"/>
      <c r="G40" s="2">
        <f>G6*G33*12/1000</f>
        <v>264.04020802872463</v>
      </c>
    </row>
    <row r="41" spans="1:14" x14ac:dyDescent="0.25">
      <c r="A41" s="14"/>
      <c r="G41" s="2">
        <f>Constants!$B$6*G9*12*G14/10^9</f>
        <v>322.14084632849483</v>
      </c>
    </row>
    <row r="42" spans="1:14" x14ac:dyDescent="0.25">
      <c r="A42" s="14"/>
    </row>
    <row r="43" spans="1:14" x14ac:dyDescent="0.25">
      <c r="A43" s="14"/>
    </row>
    <row r="44" spans="1:14" x14ac:dyDescent="0.25">
      <c r="A44" s="14"/>
    </row>
    <row r="45" spans="1:14" x14ac:dyDescent="0.25">
      <c r="A45" s="14"/>
    </row>
    <row r="46" spans="1:14" x14ac:dyDescent="0.25">
      <c r="A46" s="14"/>
    </row>
    <row r="47" spans="1:14" x14ac:dyDescent="0.25">
      <c r="A47" s="14"/>
    </row>
    <row r="48" spans="1:14" x14ac:dyDescent="0.25">
      <c r="A48" s="14"/>
    </row>
    <row r="49" spans="1:1" x14ac:dyDescent="0.25">
      <c r="A49" s="14"/>
    </row>
    <row r="50" spans="1:1" x14ac:dyDescent="0.25">
      <c r="A50" s="14"/>
    </row>
    <row r="51" spans="1:1" x14ac:dyDescent="0.25">
      <c r="A51" s="14"/>
    </row>
    <row r="52" spans="1:1" x14ac:dyDescent="0.25">
      <c r="A52" s="14"/>
    </row>
    <row r="53" spans="1:1" x14ac:dyDescent="0.25">
      <c r="A53" s="14"/>
    </row>
    <row r="54" spans="1:1" x14ac:dyDescent="0.25">
      <c r="A54" s="14"/>
    </row>
    <row r="55" spans="1:1" x14ac:dyDescent="0.25">
      <c r="A55" s="14"/>
    </row>
    <row r="56" spans="1:1" x14ac:dyDescent="0.25">
      <c r="A56" s="14"/>
    </row>
    <row r="57" spans="1:1" x14ac:dyDescent="0.25">
      <c r="A57" s="14"/>
    </row>
    <row r="58" spans="1:1" x14ac:dyDescent="0.25">
      <c r="A58" s="14"/>
    </row>
    <row r="59" spans="1:1" x14ac:dyDescent="0.25">
      <c r="A59" s="14"/>
    </row>
    <row r="60" spans="1:1" x14ac:dyDescent="0.25">
      <c r="A60" s="14"/>
    </row>
    <row r="61" spans="1:1" x14ac:dyDescent="0.25">
      <c r="A61" s="14"/>
    </row>
    <row r="62" spans="1:1" x14ac:dyDescent="0.25">
      <c r="A62" s="14"/>
    </row>
    <row r="63" spans="1:1" x14ac:dyDescent="0.25">
      <c r="A63" s="14"/>
    </row>
    <row r="64" spans="1:1" x14ac:dyDescent="0.25">
      <c r="A64" s="14"/>
    </row>
    <row r="65" spans="1:1" x14ac:dyDescent="0.25">
      <c r="A65" s="14"/>
    </row>
    <row r="66" spans="1:1" x14ac:dyDescent="0.25">
      <c r="A66" s="14"/>
    </row>
    <row r="67" spans="1:1" x14ac:dyDescent="0.25">
      <c r="A67" s="14"/>
    </row>
    <row r="68" spans="1:1" x14ac:dyDescent="0.25">
      <c r="A68" s="14"/>
    </row>
    <row r="69" spans="1:1" x14ac:dyDescent="0.25">
      <c r="A69" s="14"/>
    </row>
    <row r="70" spans="1:1" x14ac:dyDescent="0.25">
      <c r="A70" s="14"/>
    </row>
    <row r="71" spans="1:1" x14ac:dyDescent="0.25">
      <c r="A71" s="14"/>
    </row>
    <row r="72" spans="1:1" x14ac:dyDescent="0.25">
      <c r="A72" s="14"/>
    </row>
    <row r="73" spans="1:1" x14ac:dyDescent="0.25">
      <c r="A73" s="14"/>
    </row>
    <row r="74" spans="1:1" x14ac:dyDescent="0.25">
      <c r="A74" s="14"/>
    </row>
    <row r="75" spans="1:1" x14ac:dyDescent="0.25">
      <c r="A75" s="14"/>
    </row>
    <row r="76" spans="1:1" x14ac:dyDescent="0.25">
      <c r="A76" s="14"/>
    </row>
    <row r="77" spans="1:1" x14ac:dyDescent="0.25">
      <c r="A77" s="14"/>
    </row>
    <row r="78" spans="1:1" x14ac:dyDescent="0.25">
      <c r="A78" s="14"/>
    </row>
    <row r="79" spans="1:1" x14ac:dyDescent="0.25">
      <c r="A79" s="14"/>
    </row>
    <row r="80" spans="1:1" x14ac:dyDescent="0.25">
      <c r="A80" s="14"/>
    </row>
    <row r="81" spans="1:1" x14ac:dyDescent="0.25">
      <c r="A81" s="14"/>
    </row>
    <row r="82" spans="1:1" x14ac:dyDescent="0.25">
      <c r="A82" s="14"/>
    </row>
    <row r="83" spans="1:1" x14ac:dyDescent="0.25">
      <c r="A83" s="14"/>
    </row>
    <row r="84" spans="1:1" x14ac:dyDescent="0.25">
      <c r="A84" s="14"/>
    </row>
    <row r="85" spans="1:1" x14ac:dyDescent="0.25">
      <c r="A85" s="14"/>
    </row>
    <row r="86" spans="1:1" x14ac:dyDescent="0.25">
      <c r="A86" s="14"/>
    </row>
    <row r="87" spans="1:1" x14ac:dyDescent="0.25">
      <c r="A87" s="14"/>
    </row>
    <row r="88" spans="1:1" x14ac:dyDescent="0.25">
      <c r="A88" s="14"/>
    </row>
    <row r="89" spans="1:1" x14ac:dyDescent="0.25">
      <c r="A89" s="14"/>
    </row>
    <row r="90" spans="1:1" x14ac:dyDescent="0.25">
      <c r="A90" s="14"/>
    </row>
    <row r="91" spans="1:1" x14ac:dyDescent="0.25">
      <c r="A91" s="14"/>
    </row>
    <row r="92" spans="1:1" x14ac:dyDescent="0.25">
      <c r="A92" s="14"/>
    </row>
    <row r="93" spans="1:1" x14ac:dyDescent="0.25">
      <c r="A93" s="14"/>
    </row>
    <row r="94" spans="1:1" x14ac:dyDescent="0.25">
      <c r="A94" s="14"/>
    </row>
    <row r="95" spans="1:1" x14ac:dyDescent="0.25">
      <c r="A95" s="14"/>
    </row>
    <row r="96" spans="1:1" x14ac:dyDescent="0.25">
      <c r="A96" s="14"/>
    </row>
    <row r="97" spans="1:1" x14ac:dyDescent="0.25">
      <c r="A97" s="14"/>
    </row>
    <row r="98" spans="1:1" x14ac:dyDescent="0.25">
      <c r="A98" s="14"/>
    </row>
    <row r="99" spans="1:1" x14ac:dyDescent="0.25">
      <c r="A99" s="14"/>
    </row>
    <row r="100" spans="1:1" x14ac:dyDescent="0.25">
      <c r="A100" s="14"/>
    </row>
    <row r="101" spans="1:1" x14ac:dyDescent="0.25">
      <c r="A101" s="14"/>
    </row>
    <row r="102" spans="1:1" x14ac:dyDescent="0.25">
      <c r="A102" s="14"/>
    </row>
    <row r="103" spans="1:1" x14ac:dyDescent="0.25">
      <c r="A103" s="14"/>
    </row>
    <row r="104" spans="1:1" x14ac:dyDescent="0.25">
      <c r="A104" s="14"/>
    </row>
    <row r="105" spans="1:1" x14ac:dyDescent="0.25">
      <c r="A105" s="14"/>
    </row>
    <row r="106" spans="1:1" x14ac:dyDescent="0.25">
      <c r="A106" s="14"/>
    </row>
    <row r="107" spans="1:1" x14ac:dyDescent="0.25">
      <c r="A107" s="14"/>
    </row>
    <row r="108" spans="1:1" x14ac:dyDescent="0.25">
      <c r="A108" s="14"/>
    </row>
    <row r="109" spans="1:1" x14ac:dyDescent="0.25">
      <c r="A109" s="14"/>
    </row>
    <row r="110" spans="1:1" x14ac:dyDescent="0.25">
      <c r="A110" s="14"/>
    </row>
    <row r="111" spans="1:1" x14ac:dyDescent="0.25">
      <c r="A111" s="14"/>
    </row>
    <row r="112" spans="1:1" x14ac:dyDescent="0.25">
      <c r="A112" s="14"/>
    </row>
    <row r="113" spans="1:1" x14ac:dyDescent="0.25">
      <c r="A113" s="14"/>
    </row>
    <row r="114" spans="1:1" x14ac:dyDescent="0.25">
      <c r="A114" s="14"/>
    </row>
    <row r="115" spans="1:1" x14ac:dyDescent="0.25">
      <c r="A115" s="14"/>
    </row>
    <row r="116" spans="1:1" x14ac:dyDescent="0.25">
      <c r="A116" s="14"/>
    </row>
    <row r="117" spans="1:1" x14ac:dyDescent="0.25">
      <c r="A117" s="14"/>
    </row>
    <row r="118" spans="1:1" x14ac:dyDescent="0.25">
      <c r="A118" s="14"/>
    </row>
    <row r="119" spans="1:1" x14ac:dyDescent="0.25">
      <c r="A119" s="14"/>
    </row>
    <row r="120" spans="1:1" x14ac:dyDescent="0.25">
      <c r="A120" s="14"/>
    </row>
    <row r="121" spans="1:1" x14ac:dyDescent="0.25">
      <c r="A121" s="14"/>
    </row>
    <row r="122" spans="1:1" x14ac:dyDescent="0.25">
      <c r="A122" s="14"/>
    </row>
    <row r="123" spans="1:1" x14ac:dyDescent="0.25">
      <c r="A123" s="14"/>
    </row>
    <row r="124" spans="1:1" x14ac:dyDescent="0.25">
      <c r="A124" s="14"/>
    </row>
    <row r="125" spans="1:1" x14ac:dyDescent="0.25">
      <c r="A125" s="14"/>
    </row>
    <row r="126" spans="1:1" x14ac:dyDescent="0.25">
      <c r="A126" s="14"/>
    </row>
    <row r="127" spans="1:1" x14ac:dyDescent="0.25">
      <c r="A127" s="14"/>
    </row>
    <row r="128" spans="1:1" x14ac:dyDescent="0.25">
      <c r="A128" s="14"/>
    </row>
    <row r="129" spans="1:1" x14ac:dyDescent="0.25">
      <c r="A129" s="14"/>
    </row>
    <row r="130" spans="1:1" x14ac:dyDescent="0.25">
      <c r="A130" s="14"/>
    </row>
    <row r="131" spans="1:1" x14ac:dyDescent="0.25">
      <c r="A131" s="14"/>
    </row>
    <row r="132" spans="1:1" x14ac:dyDescent="0.25">
      <c r="A132" s="14"/>
    </row>
    <row r="133" spans="1:1" x14ac:dyDescent="0.25">
      <c r="A133" s="14"/>
    </row>
    <row r="134" spans="1:1" x14ac:dyDescent="0.25">
      <c r="A134" s="14"/>
    </row>
    <row r="135" spans="1:1" x14ac:dyDescent="0.25">
      <c r="A135" s="14"/>
    </row>
    <row r="136" spans="1:1" x14ac:dyDescent="0.25">
      <c r="A136" s="14"/>
    </row>
    <row r="137" spans="1:1" x14ac:dyDescent="0.25">
      <c r="A137" s="14"/>
    </row>
    <row r="138" spans="1:1" x14ac:dyDescent="0.25">
      <c r="A138" s="14"/>
    </row>
    <row r="139" spans="1:1" x14ac:dyDescent="0.25">
      <c r="A139" s="14"/>
    </row>
    <row r="140" spans="1:1" x14ac:dyDescent="0.25">
      <c r="A140" s="14"/>
    </row>
    <row r="141" spans="1:1" x14ac:dyDescent="0.25">
      <c r="A141" s="14"/>
    </row>
    <row r="142" spans="1:1" x14ac:dyDescent="0.25">
      <c r="A142" s="14"/>
    </row>
    <row r="143" spans="1:1" x14ac:dyDescent="0.25">
      <c r="A143" s="14"/>
    </row>
    <row r="144" spans="1:1" x14ac:dyDescent="0.25">
      <c r="A144" s="14"/>
    </row>
    <row r="145" spans="1:1" x14ac:dyDescent="0.25">
      <c r="A145" s="14"/>
    </row>
    <row r="146" spans="1:1" x14ac:dyDescent="0.25">
      <c r="A146" s="14"/>
    </row>
    <row r="147" spans="1:1" x14ac:dyDescent="0.25">
      <c r="A147" s="14"/>
    </row>
    <row r="148" spans="1:1" x14ac:dyDescent="0.25">
      <c r="A148" s="14"/>
    </row>
    <row r="149" spans="1:1" x14ac:dyDescent="0.25">
      <c r="A149" s="14"/>
    </row>
    <row r="150" spans="1:1" x14ac:dyDescent="0.25">
      <c r="A150" s="14"/>
    </row>
    <row r="151" spans="1:1" x14ac:dyDescent="0.25">
      <c r="A151" s="14"/>
    </row>
    <row r="152" spans="1:1" x14ac:dyDescent="0.25">
      <c r="A152" s="14"/>
    </row>
    <row r="153" spans="1:1" x14ac:dyDescent="0.25">
      <c r="A153" s="14"/>
    </row>
    <row r="154" spans="1:1" x14ac:dyDescent="0.25">
      <c r="A154" s="14"/>
    </row>
    <row r="155" spans="1:1" x14ac:dyDescent="0.25">
      <c r="A155" s="14"/>
    </row>
    <row r="156" spans="1:1" x14ac:dyDescent="0.25">
      <c r="A156" s="14"/>
    </row>
    <row r="157" spans="1:1" x14ac:dyDescent="0.25">
      <c r="A157" s="14"/>
    </row>
    <row r="158" spans="1:1" x14ac:dyDescent="0.25">
      <c r="A158" s="14"/>
    </row>
    <row r="159" spans="1:1" x14ac:dyDescent="0.25">
      <c r="A159" s="14"/>
    </row>
    <row r="160" spans="1:1" x14ac:dyDescent="0.25">
      <c r="A160" s="14"/>
    </row>
    <row r="161" spans="1:1" x14ac:dyDescent="0.25">
      <c r="A161" s="14"/>
    </row>
    <row r="162" spans="1:1" x14ac:dyDescent="0.25">
      <c r="A162" s="14"/>
    </row>
    <row r="163" spans="1:1" x14ac:dyDescent="0.25">
      <c r="A163" s="14"/>
    </row>
    <row r="164" spans="1:1" x14ac:dyDescent="0.25">
      <c r="A164" s="14"/>
    </row>
    <row r="165" spans="1:1" x14ac:dyDescent="0.25">
      <c r="A165" s="14"/>
    </row>
    <row r="166" spans="1:1" x14ac:dyDescent="0.25">
      <c r="A166" s="14"/>
    </row>
    <row r="167" spans="1:1" x14ac:dyDescent="0.25">
      <c r="A167" s="14"/>
    </row>
    <row r="168" spans="1:1" x14ac:dyDescent="0.25">
      <c r="A168" s="14"/>
    </row>
    <row r="169" spans="1:1" x14ac:dyDescent="0.25">
      <c r="A169" s="14"/>
    </row>
    <row r="170" spans="1:1" x14ac:dyDescent="0.25">
      <c r="A170" s="14"/>
    </row>
    <row r="171" spans="1:1" x14ac:dyDescent="0.25">
      <c r="A171" s="14"/>
    </row>
    <row r="172" spans="1:1" x14ac:dyDescent="0.25">
      <c r="A172" s="14"/>
    </row>
    <row r="173" spans="1:1" x14ac:dyDescent="0.25">
      <c r="A173" s="14"/>
    </row>
    <row r="174" spans="1:1" x14ac:dyDescent="0.25">
      <c r="A174" s="14"/>
    </row>
    <row r="175" spans="1:1" x14ac:dyDescent="0.25">
      <c r="A175" s="14"/>
    </row>
    <row r="176" spans="1:1" x14ac:dyDescent="0.25">
      <c r="A176" s="14"/>
    </row>
    <row r="177" spans="1:1" x14ac:dyDescent="0.25">
      <c r="A177" s="14"/>
    </row>
    <row r="178" spans="1:1" x14ac:dyDescent="0.25">
      <c r="A178" s="14"/>
    </row>
    <row r="179" spans="1:1" x14ac:dyDescent="0.25">
      <c r="A179" s="14"/>
    </row>
    <row r="180" spans="1:1" x14ac:dyDescent="0.25">
      <c r="A180" s="14"/>
    </row>
    <row r="181" spans="1:1" x14ac:dyDescent="0.25">
      <c r="A181" s="14"/>
    </row>
    <row r="182" spans="1:1" x14ac:dyDescent="0.25">
      <c r="A182" s="14"/>
    </row>
    <row r="183" spans="1:1" x14ac:dyDescent="0.25">
      <c r="A183" s="14"/>
    </row>
    <row r="184" spans="1:1" x14ac:dyDescent="0.25">
      <c r="A184" s="14"/>
    </row>
    <row r="185" spans="1:1" x14ac:dyDescent="0.25">
      <c r="A185" s="14"/>
    </row>
    <row r="186" spans="1:1" x14ac:dyDescent="0.25">
      <c r="A186" s="14"/>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1"/>
  <sheetViews>
    <sheetView tabSelected="1" workbookViewId="0">
      <pane ySplit="1" topLeftCell="A2" activePane="bottomLeft" state="frozen"/>
      <selection pane="bottomLeft" activeCell="A17" sqref="A17:XFD17"/>
    </sheetView>
  </sheetViews>
  <sheetFormatPr baseColWidth="10" defaultRowHeight="15" x14ac:dyDescent="0.25"/>
  <cols>
    <col min="1" max="1" width="38" customWidth="1"/>
    <col min="2" max="2" width="46.5703125" customWidth="1"/>
    <col min="3" max="3" width="48.5703125" customWidth="1"/>
    <col min="4" max="4" width="44.5703125" customWidth="1"/>
    <col min="5" max="5" width="46.140625" customWidth="1"/>
    <col min="6" max="6" width="40.5703125" customWidth="1"/>
    <col min="7" max="7" width="1.28515625" customWidth="1"/>
  </cols>
  <sheetData>
    <row r="1" spans="1:6" x14ac:dyDescent="0.25">
      <c r="A1" s="14" t="s">
        <v>330</v>
      </c>
      <c r="B1" s="7" t="s">
        <v>0</v>
      </c>
      <c r="C1" s="7" t="s">
        <v>1</v>
      </c>
      <c r="D1" s="7" t="s">
        <v>2</v>
      </c>
      <c r="E1" s="7" t="s">
        <v>3</v>
      </c>
      <c r="F1" s="7" t="s">
        <v>5</v>
      </c>
    </row>
    <row r="2" spans="1:6" x14ac:dyDescent="0.25">
      <c r="A2" t="s">
        <v>334</v>
      </c>
      <c r="B2" s="91" t="s">
        <v>342</v>
      </c>
      <c r="C2" s="91"/>
      <c r="D2" s="91"/>
      <c r="E2" t="s">
        <v>335</v>
      </c>
      <c r="F2" t="s">
        <v>342</v>
      </c>
    </row>
    <row r="3" spans="1:6" x14ac:dyDescent="0.25">
      <c r="A3" t="s">
        <v>336</v>
      </c>
      <c r="B3" t="s">
        <v>337</v>
      </c>
      <c r="C3" t="s">
        <v>337</v>
      </c>
      <c r="D3" t="s">
        <v>337</v>
      </c>
      <c r="E3" t="s">
        <v>353</v>
      </c>
      <c r="F3" t="s">
        <v>338</v>
      </c>
    </row>
    <row r="4" spans="1:6" x14ac:dyDescent="0.25">
      <c r="A4" t="s">
        <v>339</v>
      </c>
      <c r="B4" s="91" t="s">
        <v>340</v>
      </c>
      <c r="C4" s="91"/>
      <c r="D4" s="91"/>
      <c r="E4" s="91"/>
      <c r="F4" t="s">
        <v>341</v>
      </c>
    </row>
    <row r="5" spans="1:6" x14ac:dyDescent="0.25">
      <c r="A5" t="s">
        <v>394</v>
      </c>
      <c r="B5" t="s">
        <v>343</v>
      </c>
      <c r="C5" t="s">
        <v>343</v>
      </c>
      <c r="D5" t="s">
        <v>343</v>
      </c>
      <c r="E5" t="s">
        <v>344</v>
      </c>
      <c r="F5" t="s">
        <v>345</v>
      </c>
    </row>
    <row r="6" spans="1:6" x14ac:dyDescent="0.25">
      <c r="A6" t="s">
        <v>441</v>
      </c>
      <c r="B6" t="s">
        <v>443</v>
      </c>
      <c r="C6" t="s">
        <v>439</v>
      </c>
      <c r="D6" t="s">
        <v>440</v>
      </c>
      <c r="E6" t="s">
        <v>442</v>
      </c>
      <c r="F6" t="s">
        <v>444</v>
      </c>
    </row>
    <row r="7" spans="1:6" x14ac:dyDescent="0.25">
      <c r="A7" t="s">
        <v>445</v>
      </c>
      <c r="B7" t="s">
        <v>447</v>
      </c>
      <c r="C7" t="s">
        <v>454</v>
      </c>
      <c r="D7" t="s">
        <v>449</v>
      </c>
      <c r="E7" t="s">
        <v>452</v>
      </c>
      <c r="F7" t="s">
        <v>453</v>
      </c>
    </row>
    <row r="8" spans="1:6" x14ac:dyDescent="0.25">
      <c r="A8" t="s">
        <v>446</v>
      </c>
      <c r="B8" t="s">
        <v>448</v>
      </c>
      <c r="C8" t="s">
        <v>455</v>
      </c>
      <c r="D8" t="s">
        <v>450</v>
      </c>
      <c r="E8" t="s">
        <v>451</v>
      </c>
    </row>
    <row r="9" spans="1:6" x14ac:dyDescent="0.25">
      <c r="A9" t="s">
        <v>433</v>
      </c>
      <c r="B9" t="s">
        <v>365</v>
      </c>
      <c r="C9" t="s">
        <v>365</v>
      </c>
      <c r="D9" t="s">
        <v>365</v>
      </c>
      <c r="E9" t="s">
        <v>365</v>
      </c>
      <c r="F9" t="s">
        <v>346</v>
      </c>
    </row>
    <row r="10" spans="1:6" x14ac:dyDescent="0.25">
      <c r="A10" t="s">
        <v>347</v>
      </c>
      <c r="B10" t="s">
        <v>428</v>
      </c>
      <c r="C10" t="s">
        <v>429</v>
      </c>
      <c r="D10" t="s">
        <v>430</v>
      </c>
      <c r="E10" t="s">
        <v>431</v>
      </c>
      <c r="F10" t="s">
        <v>349</v>
      </c>
    </row>
    <row r="11" spans="1:6" x14ac:dyDescent="0.25">
      <c r="A11" t="s">
        <v>350</v>
      </c>
      <c r="B11" s="91" t="s">
        <v>351</v>
      </c>
      <c r="C11" s="91"/>
      <c r="D11" s="91"/>
      <c r="E11" s="91"/>
      <c r="F11" t="s">
        <v>352</v>
      </c>
    </row>
    <row r="12" spans="1:6" x14ac:dyDescent="0.25">
      <c r="A12" t="s">
        <v>570</v>
      </c>
      <c r="B12" s="66" t="s">
        <v>688</v>
      </c>
      <c r="C12" s="66" t="s">
        <v>565</v>
      </c>
      <c r="D12" s="66" t="s">
        <v>357</v>
      </c>
      <c r="E12" s="66" t="s">
        <v>689</v>
      </c>
      <c r="F12" t="s">
        <v>356</v>
      </c>
    </row>
    <row r="13" spans="1:6" x14ac:dyDescent="0.25">
      <c r="A13" t="s">
        <v>354</v>
      </c>
      <c r="B13" s="67" t="s">
        <v>566</v>
      </c>
      <c r="C13" s="68" t="s">
        <v>567</v>
      </c>
      <c r="D13" s="68" t="s">
        <v>568</v>
      </c>
      <c r="E13" t="s">
        <v>569</v>
      </c>
      <c r="F13" t="s">
        <v>355</v>
      </c>
    </row>
    <row r="14" spans="1:6" x14ac:dyDescent="0.25">
      <c r="A14" t="s">
        <v>414</v>
      </c>
      <c r="B14" t="s">
        <v>360</v>
      </c>
      <c r="C14" t="s">
        <v>361</v>
      </c>
      <c r="D14" t="s">
        <v>362</v>
      </c>
      <c r="E14" t="s">
        <v>363</v>
      </c>
      <c r="F14" t="s">
        <v>364</v>
      </c>
    </row>
    <row r="15" spans="1:6" x14ac:dyDescent="0.25">
      <c r="A15" t="s">
        <v>366</v>
      </c>
      <c r="B15" s="91" t="s">
        <v>367</v>
      </c>
      <c r="C15" s="91"/>
      <c r="D15" s="91"/>
      <c r="E15" s="91"/>
      <c r="F15" s="91"/>
    </row>
    <row r="16" spans="1:6" s="90" customFormat="1" x14ac:dyDescent="0.25">
      <c r="A16" s="90" t="s">
        <v>720</v>
      </c>
      <c r="B16" s="89" t="s">
        <v>716</v>
      </c>
      <c r="C16" s="89" t="s">
        <v>717</v>
      </c>
      <c r="D16" s="89" t="s">
        <v>718</v>
      </c>
      <c r="E16" s="89" t="s">
        <v>719</v>
      </c>
      <c r="F16" s="89" t="s">
        <v>715</v>
      </c>
    </row>
    <row r="17" spans="1:8" ht="15.75" customHeight="1" x14ac:dyDescent="0.25">
      <c r="A17" t="s">
        <v>368</v>
      </c>
      <c r="B17" s="69" t="s">
        <v>438</v>
      </c>
      <c r="C17" s="69" t="s">
        <v>436</v>
      </c>
      <c r="D17" s="69" t="s">
        <v>437</v>
      </c>
      <c r="E17" s="69" t="s">
        <v>369</v>
      </c>
      <c r="F17" s="69" t="s">
        <v>370</v>
      </c>
    </row>
    <row r="18" spans="1:8" x14ac:dyDescent="0.25">
      <c r="A18" t="s">
        <v>395</v>
      </c>
      <c r="B18" t="s">
        <v>371</v>
      </c>
      <c r="C18" t="s">
        <v>372</v>
      </c>
      <c r="D18" t="s">
        <v>373</v>
      </c>
      <c r="E18" t="s">
        <v>374</v>
      </c>
      <c r="F18" t="s">
        <v>375</v>
      </c>
    </row>
    <row r="19" spans="1:8" x14ac:dyDescent="0.25">
      <c r="A19" t="s">
        <v>434</v>
      </c>
      <c r="B19" s="91" t="s">
        <v>376</v>
      </c>
      <c r="C19" s="91"/>
      <c r="D19" s="91"/>
      <c r="E19" s="91"/>
      <c r="F19" t="s">
        <v>377</v>
      </c>
    </row>
    <row r="20" spans="1:8" x14ac:dyDescent="0.25">
      <c r="A20" t="s">
        <v>407</v>
      </c>
      <c r="B20" t="s">
        <v>0</v>
      </c>
      <c r="C20" t="s">
        <v>378</v>
      </c>
      <c r="D20" t="s">
        <v>379</v>
      </c>
      <c r="E20" t="s">
        <v>380</v>
      </c>
      <c r="F20" t="s">
        <v>375</v>
      </c>
    </row>
    <row r="21" spans="1:8" x14ac:dyDescent="0.25">
      <c r="A21" t="s">
        <v>714</v>
      </c>
      <c r="B21" t="s">
        <v>415</v>
      </c>
      <c r="C21" t="s">
        <v>578</v>
      </c>
      <c r="D21" t="s">
        <v>417</v>
      </c>
      <c r="E21" t="s">
        <v>416</v>
      </c>
      <c r="F21" t="s">
        <v>381</v>
      </c>
    </row>
    <row r="22" spans="1:8" x14ac:dyDescent="0.25">
      <c r="A22" t="s">
        <v>382</v>
      </c>
      <c r="B22" s="91" t="s">
        <v>383</v>
      </c>
      <c r="C22" s="91"/>
      <c r="D22" s="91"/>
      <c r="E22" s="91"/>
      <c r="F22" t="s">
        <v>384</v>
      </c>
    </row>
    <row r="23" spans="1:8" x14ac:dyDescent="0.25">
      <c r="A23" t="s">
        <v>385</v>
      </c>
      <c r="B23" s="13">
        <v>0.55000000000000004</v>
      </c>
      <c r="C23" s="13">
        <v>0.45</v>
      </c>
      <c r="D23" s="13">
        <v>0.42</v>
      </c>
      <c r="E23" s="13">
        <v>0.41</v>
      </c>
      <c r="F23" s="13">
        <v>0.38</v>
      </c>
    </row>
    <row r="24" spans="1:8" x14ac:dyDescent="0.25">
      <c r="A24" t="s">
        <v>386</v>
      </c>
      <c r="B24" s="91" t="s">
        <v>348</v>
      </c>
      <c r="C24" s="91"/>
      <c r="D24" s="91"/>
      <c r="E24" s="91"/>
      <c r="F24" t="s">
        <v>387</v>
      </c>
    </row>
    <row r="25" spans="1:8" x14ac:dyDescent="0.25">
      <c r="A25" t="s">
        <v>391</v>
      </c>
      <c r="B25" s="13" t="s">
        <v>574</v>
      </c>
      <c r="C25" t="s">
        <v>575</v>
      </c>
      <c r="D25" t="s">
        <v>576</v>
      </c>
      <c r="E25" t="s">
        <v>393</v>
      </c>
      <c r="F25" t="s">
        <v>392</v>
      </c>
    </row>
    <row r="26" spans="1:8" x14ac:dyDescent="0.25">
      <c r="A26" t="s">
        <v>388</v>
      </c>
      <c r="B26" s="91" t="s">
        <v>390</v>
      </c>
      <c r="C26" s="91"/>
      <c r="D26" s="91"/>
      <c r="E26" s="91"/>
      <c r="F26" t="s">
        <v>389</v>
      </c>
    </row>
    <row r="27" spans="1:8" s="81" customFormat="1" x14ac:dyDescent="0.25">
      <c r="A27" s="81" t="s">
        <v>700</v>
      </c>
      <c r="B27" s="80">
        <v>110</v>
      </c>
      <c r="C27" s="80">
        <v>130</v>
      </c>
      <c r="D27" s="80">
        <v>90</v>
      </c>
      <c r="E27" s="80"/>
    </row>
    <row r="28" spans="1:8" x14ac:dyDescent="0.25">
      <c r="A28" t="s">
        <v>406</v>
      </c>
      <c r="B28" t="s">
        <v>404</v>
      </c>
      <c r="C28" t="s">
        <v>400</v>
      </c>
      <c r="D28" t="s">
        <v>399</v>
      </c>
      <c r="E28" t="s">
        <v>397</v>
      </c>
      <c r="F28" t="s">
        <v>396</v>
      </c>
    </row>
    <row r="29" spans="1:8" x14ac:dyDescent="0.25">
      <c r="A29" t="s">
        <v>435</v>
      </c>
      <c r="B29" t="s">
        <v>405</v>
      </c>
      <c r="C29" t="s">
        <v>401</v>
      </c>
      <c r="D29" t="s">
        <v>402</v>
      </c>
      <c r="E29" t="s">
        <v>398</v>
      </c>
      <c r="F29" t="s">
        <v>403</v>
      </c>
    </row>
    <row r="30" spans="1:8" x14ac:dyDescent="0.25">
      <c r="A30" t="s">
        <v>411</v>
      </c>
      <c r="B30" t="s">
        <v>413</v>
      </c>
      <c r="C30" t="s">
        <v>408</v>
      </c>
      <c r="D30" t="s">
        <v>409</v>
      </c>
      <c r="E30" t="s">
        <v>412</v>
      </c>
      <c r="F30" t="s">
        <v>410</v>
      </c>
      <c r="H30" t="s">
        <v>583</v>
      </c>
    </row>
    <row r="31" spans="1:8" x14ac:dyDescent="0.25">
      <c r="A31" t="s">
        <v>596</v>
      </c>
      <c r="B31" t="s">
        <v>590</v>
      </c>
      <c r="C31" t="s">
        <v>591</v>
      </c>
      <c r="D31" t="s">
        <v>592</v>
      </c>
      <c r="E31" t="s">
        <v>593</v>
      </c>
      <c r="F31" t="s">
        <v>595</v>
      </c>
      <c r="H31" t="s">
        <v>594</v>
      </c>
    </row>
    <row r="32" spans="1:8" x14ac:dyDescent="0.25">
      <c r="A32" t="s">
        <v>580</v>
      </c>
      <c r="B32" t="s">
        <v>597</v>
      </c>
      <c r="C32" t="s">
        <v>598</v>
      </c>
      <c r="D32" t="s">
        <v>599</v>
      </c>
      <c r="E32" t="s">
        <v>600</v>
      </c>
      <c r="F32" t="s">
        <v>601</v>
      </c>
      <c r="H32" t="s">
        <v>602</v>
      </c>
    </row>
    <row r="33" spans="1:8" x14ac:dyDescent="0.25">
      <c r="A33" t="s">
        <v>581</v>
      </c>
      <c r="B33" t="s">
        <v>584</v>
      </c>
      <c r="C33" t="s">
        <v>585</v>
      </c>
      <c r="D33" t="s">
        <v>586</v>
      </c>
      <c r="E33" t="s">
        <v>587</v>
      </c>
      <c r="F33" t="s">
        <v>589</v>
      </c>
      <c r="H33" t="s">
        <v>588</v>
      </c>
    </row>
    <row r="34" spans="1:8" x14ac:dyDescent="0.25">
      <c r="A34" t="s">
        <v>582</v>
      </c>
      <c r="B34" s="92" t="s">
        <v>621</v>
      </c>
      <c r="C34" s="92"/>
      <c r="D34" s="92"/>
      <c r="E34" s="92"/>
      <c r="F34" t="s">
        <v>619</v>
      </c>
      <c r="H34" t="s">
        <v>620</v>
      </c>
    </row>
    <row r="35" spans="1:8" x14ac:dyDescent="0.25">
      <c r="A35" t="s">
        <v>470</v>
      </c>
      <c r="B35" s="79"/>
      <c r="C35" s="79"/>
      <c r="D35" s="79"/>
      <c r="E35" s="79"/>
      <c r="F35" t="s">
        <v>471</v>
      </c>
    </row>
    <row r="36" spans="1:8" x14ac:dyDescent="0.25">
      <c r="F36" t="s">
        <v>472</v>
      </c>
    </row>
    <row r="37" spans="1:8" x14ac:dyDescent="0.25">
      <c r="F37" t="s">
        <v>473</v>
      </c>
    </row>
    <row r="38" spans="1:8" x14ac:dyDescent="0.25">
      <c r="F38" t="s">
        <v>474</v>
      </c>
    </row>
    <row r="39" spans="1:8" x14ac:dyDescent="0.25">
      <c r="F39" t="s">
        <v>475</v>
      </c>
    </row>
    <row r="40" spans="1:8" x14ac:dyDescent="0.25">
      <c r="F40" t="s">
        <v>476</v>
      </c>
    </row>
    <row r="42" spans="1:8" x14ac:dyDescent="0.25">
      <c r="F42" t="s">
        <v>477</v>
      </c>
    </row>
    <row r="43" spans="1:8" x14ac:dyDescent="0.25">
      <c r="F43" t="s">
        <v>478</v>
      </c>
    </row>
    <row r="44" spans="1:8" x14ac:dyDescent="0.25">
      <c r="F44" t="s">
        <v>479</v>
      </c>
    </row>
    <row r="45" spans="1:8" x14ac:dyDescent="0.25">
      <c r="F45" t="s">
        <v>480</v>
      </c>
    </row>
    <row r="46" spans="1:8" x14ac:dyDescent="0.25">
      <c r="F46" t="s">
        <v>481</v>
      </c>
    </row>
    <row r="47" spans="1:8" x14ac:dyDescent="0.25">
      <c r="F47" t="s">
        <v>482</v>
      </c>
    </row>
    <row r="49" spans="6:6" x14ac:dyDescent="0.25">
      <c r="F49" s="70" t="s">
        <v>483</v>
      </c>
    </row>
    <row r="50" spans="6:6" x14ac:dyDescent="0.25">
      <c r="F50" s="70" t="s">
        <v>484</v>
      </c>
    </row>
    <row r="51" spans="6:6" x14ac:dyDescent="0.25">
      <c r="F51" s="70" t="s">
        <v>485</v>
      </c>
    </row>
    <row r="52" spans="6:6" x14ac:dyDescent="0.25">
      <c r="F52" s="70" t="s">
        <v>486</v>
      </c>
    </row>
    <row r="53" spans="6:6" x14ac:dyDescent="0.25">
      <c r="F53" s="70" t="s">
        <v>487</v>
      </c>
    </row>
    <row r="54" spans="6:6" x14ac:dyDescent="0.25">
      <c r="F54" s="70" t="s">
        <v>488</v>
      </c>
    </row>
    <row r="56" spans="6:6" x14ac:dyDescent="0.25">
      <c r="F56" s="70" t="s">
        <v>489</v>
      </c>
    </row>
    <row r="57" spans="6:6" x14ac:dyDescent="0.25">
      <c r="F57" s="70" t="s">
        <v>490</v>
      </c>
    </row>
    <row r="58" spans="6:6" x14ac:dyDescent="0.25">
      <c r="F58" s="70" t="s">
        <v>491</v>
      </c>
    </row>
    <row r="59" spans="6:6" x14ac:dyDescent="0.25">
      <c r="F59" s="70" t="s">
        <v>492</v>
      </c>
    </row>
    <row r="60" spans="6:6" x14ac:dyDescent="0.25">
      <c r="F60" s="70" t="s">
        <v>493</v>
      </c>
    </row>
    <row r="61" spans="6:6" x14ac:dyDescent="0.25">
      <c r="F61" s="70" t="s">
        <v>494</v>
      </c>
    </row>
  </sheetData>
  <mergeCells count="9">
    <mergeCell ref="B22:E22"/>
    <mergeCell ref="B24:E24"/>
    <mergeCell ref="B26:E26"/>
    <mergeCell ref="B4:E4"/>
    <mergeCell ref="B34:E34"/>
    <mergeCell ref="B2:D2"/>
    <mergeCell ref="B11:E11"/>
    <mergeCell ref="B15:F15"/>
    <mergeCell ref="B19:E19"/>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W21"/>
  <sheetViews>
    <sheetView workbookViewId="0">
      <pane ySplit="1" topLeftCell="A2" activePane="bottomLeft" state="frozen"/>
      <selection pane="bottomLeft" activeCell="G9" sqref="G9"/>
    </sheetView>
  </sheetViews>
  <sheetFormatPr baseColWidth="10" defaultRowHeight="15" x14ac:dyDescent="0.25"/>
  <cols>
    <col min="1" max="1" width="12.7109375" customWidth="1"/>
    <col min="2" max="2" width="6.42578125" customWidth="1"/>
    <col min="3" max="3" width="6.28515625" customWidth="1"/>
    <col min="4" max="4" width="5.7109375" customWidth="1"/>
    <col min="5" max="5" width="6.140625" customWidth="1"/>
    <col min="6" max="6" width="6.85546875" customWidth="1"/>
    <col min="7" max="7" width="6" customWidth="1"/>
    <col min="8" max="8" width="5.85546875" customWidth="1"/>
    <col min="9" max="9" width="6.28515625" customWidth="1"/>
    <col min="10" max="10" width="5.7109375" customWidth="1"/>
    <col min="11" max="11" width="5.42578125" customWidth="1"/>
    <col min="12" max="12" width="5" customWidth="1"/>
    <col min="13" max="14" width="5.42578125" customWidth="1"/>
    <col min="15" max="15" width="6.140625" customWidth="1"/>
    <col min="16" max="18" width="5.42578125" customWidth="1"/>
    <col min="19" max="19" width="5" customWidth="1"/>
    <col min="20" max="20" width="5.28515625" customWidth="1"/>
    <col min="21" max="22" width="5.42578125" customWidth="1"/>
    <col min="23" max="23" width="4" customWidth="1"/>
    <col min="24" max="24" width="4.5703125" customWidth="1"/>
    <col min="25" max="26" width="3.85546875" customWidth="1"/>
    <col min="27" max="29" width="5.42578125" customWidth="1"/>
    <col min="30" max="30" width="8.5703125" customWidth="1"/>
    <col min="31" max="31" width="8.42578125" customWidth="1"/>
    <col min="32" max="32" width="9" customWidth="1"/>
    <col min="33" max="33" width="8.28515625" customWidth="1"/>
    <col min="34" max="34" width="8.42578125" customWidth="1"/>
    <col min="35" max="36" width="8.28515625" customWidth="1"/>
    <col min="37" max="37" width="9.140625" customWidth="1"/>
    <col min="38" max="39" width="9.140625" style="84" customWidth="1"/>
    <col min="40" max="43" width="9.140625" style="87" customWidth="1"/>
    <col min="46" max="46" width="8.85546875" customWidth="1"/>
    <col min="47" max="47" width="13.140625" customWidth="1"/>
  </cols>
  <sheetData>
    <row r="1" spans="1:49" s="7" customFormat="1" ht="45" x14ac:dyDescent="0.25">
      <c r="A1" s="14" t="s">
        <v>6</v>
      </c>
      <c r="B1" s="14" t="s">
        <v>53</v>
      </c>
      <c r="C1" s="14" t="s">
        <v>299</v>
      </c>
      <c r="D1" s="7" t="s">
        <v>261</v>
      </c>
      <c r="E1" s="7" t="s">
        <v>298</v>
      </c>
      <c r="F1" s="7" t="s">
        <v>286</v>
      </c>
      <c r="G1" s="7" t="s">
        <v>262</v>
      </c>
      <c r="H1" s="7" t="s">
        <v>263</v>
      </c>
      <c r="I1" s="7" t="s">
        <v>264</v>
      </c>
      <c r="J1" s="7" t="s">
        <v>265</v>
      </c>
      <c r="K1" s="7" t="s">
        <v>266</v>
      </c>
      <c r="L1" s="7" t="s">
        <v>502</v>
      </c>
      <c r="M1" s="7" t="s">
        <v>503</v>
      </c>
      <c r="N1" s="7" t="s">
        <v>504</v>
      </c>
      <c r="O1" s="7" t="s">
        <v>329</v>
      </c>
      <c r="P1" s="7" t="s">
        <v>276</v>
      </c>
      <c r="Q1" s="7" t="s">
        <v>290</v>
      </c>
      <c r="R1" s="7" t="s">
        <v>274</v>
      </c>
      <c r="S1" s="7" t="s">
        <v>300</v>
      </c>
      <c r="T1" s="7" t="s">
        <v>301</v>
      </c>
      <c r="U1" s="7" t="s">
        <v>302</v>
      </c>
      <c r="V1" s="7" t="s">
        <v>613</v>
      </c>
      <c r="W1" s="7" t="s">
        <v>86</v>
      </c>
      <c r="X1" s="7" t="s">
        <v>87</v>
      </c>
      <c r="Y1" s="7" t="s">
        <v>88</v>
      </c>
      <c r="Z1" s="7" t="s">
        <v>3</v>
      </c>
      <c r="AA1" s="7" t="s">
        <v>499</v>
      </c>
      <c r="AB1" s="7" t="s">
        <v>500</v>
      </c>
      <c r="AC1" s="7" t="s">
        <v>501</v>
      </c>
      <c r="AD1" s="14" t="s">
        <v>309</v>
      </c>
      <c r="AE1" s="14" t="s">
        <v>310</v>
      </c>
      <c r="AF1" s="14" t="s">
        <v>311</v>
      </c>
      <c r="AG1" s="14" t="s">
        <v>313</v>
      </c>
      <c r="AH1" s="14" t="s">
        <v>312</v>
      </c>
      <c r="AI1" s="7" t="s">
        <v>276</v>
      </c>
      <c r="AJ1" s="7" t="s">
        <v>290</v>
      </c>
      <c r="AK1" s="7" t="s">
        <v>274</v>
      </c>
      <c r="AL1" s="7" t="s">
        <v>705</v>
      </c>
      <c r="AM1" s="7" t="s">
        <v>707</v>
      </c>
      <c r="AN1" s="7" t="s">
        <v>709</v>
      </c>
      <c r="AO1" s="7" t="s">
        <v>710</v>
      </c>
      <c r="AP1" s="7" t="s">
        <v>711</v>
      </c>
      <c r="AQ1" s="7" t="s">
        <v>712</v>
      </c>
      <c r="AR1" s="7" t="s">
        <v>287</v>
      </c>
      <c r="AS1" s="7" t="s">
        <v>291</v>
      </c>
      <c r="AT1" s="7" t="s">
        <v>292</v>
      </c>
      <c r="AU1" s="7" t="s">
        <v>8</v>
      </c>
      <c r="AV1" s="7" t="s">
        <v>322</v>
      </c>
    </row>
    <row r="2" spans="1:49" x14ac:dyDescent="0.25">
      <c r="A2" s="19" t="s">
        <v>86</v>
      </c>
      <c r="B2" s="4">
        <v>51.7</v>
      </c>
      <c r="C2" s="62">
        <f>B2/$B$7</f>
        <v>0.24306535025858014</v>
      </c>
      <c r="D2" s="2">
        <f>C2*$D$7</f>
        <v>729.19605077574045</v>
      </c>
      <c r="E2">
        <v>516</v>
      </c>
      <c r="F2">
        <v>484</v>
      </c>
      <c r="G2">
        <v>120</v>
      </c>
      <c r="H2">
        <v>150</v>
      </c>
      <c r="I2">
        <v>240</v>
      </c>
      <c r="J2">
        <v>240</v>
      </c>
      <c r="K2">
        <v>250</v>
      </c>
      <c r="L2" s="2">
        <f t="shared" ref="L2:N6" si="0">AA2*SUM($H2:$J2)/1000</f>
        <v>112.14</v>
      </c>
      <c r="M2" s="2">
        <f t="shared" si="0"/>
        <v>260.82</v>
      </c>
      <c r="N2" s="2">
        <f t="shared" si="0"/>
        <v>257.67</v>
      </c>
      <c r="O2">
        <v>409</v>
      </c>
      <c r="P2">
        <v>465</v>
      </c>
      <c r="Q2">
        <v>194</v>
      </c>
      <c r="R2">
        <v>341</v>
      </c>
      <c r="AA2">
        <v>178</v>
      </c>
      <c r="AB2">
        <v>414</v>
      </c>
      <c r="AC2">
        <v>409</v>
      </c>
      <c r="AD2" s="2">
        <f t="shared" ref="AD2:AH5" si="1">AE17*$C2*$D$7/1000</f>
        <v>137.81805359661496</v>
      </c>
      <c r="AE2" s="2">
        <f t="shared" si="1"/>
        <v>145.83921015514809</v>
      </c>
      <c r="AF2" s="2">
        <f t="shared" si="1"/>
        <v>160.42313117066291</v>
      </c>
      <c r="AG2" s="2">
        <f t="shared" si="1"/>
        <v>102.08744710860366</v>
      </c>
      <c r="AH2" s="2">
        <f t="shared" si="1"/>
        <v>183.02820874471087</v>
      </c>
      <c r="AI2">
        <v>595</v>
      </c>
      <c r="AJ2">
        <v>184</v>
      </c>
      <c r="AK2">
        <v>222</v>
      </c>
      <c r="AL2" s="84">
        <v>263</v>
      </c>
      <c r="AM2" s="84">
        <v>71</v>
      </c>
      <c r="AN2" s="87">
        <v>319.2</v>
      </c>
      <c r="AO2" s="87">
        <v>357.6</v>
      </c>
      <c r="AP2" s="87">
        <v>322.8</v>
      </c>
      <c r="AQ2" s="87">
        <f>279.2+1000*(1000-SUM(AN2:AP2))/(1000-279.2)</f>
        <v>279.75493895671485</v>
      </c>
      <c r="AR2" t="s">
        <v>288</v>
      </c>
      <c r="AS2" t="s">
        <v>267</v>
      </c>
      <c r="AT2" t="s">
        <v>268</v>
      </c>
      <c r="AU2" t="s">
        <v>320</v>
      </c>
    </row>
    <row r="3" spans="1:49" x14ac:dyDescent="0.25">
      <c r="A3" s="19" t="s">
        <v>87</v>
      </c>
      <c r="B3" s="2">
        <v>69.400000000000006</v>
      </c>
      <c r="C3" s="62">
        <f>B3/$B$7</f>
        <v>0.32628114715561823</v>
      </c>
      <c r="D3" s="2">
        <f>C3*$D$7</f>
        <v>978.84344146685476</v>
      </c>
      <c r="E3">
        <v>512</v>
      </c>
      <c r="F3">
        <v>488</v>
      </c>
      <c r="G3">
        <v>85</v>
      </c>
      <c r="H3">
        <v>150</v>
      </c>
      <c r="I3">
        <v>222</v>
      </c>
      <c r="J3">
        <v>280</v>
      </c>
      <c r="K3">
        <v>263</v>
      </c>
      <c r="L3" s="2">
        <f t="shared" si="0"/>
        <v>95.843999999999994</v>
      </c>
      <c r="M3" s="2">
        <f t="shared" si="0"/>
        <v>266.66800000000001</v>
      </c>
      <c r="N3" s="2">
        <f t="shared" si="0"/>
        <v>289.488</v>
      </c>
      <c r="O3">
        <v>444</v>
      </c>
      <c r="P3">
        <v>366</v>
      </c>
      <c r="Q3">
        <v>404</v>
      </c>
      <c r="R3">
        <v>230</v>
      </c>
      <c r="Z3" s="82"/>
      <c r="AA3">
        <v>147</v>
      </c>
      <c r="AB3">
        <v>409</v>
      </c>
      <c r="AC3">
        <v>444</v>
      </c>
      <c r="AD3" s="2">
        <f t="shared" si="1"/>
        <v>176.97489421720732</v>
      </c>
      <c r="AE3" s="2">
        <f t="shared" si="1"/>
        <v>271.04174894217203</v>
      </c>
      <c r="AF3" s="2">
        <f t="shared" si="1"/>
        <v>99.156840620592376</v>
      </c>
      <c r="AG3" s="2">
        <f t="shared" si="1"/>
        <v>146.63074753173484</v>
      </c>
      <c r="AH3" s="2">
        <f t="shared" si="1"/>
        <v>285.13709449929479</v>
      </c>
      <c r="AI3">
        <v>395</v>
      </c>
      <c r="AJ3">
        <v>403</v>
      </c>
      <c r="AK3">
        <v>202</v>
      </c>
      <c r="AL3" s="84">
        <v>202</v>
      </c>
      <c r="AM3" s="84">
        <v>29</v>
      </c>
      <c r="AN3" s="87">
        <v>491.8</v>
      </c>
      <c r="AO3" s="87">
        <v>379.6</v>
      </c>
      <c r="AP3" s="87">
        <v>103.4</v>
      </c>
      <c r="AQ3" s="87">
        <f>240.9+1000*(1000-SUM(AN3:AP3))/(1000-240.9)</f>
        <v>274.09720721907513</v>
      </c>
      <c r="AR3" t="s">
        <v>276</v>
      </c>
      <c r="AS3" t="s">
        <v>275</v>
      </c>
      <c r="AT3" t="s">
        <v>274</v>
      </c>
      <c r="AU3" t="s">
        <v>320</v>
      </c>
      <c r="AV3" t="s">
        <v>289</v>
      </c>
    </row>
    <row r="4" spans="1:49" x14ac:dyDescent="0.25">
      <c r="A4" s="19" t="s">
        <v>88</v>
      </c>
      <c r="B4" s="2">
        <v>38.5</v>
      </c>
      <c r="C4" s="62">
        <f>B4/$B$7</f>
        <v>0.18100611189468735</v>
      </c>
      <c r="D4" s="2">
        <f>C4*$D$7</f>
        <v>543.01833568406209</v>
      </c>
      <c r="E4">
        <v>506</v>
      </c>
      <c r="F4">
        <v>494</v>
      </c>
      <c r="G4">
        <v>79</v>
      </c>
      <c r="H4">
        <v>124</v>
      </c>
      <c r="I4">
        <v>285</v>
      </c>
      <c r="J4">
        <v>266</v>
      </c>
      <c r="K4">
        <v>246</v>
      </c>
      <c r="L4" s="2">
        <f t="shared" si="0"/>
        <v>243.67500000000001</v>
      </c>
      <c r="M4" s="2">
        <f t="shared" si="0"/>
        <v>155.92500000000001</v>
      </c>
      <c r="N4" s="2">
        <f t="shared" si="0"/>
        <v>275.39999999999998</v>
      </c>
      <c r="O4">
        <v>408</v>
      </c>
      <c r="P4">
        <v>515</v>
      </c>
      <c r="Q4">
        <v>224</v>
      </c>
      <c r="R4">
        <v>261</v>
      </c>
      <c r="Z4" s="82"/>
      <c r="AA4">
        <v>361</v>
      </c>
      <c r="AB4">
        <v>231</v>
      </c>
      <c r="AC4">
        <v>408</v>
      </c>
      <c r="AD4" s="2">
        <f t="shared" si="1"/>
        <v>160.32073342736248</v>
      </c>
      <c r="AE4" s="2">
        <f t="shared" si="1"/>
        <v>100.99272214386461</v>
      </c>
      <c r="AF4" s="2">
        <f t="shared" si="1"/>
        <v>153.19687588152328</v>
      </c>
      <c r="AG4" s="2">
        <f t="shared" si="1"/>
        <v>58.522715091678421</v>
      </c>
      <c r="AH4" s="2">
        <f t="shared" si="1"/>
        <v>69.98474612129759</v>
      </c>
      <c r="AI4">
        <v>697</v>
      </c>
      <c r="AK4">
        <v>303</v>
      </c>
      <c r="AL4" s="84">
        <v>259</v>
      </c>
      <c r="AM4" s="84">
        <v>131</v>
      </c>
      <c r="AN4" s="87">
        <v>521.79999999999995</v>
      </c>
      <c r="AO4" s="87">
        <v>291.7</v>
      </c>
      <c r="AP4" s="87">
        <v>150.80000000000001</v>
      </c>
      <c r="AQ4" s="87">
        <f>344.5+1000*(1000-SUM(AN4:AP4))/(1000-344.5)</f>
        <v>398.96224256292913</v>
      </c>
      <c r="AR4" t="s">
        <v>293</v>
      </c>
      <c r="AT4" t="s">
        <v>294</v>
      </c>
      <c r="AU4" t="s">
        <v>320</v>
      </c>
      <c r="AV4" t="s">
        <v>323</v>
      </c>
    </row>
    <row r="5" spans="1:49" x14ac:dyDescent="0.25">
      <c r="A5" s="19" t="s">
        <v>3</v>
      </c>
      <c r="B5" s="2">
        <v>53.1</v>
      </c>
      <c r="C5" s="62">
        <f>B5/$B$7</f>
        <v>0.24964739069111425</v>
      </c>
      <c r="D5" s="2">
        <f>C5*$D$7</f>
        <v>748.9421720733427</v>
      </c>
      <c r="E5">
        <v>504</v>
      </c>
      <c r="F5">
        <v>496</v>
      </c>
      <c r="G5">
        <v>102</v>
      </c>
      <c r="H5">
        <v>168</v>
      </c>
      <c r="I5">
        <v>244</v>
      </c>
      <c r="J5">
        <v>246</v>
      </c>
      <c r="K5">
        <v>241</v>
      </c>
      <c r="L5" s="2">
        <f t="shared" si="0"/>
        <v>120.414</v>
      </c>
      <c r="M5" s="2">
        <f t="shared" si="0"/>
        <v>207.928</v>
      </c>
      <c r="N5" s="2">
        <f t="shared" si="0"/>
        <v>329.65800000000002</v>
      </c>
      <c r="O5">
        <v>501</v>
      </c>
      <c r="P5">
        <v>401</v>
      </c>
      <c r="Q5">
        <v>423</v>
      </c>
      <c r="R5">
        <v>176</v>
      </c>
      <c r="Z5" s="82"/>
      <c r="AA5">
        <v>183</v>
      </c>
      <c r="AB5">
        <v>316</v>
      </c>
      <c r="AC5">
        <v>501</v>
      </c>
      <c r="AD5" s="2">
        <f t="shared" si="1"/>
        <v>97.137799717912543</v>
      </c>
      <c r="AE5" s="2">
        <f t="shared" si="1"/>
        <v>233.81974612129761</v>
      </c>
      <c r="AF5" s="2">
        <f t="shared" si="1"/>
        <v>156.90338504936531</v>
      </c>
      <c r="AG5" s="2">
        <f t="shared" si="1"/>
        <v>177.12482369534555</v>
      </c>
      <c r="AH5" s="2">
        <f t="shared" si="1"/>
        <v>83.95641748942171</v>
      </c>
      <c r="AI5">
        <v>593</v>
      </c>
      <c r="AJ5">
        <v>279</v>
      </c>
      <c r="AK5">
        <v>128</v>
      </c>
      <c r="AL5" s="84">
        <v>216</v>
      </c>
      <c r="AM5" s="84">
        <v>37</v>
      </c>
      <c r="AN5" s="87">
        <v>391.4</v>
      </c>
      <c r="AO5" s="87">
        <v>559.4</v>
      </c>
      <c r="AP5" s="87">
        <v>20.100000000000001</v>
      </c>
      <c r="AQ5" s="87">
        <f>327.3+1000*(1000-SUM(AN5:AP5))/(1000-327.3)</f>
        <v>370.55851048015467</v>
      </c>
      <c r="AR5" t="s">
        <v>295</v>
      </c>
      <c r="AS5" t="s">
        <v>296</v>
      </c>
      <c r="AT5" t="s">
        <v>285</v>
      </c>
      <c r="AU5" t="s">
        <v>297</v>
      </c>
      <c r="AV5" t="s">
        <v>320</v>
      </c>
      <c r="AW5" t="s">
        <v>469</v>
      </c>
    </row>
    <row r="6" spans="1:49" x14ac:dyDescent="0.25">
      <c r="A6" s="7" t="s">
        <v>611</v>
      </c>
      <c r="B6" s="2">
        <f>SUM(B2:B5)</f>
        <v>212.70000000000002</v>
      </c>
      <c r="C6" s="2"/>
      <c r="D6" s="7">
        <v>1000</v>
      </c>
      <c r="E6" s="2">
        <f>SUMPRODUCT($C2:$C5,E2:E5)</f>
        <v>509.88904560413727</v>
      </c>
      <c r="F6" s="2">
        <f t="shared" ref="F6:R6" si="2">SUMPRODUCT($C2:$C5,F2:F5)</f>
        <v>490.11095439586268</v>
      </c>
      <c r="G6" s="2">
        <f t="shared" si="2"/>
        <v>96.665256229431108</v>
      </c>
      <c r="H6" s="2">
        <f t="shared" si="2"/>
        <v>149.78749412317816</v>
      </c>
      <c r="I6" s="2">
        <f t="shared" si="2"/>
        <v>243.27080394922424</v>
      </c>
      <c r="J6" s="2">
        <f t="shared" si="2"/>
        <v>259.25528913963331</v>
      </c>
      <c r="K6" s="2">
        <f t="shared" si="2"/>
        <v>251.27080394922424</v>
      </c>
      <c r="L6" s="2">
        <f t="shared" si="0"/>
        <v>131.93540660356939</v>
      </c>
      <c r="M6" s="2">
        <f t="shared" si="0"/>
        <v>231.42718270522343</v>
      </c>
      <c r="N6" s="2">
        <f t="shared" si="0"/>
        <v>289.10955273379693</v>
      </c>
      <c r="O6" s="2">
        <f t="shared" ref="O6" si="3">SUMPRODUCT($C2:$C5,O2:O5)</f>
        <v>443.2063939821345</v>
      </c>
      <c r="P6" s="2">
        <f t="shared" si="2"/>
        <v>425.77103902209689</v>
      </c>
      <c r="Q6" s="2">
        <f t="shared" si="2"/>
        <v>325.11847672778561</v>
      </c>
      <c r="R6" s="2">
        <f t="shared" si="2"/>
        <v>249.11048425011754</v>
      </c>
      <c r="S6" s="2"/>
      <c r="T6" s="2"/>
      <c r="U6" s="2"/>
      <c r="V6" s="2"/>
      <c r="W6" s="2">
        <f>$C$2*$D6</f>
        <v>243.06535025858014</v>
      </c>
      <c r="X6" s="2">
        <f>$C$3*$D6</f>
        <v>326.28114715561821</v>
      </c>
      <c r="Y6" s="2">
        <f>$C$4*$D6</f>
        <v>181.00611189468734</v>
      </c>
      <c r="Z6" s="2">
        <f>$C$5*$D6</f>
        <v>249.64739069111425</v>
      </c>
      <c r="AA6" s="2">
        <f>SUMPRODUCT($C2:$C5,AA2:AA5)</f>
        <v>202.25763986835915</v>
      </c>
      <c r="AB6" s="2">
        <f>SUMPRODUCT($C2:$C5,AB2:AB5)</f>
        <v>354.77903149976487</v>
      </c>
      <c r="AC6" s="2">
        <f>SUMPRODUCT($C2:$C5,AC2:AC5)</f>
        <v>443.2063939821345</v>
      </c>
      <c r="AD6" s="2"/>
      <c r="AE6" s="2"/>
      <c r="AF6" s="2"/>
      <c r="AG6" s="2"/>
      <c r="AH6" s="2"/>
      <c r="AI6" s="2">
        <f t="shared" ref="AI6:AQ6" si="4">SUMPRODUCT($C2:$C5,AI2:AI5)</f>
        <v>547.70709920075217</v>
      </c>
      <c r="AJ6" s="2">
        <f t="shared" si="4"/>
        <v>245.86694875411376</v>
      </c>
      <c r="AK6" s="2">
        <f t="shared" si="4"/>
        <v>206.66901739539256</v>
      </c>
      <c r="AL6" s="2">
        <f t="shared" si="4"/>
        <v>230.63939821344616</v>
      </c>
      <c r="AM6" s="2">
        <f t="shared" si="4"/>
        <v>59.668547249647389</v>
      </c>
      <c r="AN6" s="2">
        <f t="shared" si="4"/>
        <v>430.21250587682181</v>
      </c>
      <c r="AO6" s="2">
        <f t="shared" si="4"/>
        <v>403.22872590503056</v>
      </c>
      <c r="AP6" s="2">
        <f t="shared" si="4"/>
        <v>144.51259990597086</v>
      </c>
      <c r="AQ6" s="2">
        <f t="shared" si="4"/>
        <v>322.15505298653011</v>
      </c>
      <c r="AR6" t="s">
        <v>496</v>
      </c>
      <c r="AS6" t="s">
        <v>497</v>
      </c>
      <c r="AT6" t="s">
        <v>498</v>
      </c>
    </row>
    <row r="7" spans="1:49" x14ac:dyDescent="0.25">
      <c r="A7" t="s">
        <v>63</v>
      </c>
      <c r="B7" s="2">
        <f>SUM(B2:B5)</f>
        <v>212.70000000000002</v>
      </c>
      <c r="C7" s="2"/>
      <c r="D7" s="7">
        <v>3000</v>
      </c>
      <c r="E7" s="2">
        <f t="shared" ref="E7:K7" si="5">SUMPRODUCT($C2:$C5,E2:E5)*$D$7/1000</f>
        <v>1529.6671368124116</v>
      </c>
      <c r="F7" s="2">
        <f t="shared" si="5"/>
        <v>1470.3328631875881</v>
      </c>
      <c r="G7" s="2">
        <f t="shared" si="5"/>
        <v>289.99576868829337</v>
      </c>
      <c r="H7" s="2">
        <f t="shared" si="5"/>
        <v>449.36248236953452</v>
      </c>
      <c r="I7" s="2">
        <f t="shared" si="5"/>
        <v>729.81241184767282</v>
      </c>
      <c r="J7" s="2">
        <f t="shared" si="5"/>
        <v>777.76586741889992</v>
      </c>
      <c r="K7" s="2">
        <f t="shared" si="5"/>
        <v>753.81241184767282</v>
      </c>
      <c r="L7" s="2">
        <f>AA7*SUM($H7:$J7)/$D$7</f>
        <v>395.80621981070828</v>
      </c>
      <c r="M7" s="2">
        <f>AB7*SUM($H7:$J7)/$D$7</f>
        <v>694.28154811567038</v>
      </c>
      <c r="N7" s="2">
        <f>AC7*SUM($H7:$J7)/$D$7</f>
        <v>867.32865820139102</v>
      </c>
      <c r="O7" s="2">
        <f t="shared" ref="O7" si="6">SUMPRODUCT($C2:$C5,O2:O5)*$D$7/1000</f>
        <v>1329.6191819464036</v>
      </c>
      <c r="P7" s="2">
        <f>SUMPRODUCT($C2:$C5,P2:P5)*$D$7/1000</f>
        <v>1277.3131170662907</v>
      </c>
      <c r="Q7" s="2">
        <f>SUMPRODUCT($C2:$C5,Q2:Q5)*$D$7/1000</f>
        <v>975.35543018335682</v>
      </c>
      <c r="R7" s="2">
        <f>SUMPRODUCT($C2:$C5,R2:R5)*$D$7/1000</f>
        <v>747.33145275035258</v>
      </c>
      <c r="S7" s="2"/>
      <c r="T7" s="2"/>
      <c r="U7" s="2"/>
      <c r="V7" s="2"/>
      <c r="W7" s="2">
        <f>$C$2*$D7</f>
        <v>729.19605077574045</v>
      </c>
      <c r="X7" s="2">
        <f>$C$3*$D7</f>
        <v>978.84344146685476</v>
      </c>
      <c r="Y7" s="2">
        <f>$C$4*$D7</f>
        <v>543.01833568406209</v>
      </c>
      <c r="Z7" s="2">
        <f>$C$5*$D7</f>
        <v>748.9421720733427</v>
      </c>
      <c r="AA7" s="2">
        <f>SUMPRODUCT($C2:$C5,AA2:AA5)*$D$7/1000</f>
        <v>606.7729196050775</v>
      </c>
      <c r="AB7" s="2">
        <f>SUMPRODUCT($C2:$C5,AB2:AB5)*$D$7/1000</f>
        <v>1064.3370944992946</v>
      </c>
      <c r="AC7" s="2">
        <f>SUMPRODUCT($C2:$C5,AC2:AC5)*$D$7/1000</f>
        <v>1329.6191819464036</v>
      </c>
      <c r="AI7" s="2">
        <f>SUMPRODUCT($C2:$C5,AI2:AI5)</f>
        <v>547.70709920075217</v>
      </c>
      <c r="AJ7" s="2">
        <f>SUMPRODUCT($C2:$C5,AJ2:AJ5)</f>
        <v>245.86694875411376</v>
      </c>
      <c r="AK7" s="2">
        <f>SUMPRODUCT($C2:$C5,AK2:AK5)</f>
        <v>206.66901739539256</v>
      </c>
      <c r="AL7" s="2"/>
      <c r="AM7" s="2"/>
      <c r="AN7" s="2"/>
      <c r="AO7" s="2"/>
      <c r="AP7" s="2"/>
      <c r="AQ7" s="2"/>
      <c r="AU7" t="s">
        <v>321</v>
      </c>
    </row>
    <row r="8" spans="1:49" x14ac:dyDescent="0.25">
      <c r="A8" s="7" t="s">
        <v>5</v>
      </c>
      <c r="B8" s="4">
        <v>257</v>
      </c>
      <c r="C8" s="4"/>
      <c r="D8" s="7">
        <v>1000</v>
      </c>
      <c r="E8" s="2">
        <v>507.5</v>
      </c>
      <c r="F8" s="2">
        <v>492.5</v>
      </c>
      <c r="G8" s="2">
        <v>118</v>
      </c>
      <c r="H8" s="2">
        <v>180</v>
      </c>
      <c r="I8" s="2">
        <v>243</v>
      </c>
      <c r="J8" s="2">
        <v>246.7</v>
      </c>
      <c r="K8" s="2">
        <v>212.3</v>
      </c>
      <c r="L8" s="2">
        <f>AA8*SUM($H8:$J8)/$D$8</f>
        <v>55.585100000000004</v>
      </c>
      <c r="M8" s="2">
        <f>AB8*SUM($H8:$J8)/$D$8</f>
        <v>277.25580000000002</v>
      </c>
      <c r="N8" s="2">
        <f>AC8*SUM($H8:$J8)/$D$8</f>
        <v>336.85910000000001</v>
      </c>
      <c r="O8" s="2">
        <v>503</v>
      </c>
      <c r="P8" s="2">
        <v>732.4</v>
      </c>
      <c r="R8" s="2">
        <v>267.60000000000002</v>
      </c>
      <c r="S8" s="2">
        <v>601</v>
      </c>
      <c r="T8" s="2">
        <v>185</v>
      </c>
      <c r="U8" s="2">
        <v>134</v>
      </c>
      <c r="V8" s="2">
        <v>80</v>
      </c>
      <c r="W8" s="2">
        <f>W10*$D$8/$D$10</f>
        <v>252</v>
      </c>
      <c r="X8" s="2">
        <f t="shared" ref="X8:Z8" si="7">X10*$D$8/$D$10</f>
        <v>248</v>
      </c>
      <c r="Y8" s="2">
        <f t="shared" si="7"/>
        <v>249.5</v>
      </c>
      <c r="Z8" s="2">
        <f t="shared" si="7"/>
        <v>251</v>
      </c>
      <c r="AA8" s="2">
        <v>83</v>
      </c>
      <c r="AB8" s="2">
        <v>414</v>
      </c>
      <c r="AC8" s="2">
        <v>503</v>
      </c>
      <c r="AD8">
        <f>AE21*$D$8/1000</f>
        <v>171</v>
      </c>
      <c r="AE8">
        <f>AF21*$D$8/1000</f>
        <v>208</v>
      </c>
      <c r="AF8">
        <v>383</v>
      </c>
      <c r="AG8">
        <v>239</v>
      </c>
      <c r="AL8" s="84">
        <v>259</v>
      </c>
      <c r="AM8" s="84">
        <v>34</v>
      </c>
      <c r="AN8" s="87">
        <v>515.70000000000005</v>
      </c>
      <c r="AO8" s="87">
        <v>480.3</v>
      </c>
      <c r="AP8" s="87">
        <v>0</v>
      </c>
      <c r="AQ8" s="87">
        <f>378+1000*(1000-SUM(AN8:AP8))/(1000-378)</f>
        <v>384.43086816720256</v>
      </c>
      <c r="AU8" t="s">
        <v>303</v>
      </c>
    </row>
    <row r="9" spans="1:49" x14ac:dyDescent="0.25">
      <c r="A9" s="19" t="s">
        <v>612</v>
      </c>
      <c r="B9" s="2">
        <v>257</v>
      </c>
      <c r="D9" s="7">
        <v>3000</v>
      </c>
      <c r="E9" s="2">
        <f>E$8*$D9/$D$8</f>
        <v>1522.5</v>
      </c>
      <c r="F9" s="2">
        <f t="shared" ref="F9:V10" si="8">F$8*$D9/$D$8</f>
        <v>1477.5</v>
      </c>
      <c r="G9" s="2">
        <f t="shared" si="8"/>
        <v>354</v>
      </c>
      <c r="H9" s="2">
        <f t="shared" si="8"/>
        <v>540</v>
      </c>
      <c r="I9" s="2">
        <f t="shared" si="8"/>
        <v>729</v>
      </c>
      <c r="J9" s="2">
        <f t="shared" si="8"/>
        <v>740.1</v>
      </c>
      <c r="K9" s="2">
        <f t="shared" si="8"/>
        <v>636.9</v>
      </c>
      <c r="L9" s="2">
        <f t="shared" si="8"/>
        <v>166.75530000000001</v>
      </c>
      <c r="M9" s="2">
        <f t="shared" si="8"/>
        <v>831.76740000000007</v>
      </c>
      <c r="N9" s="2">
        <f t="shared" si="8"/>
        <v>1010.5773</v>
      </c>
      <c r="O9" s="2">
        <f t="shared" si="8"/>
        <v>1509</v>
      </c>
      <c r="P9" s="2">
        <f t="shared" si="8"/>
        <v>2197.1999999999998</v>
      </c>
      <c r="Q9" s="2">
        <f t="shared" si="8"/>
        <v>0</v>
      </c>
      <c r="R9" s="2">
        <f t="shared" si="8"/>
        <v>802.80000000000007</v>
      </c>
      <c r="S9" s="2">
        <f t="shared" si="8"/>
        <v>1803</v>
      </c>
      <c r="T9" s="2">
        <f t="shared" si="8"/>
        <v>555</v>
      </c>
      <c r="U9" s="2">
        <f t="shared" si="8"/>
        <v>402</v>
      </c>
      <c r="V9" s="2">
        <f t="shared" si="8"/>
        <v>240</v>
      </c>
      <c r="W9" s="2">
        <f>W10*$D$9/$D$10</f>
        <v>756</v>
      </c>
      <c r="X9" s="2">
        <f t="shared" ref="X9:Y9" si="9">X10*$D$9/$D$10</f>
        <v>744</v>
      </c>
      <c r="Y9" s="2">
        <f t="shared" si="9"/>
        <v>748.5</v>
      </c>
      <c r="Z9" s="2">
        <f>Z10*$D$9/$D$10</f>
        <v>753</v>
      </c>
      <c r="AD9">
        <f>$D9*AD8/1000</f>
        <v>513</v>
      </c>
      <c r="AE9">
        <f t="shared" ref="AE9:AG9" si="10">$D$9*AE8/1000</f>
        <v>624</v>
      </c>
      <c r="AF9">
        <f t="shared" si="10"/>
        <v>1149</v>
      </c>
      <c r="AG9">
        <f t="shared" si="10"/>
        <v>717</v>
      </c>
    </row>
    <row r="10" spans="1:49" x14ac:dyDescent="0.25">
      <c r="A10" s="19" t="s">
        <v>583</v>
      </c>
      <c r="B10" s="2">
        <v>257</v>
      </c>
      <c r="D10" s="7">
        <v>2000</v>
      </c>
      <c r="E10" s="2">
        <f>E$8*$D10/$D$8</f>
        <v>1015</v>
      </c>
      <c r="F10" s="2">
        <f t="shared" si="8"/>
        <v>985</v>
      </c>
      <c r="G10" s="2">
        <f t="shared" si="8"/>
        <v>236</v>
      </c>
      <c r="H10" s="2">
        <f t="shared" si="8"/>
        <v>360</v>
      </c>
      <c r="I10" s="2">
        <f t="shared" si="8"/>
        <v>486</v>
      </c>
      <c r="J10" s="2">
        <f t="shared" si="8"/>
        <v>493.4</v>
      </c>
      <c r="K10" s="2">
        <f t="shared" si="8"/>
        <v>424.6</v>
      </c>
      <c r="L10" s="2">
        <f t="shared" si="8"/>
        <v>111.17020000000001</v>
      </c>
      <c r="M10" s="2">
        <f t="shared" si="8"/>
        <v>554.51160000000004</v>
      </c>
      <c r="N10" s="2">
        <f t="shared" si="8"/>
        <v>673.71820000000002</v>
      </c>
      <c r="O10" s="2">
        <f t="shared" si="8"/>
        <v>1006</v>
      </c>
      <c r="P10" s="2">
        <f t="shared" si="8"/>
        <v>1464.8</v>
      </c>
      <c r="Q10" s="2">
        <f t="shared" si="8"/>
        <v>0</v>
      </c>
      <c r="R10" s="2">
        <f t="shared" si="8"/>
        <v>535.20000000000005</v>
      </c>
      <c r="S10" s="2">
        <f t="shared" si="8"/>
        <v>1202</v>
      </c>
      <c r="T10" s="2">
        <f t="shared" si="8"/>
        <v>370</v>
      </c>
      <c r="U10" s="2">
        <f t="shared" si="8"/>
        <v>268</v>
      </c>
      <c r="V10" s="2">
        <f t="shared" si="8"/>
        <v>160</v>
      </c>
      <c r="W10">
        <v>504</v>
      </c>
      <c r="X10">
        <v>496</v>
      </c>
      <c r="Y10">
        <v>499</v>
      </c>
      <c r="Z10">
        <v>502</v>
      </c>
      <c r="AD10">
        <f>$D10*AD8/1000</f>
        <v>342</v>
      </c>
      <c r="AE10">
        <f t="shared" ref="AE10:AG10" si="11">$D10*AE8/1000</f>
        <v>416</v>
      </c>
      <c r="AF10">
        <f t="shared" si="11"/>
        <v>766</v>
      </c>
      <c r="AG10">
        <f t="shared" si="11"/>
        <v>478</v>
      </c>
      <c r="AR10" s="87"/>
    </row>
    <row r="11" spans="1:49" x14ac:dyDescent="0.25">
      <c r="A11" s="7"/>
      <c r="U11" t="s">
        <v>681</v>
      </c>
      <c r="W11" t="s">
        <v>77</v>
      </c>
      <c r="X11" t="s">
        <v>80</v>
      </c>
      <c r="Y11" t="s">
        <v>83</v>
      </c>
      <c r="Z11" t="s">
        <v>682</v>
      </c>
      <c r="AR11" s="87"/>
    </row>
    <row r="12" spans="1:49" ht="27" customHeight="1" x14ac:dyDescent="0.25">
      <c r="A12" s="7" t="s">
        <v>304</v>
      </c>
      <c r="AC12" t="s">
        <v>314</v>
      </c>
      <c r="AD12" s="19" t="s">
        <v>86</v>
      </c>
      <c r="AE12" s="58" t="s">
        <v>256</v>
      </c>
      <c r="AF12" s="58" t="s">
        <v>257</v>
      </c>
      <c r="AG12" s="58" t="s">
        <v>258</v>
      </c>
      <c r="AH12" s="58" t="s">
        <v>259</v>
      </c>
      <c r="AI12" s="58" t="s">
        <v>260</v>
      </c>
      <c r="AK12" s="85" t="s">
        <v>701</v>
      </c>
      <c r="AL12" s="85"/>
      <c r="AM12" s="85"/>
      <c r="AN12" s="85"/>
      <c r="AO12" s="85"/>
      <c r="AP12" s="85"/>
      <c r="AQ12" s="85"/>
      <c r="AR12" s="87"/>
    </row>
    <row r="13" spans="1:49" ht="28.5" customHeight="1" x14ac:dyDescent="0.25">
      <c r="A13" s="19" t="s">
        <v>86</v>
      </c>
      <c r="E13">
        <f>E2/E$6</f>
        <v>1.0119848709215202</v>
      </c>
      <c r="F13">
        <f t="shared" ref="F13:O13" si="12">F2/F$6</f>
        <v>0.98753148783749312</v>
      </c>
      <c r="G13">
        <f t="shared" si="12"/>
        <v>1.2413974232394813</v>
      </c>
      <c r="H13">
        <f t="shared" si="12"/>
        <v>1.0014187157483727</v>
      </c>
      <c r="I13">
        <f t="shared" si="12"/>
        <v>0.98655488494251475</v>
      </c>
      <c r="J13">
        <f t="shared" si="12"/>
        <v>0.92572846168911704</v>
      </c>
      <c r="K13">
        <f t="shared" si="12"/>
        <v>0.99494249260458834</v>
      </c>
      <c r="L13">
        <f t="shared" ref="L13:N13" si="13">L2/L$6</f>
        <v>0.84996137797150018</v>
      </c>
      <c r="M13">
        <f t="shared" si="13"/>
        <v>1.1270067627803912</v>
      </c>
      <c r="N13">
        <f t="shared" si="13"/>
        <v>0.89125384326976742</v>
      </c>
      <c r="O13">
        <f t="shared" si="12"/>
        <v>0.92282062161875456</v>
      </c>
      <c r="P13">
        <f t="shared" ref="P13:R13" si="14">P2/P$6</f>
        <v>1.0921362830783501</v>
      </c>
      <c r="Q13">
        <f t="shared" si="14"/>
        <v>0.59670555162705141</v>
      </c>
      <c r="R13">
        <f t="shared" si="14"/>
        <v>1.3688705275753126</v>
      </c>
      <c r="AA13">
        <f t="shared" ref="AA13:AB16" si="15">AA2/AA$6</f>
        <v>0.8800656435813875</v>
      </c>
      <c r="AB13">
        <f t="shared" si="15"/>
        <v>1.1669235305420647</v>
      </c>
      <c r="AD13" s="19" t="s">
        <v>87</v>
      </c>
      <c r="AE13" s="59" t="s">
        <v>269</v>
      </c>
      <c r="AF13" s="59" t="s">
        <v>270</v>
      </c>
      <c r="AG13" s="59" t="s">
        <v>271</v>
      </c>
      <c r="AH13" s="59" t="s">
        <v>272</v>
      </c>
      <c r="AI13" s="60" t="s">
        <v>273</v>
      </c>
      <c r="AK13" s="86" t="s">
        <v>702</v>
      </c>
      <c r="AM13" t="s">
        <v>703</v>
      </c>
    </row>
    <row r="14" spans="1:49" ht="16.5" customHeight="1" x14ac:dyDescent="0.25">
      <c r="A14" s="19" t="s">
        <v>87</v>
      </c>
      <c r="E14">
        <f>E3/E$6</f>
        <v>1.0041400269608882</v>
      </c>
      <c r="F14">
        <f t="shared" ref="F14:O14" si="16">F3/F$6</f>
        <v>0.99569290509234842</v>
      </c>
      <c r="G14">
        <f t="shared" si="16"/>
        <v>0.87932317479463262</v>
      </c>
      <c r="H14">
        <f t="shared" si="16"/>
        <v>1.0014187157483727</v>
      </c>
      <c r="I14">
        <f t="shared" si="16"/>
        <v>0.91256326857182624</v>
      </c>
      <c r="J14">
        <f t="shared" si="16"/>
        <v>1.0800165386373033</v>
      </c>
      <c r="K14">
        <f t="shared" si="16"/>
        <v>1.0466795022200268</v>
      </c>
      <c r="L14">
        <f t="shared" ref="L14:N14" si="17">L3/L$6</f>
        <v>0.72644639121009857</v>
      </c>
      <c r="M14">
        <f t="shared" si="17"/>
        <v>1.1522760502151728</v>
      </c>
      <c r="N14">
        <f t="shared" si="17"/>
        <v>1.0013090098982358</v>
      </c>
      <c r="O14">
        <f t="shared" si="16"/>
        <v>1.0017906014638802</v>
      </c>
      <c r="P14">
        <f t="shared" ref="P14:R14" si="18">P3/P$6</f>
        <v>0.85961694539070133</v>
      </c>
      <c r="Q14">
        <f t="shared" si="18"/>
        <v>1.242623932254272</v>
      </c>
      <c r="R14">
        <f t="shared" si="18"/>
        <v>0.92328510657572405</v>
      </c>
      <c r="AA14">
        <f t="shared" si="15"/>
        <v>0.72679578430597735</v>
      </c>
      <c r="AB14">
        <f t="shared" si="15"/>
        <v>1.152830251187692</v>
      </c>
      <c r="AD14" s="19" t="s">
        <v>88</v>
      </c>
      <c r="AE14" s="59" t="s">
        <v>318</v>
      </c>
      <c r="AF14" s="59" t="s">
        <v>319</v>
      </c>
      <c r="AG14" s="59" t="s">
        <v>277</v>
      </c>
      <c r="AH14" s="59" t="s">
        <v>278</v>
      </c>
      <c r="AI14" s="60" t="s">
        <v>279</v>
      </c>
      <c r="AK14" s="88" t="s">
        <v>706</v>
      </c>
      <c r="AM14" s="84" t="s">
        <v>704</v>
      </c>
    </row>
    <row r="15" spans="1:49" ht="15.75" customHeight="1" x14ac:dyDescent="0.25">
      <c r="A15" s="19" t="s">
        <v>88</v>
      </c>
      <c r="E15">
        <f>E4/E$6</f>
        <v>0.99237276101994043</v>
      </c>
      <c r="F15">
        <f t="shared" ref="F15:O15" si="19">F4/F$6</f>
        <v>1.0079350309746313</v>
      </c>
      <c r="G15">
        <f t="shared" si="19"/>
        <v>0.81725330363265858</v>
      </c>
      <c r="H15">
        <f t="shared" si="19"/>
        <v>0.82783947168532146</v>
      </c>
      <c r="I15">
        <f t="shared" si="19"/>
        <v>1.1715339258692363</v>
      </c>
      <c r="J15">
        <f t="shared" si="19"/>
        <v>1.026015711705438</v>
      </c>
      <c r="K15">
        <f t="shared" si="19"/>
        <v>0.97902341272291493</v>
      </c>
      <c r="L15">
        <f t="shared" ref="L15:N15" si="20">L4/L$6</f>
        <v>1.8469265095167229</v>
      </c>
      <c r="M15">
        <f t="shared" si="20"/>
        <v>0.67375404296653829</v>
      </c>
      <c r="N15">
        <f t="shared" si="20"/>
        <v>0.95258007698410341</v>
      </c>
      <c r="O15">
        <f t="shared" si="19"/>
        <v>0.92056433648032243</v>
      </c>
      <c r="P15">
        <f t="shared" ref="P15:R15" si="21">P4/P$6</f>
        <v>1.2095702920115059</v>
      </c>
      <c r="Q15">
        <f t="shared" si="21"/>
        <v>0.68897960600236874</v>
      </c>
      <c r="R15">
        <f t="shared" si="21"/>
        <v>1.0477278818098434</v>
      </c>
      <c r="AA15">
        <f t="shared" si="15"/>
        <v>1.784852232207196</v>
      </c>
      <c r="AB15">
        <f t="shared" si="15"/>
        <v>0.65110950617202157</v>
      </c>
      <c r="AD15" s="19" t="s">
        <v>3</v>
      </c>
      <c r="AE15" t="s">
        <v>280</v>
      </c>
      <c r="AF15" s="59" t="s">
        <v>281</v>
      </c>
      <c r="AG15" s="59" t="s">
        <v>282</v>
      </c>
      <c r="AH15" s="59" t="s">
        <v>283</v>
      </c>
      <c r="AI15" s="60" t="s">
        <v>284</v>
      </c>
      <c r="AK15" s="88" t="s">
        <v>708</v>
      </c>
      <c r="AM15" s="84" t="s">
        <v>704</v>
      </c>
    </row>
    <row r="16" spans="1:49" ht="25.5" customHeight="1" x14ac:dyDescent="0.25">
      <c r="A16" s="19" t="s">
        <v>3</v>
      </c>
      <c r="E16">
        <f>E5/E$6</f>
        <v>0.98845033903962443</v>
      </c>
      <c r="F16">
        <f t="shared" ref="F16:O16" si="22">F5/F$6</f>
        <v>1.012015739602059</v>
      </c>
      <c r="G16">
        <f t="shared" si="22"/>
        <v>1.0551878097535592</v>
      </c>
      <c r="H16">
        <f t="shared" si="22"/>
        <v>1.1215889616381773</v>
      </c>
      <c r="I16">
        <f t="shared" si="22"/>
        <v>1.0029974663582233</v>
      </c>
      <c r="J16">
        <f t="shared" si="22"/>
        <v>0.94887167323134503</v>
      </c>
      <c r="K16">
        <f t="shared" si="22"/>
        <v>0.95912456287082315</v>
      </c>
      <c r="L16">
        <f t="shared" ref="L16:N16" si="23">L5/L$6</f>
        <v>0.91267388413643857</v>
      </c>
      <c r="M16">
        <f t="shared" si="23"/>
        <v>0.89845971233571498</v>
      </c>
      <c r="N16">
        <f t="shared" si="23"/>
        <v>1.1402528795149804</v>
      </c>
      <c r="O16">
        <f t="shared" si="22"/>
        <v>1.1303988543545136</v>
      </c>
      <c r="P16">
        <f t="shared" ref="P16:R16" si="24">P5/P$6</f>
        <v>0.94182075164391044</v>
      </c>
      <c r="Q16">
        <f t="shared" si="24"/>
        <v>1.3010641666919731</v>
      </c>
      <c r="R16">
        <f t="shared" si="24"/>
        <v>0.70651382068403235</v>
      </c>
      <c r="AA16">
        <f t="shared" si="15"/>
        <v>0.90478658862580852</v>
      </c>
      <c r="AB16">
        <f t="shared" si="15"/>
        <v>0.8906952551963585</v>
      </c>
      <c r="AD16" t="s">
        <v>5</v>
      </c>
      <c r="AE16" t="s">
        <v>315</v>
      </c>
      <c r="AF16" t="s">
        <v>316</v>
      </c>
      <c r="AG16" t="s">
        <v>277</v>
      </c>
      <c r="AH16" t="s">
        <v>317</v>
      </c>
      <c r="AK16" s="88"/>
    </row>
    <row r="17" spans="1:42" x14ac:dyDescent="0.25">
      <c r="A17" s="19" t="s">
        <v>305</v>
      </c>
      <c r="E17">
        <f>MIN(E13:E16)</f>
        <v>0.98845033903962443</v>
      </c>
      <c r="F17">
        <f t="shared" ref="F17:K17" si="25">MIN(F13:F16)</f>
        <v>0.98753148783749312</v>
      </c>
      <c r="G17">
        <f t="shared" si="25"/>
        <v>0.81725330363265858</v>
      </c>
      <c r="H17">
        <f t="shared" si="25"/>
        <v>0.82783947168532146</v>
      </c>
      <c r="I17">
        <f t="shared" si="25"/>
        <v>0.91256326857182624</v>
      </c>
      <c r="J17">
        <f t="shared" si="25"/>
        <v>0.92572846168911704</v>
      </c>
      <c r="K17" s="61">
        <f t="shared" si="25"/>
        <v>0.95912456287082315</v>
      </c>
      <c r="L17" s="61">
        <f t="shared" ref="L17:N17" si="26">MIN(L13:L16)</f>
        <v>0.72644639121009857</v>
      </c>
      <c r="M17" s="61">
        <f t="shared" si="26"/>
        <v>0.67375404296653829</v>
      </c>
      <c r="N17" s="61">
        <f t="shared" si="26"/>
        <v>0.89125384326976742</v>
      </c>
      <c r="O17" s="61">
        <f t="shared" ref="O17:P17" si="27">MIN(O13:O16)</f>
        <v>0.92056433648032243</v>
      </c>
      <c r="P17" s="61">
        <f t="shared" si="27"/>
        <v>0.85961694539070133</v>
      </c>
      <c r="Q17" s="61">
        <f t="shared" ref="Q17:R17" si="28">MIN(Q13:Q16)</f>
        <v>0.59670555162705141</v>
      </c>
      <c r="R17" s="61">
        <f t="shared" si="28"/>
        <v>0.70651382068403235</v>
      </c>
      <c r="AA17" s="61">
        <f t="shared" ref="AA17:AB17" si="29">MIN(AA13:AA16)</f>
        <v>0.72679578430597735</v>
      </c>
      <c r="AB17" s="61">
        <f t="shared" si="29"/>
        <v>0.65110950617202157</v>
      </c>
      <c r="AC17" s="61"/>
      <c r="AD17" s="19" t="s">
        <v>86</v>
      </c>
      <c r="AE17" s="2">
        <v>189</v>
      </c>
      <c r="AF17" s="2">
        <v>200</v>
      </c>
      <c r="AG17" s="2">
        <v>220</v>
      </c>
      <c r="AH17" s="2">
        <v>140</v>
      </c>
      <c r="AI17" s="2">
        <v>251</v>
      </c>
      <c r="AK17" s="88"/>
    </row>
    <row r="18" spans="1:42" x14ac:dyDescent="0.25">
      <c r="A18" s="19" t="s">
        <v>306</v>
      </c>
      <c r="E18">
        <f>MAX(E13:E16)</f>
        <v>1.0119848709215202</v>
      </c>
      <c r="F18">
        <f t="shared" ref="F18:J18" si="30">MAX(F13:F16)</f>
        <v>1.012015739602059</v>
      </c>
      <c r="G18">
        <f t="shared" si="30"/>
        <v>1.2413974232394813</v>
      </c>
      <c r="H18">
        <f t="shared" si="30"/>
        <v>1.1215889616381773</v>
      </c>
      <c r="I18">
        <f t="shared" si="30"/>
        <v>1.1715339258692363</v>
      </c>
      <c r="J18">
        <f t="shared" si="30"/>
        <v>1.0800165386373033</v>
      </c>
      <c r="K18" s="61">
        <f t="shared" ref="K18:O18" si="31">MAX(K13:K16)</f>
        <v>1.0466795022200268</v>
      </c>
      <c r="L18" s="61">
        <f t="shared" ref="L18:N18" si="32">MAX(L13:L16)</f>
        <v>1.8469265095167229</v>
      </c>
      <c r="M18" s="61">
        <f t="shared" si="32"/>
        <v>1.1522760502151728</v>
      </c>
      <c r="N18" s="61">
        <f t="shared" si="32"/>
        <v>1.1402528795149804</v>
      </c>
      <c r="O18" s="61">
        <f t="shared" si="31"/>
        <v>1.1303988543545136</v>
      </c>
      <c r="P18" s="61">
        <f t="shared" ref="P18:R18" si="33">MAX(P13:P16)</f>
        <v>1.2095702920115059</v>
      </c>
      <c r="Q18" s="61">
        <f t="shared" si="33"/>
        <v>1.3010641666919731</v>
      </c>
      <c r="R18" s="61">
        <f t="shared" si="33"/>
        <v>1.3688705275753126</v>
      </c>
      <c r="AA18" s="61">
        <f t="shared" ref="AA18:AB18" si="34">MAX(AA13:AA16)</f>
        <v>1.784852232207196</v>
      </c>
      <c r="AB18" s="61">
        <f t="shared" si="34"/>
        <v>1.1669235305420647</v>
      </c>
      <c r="AC18" s="61"/>
      <c r="AD18" s="19" t="s">
        <v>87</v>
      </c>
      <c r="AE18" s="2">
        <v>180.8</v>
      </c>
      <c r="AF18" s="2">
        <v>276.89999999999998</v>
      </c>
      <c r="AG18" s="2">
        <v>101.3</v>
      </c>
      <c r="AH18" s="2">
        <v>149.80000000000001</v>
      </c>
      <c r="AI18" s="2">
        <v>291.3</v>
      </c>
      <c r="AK18" s="88"/>
    </row>
    <row r="19" spans="1:42" s="7" customFormat="1" x14ac:dyDescent="0.25">
      <c r="A19" s="7" t="s">
        <v>307</v>
      </c>
      <c r="E19" s="63">
        <f>IF(E18&gt;=1/E17,E18-1,1-1/E17)</f>
        <v>1.198487092152023E-2</v>
      </c>
      <c r="F19" s="63">
        <f t="shared" ref="F19:K19" si="35">IF(F18&gt;=1/F17,F18-1,1-1/F17)</f>
        <v>-1.2625938834426975E-2</v>
      </c>
      <c r="G19" s="63">
        <f t="shared" si="35"/>
        <v>0.24139742323948132</v>
      </c>
      <c r="H19" s="63">
        <f t="shared" si="35"/>
        <v>-0.20796366228369489</v>
      </c>
      <c r="I19" s="63">
        <f t="shared" si="35"/>
        <v>0.17153392586923633</v>
      </c>
      <c r="J19" s="63">
        <f t="shared" si="35"/>
        <v>-8.023037141513889E-2</v>
      </c>
      <c r="K19" s="64">
        <f t="shared" si="35"/>
        <v>4.6679502220026814E-2</v>
      </c>
      <c r="L19" s="64">
        <f t="shared" ref="L19:N19" si="36">IF(L18&gt;=1/L17,L18-1,1-1/L17)</f>
        <v>0.84692650951672288</v>
      </c>
      <c r="M19" s="64">
        <f t="shared" si="36"/>
        <v>-0.48422114930398208</v>
      </c>
      <c r="N19" s="64">
        <f t="shared" si="36"/>
        <v>0.14025287951498044</v>
      </c>
      <c r="O19" s="64">
        <f t="shared" ref="O19:P19" si="37">IF(O18&gt;=1/O17,O18-1,1-1/O17)</f>
        <v>0.13039885435451359</v>
      </c>
      <c r="P19" s="64">
        <f t="shared" si="37"/>
        <v>0.2095702920115059</v>
      </c>
      <c r="Q19" s="64">
        <f t="shared" ref="Q19:R19" si="38">IF(Q18&gt;=1/Q17,Q18-1,1-1/Q17)</f>
        <v>-0.67586843674116293</v>
      </c>
      <c r="R19" s="64">
        <f t="shared" si="38"/>
        <v>-0.41540047869384966</v>
      </c>
      <c r="AA19" s="64">
        <f t="shared" ref="AA19:AB19" si="39">IF(AA18&gt;=1/AA17,AA18-1,1-1/AA17)</f>
        <v>0.78485223220719602</v>
      </c>
      <c r="AB19" s="64">
        <f t="shared" si="39"/>
        <v>-0.53583996320244531</v>
      </c>
      <c r="AC19" s="64"/>
      <c r="AD19" s="19" t="s">
        <v>88</v>
      </c>
      <c r="AE19" s="2">
        <v>295.24</v>
      </c>
      <c r="AF19" s="2">
        <v>185.98400000000001</v>
      </c>
      <c r="AG19" s="2">
        <v>282.12099999999998</v>
      </c>
      <c r="AH19" s="2">
        <v>107.773</v>
      </c>
      <c r="AI19" s="2">
        <v>128.881</v>
      </c>
      <c r="AK19" s="88"/>
      <c r="AM19" s="19"/>
      <c r="AN19" s="87"/>
      <c r="AO19" s="87"/>
      <c r="AP19" s="87"/>
    </row>
    <row r="20" spans="1:42" x14ac:dyDescent="0.25">
      <c r="A20" s="19" t="s">
        <v>308</v>
      </c>
      <c r="E20" t="s">
        <v>86</v>
      </c>
      <c r="F20" t="s">
        <v>86</v>
      </c>
      <c r="G20" t="s">
        <v>86</v>
      </c>
      <c r="H20" t="s">
        <v>88</v>
      </c>
      <c r="I20" t="s">
        <v>88</v>
      </c>
      <c r="J20" t="s">
        <v>86</v>
      </c>
      <c r="K20" t="s">
        <v>87</v>
      </c>
      <c r="L20" t="s">
        <v>88</v>
      </c>
      <c r="M20" t="s">
        <v>3</v>
      </c>
      <c r="N20" t="s">
        <v>3</v>
      </c>
      <c r="O20" t="s">
        <v>87</v>
      </c>
      <c r="P20" t="s">
        <v>87</v>
      </c>
      <c r="Q20" t="s">
        <v>88</v>
      </c>
      <c r="R20" t="s">
        <v>3</v>
      </c>
      <c r="AA20" t="s">
        <v>88</v>
      </c>
      <c r="AB20" t="s">
        <v>88</v>
      </c>
      <c r="AD20" s="19" t="s">
        <v>3</v>
      </c>
      <c r="AE20" s="2">
        <v>129.69999999999999</v>
      </c>
      <c r="AF20" s="2">
        <v>312.2</v>
      </c>
      <c r="AG20" s="2">
        <v>209.5</v>
      </c>
      <c r="AH20" s="2">
        <v>236.5</v>
      </c>
      <c r="AI20" s="2">
        <v>112.1</v>
      </c>
      <c r="AK20" s="88"/>
    </row>
    <row r="21" spans="1:42" x14ac:dyDescent="0.25">
      <c r="AD21" t="s">
        <v>5</v>
      </c>
      <c r="AE21" s="2">
        <v>171</v>
      </c>
      <c r="AF21" s="2">
        <v>208</v>
      </c>
      <c r="AG21" s="2">
        <v>383</v>
      </c>
      <c r="AH21" s="2">
        <v>239</v>
      </c>
      <c r="AI21" s="2"/>
      <c r="AK21" s="88"/>
    </row>
  </sheetData>
  <conditionalFormatting sqref="AA19:AC19 E19:O19">
    <cfRule type="colorScale" priority="9">
      <colorScale>
        <cfvo type="min"/>
        <cfvo type="percentile" val="50"/>
        <cfvo type="max"/>
        <color rgb="FFF8696B"/>
        <color rgb="FFFCFCFF"/>
        <color rgb="FF5A8AC6"/>
      </colorScale>
    </cfRule>
  </conditionalFormatting>
  <conditionalFormatting sqref="P13:R16">
    <cfRule type="colorScale" priority="8">
      <colorScale>
        <cfvo type="min"/>
        <cfvo type="percentile" val="50"/>
        <cfvo type="max"/>
        <color rgb="FFF8696B"/>
        <color rgb="FFFCFCFF"/>
        <color rgb="FF5A8AC6"/>
      </colorScale>
    </cfRule>
  </conditionalFormatting>
  <conditionalFormatting sqref="P19:R19">
    <cfRule type="colorScale" priority="7">
      <colorScale>
        <cfvo type="min"/>
        <cfvo type="percentile" val="50"/>
        <cfvo type="max"/>
        <color rgb="FFF8696B"/>
        <color rgb="FFFCFCFF"/>
        <color rgb="FF5A8AC6"/>
      </colorScale>
    </cfRule>
  </conditionalFormatting>
  <conditionalFormatting sqref="AA13:AC16 E13:O16">
    <cfRule type="colorScale" priority="13">
      <colorScale>
        <cfvo type="min"/>
        <cfvo type="percentile" val="50"/>
        <cfvo type="max"/>
        <color rgb="FFF8696B"/>
        <color rgb="FFFCFCFF"/>
        <color rgb="FF5A8AC6"/>
      </colorScale>
    </cfRule>
  </conditionalFormatting>
  <conditionalFormatting sqref="AA19:AC19 E19:N19">
    <cfRule type="colorScale" priority="14">
      <colorScale>
        <cfvo type="min"/>
        <cfvo type="percentile" val="50"/>
        <cfvo type="max"/>
        <color rgb="FFF8696B"/>
        <color rgb="FFFCFCFF"/>
        <color rgb="FF5A8AC6"/>
      </colorScale>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workbookViewId="0">
      <selection activeCell="A10" sqref="A10"/>
    </sheetView>
  </sheetViews>
  <sheetFormatPr baseColWidth="10" defaultRowHeight="15" x14ac:dyDescent="0.25"/>
  <cols>
    <col min="2" max="2" width="14.140625" customWidth="1"/>
  </cols>
  <sheetData>
    <row r="1" spans="1:4" x14ac:dyDescent="0.25">
      <c r="A1" t="s">
        <v>21</v>
      </c>
      <c r="C1">
        <v>5452476469</v>
      </c>
      <c r="D1" t="s">
        <v>22</v>
      </c>
    </row>
    <row r="2" spans="1:4" x14ac:dyDescent="0.25">
      <c r="A2" t="s">
        <v>23</v>
      </c>
      <c r="C2">
        <v>6525973123</v>
      </c>
      <c r="D2" t="s">
        <v>24</v>
      </c>
    </row>
    <row r="3" spans="1:4" x14ac:dyDescent="0.25">
      <c r="A3" t="s">
        <v>25</v>
      </c>
      <c r="C3" s="6">
        <v>2367000000000</v>
      </c>
      <c r="D3" t="s">
        <v>26</v>
      </c>
    </row>
    <row r="4" spans="1:4" x14ac:dyDescent="0.25">
      <c r="A4" t="s">
        <v>27</v>
      </c>
      <c r="C4">
        <v>32276</v>
      </c>
      <c r="D4" t="s">
        <v>28</v>
      </c>
    </row>
    <row r="5" spans="1:4" x14ac:dyDescent="0.25">
      <c r="A5" t="s">
        <v>46</v>
      </c>
      <c r="C5">
        <v>90</v>
      </c>
    </row>
    <row r="6" spans="1:4" x14ac:dyDescent="0.25">
      <c r="A6" t="s">
        <v>19</v>
      </c>
      <c r="B6">
        <v>0.94</v>
      </c>
    </row>
    <row r="7" spans="1:4" x14ac:dyDescent="0.25">
      <c r="A7" t="s">
        <v>359</v>
      </c>
      <c r="B7">
        <v>0.82</v>
      </c>
    </row>
    <row r="9" spans="1:4" x14ac:dyDescent="0.25">
      <c r="A9" t="s">
        <v>690</v>
      </c>
    </row>
    <row r="10" spans="1:4" x14ac:dyDescent="0.25">
      <c r="A10" t="s">
        <v>68</v>
      </c>
    </row>
    <row r="11" spans="1:4" x14ac:dyDescent="0.25">
      <c r="A11" t="s">
        <v>74</v>
      </c>
    </row>
    <row r="12" spans="1:4" x14ac:dyDescent="0.25">
      <c r="A12" t="s">
        <v>29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6"/>
  <sheetViews>
    <sheetView workbookViewId="0">
      <selection activeCell="L3" sqref="L3"/>
    </sheetView>
  </sheetViews>
  <sheetFormatPr baseColWidth="10" defaultRowHeight="15" x14ac:dyDescent="0.25"/>
  <cols>
    <col min="14" max="14" width="18.7109375" customWidth="1"/>
  </cols>
  <sheetData>
    <row r="1" spans="1:18" x14ac:dyDescent="0.25">
      <c r="B1" t="s">
        <v>75</v>
      </c>
      <c r="C1" t="s">
        <v>76</v>
      </c>
      <c r="D1" t="s">
        <v>77</v>
      </c>
      <c r="E1" t="s">
        <v>78</v>
      </c>
      <c r="F1" t="s">
        <v>79</v>
      </c>
      <c r="G1" t="s">
        <v>80</v>
      </c>
      <c r="H1" t="s">
        <v>81</v>
      </c>
      <c r="I1" t="s">
        <v>82</v>
      </c>
      <c r="J1" t="s">
        <v>83</v>
      </c>
      <c r="K1" t="s">
        <v>84</v>
      </c>
      <c r="L1" t="s">
        <v>85</v>
      </c>
      <c r="M1" t="s">
        <v>96</v>
      </c>
      <c r="N1" t="s">
        <v>93</v>
      </c>
      <c r="O1" t="s">
        <v>8</v>
      </c>
    </row>
    <row r="2" spans="1:18" x14ac:dyDescent="0.25">
      <c r="A2" t="s">
        <v>86</v>
      </c>
      <c r="B2">
        <v>12240</v>
      </c>
      <c r="C2">
        <v>15229</v>
      </c>
      <c r="D2">
        <v>16467</v>
      </c>
      <c r="E2">
        <v>17832</v>
      </c>
      <c r="F2">
        <v>20277</v>
      </c>
      <c r="G2">
        <v>22680</v>
      </c>
      <c r="H2">
        <v>25306</v>
      </c>
      <c r="I2">
        <v>28487</v>
      </c>
      <c r="J2">
        <v>30367</v>
      </c>
      <c r="K2">
        <v>32758</v>
      </c>
      <c r="L2">
        <v>41385</v>
      </c>
      <c r="M2" t="s">
        <v>193</v>
      </c>
      <c r="N2" t="s">
        <v>94</v>
      </c>
      <c r="O2" t="s">
        <v>90</v>
      </c>
      <c r="Q2" t="s">
        <v>101</v>
      </c>
    </row>
    <row r="3" spans="1:18" x14ac:dyDescent="0.25">
      <c r="A3" t="s">
        <v>87</v>
      </c>
      <c r="B3">
        <v>12638</v>
      </c>
      <c r="C3">
        <v>16328</v>
      </c>
      <c r="D3">
        <v>17830</v>
      </c>
      <c r="E3">
        <v>19166</v>
      </c>
      <c r="F3">
        <v>22018</v>
      </c>
      <c r="G3">
        <v>25015</v>
      </c>
      <c r="H3">
        <v>28374</v>
      </c>
      <c r="I3">
        <v>32543</v>
      </c>
      <c r="J3">
        <v>35054</v>
      </c>
      <c r="K3">
        <v>38056</v>
      </c>
      <c r="L3">
        <v>48503</v>
      </c>
      <c r="M3" t="s">
        <v>193</v>
      </c>
      <c r="N3" t="s">
        <v>94</v>
      </c>
      <c r="O3" t="s">
        <v>90</v>
      </c>
      <c r="Q3" t="s">
        <v>102</v>
      </c>
    </row>
    <row r="4" spans="1:18" x14ac:dyDescent="0.25">
      <c r="A4" t="s">
        <v>88</v>
      </c>
      <c r="B4">
        <v>6283</v>
      </c>
      <c r="C4">
        <v>9216</v>
      </c>
      <c r="D4">
        <v>10291</v>
      </c>
      <c r="E4">
        <v>11489</v>
      </c>
      <c r="F4">
        <v>13697</v>
      </c>
      <c r="G4">
        <v>15892</v>
      </c>
      <c r="H4">
        <v>18418</v>
      </c>
      <c r="I4">
        <v>21470</v>
      </c>
      <c r="J4">
        <v>23213</v>
      </c>
      <c r="K4">
        <v>25461</v>
      </c>
      <c r="L4">
        <v>32059</v>
      </c>
      <c r="M4" t="s">
        <v>193</v>
      </c>
      <c r="N4" t="s">
        <v>94</v>
      </c>
      <c r="O4" t="s">
        <v>90</v>
      </c>
      <c r="Q4" t="s">
        <v>104</v>
      </c>
    </row>
    <row r="5" spans="1:18" x14ac:dyDescent="0.25">
      <c r="A5" t="s">
        <v>3</v>
      </c>
      <c r="B5">
        <v>9648</v>
      </c>
      <c r="C5">
        <v>12544</v>
      </c>
      <c r="D5">
        <v>13840</v>
      </c>
      <c r="E5">
        <v>15066</v>
      </c>
      <c r="F5">
        <v>17548</v>
      </c>
      <c r="G5">
        <v>20275</v>
      </c>
      <c r="H5">
        <v>23362</v>
      </c>
      <c r="I5">
        <v>27074</v>
      </c>
      <c r="J5">
        <v>29458</v>
      </c>
      <c r="K5">
        <v>32398</v>
      </c>
      <c r="L5">
        <v>41490</v>
      </c>
      <c r="M5" t="s">
        <v>194</v>
      </c>
      <c r="N5" t="s">
        <v>94</v>
      </c>
      <c r="O5" t="s">
        <v>91</v>
      </c>
    </row>
    <row r="6" spans="1:18" x14ac:dyDescent="0.25">
      <c r="A6" t="s">
        <v>89</v>
      </c>
      <c r="B6">
        <v>24722</v>
      </c>
      <c r="C6">
        <v>31614</v>
      </c>
      <c r="D6">
        <v>34529</v>
      </c>
      <c r="E6">
        <v>37408</v>
      </c>
      <c r="F6">
        <v>42625</v>
      </c>
      <c r="G6">
        <v>48678</v>
      </c>
      <c r="H6">
        <v>54933</v>
      </c>
      <c r="I6">
        <v>62150</v>
      </c>
      <c r="J6">
        <v>66665</v>
      </c>
      <c r="K6">
        <v>71547</v>
      </c>
      <c r="L6">
        <v>90271</v>
      </c>
      <c r="M6" t="s">
        <v>195</v>
      </c>
      <c r="N6" t="s">
        <v>94</v>
      </c>
      <c r="O6" t="s">
        <v>92</v>
      </c>
    </row>
    <row r="7" spans="1:18" x14ac:dyDescent="0.25">
      <c r="A7" t="s">
        <v>5</v>
      </c>
      <c r="B7">
        <v>20</v>
      </c>
      <c r="C7">
        <v>35</v>
      </c>
      <c r="D7">
        <v>42</v>
      </c>
      <c r="E7">
        <v>50</v>
      </c>
      <c r="F7">
        <v>65</v>
      </c>
      <c r="G7">
        <v>82</v>
      </c>
      <c r="H7">
        <v>103</v>
      </c>
      <c r="I7">
        <v>130</v>
      </c>
      <c r="J7">
        <v>145</v>
      </c>
      <c r="K7">
        <v>165</v>
      </c>
      <c r="L7">
        <v>250</v>
      </c>
      <c r="M7" t="s">
        <v>100</v>
      </c>
      <c r="N7" t="s">
        <v>95</v>
      </c>
      <c r="O7" t="s">
        <v>103</v>
      </c>
    </row>
    <row r="9" spans="1:18" x14ac:dyDescent="0.25">
      <c r="O9" t="s">
        <v>423</v>
      </c>
    </row>
    <row r="10" spans="1:18" x14ac:dyDescent="0.25">
      <c r="B10" t="s">
        <v>75</v>
      </c>
      <c r="C10" t="s">
        <v>76</v>
      </c>
      <c r="D10" t="s">
        <v>77</v>
      </c>
      <c r="E10" t="s">
        <v>78</v>
      </c>
      <c r="F10" t="s">
        <v>79</v>
      </c>
      <c r="G10" t="s">
        <v>80</v>
      </c>
      <c r="H10" t="s">
        <v>81</v>
      </c>
      <c r="I10" t="s">
        <v>82</v>
      </c>
      <c r="J10" t="s">
        <v>83</v>
      </c>
      <c r="K10" t="s">
        <v>84</v>
      </c>
      <c r="L10" t="s">
        <v>85</v>
      </c>
      <c r="M10" t="s">
        <v>418</v>
      </c>
      <c r="O10" t="s">
        <v>422</v>
      </c>
      <c r="P10" t="s">
        <v>421</v>
      </c>
      <c r="Q10" t="s">
        <v>420</v>
      </c>
      <c r="R10" t="s">
        <v>419</v>
      </c>
    </row>
    <row r="11" spans="1:18" x14ac:dyDescent="0.25">
      <c r="A11" t="s">
        <v>86</v>
      </c>
      <c r="B11">
        <v>1000</v>
      </c>
      <c r="C11">
        <v>1250</v>
      </c>
      <c r="D11">
        <v>1350</v>
      </c>
      <c r="E11">
        <v>1500</v>
      </c>
      <c r="F11">
        <v>1700</v>
      </c>
      <c r="G11">
        <v>1900</v>
      </c>
      <c r="H11">
        <v>2100</v>
      </c>
      <c r="I11">
        <v>2350</v>
      </c>
      <c r="J11">
        <v>2550</v>
      </c>
      <c r="K11">
        <v>2750</v>
      </c>
      <c r="L11">
        <v>3450</v>
      </c>
      <c r="M11" t="s">
        <v>97</v>
      </c>
      <c r="O11">
        <v>89231</v>
      </c>
      <c r="P11">
        <f>ROUND(O11/1200,0)*100</f>
        <v>7400</v>
      </c>
    </row>
    <row r="12" spans="1:18" x14ac:dyDescent="0.25">
      <c r="A12" t="s">
        <v>87</v>
      </c>
      <c r="B12">
        <v>1050</v>
      </c>
      <c r="C12">
        <v>1350</v>
      </c>
      <c r="D12">
        <v>1500</v>
      </c>
      <c r="E12">
        <v>1600</v>
      </c>
      <c r="F12">
        <v>1850</v>
      </c>
      <c r="G12">
        <v>2100</v>
      </c>
      <c r="H12">
        <v>2350</v>
      </c>
      <c r="I12">
        <v>2700</v>
      </c>
      <c r="J12">
        <v>2900</v>
      </c>
      <c r="K12">
        <v>3150</v>
      </c>
      <c r="L12">
        <v>4050</v>
      </c>
      <c r="M12" t="s">
        <v>97</v>
      </c>
      <c r="O12">
        <v>104779</v>
      </c>
      <c r="P12">
        <f t="shared" ref="P12:P16" si="0">ROUND(O12/1200,0)*100</f>
        <v>8700</v>
      </c>
    </row>
    <row r="13" spans="1:18" x14ac:dyDescent="0.25">
      <c r="A13" t="s">
        <v>88</v>
      </c>
      <c r="B13">
        <v>500</v>
      </c>
      <c r="C13">
        <v>750</v>
      </c>
      <c r="D13">
        <v>850</v>
      </c>
      <c r="E13">
        <v>950</v>
      </c>
      <c r="F13">
        <v>1150</v>
      </c>
      <c r="G13">
        <v>1300</v>
      </c>
      <c r="H13">
        <v>1550</v>
      </c>
      <c r="I13">
        <v>1800</v>
      </c>
      <c r="J13">
        <v>1950</v>
      </c>
      <c r="K13">
        <v>2100</v>
      </c>
      <c r="L13">
        <v>2650</v>
      </c>
      <c r="M13" t="s">
        <v>97</v>
      </c>
      <c r="O13">
        <v>58874</v>
      </c>
      <c r="P13">
        <f t="shared" si="0"/>
        <v>4900</v>
      </c>
    </row>
    <row r="14" spans="1:18" x14ac:dyDescent="0.25">
      <c r="A14" t="s">
        <v>3</v>
      </c>
      <c r="B14">
        <v>800</v>
      </c>
      <c r="C14">
        <v>1050</v>
      </c>
      <c r="D14">
        <v>1150</v>
      </c>
      <c r="E14">
        <v>1250</v>
      </c>
      <c r="F14">
        <v>1450</v>
      </c>
      <c r="G14">
        <v>1700</v>
      </c>
      <c r="H14">
        <v>1950</v>
      </c>
      <c r="I14">
        <v>2250</v>
      </c>
      <c r="J14">
        <v>2450</v>
      </c>
      <c r="K14">
        <v>2700</v>
      </c>
      <c r="L14">
        <v>3450</v>
      </c>
      <c r="M14" t="s">
        <v>98</v>
      </c>
      <c r="O14">
        <v>80831</v>
      </c>
      <c r="P14">
        <f t="shared" si="0"/>
        <v>6700</v>
      </c>
    </row>
    <row r="15" spans="1:18" x14ac:dyDescent="0.25">
      <c r="A15" t="s">
        <v>89</v>
      </c>
      <c r="B15">
        <v>2050</v>
      </c>
      <c r="C15">
        <v>2650</v>
      </c>
      <c r="D15">
        <v>2900</v>
      </c>
      <c r="E15">
        <v>3100</v>
      </c>
      <c r="F15">
        <v>3550</v>
      </c>
      <c r="G15">
        <v>4050</v>
      </c>
      <c r="H15">
        <v>4600</v>
      </c>
      <c r="I15">
        <v>5200</v>
      </c>
      <c r="J15">
        <v>5550</v>
      </c>
      <c r="K15">
        <v>5950</v>
      </c>
      <c r="L15">
        <v>7500</v>
      </c>
      <c r="M15" t="s">
        <v>99</v>
      </c>
    </row>
    <row r="16" spans="1:18" x14ac:dyDescent="0.25">
      <c r="A16" t="s">
        <v>5</v>
      </c>
      <c r="B16">
        <v>20</v>
      </c>
      <c r="C16">
        <v>35</v>
      </c>
      <c r="D16">
        <v>42</v>
      </c>
      <c r="E16">
        <v>50</v>
      </c>
      <c r="F16">
        <v>65</v>
      </c>
      <c r="G16">
        <v>82</v>
      </c>
      <c r="H16">
        <v>103</v>
      </c>
      <c r="I16">
        <v>130</v>
      </c>
      <c r="J16">
        <v>145</v>
      </c>
      <c r="K16">
        <v>165</v>
      </c>
      <c r="L16">
        <v>250</v>
      </c>
      <c r="O16">
        <v>199783</v>
      </c>
      <c r="P16">
        <f t="shared" si="0"/>
        <v>16600</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
  <sheetViews>
    <sheetView workbookViewId="0">
      <selection activeCell="D10" sqref="D10"/>
    </sheetView>
  </sheetViews>
  <sheetFormatPr baseColWidth="10" defaultRowHeight="15" x14ac:dyDescent="0.25"/>
  <cols>
    <col min="2" max="2" width="33.85546875" customWidth="1"/>
    <col min="3" max="3" width="30.28515625" customWidth="1"/>
    <col min="4" max="4" width="30.42578125" customWidth="1"/>
    <col min="5" max="5" width="35.28515625" customWidth="1"/>
    <col min="6" max="6" width="19.5703125" customWidth="1"/>
    <col min="7" max="7" width="34.5703125" customWidth="1"/>
    <col min="8" max="8" width="22.42578125" customWidth="1"/>
  </cols>
  <sheetData>
    <row r="1" spans="1:9" x14ac:dyDescent="0.25">
      <c r="B1">
        <v>1</v>
      </c>
      <c r="C1">
        <v>2</v>
      </c>
      <c r="D1">
        <v>3</v>
      </c>
      <c r="E1">
        <v>4</v>
      </c>
      <c r="F1">
        <v>5</v>
      </c>
      <c r="G1">
        <v>6</v>
      </c>
      <c r="H1">
        <v>7</v>
      </c>
      <c r="I1">
        <v>8</v>
      </c>
    </row>
    <row r="2" spans="1:9" x14ac:dyDescent="0.25">
      <c r="A2" t="s">
        <v>86</v>
      </c>
      <c r="B2" t="s">
        <v>131</v>
      </c>
      <c r="C2" t="s">
        <v>106</v>
      </c>
      <c r="D2" t="s">
        <v>107</v>
      </c>
      <c r="E2" t="s">
        <v>331</v>
      </c>
      <c r="F2" t="s">
        <v>332</v>
      </c>
      <c r="G2" t="s">
        <v>108</v>
      </c>
      <c r="H2" t="s">
        <v>109</v>
      </c>
      <c r="I2" t="s">
        <v>110</v>
      </c>
    </row>
    <row r="3" spans="1:9" x14ac:dyDescent="0.25">
      <c r="A3" t="s">
        <v>87</v>
      </c>
      <c r="B3" t="s">
        <v>129</v>
      </c>
      <c r="C3" t="s">
        <v>132</v>
      </c>
      <c r="D3" t="s">
        <v>136</v>
      </c>
      <c r="E3" t="s">
        <v>133</v>
      </c>
      <c r="F3" t="s">
        <v>134</v>
      </c>
      <c r="G3" t="s">
        <v>608</v>
      </c>
      <c r="H3" t="s">
        <v>607</v>
      </c>
      <c r="I3" t="s">
        <v>135</v>
      </c>
    </row>
    <row r="4" spans="1:9" x14ac:dyDescent="0.25">
      <c r="A4" t="s">
        <v>88</v>
      </c>
      <c r="B4" t="s">
        <v>130</v>
      </c>
      <c r="C4" t="s">
        <v>116</v>
      </c>
      <c r="D4" t="s">
        <v>117</v>
      </c>
      <c r="E4" t="s">
        <v>119</v>
      </c>
      <c r="F4" t="s">
        <v>118</v>
      </c>
      <c r="G4" t="s">
        <v>120</v>
      </c>
      <c r="H4" t="s">
        <v>121</v>
      </c>
      <c r="I4" t="s">
        <v>122</v>
      </c>
    </row>
    <row r="5" spans="1:9" x14ac:dyDescent="0.25">
      <c r="A5" t="s">
        <v>3</v>
      </c>
      <c r="B5" t="s">
        <v>123</v>
      </c>
      <c r="C5" t="s">
        <v>137</v>
      </c>
      <c r="D5" t="s">
        <v>328</v>
      </c>
      <c r="E5" t="s">
        <v>125</v>
      </c>
      <c r="F5" t="s">
        <v>124</v>
      </c>
      <c r="G5" t="s">
        <v>126</v>
      </c>
      <c r="H5" t="s">
        <v>127</v>
      </c>
      <c r="I5" t="s">
        <v>128</v>
      </c>
    </row>
    <row r="6" spans="1:9" x14ac:dyDescent="0.25">
      <c r="A6" t="s">
        <v>5</v>
      </c>
      <c r="B6" t="s">
        <v>112</v>
      </c>
      <c r="C6" t="s">
        <v>111</v>
      </c>
      <c r="D6" t="s">
        <v>113</v>
      </c>
      <c r="E6" t="s">
        <v>615</v>
      </c>
      <c r="F6" t="s">
        <v>614</v>
      </c>
      <c r="G6" t="s">
        <v>115</v>
      </c>
      <c r="H6" t="s">
        <v>114</v>
      </c>
      <c r="I6" t="s">
        <v>333</v>
      </c>
    </row>
    <row r="9" spans="1:9" x14ac:dyDescent="0.25">
      <c r="A9" t="s">
        <v>324</v>
      </c>
      <c r="B9" s="65" t="s">
        <v>325</v>
      </c>
      <c r="C9" s="65">
        <v>2</v>
      </c>
      <c r="D9" s="65" t="s">
        <v>616</v>
      </c>
      <c r="E9" s="65" t="s">
        <v>617</v>
      </c>
      <c r="F9" t="s">
        <v>618</v>
      </c>
      <c r="G9" s="65" t="s">
        <v>326</v>
      </c>
      <c r="H9" s="65">
        <v>6</v>
      </c>
      <c r="I9" s="65" t="s">
        <v>327</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9"/>
  <sheetViews>
    <sheetView topLeftCell="A16" zoomScaleNormal="100" workbookViewId="0">
      <selection activeCell="C34" sqref="C34"/>
    </sheetView>
  </sheetViews>
  <sheetFormatPr baseColWidth="10" defaultRowHeight="15" x14ac:dyDescent="0.25"/>
  <cols>
    <col min="1" max="1" width="27.85546875" customWidth="1"/>
    <col min="2" max="2" width="40.5703125" customWidth="1"/>
    <col min="3" max="3" width="47.7109375" customWidth="1"/>
    <col min="4" max="4" width="46.140625" customWidth="1"/>
    <col min="5" max="5" width="46.5703125" customWidth="1"/>
    <col min="6" max="6" width="50.28515625" customWidth="1"/>
  </cols>
  <sheetData>
    <row r="1" spans="1:7" x14ac:dyDescent="0.25">
      <c r="A1" s="8" t="s">
        <v>196</v>
      </c>
      <c r="B1" s="73" t="s">
        <v>86</v>
      </c>
      <c r="C1" s="73" t="s">
        <v>87</v>
      </c>
      <c r="D1" s="73" t="s">
        <v>88</v>
      </c>
      <c r="E1" s="73" t="s">
        <v>3</v>
      </c>
      <c r="F1" s="73" t="s">
        <v>5</v>
      </c>
      <c r="G1" s="8"/>
    </row>
    <row r="2" spans="1:7" ht="105" x14ac:dyDescent="0.25">
      <c r="A2" s="8" t="s">
        <v>175</v>
      </c>
      <c r="B2" s="8" t="s">
        <v>174</v>
      </c>
      <c r="C2" s="8" t="s">
        <v>456</v>
      </c>
      <c r="D2" s="8" t="s">
        <v>456</v>
      </c>
      <c r="E2" s="74" t="s">
        <v>457</v>
      </c>
      <c r="F2" s="8" t="s">
        <v>185</v>
      </c>
      <c r="G2" s="8"/>
    </row>
    <row r="3" spans="1:7" x14ac:dyDescent="0.25">
      <c r="A3" s="8">
        <v>3</v>
      </c>
      <c r="B3" s="8"/>
      <c r="C3" s="8"/>
      <c r="D3" s="8"/>
      <c r="E3" s="8"/>
      <c r="F3" s="8"/>
      <c r="G3" s="8"/>
    </row>
    <row r="4" spans="1:7" x14ac:dyDescent="0.25">
      <c r="A4" s="8" t="s">
        <v>161</v>
      </c>
      <c r="B4" s="8" t="s">
        <v>170</v>
      </c>
      <c r="C4" s="8" t="s">
        <v>168</v>
      </c>
      <c r="D4" s="8" t="s">
        <v>179</v>
      </c>
      <c r="E4" s="8" t="s">
        <v>181</v>
      </c>
      <c r="F4" s="8" t="s">
        <v>138</v>
      </c>
      <c r="G4" s="8"/>
    </row>
    <row r="5" spans="1:7" x14ac:dyDescent="0.25">
      <c r="A5" s="8">
        <v>5</v>
      </c>
      <c r="B5" s="8" t="s">
        <v>173</v>
      </c>
      <c r="C5" s="8" t="s">
        <v>603</v>
      </c>
      <c r="D5" s="8" t="s">
        <v>180</v>
      </c>
      <c r="E5" s="8" t="s">
        <v>182</v>
      </c>
      <c r="F5" s="8" t="s">
        <v>139</v>
      </c>
      <c r="G5" s="8"/>
    </row>
    <row r="6" spans="1:7" x14ac:dyDescent="0.25">
      <c r="A6" s="8" t="s">
        <v>167</v>
      </c>
      <c r="B6" s="8" t="s">
        <v>458</v>
      </c>
      <c r="C6" s="8" t="s">
        <v>462</v>
      </c>
      <c r="D6" s="8" t="s">
        <v>178</v>
      </c>
      <c r="E6" s="8" t="s">
        <v>605</v>
      </c>
      <c r="F6" s="8" t="s">
        <v>141</v>
      </c>
      <c r="G6" s="8"/>
    </row>
    <row r="7" spans="1:7" x14ac:dyDescent="0.25">
      <c r="A7" s="8" t="s">
        <v>165</v>
      </c>
      <c r="B7" s="8" t="s">
        <v>573</v>
      </c>
      <c r="C7" s="8" t="s">
        <v>176</v>
      </c>
      <c r="D7" s="8" t="s">
        <v>192</v>
      </c>
      <c r="E7" s="8" t="s">
        <v>142</v>
      </c>
      <c r="F7" s="8" t="s">
        <v>142</v>
      </c>
      <c r="G7" s="8"/>
    </row>
    <row r="8" spans="1:7" x14ac:dyDescent="0.25">
      <c r="A8" s="8" t="s">
        <v>164</v>
      </c>
      <c r="B8" s="8" t="s">
        <v>160</v>
      </c>
      <c r="C8" s="8" t="s">
        <v>160</v>
      </c>
      <c r="D8" s="8" t="s">
        <v>160</v>
      </c>
      <c r="E8" s="8" t="s">
        <v>160</v>
      </c>
      <c r="F8" s="8" t="s">
        <v>140</v>
      </c>
      <c r="G8" s="8"/>
    </row>
    <row r="9" spans="1:7" x14ac:dyDescent="0.25">
      <c r="A9" s="8">
        <v>9</v>
      </c>
      <c r="B9" s="8"/>
      <c r="C9" s="8"/>
      <c r="D9" s="8"/>
      <c r="E9" s="8"/>
      <c r="F9" s="8"/>
      <c r="G9" s="8"/>
    </row>
    <row r="10" spans="1:7" x14ac:dyDescent="0.25">
      <c r="A10" s="8" t="s">
        <v>166</v>
      </c>
      <c r="B10" s="8" t="s">
        <v>169</v>
      </c>
      <c r="C10" s="8" t="s">
        <v>177</v>
      </c>
      <c r="D10" s="8" t="s">
        <v>191</v>
      </c>
      <c r="E10" s="72" t="s">
        <v>665</v>
      </c>
      <c r="F10" s="8" t="s">
        <v>143</v>
      </c>
      <c r="G10" s="8" t="s">
        <v>664</v>
      </c>
    </row>
    <row r="11" spans="1:7" x14ac:dyDescent="0.25">
      <c r="A11" s="8" t="s">
        <v>163</v>
      </c>
      <c r="B11" s="8" t="s">
        <v>171</v>
      </c>
      <c r="C11" s="8" t="s">
        <v>667</v>
      </c>
      <c r="D11" s="8" t="s">
        <v>190</v>
      </c>
      <c r="E11" s="8" t="s">
        <v>154</v>
      </c>
      <c r="F11" s="8" t="s">
        <v>144</v>
      </c>
      <c r="G11" s="8" t="s">
        <v>668</v>
      </c>
    </row>
    <row r="12" spans="1:7" x14ac:dyDescent="0.25">
      <c r="A12" s="8" t="s">
        <v>162</v>
      </c>
      <c r="B12" s="8" t="s">
        <v>189</v>
      </c>
      <c r="C12" s="8" t="s">
        <v>669</v>
      </c>
      <c r="D12" s="8" t="s">
        <v>184</v>
      </c>
      <c r="E12" s="8" t="s">
        <v>183</v>
      </c>
      <c r="F12" s="8" t="s">
        <v>146</v>
      </c>
      <c r="G12" s="8" t="s">
        <v>670</v>
      </c>
    </row>
    <row r="13" spans="1:7" x14ac:dyDescent="0.25">
      <c r="A13" s="8" t="s">
        <v>564</v>
      </c>
      <c r="B13" s="8" t="s">
        <v>172</v>
      </c>
      <c r="C13" s="8" t="s">
        <v>187</v>
      </c>
      <c r="D13" s="8" t="s">
        <v>186</v>
      </c>
      <c r="E13" s="8" t="s">
        <v>147</v>
      </c>
      <c r="F13" s="8" t="s">
        <v>147</v>
      </c>
      <c r="G13" s="8"/>
    </row>
    <row r="14" spans="1:7" x14ac:dyDescent="0.25">
      <c r="A14" s="8" t="s">
        <v>563</v>
      </c>
      <c r="B14" s="8" t="s">
        <v>160</v>
      </c>
      <c r="C14" s="8" t="s">
        <v>160</v>
      </c>
      <c r="D14" s="8" t="s">
        <v>160</v>
      </c>
      <c r="E14" s="8" t="s">
        <v>160</v>
      </c>
      <c r="F14" s="72" t="s">
        <v>663</v>
      </c>
      <c r="G14" s="8"/>
    </row>
    <row r="15" spans="1:7" x14ac:dyDescent="0.25">
      <c r="A15" s="8">
        <v>15</v>
      </c>
      <c r="B15" s="8"/>
      <c r="C15" s="8"/>
      <c r="D15" s="8"/>
      <c r="E15" s="8"/>
      <c r="F15" s="8"/>
      <c r="G15" s="8"/>
    </row>
    <row r="16" spans="1:7" x14ac:dyDescent="0.25">
      <c r="A16" s="8" t="s">
        <v>543</v>
      </c>
      <c r="B16" s="8" t="s">
        <v>552</v>
      </c>
      <c r="C16" s="8" t="s">
        <v>604</v>
      </c>
      <c r="D16" s="8" t="s">
        <v>622</v>
      </c>
      <c r="E16" s="8" t="s">
        <v>683</v>
      </c>
      <c r="F16" s="8" t="s">
        <v>683</v>
      </c>
      <c r="G16" s="8" t="s">
        <v>622</v>
      </c>
    </row>
    <row r="17" spans="1:7" x14ac:dyDescent="0.25">
      <c r="A17" s="8" t="s">
        <v>529</v>
      </c>
      <c r="B17" s="75" t="s">
        <v>461</v>
      </c>
      <c r="C17" s="75" t="s">
        <v>579</v>
      </c>
      <c r="D17" s="75" t="s">
        <v>191</v>
      </c>
      <c r="E17" s="75" t="s">
        <v>183</v>
      </c>
      <c r="F17" s="75" t="s">
        <v>148</v>
      </c>
      <c r="G17" s="73" t="s">
        <v>623</v>
      </c>
    </row>
    <row r="18" spans="1:7" x14ac:dyDescent="0.25">
      <c r="A18" s="8" t="s">
        <v>530</v>
      </c>
      <c r="B18" s="8" t="s">
        <v>524</v>
      </c>
      <c r="C18" s="8" t="s">
        <v>460</v>
      </c>
      <c r="D18" s="8" t="s">
        <v>520</v>
      </c>
      <c r="E18" s="8" t="s">
        <v>508</v>
      </c>
      <c r="F18" s="8" t="s">
        <v>146</v>
      </c>
      <c r="G18" s="8" t="s">
        <v>624</v>
      </c>
    </row>
    <row r="19" spans="1:7" x14ac:dyDescent="0.25">
      <c r="A19" s="8" t="s">
        <v>531</v>
      </c>
      <c r="B19" s="8" t="s">
        <v>459</v>
      </c>
      <c r="C19" s="8" t="s">
        <v>462</v>
      </c>
      <c r="D19" s="8" t="s">
        <v>507</v>
      </c>
      <c r="E19" s="8" t="s">
        <v>523</v>
      </c>
      <c r="F19" s="75" t="s">
        <v>149</v>
      </c>
      <c r="G19" s="8" t="s">
        <v>625</v>
      </c>
    </row>
    <row r="20" spans="1:7" x14ac:dyDescent="0.25">
      <c r="A20" s="8" t="s">
        <v>532</v>
      </c>
      <c r="B20" s="75" t="s">
        <v>522</v>
      </c>
      <c r="C20" s="75" t="s">
        <v>572</v>
      </c>
      <c r="D20" s="75" t="s">
        <v>184</v>
      </c>
      <c r="E20" s="75" t="s">
        <v>509</v>
      </c>
      <c r="F20" s="75" t="s">
        <v>150</v>
      </c>
      <c r="G20" s="8" t="s">
        <v>626</v>
      </c>
    </row>
    <row r="21" spans="1:7" x14ac:dyDescent="0.25">
      <c r="A21" s="8">
        <v>21</v>
      </c>
      <c r="B21" s="8" t="s">
        <v>160</v>
      </c>
      <c r="C21" s="8" t="s">
        <v>160</v>
      </c>
      <c r="D21" s="8" t="s">
        <v>160</v>
      </c>
      <c r="E21" s="8" t="s">
        <v>160</v>
      </c>
      <c r="F21" s="75" t="s">
        <v>160</v>
      </c>
      <c r="G21" s="8" t="s">
        <v>160</v>
      </c>
    </row>
    <row r="22" spans="1:7" x14ac:dyDescent="0.25">
      <c r="A22" s="8" t="s">
        <v>547</v>
      </c>
      <c r="B22" s="8" t="s">
        <v>553</v>
      </c>
      <c r="C22" s="8" t="s">
        <v>557</v>
      </c>
      <c r="D22" s="8" t="s">
        <v>627</v>
      </c>
      <c r="E22" s="8" t="s">
        <v>548</v>
      </c>
      <c r="F22" s="8" t="s">
        <v>548</v>
      </c>
      <c r="G22" s="8" t="s">
        <v>627</v>
      </c>
    </row>
    <row r="23" spans="1:7" x14ac:dyDescent="0.25">
      <c r="A23" s="8" t="s">
        <v>533</v>
      </c>
      <c r="B23" s="8" t="s">
        <v>463</v>
      </c>
      <c r="C23" s="8" t="s">
        <v>464</v>
      </c>
      <c r="D23" s="8" t="s">
        <v>521</v>
      </c>
      <c r="E23" s="8" t="s">
        <v>142</v>
      </c>
      <c r="F23" s="8" t="s">
        <v>151</v>
      </c>
      <c r="G23" s="73" t="s">
        <v>628</v>
      </c>
    </row>
    <row r="24" spans="1:7" x14ac:dyDescent="0.25">
      <c r="A24" s="8" t="s">
        <v>534</v>
      </c>
      <c r="B24" s="8" t="s">
        <v>465</v>
      </c>
      <c r="C24" s="8" t="s">
        <v>687</v>
      </c>
      <c r="D24" s="8" t="s">
        <v>506</v>
      </c>
      <c r="E24" s="8" t="s">
        <v>505</v>
      </c>
      <c r="F24" s="8" t="s">
        <v>152</v>
      </c>
      <c r="G24" s="73" t="s">
        <v>629</v>
      </c>
    </row>
    <row r="25" spans="1:7" x14ac:dyDescent="0.25">
      <c r="A25" s="8">
        <v>25</v>
      </c>
      <c r="B25" s="8" t="s">
        <v>160</v>
      </c>
      <c r="C25" s="8" t="s">
        <v>160</v>
      </c>
      <c r="D25" s="8" t="s">
        <v>160</v>
      </c>
      <c r="E25" s="8" t="s">
        <v>160</v>
      </c>
      <c r="F25" s="8" t="s">
        <v>153</v>
      </c>
      <c r="G25" s="8" t="s">
        <v>630</v>
      </c>
    </row>
    <row r="26" spans="1:7" x14ac:dyDescent="0.25">
      <c r="A26" s="8">
        <v>26</v>
      </c>
      <c r="B26" s="8"/>
      <c r="C26" s="8"/>
      <c r="D26" s="8"/>
      <c r="E26" s="8"/>
      <c r="F26" s="8" t="s">
        <v>160</v>
      </c>
      <c r="G26" s="8" t="s">
        <v>160</v>
      </c>
    </row>
    <row r="27" spans="1:7" x14ac:dyDescent="0.25">
      <c r="A27" s="8" t="s">
        <v>546</v>
      </c>
      <c r="B27" s="8" t="s">
        <v>554</v>
      </c>
      <c r="C27" s="8" t="s">
        <v>558</v>
      </c>
      <c r="D27" s="8" t="s">
        <v>560</v>
      </c>
      <c r="E27" s="8" t="s">
        <v>549</v>
      </c>
      <c r="F27" s="8" t="s">
        <v>549</v>
      </c>
      <c r="G27" s="8" t="s">
        <v>560</v>
      </c>
    </row>
    <row r="28" spans="1:7" x14ac:dyDescent="0.25">
      <c r="A28" s="8" t="s">
        <v>535</v>
      </c>
      <c r="B28" s="8" t="s">
        <v>466</v>
      </c>
      <c r="C28" s="8" t="s">
        <v>684</v>
      </c>
      <c r="D28" s="8" t="s">
        <v>468</v>
      </c>
      <c r="E28" s="8" t="s">
        <v>606</v>
      </c>
      <c r="F28" s="71" t="s">
        <v>144</v>
      </c>
      <c r="G28" s="72" t="s">
        <v>631</v>
      </c>
    </row>
    <row r="29" spans="1:7" x14ac:dyDescent="0.25">
      <c r="A29" s="8" t="s">
        <v>536</v>
      </c>
      <c r="B29" s="75" t="s">
        <v>171</v>
      </c>
      <c r="C29" s="75" t="s">
        <v>577</v>
      </c>
      <c r="D29" s="75" t="s">
        <v>671</v>
      </c>
      <c r="E29" s="75" t="s">
        <v>666</v>
      </c>
      <c r="F29" s="75" t="s">
        <v>145</v>
      </c>
      <c r="G29" s="75" t="s">
        <v>632</v>
      </c>
    </row>
    <row r="30" spans="1:7" x14ac:dyDescent="0.25">
      <c r="A30" s="8" t="s">
        <v>537</v>
      </c>
      <c r="B30" s="8" t="s">
        <v>467</v>
      </c>
      <c r="C30" s="8" t="s">
        <v>686</v>
      </c>
      <c r="D30" s="8" t="s">
        <v>571</v>
      </c>
      <c r="E30" s="8" t="s">
        <v>154</v>
      </c>
      <c r="F30" s="8" t="s">
        <v>154</v>
      </c>
      <c r="G30" s="8" t="s">
        <v>633</v>
      </c>
    </row>
    <row r="31" spans="1:7" x14ac:dyDescent="0.25">
      <c r="A31" s="8">
        <v>31</v>
      </c>
      <c r="B31" s="8" t="s">
        <v>160</v>
      </c>
      <c r="C31" s="8" t="s">
        <v>160</v>
      </c>
      <c r="D31" s="8" t="s">
        <v>160</v>
      </c>
      <c r="E31" s="8" t="s">
        <v>160</v>
      </c>
      <c r="F31" s="8" t="s">
        <v>160</v>
      </c>
      <c r="G31" s="8" t="s">
        <v>160</v>
      </c>
    </row>
    <row r="32" spans="1:7" x14ac:dyDescent="0.25">
      <c r="A32" s="8" t="s">
        <v>545</v>
      </c>
      <c r="B32" s="8" t="s">
        <v>555</v>
      </c>
      <c r="C32" s="8" t="s">
        <v>559</v>
      </c>
      <c r="D32" s="8" t="s">
        <v>634</v>
      </c>
      <c r="E32" s="8" t="s">
        <v>550</v>
      </c>
      <c r="F32" s="8" t="s">
        <v>550</v>
      </c>
      <c r="G32" s="8" t="s">
        <v>634</v>
      </c>
    </row>
    <row r="33" spans="1:7" x14ac:dyDescent="0.25">
      <c r="A33" s="76" t="s">
        <v>528</v>
      </c>
      <c r="B33" s="8" t="s">
        <v>172</v>
      </c>
      <c r="C33" s="8" t="s">
        <v>610</v>
      </c>
      <c r="D33" s="8" t="s">
        <v>662</v>
      </c>
      <c r="E33" s="8" t="s">
        <v>147</v>
      </c>
      <c r="F33" s="8" t="s">
        <v>147</v>
      </c>
      <c r="G33" s="8" t="s">
        <v>662</v>
      </c>
    </row>
    <row r="34" spans="1:7" x14ac:dyDescent="0.25">
      <c r="A34" s="76" t="s">
        <v>538</v>
      </c>
      <c r="B34" s="73" t="s">
        <v>169</v>
      </c>
      <c r="C34" s="73" t="s">
        <v>713</v>
      </c>
      <c r="D34" s="73" t="s">
        <v>525</v>
      </c>
      <c r="E34" s="73" t="s">
        <v>155</v>
      </c>
      <c r="F34" s="73" t="s">
        <v>155</v>
      </c>
      <c r="G34" s="8" t="s">
        <v>635</v>
      </c>
    </row>
    <row r="35" spans="1:7" x14ac:dyDescent="0.25">
      <c r="A35" s="8">
        <v>35</v>
      </c>
      <c r="B35" s="8" t="s">
        <v>160</v>
      </c>
      <c r="C35" s="8" t="s">
        <v>160</v>
      </c>
      <c r="D35" s="8" t="s">
        <v>160</v>
      </c>
      <c r="E35" s="8" t="s">
        <v>160</v>
      </c>
      <c r="F35" s="73" t="s">
        <v>143</v>
      </c>
      <c r="G35" s="8" t="s">
        <v>636</v>
      </c>
    </row>
    <row r="36" spans="1:7" x14ac:dyDescent="0.25">
      <c r="A36" s="8">
        <v>36</v>
      </c>
      <c r="B36" s="8"/>
      <c r="C36" s="8"/>
      <c r="D36" s="8"/>
      <c r="E36" s="8"/>
      <c r="F36" s="8" t="s">
        <v>160</v>
      </c>
      <c r="G36" s="8" t="s">
        <v>160</v>
      </c>
    </row>
    <row r="37" spans="1:7" x14ac:dyDescent="0.25">
      <c r="A37" s="8" t="s">
        <v>544</v>
      </c>
      <c r="B37" s="8" t="s">
        <v>556</v>
      </c>
      <c r="C37" s="8" t="s">
        <v>562</v>
      </c>
      <c r="D37" s="8" t="s">
        <v>561</v>
      </c>
      <c r="E37" s="8" t="s">
        <v>551</v>
      </c>
      <c r="F37" s="8" t="s">
        <v>551</v>
      </c>
      <c r="G37" s="8" t="s">
        <v>561</v>
      </c>
    </row>
    <row r="38" spans="1:7" x14ac:dyDescent="0.25">
      <c r="A38" s="8" t="s">
        <v>539</v>
      </c>
      <c r="B38" s="8" t="s">
        <v>188</v>
      </c>
      <c r="C38" s="8" t="s">
        <v>609</v>
      </c>
      <c r="D38" s="8" t="s">
        <v>672</v>
      </c>
      <c r="E38" s="8" t="s">
        <v>156</v>
      </c>
      <c r="F38" s="8" t="s">
        <v>156</v>
      </c>
      <c r="G38" s="8" t="s">
        <v>661</v>
      </c>
    </row>
    <row r="39" spans="1:7" x14ac:dyDescent="0.25">
      <c r="A39" s="8" t="s">
        <v>540</v>
      </c>
      <c r="B39" s="8" t="s">
        <v>510</v>
      </c>
      <c r="C39" s="8" t="s">
        <v>514</v>
      </c>
      <c r="D39" s="8" t="s">
        <v>516</v>
      </c>
      <c r="E39" s="8" t="s">
        <v>158</v>
      </c>
      <c r="F39" s="8" t="s">
        <v>158</v>
      </c>
      <c r="G39" s="8" t="s">
        <v>637</v>
      </c>
    </row>
    <row r="40" spans="1:7" x14ac:dyDescent="0.25">
      <c r="A40" s="8" t="s">
        <v>541</v>
      </c>
      <c r="B40" s="8" t="s">
        <v>511</v>
      </c>
      <c r="C40" s="8" t="s">
        <v>515</v>
      </c>
      <c r="D40" s="8" t="s">
        <v>517</v>
      </c>
      <c r="E40" s="8" t="s">
        <v>157</v>
      </c>
      <c r="F40" s="8" t="s">
        <v>157</v>
      </c>
      <c r="G40" s="8" t="s">
        <v>638</v>
      </c>
    </row>
    <row r="41" spans="1:7" x14ac:dyDescent="0.25">
      <c r="A41" s="8" t="s">
        <v>542</v>
      </c>
      <c r="B41" s="75" t="s">
        <v>512</v>
      </c>
      <c r="C41" s="75" t="s">
        <v>685</v>
      </c>
      <c r="D41" s="75" t="s">
        <v>518</v>
      </c>
      <c r="E41" s="75" t="s">
        <v>159</v>
      </c>
      <c r="F41" s="75" t="s">
        <v>159</v>
      </c>
      <c r="G41" s="8" t="s">
        <v>639</v>
      </c>
    </row>
    <row r="42" spans="1:7" x14ac:dyDescent="0.25">
      <c r="A42" s="8">
        <v>42</v>
      </c>
      <c r="B42" s="8" t="s">
        <v>160</v>
      </c>
      <c r="C42" s="8" t="s">
        <v>160</v>
      </c>
      <c r="D42" s="8" t="s">
        <v>160</v>
      </c>
      <c r="E42" s="8" t="s">
        <v>160</v>
      </c>
      <c r="F42" s="8" t="s">
        <v>160</v>
      </c>
      <c r="G42" s="75"/>
    </row>
    <row r="43" spans="1:7" x14ac:dyDescent="0.25">
      <c r="A43" s="8">
        <v>43</v>
      </c>
      <c r="B43" s="8"/>
      <c r="C43" s="8" t="s">
        <v>513</v>
      </c>
      <c r="E43" s="75" t="s">
        <v>519</v>
      </c>
      <c r="F43" s="8" t="s">
        <v>673</v>
      </c>
      <c r="G43" s="77" t="s">
        <v>640</v>
      </c>
    </row>
    <row r="44" spans="1:7" x14ac:dyDescent="0.25">
      <c r="A44" s="8">
        <v>44</v>
      </c>
      <c r="B44" s="8"/>
      <c r="C44" s="8"/>
      <c r="E44" s="73" t="s">
        <v>526</v>
      </c>
      <c r="F44" s="8" t="s">
        <v>472</v>
      </c>
      <c r="G44" s="77" t="s">
        <v>641</v>
      </c>
    </row>
    <row r="45" spans="1:7" x14ac:dyDescent="0.25">
      <c r="A45" s="8">
        <v>45</v>
      </c>
      <c r="B45" s="8"/>
      <c r="C45" s="8"/>
      <c r="E45" s="8" t="s">
        <v>527</v>
      </c>
      <c r="F45" s="8" t="s">
        <v>674</v>
      </c>
      <c r="G45" s="77" t="s">
        <v>642</v>
      </c>
    </row>
    <row r="46" spans="1:7" x14ac:dyDescent="0.25">
      <c r="A46" s="8"/>
      <c r="B46" s="8"/>
      <c r="C46" s="8"/>
      <c r="E46" s="8"/>
      <c r="F46" s="8" t="s">
        <v>471</v>
      </c>
      <c r="G46" s="77" t="s">
        <v>640</v>
      </c>
    </row>
    <row r="47" spans="1:7" x14ac:dyDescent="0.25">
      <c r="A47" s="8"/>
      <c r="B47" s="8"/>
      <c r="C47" s="8"/>
      <c r="E47" s="8"/>
      <c r="F47" s="8" t="s">
        <v>475</v>
      </c>
      <c r="G47" s="77" t="s">
        <v>643</v>
      </c>
    </row>
    <row r="48" spans="1:7" x14ac:dyDescent="0.25">
      <c r="A48" s="8"/>
      <c r="B48" s="8"/>
      <c r="C48" s="8"/>
      <c r="E48" s="77" t="s">
        <v>471</v>
      </c>
      <c r="F48" s="8" t="s">
        <v>678</v>
      </c>
      <c r="G48" s="77" t="s">
        <v>644</v>
      </c>
    </row>
    <row r="49" spans="5:7" x14ac:dyDescent="0.25">
      <c r="E49" s="77" t="s">
        <v>472</v>
      </c>
      <c r="G49" s="77"/>
    </row>
    <row r="50" spans="5:7" x14ac:dyDescent="0.25">
      <c r="E50" s="77" t="s">
        <v>473</v>
      </c>
      <c r="F50" s="8" t="s">
        <v>482</v>
      </c>
      <c r="G50" s="77" t="s">
        <v>645</v>
      </c>
    </row>
    <row r="51" spans="5:7" x14ac:dyDescent="0.25">
      <c r="E51" s="77" t="s">
        <v>474</v>
      </c>
      <c r="F51" s="8" t="s">
        <v>675</v>
      </c>
      <c r="G51" s="77" t="s">
        <v>646</v>
      </c>
    </row>
    <row r="52" spans="5:7" x14ac:dyDescent="0.25">
      <c r="E52" s="77" t="s">
        <v>475</v>
      </c>
      <c r="F52" s="8" t="s">
        <v>676</v>
      </c>
      <c r="G52" s="77" t="s">
        <v>647</v>
      </c>
    </row>
    <row r="53" spans="5:7" x14ac:dyDescent="0.25">
      <c r="E53" s="77" t="s">
        <v>476</v>
      </c>
      <c r="F53" s="8" t="s">
        <v>477</v>
      </c>
      <c r="G53" s="77" t="s">
        <v>648</v>
      </c>
    </row>
    <row r="54" spans="5:7" x14ac:dyDescent="0.25">
      <c r="E54" s="77"/>
      <c r="F54" s="8" t="s">
        <v>481</v>
      </c>
      <c r="G54" s="77" t="s">
        <v>649</v>
      </c>
    </row>
    <row r="55" spans="5:7" x14ac:dyDescent="0.25">
      <c r="E55" s="77" t="s">
        <v>477</v>
      </c>
      <c r="F55" s="8" t="s">
        <v>677</v>
      </c>
      <c r="G55" s="77" t="s">
        <v>650</v>
      </c>
    </row>
    <row r="56" spans="5:7" x14ac:dyDescent="0.25">
      <c r="E56" s="77" t="s">
        <v>478</v>
      </c>
    </row>
    <row r="57" spans="5:7" x14ac:dyDescent="0.25">
      <c r="E57" s="77" t="s">
        <v>479</v>
      </c>
      <c r="F57" t="s">
        <v>483</v>
      </c>
      <c r="G57" t="s">
        <v>651</v>
      </c>
    </row>
    <row r="58" spans="5:7" x14ac:dyDescent="0.25">
      <c r="E58" s="77" t="s">
        <v>480</v>
      </c>
      <c r="F58" t="s">
        <v>484</v>
      </c>
      <c r="G58" t="s">
        <v>652</v>
      </c>
    </row>
    <row r="59" spans="5:7" x14ac:dyDescent="0.25">
      <c r="E59" s="77" t="s">
        <v>481</v>
      </c>
      <c r="F59" t="s">
        <v>485</v>
      </c>
      <c r="G59" t="s">
        <v>653</v>
      </c>
    </row>
    <row r="60" spans="5:7" x14ac:dyDescent="0.25">
      <c r="E60" s="77" t="s">
        <v>482</v>
      </c>
      <c r="F60" t="s">
        <v>486</v>
      </c>
      <c r="G60" s="8" t="s">
        <v>661</v>
      </c>
    </row>
    <row r="61" spans="5:7" x14ac:dyDescent="0.25">
      <c r="F61" t="s">
        <v>487</v>
      </c>
      <c r="G61" t="s">
        <v>654</v>
      </c>
    </row>
    <row r="62" spans="5:7" x14ac:dyDescent="0.25">
      <c r="F62" t="s">
        <v>488</v>
      </c>
      <c r="G62" t="s">
        <v>655</v>
      </c>
    </row>
    <row r="64" spans="5:7" x14ac:dyDescent="0.25">
      <c r="F64" t="s">
        <v>489</v>
      </c>
      <c r="G64" t="s">
        <v>656</v>
      </c>
    </row>
    <row r="65" spans="6:7" x14ac:dyDescent="0.25">
      <c r="F65" t="s">
        <v>490</v>
      </c>
      <c r="G65" t="s">
        <v>490</v>
      </c>
    </row>
    <row r="66" spans="6:7" x14ac:dyDescent="0.25">
      <c r="F66" t="s">
        <v>660</v>
      </c>
      <c r="G66" t="s">
        <v>657</v>
      </c>
    </row>
    <row r="67" spans="6:7" x14ac:dyDescent="0.25">
      <c r="F67" t="s">
        <v>679</v>
      </c>
      <c r="G67" t="s">
        <v>658</v>
      </c>
    </row>
    <row r="68" spans="6:7" x14ac:dyDescent="0.25">
      <c r="F68" t="s">
        <v>493</v>
      </c>
      <c r="G68" t="s">
        <v>493</v>
      </c>
    </row>
    <row r="69" spans="6:7" x14ac:dyDescent="0.25">
      <c r="F69" t="s">
        <v>494</v>
      </c>
      <c r="G69" t="s">
        <v>659</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40"/>
  <sheetViews>
    <sheetView topLeftCell="B1" workbookViewId="0">
      <selection activeCell="AC10" sqref="AC10"/>
    </sheetView>
  </sheetViews>
  <sheetFormatPr baseColWidth="10" defaultRowHeight="15" x14ac:dyDescent="0.25"/>
  <cols>
    <col min="1" max="1" width="11.5703125" customWidth="1"/>
    <col min="2" max="2" width="9.42578125" customWidth="1"/>
    <col min="3" max="4" width="7" customWidth="1"/>
    <col min="5" max="7" width="8.7109375" customWidth="1"/>
    <col min="8" max="8" width="8.140625" customWidth="1"/>
    <col min="9" max="9" width="6.85546875" customWidth="1"/>
    <col min="10" max="10" width="8.42578125" customWidth="1"/>
    <col min="12" max="12" width="10.140625" customWidth="1"/>
    <col min="13" max="13" width="8.140625" customWidth="1"/>
    <col min="14" max="14" width="6.7109375" customWidth="1"/>
    <col min="16" max="16" width="9.140625" customWidth="1"/>
    <col min="17" max="17" width="6.7109375" customWidth="1"/>
    <col min="18" max="18" width="11.42578125" customWidth="1"/>
    <col min="19" max="19" width="8.5703125" customWidth="1"/>
    <col min="20" max="20" width="7.140625" customWidth="1"/>
    <col min="21" max="21" width="9.5703125" customWidth="1"/>
    <col min="22" max="22" width="8.42578125" customWidth="1"/>
    <col min="23" max="23" width="8" customWidth="1"/>
    <col min="25" max="25" width="8" customWidth="1"/>
    <col min="26" max="26" width="13.140625" customWidth="1"/>
    <col min="27" max="27" width="8.28515625" customWidth="1"/>
  </cols>
  <sheetData>
    <row r="1" spans="1:29" x14ac:dyDescent="0.25">
      <c r="A1" s="23" t="s">
        <v>196</v>
      </c>
      <c r="B1" s="23" t="s">
        <v>243</v>
      </c>
      <c r="C1" s="23" t="s">
        <v>242</v>
      </c>
      <c r="D1" s="23" t="s">
        <v>244</v>
      </c>
      <c r="E1" s="23"/>
      <c r="F1" s="46" t="s">
        <v>249</v>
      </c>
      <c r="G1" s="46"/>
      <c r="H1" s="23" t="s">
        <v>197</v>
      </c>
      <c r="I1" s="23" t="s">
        <v>236</v>
      </c>
      <c r="J1" s="23" t="s">
        <v>198</v>
      </c>
      <c r="K1" s="23" t="s">
        <v>199</v>
      </c>
      <c r="L1" s="23" t="s">
        <v>237</v>
      </c>
      <c r="M1" s="23" t="s">
        <v>198</v>
      </c>
      <c r="N1" s="23" t="s">
        <v>199</v>
      </c>
      <c r="O1" s="23" t="s">
        <v>238</v>
      </c>
      <c r="P1" s="23" t="s">
        <v>198</v>
      </c>
      <c r="Q1" s="23" t="s">
        <v>199</v>
      </c>
      <c r="R1" s="24" t="s">
        <v>240</v>
      </c>
      <c r="S1" s="23" t="s">
        <v>198</v>
      </c>
      <c r="T1" s="23" t="s">
        <v>199</v>
      </c>
      <c r="U1" s="24" t="s">
        <v>241</v>
      </c>
      <c r="V1" s="23" t="s">
        <v>198</v>
      </c>
      <c r="W1" s="23" t="s">
        <v>199</v>
      </c>
      <c r="X1" s="24" t="s">
        <v>239</v>
      </c>
      <c r="Y1" s="23" t="s">
        <v>198</v>
      </c>
      <c r="Z1" s="23" t="s">
        <v>199</v>
      </c>
      <c r="AA1" s="25" t="s">
        <v>200</v>
      </c>
      <c r="AB1" s="25" t="s">
        <v>201</v>
      </c>
    </row>
    <row r="2" spans="1:29" x14ac:dyDescent="0.25">
      <c r="A2" s="23" t="s">
        <v>87</v>
      </c>
      <c r="B2" s="26">
        <f>2*(O2-U2)</f>
        <v>1.7028023730202554E-2</v>
      </c>
      <c r="C2" s="26">
        <f>L2-R2</f>
        <v>6.5437696341296842E-3</v>
      </c>
      <c r="D2" s="26">
        <f>2*R2-I2</f>
        <v>1.7359302346297054E-2</v>
      </c>
      <c r="E2" s="43">
        <f>2*S2-J2</f>
        <v>58463700000</v>
      </c>
      <c r="F2" s="47">
        <f>2*C2</f>
        <v>1.3087539268259368E-2</v>
      </c>
      <c r="G2" s="48">
        <f>2*(M2-S2)</f>
        <v>44077000000</v>
      </c>
      <c r="H2" s="26">
        <f>O2-L2+I2/2</f>
        <v>2.9663540052139933E-2</v>
      </c>
      <c r="I2" s="27">
        <f>J2/$AA2</f>
        <v>2.123131602857601E-2</v>
      </c>
      <c r="J2" s="7">
        <v>71504100000</v>
      </c>
      <c r="K2" s="28">
        <v>4.0565200000000003E-2</v>
      </c>
      <c r="L2" s="27">
        <f>M2/$AA2</f>
        <v>2.5839078821566216E-2</v>
      </c>
      <c r="M2" s="7">
        <v>87022400000</v>
      </c>
      <c r="N2" s="28">
        <v>4.0565200000000003E-2</v>
      </c>
      <c r="O2" s="27">
        <f>P2/$AA2</f>
        <v>4.4886960859418144E-2</v>
      </c>
      <c r="P2" s="7">
        <v>151173000000</v>
      </c>
      <c r="Q2" s="28">
        <v>1.30832E-2</v>
      </c>
      <c r="R2" s="27">
        <f>S2/$AA2</f>
        <v>1.9295309187436532E-2</v>
      </c>
      <c r="S2">
        <v>64983900000</v>
      </c>
      <c r="T2" s="32">
        <v>4.0565200000000003E-2</v>
      </c>
      <c r="U2" s="27">
        <f>V2/$AA2</f>
        <v>3.6372948994316867E-2</v>
      </c>
      <c r="V2">
        <v>122499000000</v>
      </c>
      <c r="W2" s="32">
        <v>1.30832E-2</v>
      </c>
      <c r="X2" s="27">
        <f>Y2/$AA2</f>
        <v>0.17815467388786946</v>
      </c>
      <c r="Y2">
        <v>600000000000</v>
      </c>
      <c r="Z2" s="5">
        <v>0.40048800000000001</v>
      </c>
      <c r="AA2" s="45">
        <v>3367860000000</v>
      </c>
      <c r="AB2" s="7">
        <v>2017</v>
      </c>
    </row>
    <row r="3" spans="1:29" x14ac:dyDescent="0.25">
      <c r="A3" s="23" t="s">
        <v>88</v>
      </c>
      <c r="B3" s="26">
        <f t="shared" ref="B3:B7" si="0">2*(O3-U3)</f>
        <v>3.4810460590778865E-3</v>
      </c>
      <c r="C3" s="26">
        <f t="shared" ref="C3:C7" si="1">L3-R3</f>
        <v>2.0348071362857028E-3</v>
      </c>
      <c r="D3" s="26">
        <f>2*R3-I3</f>
        <v>7.1908874149289575E-3</v>
      </c>
      <c r="E3" s="43">
        <f t="shared" ref="E3:E7" si="2">2*S3-J3</f>
        <v>8652500000</v>
      </c>
      <c r="F3" s="47">
        <f t="shared" ref="F3:F7" si="3">2*C3</f>
        <v>4.0696142725714056E-3</v>
      </c>
      <c r="G3" s="48">
        <f t="shared" ref="G3:G7" si="4">2*(M3-S3)</f>
        <v>4896800000</v>
      </c>
      <c r="H3" s="26">
        <f t="shared" ref="H3:H7" si="5">O3-L3+I3/2</f>
        <v>7.413324978246579E-3</v>
      </c>
      <c r="I3" s="27">
        <f>J3/$AA3</f>
        <v>1.0931229269841322E-2</v>
      </c>
      <c r="J3" s="7">
        <v>13153100000</v>
      </c>
      <c r="K3" s="28">
        <v>3.7114300000000003E-2</v>
      </c>
      <c r="L3" s="27">
        <f>M3/$AA3</f>
        <v>1.1095865478670842E-2</v>
      </c>
      <c r="M3" s="7">
        <v>13351200000</v>
      </c>
      <c r="N3" s="28">
        <v>3.7114300000000003E-2</v>
      </c>
      <c r="O3" s="27">
        <f>P3/$AA3</f>
        <v>1.3043575821996761E-2</v>
      </c>
      <c r="P3" s="7">
        <v>15694800000</v>
      </c>
      <c r="Q3" s="28">
        <v>9.8881999999999998E-3</v>
      </c>
      <c r="R3" s="27">
        <f>S3/$AA3</f>
        <v>9.0610583423851396E-3</v>
      </c>
      <c r="S3">
        <v>10902800000</v>
      </c>
      <c r="T3" s="32">
        <v>3.7114300000000003E-2</v>
      </c>
      <c r="U3" s="27">
        <f>V3/$AA3</f>
        <v>1.1303052792457817E-2</v>
      </c>
      <c r="V3">
        <v>13600500000</v>
      </c>
      <c r="W3" s="32">
        <v>9.8881999999999998E-3</v>
      </c>
      <c r="X3" s="27">
        <f>Y3/$AA3</f>
        <v>3.3001539984325902E-2</v>
      </c>
      <c r="Y3">
        <v>39709400000</v>
      </c>
      <c r="Z3" s="5">
        <v>0.47681800000000002</v>
      </c>
      <c r="AA3" s="45">
        <v>1203259000000</v>
      </c>
      <c r="AB3" s="7">
        <v>2018</v>
      </c>
    </row>
    <row r="4" spans="1:29" x14ac:dyDescent="0.25">
      <c r="A4" s="23" t="s">
        <v>86</v>
      </c>
      <c r="B4" s="26">
        <f t="shared" si="0"/>
        <v>8.0634500991407787E-3</v>
      </c>
      <c r="C4" s="26">
        <f t="shared" si="1"/>
        <v>3.2958068062282232E-3</v>
      </c>
      <c r="D4" s="26">
        <f>2*R4-I4</f>
        <v>9.1769749664241552E-3</v>
      </c>
      <c r="E4" s="43">
        <f t="shared" si="2"/>
        <v>21688000000</v>
      </c>
      <c r="F4" s="47">
        <f t="shared" si="3"/>
        <v>6.5916136124564463E-3</v>
      </c>
      <c r="G4" s="48">
        <f t="shared" si="4"/>
        <v>15578000000</v>
      </c>
      <c r="H4" s="26">
        <f t="shared" si="5"/>
        <v>1.4294805666299665E-2</v>
      </c>
      <c r="I4" s="27">
        <f>J4/$AA4</f>
        <v>1.1845017107391087E-2</v>
      </c>
      <c r="J4" s="7">
        <v>27993400000</v>
      </c>
      <c r="K4" s="28">
        <v>3.2785700000000001E-2</v>
      </c>
      <c r="L4" s="27">
        <f>M4/$AA4</f>
        <v>1.3806802843135844E-2</v>
      </c>
      <c r="M4" s="7">
        <v>32629700000</v>
      </c>
      <c r="N4" s="28">
        <v>3.2785700000000001E-2</v>
      </c>
      <c r="O4" s="27">
        <f>P4/$AA4</f>
        <v>2.2179099955739967E-2</v>
      </c>
      <c r="P4" s="7">
        <v>52416000000</v>
      </c>
      <c r="Q4" s="28">
        <v>8.2307700000000001E-3</v>
      </c>
      <c r="R4" s="27">
        <f>S4/$AA4</f>
        <v>1.0510996036907621E-2</v>
      </c>
      <c r="S4">
        <v>24840700000</v>
      </c>
      <c r="T4" s="32">
        <v>3.2785700000000001E-2</v>
      </c>
      <c r="U4" s="27">
        <f>V4/$AA4</f>
        <v>1.8147374906169578E-2</v>
      </c>
      <c r="V4">
        <v>42887800000</v>
      </c>
      <c r="W4" s="32">
        <v>8.2307700000000001E-3</v>
      </c>
      <c r="X4" s="27">
        <f>Y4/$AA4</f>
        <v>7.879428224698791E-2</v>
      </c>
      <c r="Y4">
        <v>186215000000</v>
      </c>
      <c r="Z4" s="5">
        <v>0.48079699999999997</v>
      </c>
      <c r="AA4" s="45">
        <v>2363306000000</v>
      </c>
      <c r="AB4" s="7">
        <v>2017</v>
      </c>
    </row>
    <row r="5" spans="1:29" x14ac:dyDescent="0.25">
      <c r="A5" s="29" t="s">
        <v>202</v>
      </c>
      <c r="B5" s="26">
        <f t="shared" si="0"/>
        <v>8.8437994948846327E-3</v>
      </c>
      <c r="C5" s="26">
        <f t="shared" si="1"/>
        <v>3.7675815968584627E-3</v>
      </c>
      <c r="D5" s="26">
        <f>2*R5-I5</f>
        <v>1.0566981856850939E-2</v>
      </c>
      <c r="E5" s="43">
        <f t="shared" si="2"/>
        <v>18761000000</v>
      </c>
      <c r="F5" s="47">
        <f t="shared" si="3"/>
        <v>7.5351631937169254E-3</v>
      </c>
      <c r="G5" s="48">
        <f t="shared" si="4"/>
        <v>13378200000</v>
      </c>
      <c r="H5" s="30">
        <f t="shared" si="5"/>
        <v>1.5791614003546169E-2</v>
      </c>
      <c r="I5" s="31">
        <f>J5/$AA5</f>
        <v>1.3584944768496301E-2</v>
      </c>
      <c r="J5">
        <v>24119200000</v>
      </c>
      <c r="K5" s="5">
        <v>2.48489E-2</v>
      </c>
      <c r="L5" s="27">
        <f>M5/$AA5</f>
        <v>1.5843544909532083E-2</v>
      </c>
      <c r="M5">
        <v>28129200000</v>
      </c>
      <c r="N5" s="5">
        <v>2.48489E-2</v>
      </c>
      <c r="O5" s="27">
        <f>P5/$AA5</f>
        <v>2.48426865288301E-2</v>
      </c>
      <c r="P5">
        <v>44106600000</v>
      </c>
      <c r="Q5" s="5">
        <v>6.3352E-3</v>
      </c>
      <c r="R5" s="27">
        <f>S5/$AA5</f>
        <v>1.207596331267362E-2</v>
      </c>
      <c r="S5">
        <v>21440100000</v>
      </c>
      <c r="T5" s="32">
        <v>2.48489E-2</v>
      </c>
      <c r="U5" s="27">
        <f>V5/$AA5</f>
        <v>2.0420786781387784E-2</v>
      </c>
      <c r="V5">
        <v>36255800000</v>
      </c>
      <c r="W5" s="32">
        <v>6.3352E-3</v>
      </c>
      <c r="X5" s="31">
        <f>Y5/$AA5</f>
        <v>8.2353855616310589E-2</v>
      </c>
      <c r="Y5">
        <v>146214000000</v>
      </c>
      <c r="Z5" s="5">
        <v>0.507243</v>
      </c>
      <c r="AA5" s="36">
        <v>1775436000000</v>
      </c>
      <c r="AB5">
        <v>2017</v>
      </c>
    </row>
    <row r="6" spans="1:29" x14ac:dyDescent="0.25">
      <c r="A6" s="34" t="s">
        <v>203</v>
      </c>
      <c r="B6" s="26">
        <f t="shared" si="0"/>
        <v>1.1055813634683727E-2</v>
      </c>
      <c r="C6" s="30">
        <f t="shared" si="1"/>
        <v>4.473664964343288E-3</v>
      </c>
      <c r="D6" s="26">
        <f>2*R6-I6</f>
        <v>1.2349818211794653E-2</v>
      </c>
      <c r="E6" s="43">
        <f t="shared" si="2"/>
        <v>107565200000</v>
      </c>
      <c r="F6" s="47">
        <f t="shared" si="3"/>
        <v>8.947329928686576E-3</v>
      </c>
      <c r="G6" s="48">
        <f t="shared" si="4"/>
        <v>77930000000</v>
      </c>
      <c r="H6" s="30">
        <f t="shared" si="5"/>
        <v>1.9591908527587298E-2</v>
      </c>
      <c r="I6" s="35">
        <f>J6/$AA6</f>
        <v>1.5702868277691229E-2</v>
      </c>
      <c r="J6" s="36">
        <f>SUM(J2:J5)</f>
        <v>136769800000</v>
      </c>
      <c r="L6" s="35">
        <f>M6/$AA6</f>
        <v>1.8500008209086229E-2</v>
      </c>
      <c r="M6" s="36">
        <f>SUM(M2:M5)</f>
        <v>161132500000</v>
      </c>
      <c r="O6" s="35">
        <f>P6/$AA6</f>
        <v>3.0240482597827911E-2</v>
      </c>
      <c r="P6" s="36">
        <f>SUM(P2:P5)</f>
        <v>263390400000</v>
      </c>
      <c r="R6" s="35">
        <f>S6/$AA6</f>
        <v>1.4026343244742941E-2</v>
      </c>
      <c r="S6" s="36">
        <f>SUM(S2:S5)</f>
        <v>122167500000</v>
      </c>
      <c r="T6" s="32"/>
      <c r="U6" s="35">
        <f>V6/$AA6</f>
        <v>2.4712575780486048E-2</v>
      </c>
      <c r="V6" s="36">
        <f>SUM(V2:V5)</f>
        <v>215243100000</v>
      </c>
      <c r="W6" s="5"/>
      <c r="X6" s="35">
        <f>Y6/$AA6</f>
        <v>0.11161353780502352</v>
      </c>
      <c r="Y6" s="36">
        <f>SUM(Y2:Y5)</f>
        <v>972138400000</v>
      </c>
      <c r="AA6" s="36">
        <f>SUM(AA2:AA5)</f>
        <v>8709861000000</v>
      </c>
      <c r="AB6" s="5">
        <f>AA6/AA7</f>
        <v>0.73489452187500004</v>
      </c>
      <c r="AC6" t="s">
        <v>204</v>
      </c>
    </row>
    <row r="7" spans="1:29" x14ac:dyDescent="0.25">
      <c r="A7" s="37" t="s">
        <v>205</v>
      </c>
      <c r="B7" s="26">
        <f t="shared" si="0"/>
        <v>1.0470649031249994E-2</v>
      </c>
      <c r="C7" s="26">
        <f t="shared" si="1"/>
        <v>4.6053055562499997E-3</v>
      </c>
      <c r="D7" s="26">
        <f>2*R7-I7</f>
        <v>1.2789388887499999E-2</v>
      </c>
      <c r="E7" s="43">
        <f t="shared" si="2"/>
        <v>149207572000</v>
      </c>
      <c r="F7" s="49">
        <f t="shared" si="3"/>
        <v>9.2106111124999994E-3</v>
      </c>
      <c r="G7" s="48">
        <f t="shared" si="4"/>
        <v>106792428000</v>
      </c>
      <c r="H7" s="26">
        <f t="shared" si="5"/>
        <v>1.9E-2</v>
      </c>
      <c r="I7" s="38">
        <v>1.6E-2</v>
      </c>
      <c r="J7" s="7">
        <v>192000000000</v>
      </c>
      <c r="K7" s="39">
        <v>0.03</v>
      </c>
      <c r="L7" s="38">
        <v>1.9E-2</v>
      </c>
      <c r="M7" s="7">
        <v>224000000000</v>
      </c>
      <c r="N7" s="39">
        <v>0.03</v>
      </c>
      <c r="O7" s="38">
        <v>0.03</v>
      </c>
      <c r="P7" s="7">
        <v>357000000000</v>
      </c>
      <c r="Q7" s="13">
        <v>0.01</v>
      </c>
      <c r="R7" s="38">
        <f>S7/AA7</f>
        <v>1.439469444375E-2</v>
      </c>
      <c r="S7" s="7">
        <f>SUM(S2:S5,S23:S40)</f>
        <v>170603786000</v>
      </c>
      <c r="T7" s="32"/>
      <c r="U7" s="38">
        <f>V7/AA7</f>
        <v>2.4764675484375002E-2</v>
      </c>
      <c r="V7" s="7">
        <f>SUM(V2:V5,V23:V40)</f>
        <v>293507265000</v>
      </c>
      <c r="W7" s="5"/>
      <c r="X7" s="38">
        <v>0.108</v>
      </c>
      <c r="Y7" s="7">
        <v>1280000000000</v>
      </c>
      <c r="Z7" s="13">
        <v>0.41</v>
      </c>
      <c r="AA7">
        <f>Y7/X7</f>
        <v>11851851851851.852</v>
      </c>
      <c r="AC7" t="s">
        <v>206</v>
      </c>
    </row>
    <row r="8" spans="1:29" x14ac:dyDescent="0.25">
      <c r="A8" s="37"/>
      <c r="B8" s="26"/>
      <c r="C8" s="26"/>
      <c r="D8" s="26"/>
      <c r="E8" s="40" t="s">
        <v>250</v>
      </c>
      <c r="F8" s="50">
        <v>9.5999999999999992E-3</v>
      </c>
      <c r="G8" s="51"/>
      <c r="H8" s="26"/>
      <c r="I8" s="38"/>
      <c r="J8" s="7"/>
      <c r="K8" s="39"/>
      <c r="L8" s="38"/>
      <c r="M8" s="7"/>
      <c r="N8" s="39"/>
      <c r="O8" s="38"/>
      <c r="P8" s="7"/>
      <c r="Q8" s="13"/>
      <c r="R8" s="38"/>
      <c r="S8" s="7"/>
      <c r="T8" s="32"/>
      <c r="U8" s="38"/>
      <c r="V8" s="7"/>
      <c r="W8" s="5"/>
      <c r="X8" s="38"/>
      <c r="Y8" s="7"/>
      <c r="Z8" s="13"/>
      <c r="AC8" t="s">
        <v>252</v>
      </c>
    </row>
    <row r="9" spans="1:29" x14ac:dyDescent="0.25">
      <c r="A9" s="37" t="s">
        <v>3</v>
      </c>
      <c r="B9" s="43"/>
      <c r="C9" s="36"/>
      <c r="D9" s="27">
        <f>E9/AA9</f>
        <v>1.2647283363533513E-2</v>
      </c>
      <c r="E9" s="43">
        <v>27500000000</v>
      </c>
      <c r="F9" s="52">
        <f>G9/AA9</f>
        <v>9.2440143857099501E-3</v>
      </c>
      <c r="G9" s="53">
        <v>20100000000</v>
      </c>
      <c r="I9" s="36"/>
      <c r="J9" s="36"/>
      <c r="K9" s="36"/>
      <c r="L9" s="36"/>
      <c r="M9" s="36"/>
      <c r="N9" s="36"/>
      <c r="O9" s="36"/>
      <c r="P9" s="36"/>
      <c r="Q9" s="36"/>
      <c r="R9" s="36"/>
      <c r="S9" s="36"/>
      <c r="T9" s="41"/>
      <c r="U9" s="36"/>
      <c r="V9" s="41"/>
      <c r="W9" s="41"/>
      <c r="X9" s="36"/>
      <c r="Y9" s="36"/>
      <c r="Z9" s="36"/>
      <c r="AA9" s="36">
        <v>2174380000000</v>
      </c>
      <c r="AB9" t="s">
        <v>245</v>
      </c>
      <c r="AC9" t="s">
        <v>247</v>
      </c>
    </row>
    <row r="10" spans="1:29" x14ac:dyDescent="0.25">
      <c r="A10" s="37" t="s">
        <v>5</v>
      </c>
      <c r="B10" s="43"/>
      <c r="C10" s="36"/>
      <c r="D10" s="43"/>
      <c r="F10" s="54">
        <v>2.4E-2</v>
      </c>
      <c r="G10" s="51">
        <v>436000000000</v>
      </c>
      <c r="H10" s="44"/>
      <c r="I10" s="36"/>
      <c r="J10" s="36"/>
      <c r="K10" s="36"/>
      <c r="L10" s="36"/>
      <c r="M10" s="36"/>
      <c r="N10" s="36"/>
      <c r="O10" s="36"/>
      <c r="P10" s="36"/>
      <c r="Q10" s="36"/>
      <c r="R10" s="36"/>
      <c r="S10" s="36"/>
      <c r="T10" s="41"/>
      <c r="U10" s="36"/>
      <c r="V10" s="41"/>
      <c r="W10" s="41"/>
      <c r="X10" s="36"/>
      <c r="Y10" s="36"/>
      <c r="Z10" s="36"/>
      <c r="AA10">
        <v>21372572000000</v>
      </c>
      <c r="AB10" t="s">
        <v>246</v>
      </c>
      <c r="AC10" t="s">
        <v>248</v>
      </c>
    </row>
    <row r="11" spans="1:29" x14ac:dyDescent="0.25">
      <c r="A11" s="37"/>
      <c r="B11" s="26"/>
      <c r="D11" s="26"/>
      <c r="E11" s="40" t="s">
        <v>250</v>
      </c>
      <c r="F11" s="55">
        <v>2.1299999999999999E-2</v>
      </c>
      <c r="G11" s="54"/>
      <c r="H11" s="19"/>
      <c r="T11" s="32"/>
      <c r="V11" s="32"/>
      <c r="W11" s="5"/>
    </row>
    <row r="12" spans="1:29" x14ac:dyDescent="0.25">
      <c r="A12" t="s">
        <v>207</v>
      </c>
      <c r="B12" s="40" t="s">
        <v>208</v>
      </c>
      <c r="C12" t="s">
        <v>208</v>
      </c>
      <c r="D12" s="26" t="s">
        <v>208</v>
      </c>
      <c r="E12" s="26"/>
      <c r="F12" s="55" t="s">
        <v>208</v>
      </c>
      <c r="G12" s="55"/>
      <c r="H12" s="19" t="s">
        <v>208</v>
      </c>
      <c r="I12" t="s">
        <v>208</v>
      </c>
      <c r="L12" t="s">
        <v>208</v>
      </c>
      <c r="O12" t="s">
        <v>208</v>
      </c>
      <c r="R12" t="s">
        <v>208</v>
      </c>
      <c r="T12" s="32"/>
      <c r="U12" t="s">
        <v>208</v>
      </c>
      <c r="V12" s="32"/>
      <c r="W12" s="5" t="s">
        <v>209</v>
      </c>
      <c r="X12" t="s">
        <v>208</v>
      </c>
      <c r="Y12" t="s">
        <v>210</v>
      </c>
      <c r="AA12" s="33">
        <v>260000</v>
      </c>
    </row>
    <row r="13" spans="1:29" x14ac:dyDescent="0.25">
      <c r="A13" t="s">
        <v>211</v>
      </c>
      <c r="B13" s="40">
        <f>2*(O13-U13)</f>
        <v>0</v>
      </c>
      <c r="C13" s="40">
        <f t="shared" ref="C13:C19" si="6">L13-R13</f>
        <v>0</v>
      </c>
      <c r="D13" s="40">
        <f t="shared" ref="D13:D19" si="7">2*R13-I13</f>
        <v>0</v>
      </c>
      <c r="E13" s="40"/>
      <c r="F13" s="56">
        <v>0</v>
      </c>
      <c r="G13" s="56"/>
      <c r="H13" s="40">
        <f t="shared" ref="H13:H19" si="8">O13-L13+I13/2</f>
        <v>0</v>
      </c>
      <c r="I13">
        <v>2</v>
      </c>
      <c r="L13">
        <v>1</v>
      </c>
      <c r="O13">
        <v>0</v>
      </c>
      <c r="R13">
        <v>1</v>
      </c>
      <c r="T13" s="32"/>
      <c r="U13">
        <v>0</v>
      </c>
      <c r="V13" s="32"/>
      <c r="W13" s="41">
        <v>0.5</v>
      </c>
      <c r="X13">
        <v>0.1</v>
      </c>
      <c r="Y13">
        <f t="shared" ref="Y13:Y19" si="9">W13*$AA$12/1000000</f>
        <v>0.13</v>
      </c>
    </row>
    <row r="14" spans="1:29" x14ac:dyDescent="0.25">
      <c r="A14" t="s">
        <v>212</v>
      </c>
      <c r="B14" s="40">
        <f t="shared" ref="B14:B19" si="10">2*(O14-U14)</f>
        <v>0</v>
      </c>
      <c r="C14" s="40">
        <f t="shared" si="6"/>
        <v>0</v>
      </c>
      <c r="D14" s="40">
        <f t="shared" si="7"/>
        <v>2</v>
      </c>
      <c r="E14" s="40"/>
      <c r="F14" s="56">
        <v>0</v>
      </c>
      <c r="G14" s="56"/>
      <c r="H14" s="40">
        <f t="shared" si="8"/>
        <v>1</v>
      </c>
      <c r="I14">
        <v>2</v>
      </c>
      <c r="L14">
        <v>2</v>
      </c>
      <c r="O14">
        <v>2</v>
      </c>
      <c r="R14">
        <v>2</v>
      </c>
      <c r="T14" s="32"/>
      <c r="U14">
        <v>2</v>
      </c>
      <c r="V14" s="32"/>
      <c r="W14" s="41">
        <v>2</v>
      </c>
      <c r="X14">
        <v>1</v>
      </c>
      <c r="Y14">
        <f t="shared" si="9"/>
        <v>0.52</v>
      </c>
    </row>
    <row r="15" spans="1:29" x14ac:dyDescent="0.25">
      <c r="A15" t="s">
        <v>213</v>
      </c>
      <c r="B15" s="40">
        <f t="shared" si="10"/>
        <v>0</v>
      </c>
      <c r="C15" s="40">
        <f t="shared" si="6"/>
        <v>1</v>
      </c>
      <c r="D15" s="40">
        <f t="shared" si="7"/>
        <v>2</v>
      </c>
      <c r="E15" s="40"/>
      <c r="F15" s="56">
        <v>2</v>
      </c>
      <c r="G15" s="56"/>
      <c r="H15" s="40">
        <f t="shared" si="8"/>
        <v>1</v>
      </c>
      <c r="I15">
        <v>2</v>
      </c>
      <c r="L15">
        <v>3</v>
      </c>
      <c r="O15">
        <v>3</v>
      </c>
      <c r="R15">
        <v>2</v>
      </c>
      <c r="T15" s="32"/>
      <c r="U15">
        <v>3</v>
      </c>
      <c r="V15" s="32"/>
      <c r="W15" s="41">
        <v>5</v>
      </c>
      <c r="X15">
        <v>2</v>
      </c>
      <c r="Y15">
        <f t="shared" si="9"/>
        <v>1.3</v>
      </c>
    </row>
    <row r="16" spans="1:29" x14ac:dyDescent="0.25">
      <c r="A16" t="s">
        <v>214</v>
      </c>
      <c r="B16" s="40">
        <f t="shared" si="10"/>
        <v>2</v>
      </c>
      <c r="C16" s="40">
        <f t="shared" si="6"/>
        <v>1</v>
      </c>
      <c r="D16" s="40">
        <f t="shared" si="7"/>
        <v>2</v>
      </c>
      <c r="E16" s="40"/>
      <c r="F16" s="56">
        <v>2</v>
      </c>
      <c r="G16" s="56"/>
      <c r="H16" s="40">
        <f t="shared" si="8"/>
        <v>3</v>
      </c>
      <c r="I16">
        <v>2</v>
      </c>
      <c r="L16">
        <v>3</v>
      </c>
      <c r="O16">
        <v>5</v>
      </c>
      <c r="R16">
        <v>2</v>
      </c>
      <c r="T16" s="32"/>
      <c r="U16">
        <v>4</v>
      </c>
      <c r="V16" s="32"/>
      <c r="W16" s="41">
        <v>10</v>
      </c>
      <c r="X16">
        <v>5</v>
      </c>
      <c r="Y16">
        <f t="shared" si="9"/>
        <v>2.6</v>
      </c>
    </row>
    <row r="17" spans="1:26" x14ac:dyDescent="0.25">
      <c r="A17" t="s">
        <v>215</v>
      </c>
      <c r="B17" s="40">
        <f t="shared" si="10"/>
        <v>4</v>
      </c>
      <c r="C17" s="40">
        <f t="shared" si="6"/>
        <v>1</v>
      </c>
      <c r="D17" s="40">
        <f t="shared" si="7"/>
        <v>2</v>
      </c>
      <c r="E17" s="40"/>
      <c r="F17" s="56">
        <v>2</v>
      </c>
      <c r="G17" s="56"/>
      <c r="H17" s="40">
        <f t="shared" si="8"/>
        <v>5</v>
      </c>
      <c r="I17">
        <v>2</v>
      </c>
      <c r="L17">
        <v>3</v>
      </c>
      <c r="O17">
        <v>7</v>
      </c>
      <c r="R17">
        <v>2</v>
      </c>
      <c r="T17" s="32"/>
      <c r="U17">
        <v>5</v>
      </c>
      <c r="V17" s="32"/>
      <c r="W17" s="41">
        <v>100</v>
      </c>
      <c r="X17">
        <v>10</v>
      </c>
      <c r="Y17">
        <f t="shared" si="9"/>
        <v>26</v>
      </c>
    </row>
    <row r="18" spans="1:26" x14ac:dyDescent="0.25">
      <c r="A18" t="s">
        <v>216</v>
      </c>
      <c r="B18" s="40">
        <f t="shared" si="10"/>
        <v>4</v>
      </c>
      <c r="C18" s="40">
        <f t="shared" si="6"/>
        <v>1</v>
      </c>
      <c r="D18" s="40">
        <f t="shared" si="7"/>
        <v>2</v>
      </c>
      <c r="E18" s="40"/>
      <c r="F18" s="56">
        <v>2</v>
      </c>
      <c r="G18" s="56"/>
      <c r="H18" s="40">
        <f t="shared" si="8"/>
        <v>6</v>
      </c>
      <c r="I18">
        <v>2</v>
      </c>
      <c r="L18">
        <v>3</v>
      </c>
      <c r="O18">
        <v>8</v>
      </c>
      <c r="R18">
        <v>2</v>
      </c>
      <c r="T18" s="32"/>
      <c r="U18">
        <v>6</v>
      </c>
      <c r="V18" s="32"/>
      <c r="W18" s="41">
        <v>1000</v>
      </c>
      <c r="X18">
        <v>60</v>
      </c>
      <c r="Y18">
        <f t="shared" si="9"/>
        <v>260</v>
      </c>
    </row>
    <row r="19" spans="1:26" x14ac:dyDescent="0.25">
      <c r="A19" t="s">
        <v>217</v>
      </c>
      <c r="B19" s="40">
        <f t="shared" si="10"/>
        <v>4</v>
      </c>
      <c r="C19" s="40">
        <f t="shared" si="6"/>
        <v>1</v>
      </c>
      <c r="D19" s="40">
        <f t="shared" si="7"/>
        <v>2</v>
      </c>
      <c r="E19" s="40"/>
      <c r="F19" s="56">
        <v>2</v>
      </c>
      <c r="G19" s="56"/>
      <c r="H19" s="40">
        <f t="shared" si="8"/>
        <v>7</v>
      </c>
      <c r="I19">
        <v>2</v>
      </c>
      <c r="L19">
        <v>3</v>
      </c>
      <c r="O19">
        <v>9</v>
      </c>
      <c r="R19">
        <v>2</v>
      </c>
      <c r="T19" s="32"/>
      <c r="U19">
        <v>7</v>
      </c>
      <c r="V19" s="32"/>
      <c r="W19" s="41">
        <v>10000</v>
      </c>
      <c r="X19">
        <v>90</v>
      </c>
      <c r="Y19">
        <f t="shared" si="9"/>
        <v>2600</v>
      </c>
    </row>
    <row r="20" spans="1:26" x14ac:dyDescent="0.25">
      <c r="E20" t="s">
        <v>251</v>
      </c>
      <c r="F20" s="50">
        <v>1.6000000000000001E-3</v>
      </c>
      <c r="G20" s="57">
        <f>F20*H20</f>
        <v>2880000000</v>
      </c>
      <c r="H20">
        <v>1800000000000</v>
      </c>
      <c r="T20" s="32"/>
      <c r="V20" s="32"/>
      <c r="W20" s="5"/>
    </row>
    <row r="21" spans="1:26" x14ac:dyDescent="0.25">
      <c r="E21" t="s">
        <v>253</v>
      </c>
      <c r="F21" s="50">
        <v>8.5000000000000006E-3</v>
      </c>
      <c r="G21" s="53">
        <f>F21*H21</f>
        <v>816000000000</v>
      </c>
      <c r="H21">
        <f>96*10^12</f>
        <v>96000000000000</v>
      </c>
      <c r="T21" s="32"/>
      <c r="V21" s="32"/>
      <c r="W21" s="5"/>
    </row>
    <row r="22" spans="1:26" x14ac:dyDescent="0.25">
      <c r="E22" t="s">
        <v>254</v>
      </c>
      <c r="F22" s="50">
        <v>1.6000000000000001E-3</v>
      </c>
      <c r="G22" s="53">
        <f>F22*H22</f>
        <v>841600000</v>
      </c>
      <c r="H22">
        <v>526000000000</v>
      </c>
      <c r="I22" t="s">
        <v>255</v>
      </c>
      <c r="T22" s="32"/>
      <c r="V22" s="32"/>
      <c r="W22" s="5"/>
    </row>
    <row r="23" spans="1:26" x14ac:dyDescent="0.25">
      <c r="A23" s="23" t="s">
        <v>218</v>
      </c>
      <c r="B23" s="42"/>
      <c r="C23" s="42"/>
      <c r="D23" s="42"/>
      <c r="E23" s="42"/>
      <c r="F23" s="42"/>
      <c r="G23" s="42"/>
      <c r="H23" s="26"/>
      <c r="I23" s="27"/>
      <c r="J23">
        <v>11805300000</v>
      </c>
      <c r="K23" s="5">
        <v>3.8989099999999999E-2</v>
      </c>
      <c r="L23" s="32"/>
      <c r="M23">
        <v>15207700000</v>
      </c>
      <c r="N23" s="5">
        <v>3.8989099999999999E-2</v>
      </c>
      <c r="O23" s="32"/>
      <c r="P23">
        <v>28435000000</v>
      </c>
      <c r="Q23" s="5">
        <v>1.11854E-2</v>
      </c>
      <c r="S23">
        <v>11053200000</v>
      </c>
      <c r="T23" s="32">
        <v>3.8989099999999999E-2</v>
      </c>
      <c r="V23">
        <v>22801100000</v>
      </c>
      <c r="W23" s="32">
        <v>1.11854E-2</v>
      </c>
      <c r="X23" s="5"/>
      <c r="Y23" s="5"/>
      <c r="Z23" s="5"/>
    </row>
    <row r="24" spans="1:26" x14ac:dyDescent="0.25">
      <c r="A24" s="23" t="s">
        <v>219</v>
      </c>
      <c r="B24" s="42"/>
      <c r="C24" s="42"/>
      <c r="D24" s="42"/>
      <c r="E24" s="42"/>
      <c r="F24" s="42"/>
      <c r="G24" s="42"/>
      <c r="H24" s="26"/>
      <c r="I24" s="27"/>
      <c r="J24">
        <v>10349200000</v>
      </c>
      <c r="K24" s="5">
        <v>5.67772E-2</v>
      </c>
      <c r="L24" s="32"/>
      <c r="M24">
        <v>11929000000</v>
      </c>
      <c r="N24" s="5">
        <v>5.67772E-2</v>
      </c>
      <c r="O24" s="32"/>
      <c r="P24">
        <v>18190100000</v>
      </c>
      <c r="Q24" s="5">
        <v>2.07812E-2</v>
      </c>
      <c r="S24">
        <v>9131780000</v>
      </c>
      <c r="T24" s="32">
        <v>5.67772E-2</v>
      </c>
      <c r="V24">
        <v>15002300000</v>
      </c>
      <c r="W24" s="32">
        <v>2.07812E-2</v>
      </c>
      <c r="X24" s="5"/>
      <c r="Y24" s="5"/>
      <c r="Z24" s="5"/>
    </row>
    <row r="25" spans="1:26" x14ac:dyDescent="0.25">
      <c r="A25" s="23" t="s">
        <v>220</v>
      </c>
      <c r="B25" s="42"/>
      <c r="C25" s="42"/>
      <c r="D25" s="42"/>
      <c r="E25" s="42"/>
      <c r="F25" s="42"/>
      <c r="G25" s="42"/>
      <c r="H25" s="26"/>
      <c r="I25" s="27"/>
      <c r="J25">
        <v>1854890000</v>
      </c>
      <c r="K25" s="5">
        <v>9.5164600000000002E-2</v>
      </c>
      <c r="L25" s="32"/>
      <c r="M25">
        <v>2344760000</v>
      </c>
      <c r="N25" s="5">
        <v>9.5164600000000002E-2</v>
      </c>
      <c r="O25" s="32"/>
      <c r="P25">
        <v>4234760000</v>
      </c>
      <c r="Q25" s="5">
        <v>4.2202200000000002E-2</v>
      </c>
      <c r="S25">
        <v>1717740000</v>
      </c>
      <c r="T25" s="32">
        <v>9.5164600000000002E-2</v>
      </c>
      <c r="V25">
        <v>3400310000</v>
      </c>
      <c r="W25" s="32">
        <v>4.2202200000000002E-2</v>
      </c>
      <c r="X25" s="5"/>
      <c r="Y25" s="5"/>
      <c r="Z25" s="5"/>
    </row>
    <row r="26" spans="1:26" x14ac:dyDescent="0.25">
      <c r="A26" s="23" t="s">
        <v>221</v>
      </c>
      <c r="B26" s="42"/>
      <c r="C26" s="42"/>
      <c r="D26" s="42"/>
      <c r="E26" s="42"/>
      <c r="F26" s="42"/>
      <c r="G26" s="42"/>
      <c r="H26" s="26"/>
      <c r="I26" s="27"/>
      <c r="J26">
        <v>562322000</v>
      </c>
      <c r="K26" s="5">
        <v>1.21885E-2</v>
      </c>
      <c r="L26" s="32"/>
      <c r="M26">
        <v>617912000</v>
      </c>
      <c r="N26" s="5">
        <v>1.21885E-2</v>
      </c>
      <c r="O26" s="32"/>
      <c r="P26">
        <v>654576000</v>
      </c>
      <c r="Q26" s="5">
        <v>4.6468000000000004E-3</v>
      </c>
      <c r="S26">
        <v>504434000</v>
      </c>
      <c r="T26" s="32">
        <v>1.21885E-2</v>
      </c>
      <c r="V26">
        <v>607300000</v>
      </c>
      <c r="W26" s="32">
        <v>4.6468000000000004E-3</v>
      </c>
      <c r="X26" s="5"/>
      <c r="Y26" s="5"/>
      <c r="Z26" s="5"/>
    </row>
    <row r="27" spans="1:26" x14ac:dyDescent="0.25">
      <c r="A27" s="23" t="s">
        <v>222</v>
      </c>
      <c r="B27" s="42"/>
      <c r="C27" s="42"/>
      <c r="D27" s="42"/>
      <c r="E27" s="42"/>
      <c r="F27" s="42"/>
      <c r="G27" s="42"/>
      <c r="H27" s="26"/>
      <c r="I27" s="27"/>
      <c r="J27">
        <v>1769430000</v>
      </c>
      <c r="K27" s="5">
        <v>2.4346699999999999E-2</v>
      </c>
      <c r="L27" s="32"/>
      <c r="M27">
        <v>1687670000</v>
      </c>
      <c r="N27" s="5">
        <v>2.4346699999999999E-2</v>
      </c>
      <c r="O27" s="32"/>
      <c r="P27">
        <v>1458560000</v>
      </c>
      <c r="Q27" s="5">
        <v>5.9619900000000003E-3</v>
      </c>
      <c r="S27">
        <v>1490780000</v>
      </c>
      <c r="T27" s="32">
        <v>2.4346699999999999E-2</v>
      </c>
      <c r="V27">
        <v>1433800000</v>
      </c>
      <c r="W27" s="32">
        <v>5.9619900000000003E-3</v>
      </c>
      <c r="X27" s="5"/>
      <c r="Y27" s="5"/>
      <c r="Z27" s="5"/>
    </row>
    <row r="28" spans="1:26" x14ac:dyDescent="0.25">
      <c r="A28" s="23" t="s">
        <v>223</v>
      </c>
      <c r="B28" s="42"/>
      <c r="C28" s="42"/>
      <c r="D28" s="42"/>
      <c r="E28" s="42"/>
      <c r="F28" s="42"/>
      <c r="G28" s="42"/>
      <c r="H28" s="26"/>
      <c r="I28" s="27"/>
      <c r="J28">
        <v>967764000</v>
      </c>
      <c r="K28" s="5">
        <v>2.92742E-3</v>
      </c>
      <c r="L28" s="32"/>
      <c r="M28">
        <v>1179450000</v>
      </c>
      <c r="N28" s="5">
        <v>2.92742E-3</v>
      </c>
      <c r="O28" s="32"/>
      <c r="P28">
        <v>1697440000</v>
      </c>
      <c r="Q28" s="5">
        <v>6.751950000000001E-5</v>
      </c>
      <c r="S28">
        <v>902436999.99999988</v>
      </c>
      <c r="T28" s="32">
        <v>2.92742E-3</v>
      </c>
      <c r="V28">
        <v>1432600000</v>
      </c>
      <c r="W28" s="32">
        <v>6.751950000000001E-5</v>
      </c>
      <c r="X28" s="5"/>
      <c r="Y28" s="5"/>
      <c r="Z28" s="5"/>
    </row>
    <row r="29" spans="1:26" x14ac:dyDescent="0.25">
      <c r="A29" s="23" t="s">
        <v>224</v>
      </c>
      <c r="B29" s="42"/>
      <c r="C29" s="42"/>
      <c r="D29" s="42"/>
      <c r="E29" s="42"/>
      <c r="F29" s="42"/>
      <c r="G29" s="42"/>
      <c r="H29" s="26"/>
      <c r="I29" s="27"/>
      <c r="J29">
        <v>1044440000</v>
      </c>
      <c r="K29" s="5">
        <v>5.7337000000000004E-3</v>
      </c>
      <c r="L29" s="32"/>
      <c r="M29">
        <v>1135210000</v>
      </c>
      <c r="N29" s="5">
        <v>5.7337000000000004E-3</v>
      </c>
      <c r="O29" s="32"/>
      <c r="P29">
        <v>1171190000</v>
      </c>
      <c r="Q29" s="5">
        <v>2.7984199999999998E-3</v>
      </c>
      <c r="S29">
        <v>910167000</v>
      </c>
      <c r="T29" s="32">
        <v>5.7337000000000004E-3</v>
      </c>
      <c r="V29">
        <v>1086060000</v>
      </c>
      <c r="W29" s="32">
        <v>2.7984199999999998E-3</v>
      </c>
      <c r="X29" s="5"/>
      <c r="Y29" s="5"/>
      <c r="Z29" s="5"/>
    </row>
    <row r="30" spans="1:26" x14ac:dyDescent="0.25">
      <c r="A30" s="23" t="s">
        <v>225</v>
      </c>
      <c r="B30" s="42"/>
      <c r="C30" s="42"/>
      <c r="D30" s="42"/>
      <c r="E30" s="42"/>
      <c r="F30" s="42"/>
      <c r="G30" s="42"/>
      <c r="H30" s="26"/>
      <c r="I30" s="27"/>
      <c r="J30">
        <v>1152660000</v>
      </c>
      <c r="K30" s="5">
        <v>4.7007999999999998E-3</v>
      </c>
      <c r="L30" s="32"/>
      <c r="M30">
        <v>1027390000</v>
      </c>
      <c r="N30" s="5">
        <v>4.7007999999999998E-3</v>
      </c>
      <c r="O30" s="32"/>
      <c r="P30">
        <v>875014000</v>
      </c>
      <c r="Q30" s="5">
        <v>1.9259699999999999E-3</v>
      </c>
      <c r="S30">
        <v>918928000</v>
      </c>
      <c r="T30" s="32">
        <v>4.7007999999999998E-3</v>
      </c>
      <c r="V30">
        <v>834336000</v>
      </c>
      <c r="W30" s="32">
        <v>1.9259699999999999E-3</v>
      </c>
      <c r="X30" s="5"/>
      <c r="Y30" s="5"/>
      <c r="Z30" s="5"/>
    </row>
    <row r="31" spans="1:26" x14ac:dyDescent="0.25">
      <c r="A31" s="23" t="s">
        <v>226</v>
      </c>
      <c r="B31" s="42"/>
      <c r="C31" s="42"/>
      <c r="D31" s="42"/>
      <c r="E31" s="42"/>
      <c r="F31" s="42"/>
      <c r="G31" s="42"/>
      <c r="H31" s="26"/>
      <c r="I31" s="27"/>
      <c r="J31">
        <v>3516000000</v>
      </c>
      <c r="K31" s="5">
        <v>7.9072999999999991E-2</v>
      </c>
      <c r="L31" s="32"/>
      <c r="M31">
        <v>3731260000</v>
      </c>
      <c r="N31" s="5">
        <v>7.9072999999999991E-2</v>
      </c>
      <c r="O31" s="32"/>
      <c r="P31">
        <v>3886050000</v>
      </c>
      <c r="Q31" s="5">
        <v>2.32768E-2</v>
      </c>
      <c r="S31">
        <v>3020970000</v>
      </c>
      <c r="T31" s="32">
        <v>7.9072999999999991E-2</v>
      </c>
      <c r="V31">
        <v>3561140000</v>
      </c>
      <c r="W31" s="32">
        <v>2.32768E-2</v>
      </c>
      <c r="X31" s="5"/>
      <c r="Y31" s="5"/>
      <c r="Z31" s="5"/>
    </row>
    <row r="32" spans="1:26" x14ac:dyDescent="0.25">
      <c r="A32" s="23" t="s">
        <v>227</v>
      </c>
      <c r="B32" s="42"/>
      <c r="C32" s="42"/>
      <c r="D32" s="42"/>
      <c r="E32" s="42"/>
      <c r="F32" s="42"/>
      <c r="G32" s="42"/>
      <c r="H32" s="26"/>
      <c r="I32" s="27"/>
      <c r="J32">
        <v>441586000.00000012</v>
      </c>
      <c r="K32" s="5">
        <v>9.5982800000000007E-3</v>
      </c>
      <c r="L32" s="32"/>
      <c r="M32">
        <v>323198000</v>
      </c>
      <c r="N32" s="5">
        <v>9.5982800000000007E-3</v>
      </c>
      <c r="O32" s="32"/>
      <c r="P32">
        <v>202741000</v>
      </c>
      <c r="Q32" s="5">
        <v>1.31111E-4</v>
      </c>
      <c r="S32">
        <v>321129000</v>
      </c>
      <c r="T32" s="32">
        <v>9.5982800000000007E-3</v>
      </c>
      <c r="V32">
        <v>202741000</v>
      </c>
      <c r="W32" s="32">
        <v>1.31111E-4</v>
      </c>
      <c r="X32" s="5"/>
      <c r="Y32" s="5"/>
      <c r="Z32" s="5"/>
    </row>
    <row r="33" spans="1:26" x14ac:dyDescent="0.25">
      <c r="A33" s="23" t="s">
        <v>228</v>
      </c>
      <c r="B33" s="42"/>
      <c r="C33" s="42"/>
      <c r="D33" s="42"/>
      <c r="E33" s="42"/>
      <c r="F33" s="42"/>
      <c r="G33" s="42"/>
      <c r="H33" s="26"/>
      <c r="I33" s="27"/>
      <c r="J33">
        <v>2107760000</v>
      </c>
      <c r="K33" s="5">
        <v>0.234762</v>
      </c>
      <c r="L33" s="32"/>
      <c r="M33">
        <v>2578780000</v>
      </c>
      <c r="N33" s="5">
        <v>0.234762</v>
      </c>
      <c r="O33" s="32"/>
      <c r="P33">
        <v>4310250000</v>
      </c>
      <c r="Q33" s="5">
        <v>8.9194200000000001E-2</v>
      </c>
      <c r="S33">
        <v>1896050000</v>
      </c>
      <c r="T33" s="32">
        <v>0.234762</v>
      </c>
      <c r="V33">
        <v>3457170000</v>
      </c>
      <c r="W33" s="32">
        <v>8.9194200000000001E-2</v>
      </c>
      <c r="X33" s="5"/>
      <c r="Y33" s="5"/>
      <c r="Z33" s="5"/>
    </row>
    <row r="34" spans="1:26" x14ac:dyDescent="0.25">
      <c r="A34" s="23" t="s">
        <v>229</v>
      </c>
      <c r="B34" s="42"/>
      <c r="C34" s="42"/>
      <c r="D34" s="42"/>
      <c r="E34" s="42"/>
      <c r="F34" s="42"/>
      <c r="G34" s="42"/>
      <c r="H34" s="26"/>
      <c r="I34" s="27"/>
      <c r="J34">
        <v>68102200</v>
      </c>
      <c r="K34" s="5">
        <v>1.0055400000000001E-3</v>
      </c>
      <c r="L34" s="32"/>
      <c r="M34">
        <v>56200000</v>
      </c>
      <c r="N34" s="5">
        <v>1.0055400000000001E-3</v>
      </c>
      <c r="O34" s="32"/>
      <c r="P34">
        <v>46969300</v>
      </c>
      <c r="Q34" s="5">
        <v>3.1115100000000002E-4</v>
      </c>
      <c r="S34">
        <v>48499000</v>
      </c>
      <c r="T34" s="32">
        <v>1.0055400000000001E-3</v>
      </c>
      <c r="V34">
        <v>41783000</v>
      </c>
      <c r="W34" s="32">
        <v>3.1115100000000002E-4</v>
      </c>
      <c r="X34" s="5"/>
      <c r="Y34" s="5"/>
      <c r="Z34" s="5"/>
    </row>
    <row r="35" spans="1:26" x14ac:dyDescent="0.25">
      <c r="A35" s="23" t="s">
        <v>230</v>
      </c>
      <c r="B35" s="42"/>
      <c r="C35" s="42"/>
      <c r="D35" s="42"/>
      <c r="E35" s="42"/>
      <c r="F35" s="42"/>
      <c r="G35" s="42"/>
      <c r="H35" s="26"/>
      <c r="I35" s="27"/>
      <c r="J35">
        <v>625581000</v>
      </c>
      <c r="K35" s="5">
        <v>5.8450200000000001E-2</v>
      </c>
      <c r="L35" s="32"/>
      <c r="M35">
        <v>781506000</v>
      </c>
      <c r="N35" s="5">
        <v>5.8450200000000001E-2</v>
      </c>
      <c r="O35" s="32"/>
      <c r="P35">
        <v>980810999.99999988</v>
      </c>
      <c r="Q35" s="5">
        <v>2.76875E-2</v>
      </c>
      <c r="S35">
        <v>576175000</v>
      </c>
      <c r="T35" s="32">
        <v>5.8450200000000001E-2</v>
      </c>
      <c r="V35">
        <v>856456000</v>
      </c>
      <c r="W35" s="32">
        <v>2.76875E-2</v>
      </c>
      <c r="X35" s="5"/>
      <c r="Y35" s="5"/>
      <c r="Z35" s="5"/>
    </row>
    <row r="36" spans="1:26" x14ac:dyDescent="0.25">
      <c r="A36" s="23" t="s">
        <v>231</v>
      </c>
      <c r="B36" s="42"/>
      <c r="C36" s="42"/>
      <c r="D36" s="42"/>
      <c r="E36" s="42"/>
      <c r="F36" s="42"/>
      <c r="G36" s="42"/>
      <c r="H36" s="26"/>
      <c r="I36" s="27"/>
      <c r="J36">
        <v>8829090000</v>
      </c>
      <c r="K36" s="5">
        <v>2.5381500000000001E-2</v>
      </c>
      <c r="L36" s="32"/>
      <c r="M36">
        <v>10639300000</v>
      </c>
      <c r="N36" s="5">
        <v>2.5381500000000001E-2</v>
      </c>
      <c r="O36" s="32"/>
      <c r="P36">
        <v>17602700000</v>
      </c>
      <c r="Q36" s="5">
        <v>8.5916800000000008E-3</v>
      </c>
      <c r="S36">
        <v>7984630000</v>
      </c>
      <c r="T36" s="32">
        <v>2.5381500000000001E-2</v>
      </c>
      <c r="V36">
        <v>14344300000</v>
      </c>
      <c r="W36" s="32">
        <v>8.5916800000000008E-3</v>
      </c>
      <c r="X36" s="5"/>
      <c r="Y36" s="5"/>
      <c r="Z36" s="5"/>
    </row>
    <row r="37" spans="1:26" x14ac:dyDescent="0.25">
      <c r="A37" s="23" t="s">
        <v>232</v>
      </c>
      <c r="B37" s="42"/>
      <c r="C37" s="42"/>
      <c r="D37" s="42"/>
      <c r="E37" s="42"/>
      <c r="F37" s="42"/>
      <c r="G37" s="42"/>
      <c r="H37" s="26"/>
      <c r="I37" s="27"/>
      <c r="J37">
        <v>5884530000</v>
      </c>
      <c r="K37" s="5">
        <v>4.7133899999999996E-3</v>
      </c>
      <c r="L37" s="32"/>
      <c r="M37">
        <v>5229250000</v>
      </c>
      <c r="N37" s="5">
        <v>4.7133899999999996E-3</v>
      </c>
      <c r="O37" s="32"/>
      <c r="P37">
        <v>4093520000</v>
      </c>
      <c r="Q37" s="5">
        <v>1.4427299999999999E-3</v>
      </c>
      <c r="S37">
        <v>4664430000</v>
      </c>
      <c r="T37" s="32">
        <v>4.7133899999999996E-3</v>
      </c>
      <c r="V37">
        <v>4051330000</v>
      </c>
      <c r="W37" s="32">
        <v>1.4427299999999999E-3</v>
      </c>
      <c r="X37" s="5"/>
      <c r="Y37" s="5"/>
      <c r="Z37" s="5"/>
    </row>
    <row r="38" spans="1:26" x14ac:dyDescent="0.25">
      <c r="A38" s="23" t="s">
        <v>233</v>
      </c>
      <c r="B38" s="42"/>
      <c r="C38" s="42"/>
      <c r="D38" s="42"/>
      <c r="E38" s="42"/>
      <c r="F38" s="42"/>
      <c r="G38" s="42"/>
      <c r="H38" s="26"/>
      <c r="I38" s="27"/>
      <c r="J38">
        <v>2638440000</v>
      </c>
      <c r="K38" s="5">
        <v>1.6438100000000001E-2</v>
      </c>
      <c r="L38" s="32"/>
      <c r="M38">
        <v>3193060000</v>
      </c>
      <c r="N38" s="5">
        <v>1.6438100000000001E-2</v>
      </c>
      <c r="O38" s="32"/>
      <c r="P38">
        <v>5242770000</v>
      </c>
      <c r="Q38" s="5">
        <v>5.8277199999999998E-3</v>
      </c>
      <c r="S38">
        <v>2394240000</v>
      </c>
      <c r="T38" s="32">
        <v>1.6438100000000001E-2</v>
      </c>
      <c r="V38">
        <v>4273150000</v>
      </c>
      <c r="W38" s="32">
        <v>5.8277199999999998E-3</v>
      </c>
      <c r="X38" s="5"/>
      <c r="Y38" s="5"/>
      <c r="Z38" s="5"/>
    </row>
    <row r="39" spans="1:26" x14ac:dyDescent="0.25">
      <c r="A39" s="23" t="s">
        <v>234</v>
      </c>
      <c r="B39" s="42"/>
      <c r="C39" s="42"/>
      <c r="D39" s="42"/>
      <c r="E39" s="42"/>
      <c r="F39" s="42"/>
      <c r="G39" s="42"/>
      <c r="H39" s="26"/>
      <c r="I39" s="27"/>
      <c r="J39">
        <v>291907000</v>
      </c>
      <c r="K39" s="5">
        <v>1.2645099999999999E-2</v>
      </c>
      <c r="L39" s="32"/>
      <c r="M39">
        <v>316284000</v>
      </c>
      <c r="N39" s="5">
        <v>1.2645099999999999E-2</v>
      </c>
      <c r="O39" s="32"/>
      <c r="P39">
        <v>397545000</v>
      </c>
      <c r="Q39" s="5">
        <v>4.0374499999999997E-3</v>
      </c>
      <c r="S39">
        <v>250633000</v>
      </c>
      <c r="T39" s="32">
        <v>1.2645099999999999E-2</v>
      </c>
      <c r="V39">
        <v>339935000</v>
      </c>
      <c r="W39" s="32">
        <v>4.0374499999999997E-3</v>
      </c>
      <c r="X39" s="5"/>
      <c r="Y39" s="5"/>
      <c r="Z39" s="5"/>
    </row>
    <row r="40" spans="1:26" x14ac:dyDescent="0.25">
      <c r="A40" s="23" t="s">
        <v>235</v>
      </c>
      <c r="B40" s="42"/>
      <c r="C40" s="42"/>
      <c r="D40" s="42"/>
      <c r="E40" s="42"/>
      <c r="F40" s="42"/>
      <c r="G40" s="42"/>
      <c r="H40" s="26"/>
      <c r="I40" s="27"/>
      <c r="J40">
        <v>823537999.99999988</v>
      </c>
      <c r="K40" s="5">
        <v>5.59604E-3</v>
      </c>
      <c r="L40" s="32"/>
      <c r="M40">
        <v>710702000</v>
      </c>
      <c r="N40" s="5">
        <v>5.59604E-3</v>
      </c>
      <c r="O40" s="32"/>
      <c r="P40">
        <v>539481000</v>
      </c>
      <c r="Q40" s="5">
        <v>1.08854E-3</v>
      </c>
      <c r="S40">
        <v>650064000</v>
      </c>
      <c r="T40" s="32">
        <v>5.59604E-3</v>
      </c>
      <c r="V40">
        <v>538354000</v>
      </c>
      <c r="W40" s="32">
        <v>1.08854E-3</v>
      </c>
      <c r="X40" s="5"/>
      <c r="Y40" s="5"/>
      <c r="Z40" s="5"/>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16"/>
  <sheetViews>
    <sheetView workbookViewId="0">
      <selection activeCell="O5" sqref="O5"/>
    </sheetView>
  </sheetViews>
  <sheetFormatPr baseColWidth="10" defaultRowHeight="15" x14ac:dyDescent="0.25"/>
  <cols>
    <col min="10" max="10" width="11.42578125" customWidth="1"/>
    <col min="18" max="18" width="11.42578125" customWidth="1"/>
    <col min="24" max="24" width="12" customWidth="1"/>
    <col min="33" max="33" width="11.42578125" customWidth="1"/>
  </cols>
  <sheetData>
    <row r="1" spans="1:34" s="14" customFormat="1" ht="59.25" customHeight="1" x14ac:dyDescent="0.25">
      <c r="A1" s="14" t="s">
        <v>6</v>
      </c>
      <c r="B1" s="14" t="s">
        <v>41</v>
      </c>
      <c r="C1" s="16" t="s">
        <v>38</v>
      </c>
      <c r="D1" s="17" t="s">
        <v>37</v>
      </c>
      <c r="E1" s="16" t="s">
        <v>65</v>
      </c>
      <c r="F1" s="16" t="s">
        <v>66</v>
      </c>
      <c r="G1" s="15" t="s">
        <v>40</v>
      </c>
      <c r="H1" s="15"/>
      <c r="I1" s="14" t="s">
        <v>67</v>
      </c>
      <c r="J1" s="14" t="s">
        <v>56</v>
      </c>
      <c r="K1" s="16" t="s">
        <v>42</v>
      </c>
      <c r="L1" s="14" t="s">
        <v>16</v>
      </c>
      <c r="M1" s="16" t="s">
        <v>54</v>
      </c>
      <c r="N1" s="16" t="s">
        <v>30</v>
      </c>
      <c r="O1" s="16" t="s">
        <v>31</v>
      </c>
      <c r="P1" s="16" t="s">
        <v>17</v>
      </c>
      <c r="Q1" s="16" t="s">
        <v>18</v>
      </c>
      <c r="S1" s="14" t="s">
        <v>51</v>
      </c>
      <c r="T1" s="16" t="s">
        <v>49</v>
      </c>
      <c r="U1" s="14" t="s">
        <v>69</v>
      </c>
      <c r="V1" s="16" t="s">
        <v>48</v>
      </c>
      <c r="W1" s="16" t="s">
        <v>50</v>
      </c>
      <c r="X1" s="14" t="s">
        <v>71</v>
      </c>
      <c r="Y1" s="16" t="s">
        <v>70</v>
      </c>
      <c r="Z1" s="16" t="s">
        <v>53</v>
      </c>
      <c r="AA1" s="16" t="s">
        <v>10</v>
      </c>
      <c r="AB1" s="16" t="s">
        <v>11</v>
      </c>
      <c r="AC1" s="16" t="s">
        <v>35</v>
      </c>
      <c r="AD1" s="14" t="s">
        <v>7</v>
      </c>
      <c r="AE1" s="14" t="s">
        <v>39</v>
      </c>
      <c r="AF1" s="14" t="s">
        <v>15</v>
      </c>
      <c r="AG1" s="14" t="s">
        <v>55</v>
      </c>
      <c r="AH1" s="14" t="s">
        <v>20</v>
      </c>
    </row>
    <row r="2" spans="1:34" x14ac:dyDescent="0.25">
      <c r="A2" s="7" t="s">
        <v>0</v>
      </c>
      <c r="B2" s="12">
        <f t="shared" ref="B2:B7" si="0">G2/C2</f>
        <v>9.7357029337316898E-3</v>
      </c>
      <c r="C2" s="3">
        <v>0.55400000000000005</v>
      </c>
      <c r="D2" s="11">
        <v>4.4000000000000003E-3</v>
      </c>
      <c r="E2">
        <v>12180</v>
      </c>
      <c r="F2" s="1">
        <v>0.1855</v>
      </c>
      <c r="G2" s="11">
        <f>D2*((E2+$E$10*F2)/E2)</f>
        <v>5.3935794252873565E-3</v>
      </c>
      <c r="H2" s="11"/>
      <c r="I2" s="20">
        <f>K2*(O2*(Q2/P2)*Constants!$C$1/Constants!$C$2)*Constants!$C$3/P2/12-30</f>
        <v>11.601525537519159</v>
      </c>
      <c r="J2" s="2">
        <f t="shared" ref="J2:J7" si="1">I2*M2*12/1000</f>
        <v>7.5317103789574373</v>
      </c>
      <c r="K2" s="13">
        <v>0.9</v>
      </c>
      <c r="L2" s="2">
        <f>(O2*(Q2/P2)*Constants!$C$1/Constants!$C$2)*Constants!$C$3/P2/12-30</f>
        <v>16.223917263910174</v>
      </c>
      <c r="M2" s="4">
        <v>54.1</v>
      </c>
      <c r="N2" s="8">
        <v>445</v>
      </c>
      <c r="O2" s="9">
        <f>N2/Constants!$C$4</f>
        <v>1.3787334242161359E-2</v>
      </c>
      <c r="P2" s="4">
        <v>52684007</v>
      </c>
      <c r="Q2" s="4">
        <v>56464893</v>
      </c>
      <c r="R2" s="2"/>
      <c r="S2" s="11">
        <f t="shared" ref="S2:S7" si="2">U2/T2</f>
        <v>1.6804869000780116E-2</v>
      </c>
      <c r="T2" s="11">
        <v>0.15260000000000001</v>
      </c>
      <c r="U2" s="3">
        <f t="shared" ref="U2:U7" si="3">J2/V2</f>
        <v>2.5644230095190458E-3</v>
      </c>
      <c r="V2">
        <v>2937</v>
      </c>
      <c r="W2">
        <v>95</v>
      </c>
      <c r="X2" s="3"/>
      <c r="Y2">
        <v>67.400000000000006</v>
      </c>
      <c r="Z2" s="4">
        <v>51.7</v>
      </c>
      <c r="AA2">
        <v>27012</v>
      </c>
      <c r="AB2" s="2">
        <v>469000</v>
      </c>
      <c r="AC2">
        <v>3079</v>
      </c>
      <c r="AD2" s="3">
        <f>AC2/AB2</f>
        <v>6.5650319829424304E-3</v>
      </c>
      <c r="AE2" s="3">
        <f t="shared" ref="AE2:AE7" si="4">D2/C2</f>
        <v>7.9422382671480145E-3</v>
      </c>
      <c r="AF2" s="3">
        <f>(F2*$E$10+AC2)/AB2</f>
        <v>1.2429442430703624E-2</v>
      </c>
      <c r="AG2" s="2">
        <f t="shared" ref="AG2:AG7" si="5">I2*Z2*12/1000</f>
        <v>7.1975864434768866</v>
      </c>
      <c r="AH2" s="2">
        <f>Constants!$B$6*L2*12*Q2/10^9</f>
        <v>10.333402166480258</v>
      </c>
    </row>
    <row r="3" spans="1:34" x14ac:dyDescent="0.25">
      <c r="A3" s="7" t="s">
        <v>1</v>
      </c>
      <c r="B3" s="12">
        <f t="shared" si="0"/>
        <v>1.5292830463390731E-2</v>
      </c>
      <c r="C3" s="3">
        <v>0.45</v>
      </c>
      <c r="D3" s="3">
        <v>6.0000000000000001E-3</v>
      </c>
      <c r="E3">
        <v>23810</v>
      </c>
      <c r="F3" s="1">
        <v>0.23599999999999999</v>
      </c>
      <c r="G3" s="11">
        <f>D3*((E3+$E$10*F3)/E3)</f>
        <v>6.881773708525829E-3</v>
      </c>
      <c r="H3" s="11"/>
      <c r="I3" s="20">
        <f>K3*(O3*(Q3/P3)*Constants!$C$1/Constants!$C$2)*Constants!$C$3/P3/12-30</f>
        <v>25.254793222517712</v>
      </c>
      <c r="J3" s="2">
        <f t="shared" si="1"/>
        <v>20.850357284510622</v>
      </c>
      <c r="K3" s="13">
        <v>0.9</v>
      </c>
      <c r="L3" s="2">
        <f>(O3*(Q3/P3)*Constants!$C$1/Constants!$C$2)*Constants!$C$3/P3/12-30</f>
        <v>31.394214691686351</v>
      </c>
      <c r="M3" s="2">
        <v>68.8</v>
      </c>
      <c r="N3" s="8">
        <v>853.4</v>
      </c>
      <c r="O3" s="9">
        <f>N3/Constants!$C$4</f>
        <v>2.6440698971371916E-2</v>
      </c>
      <c r="P3" s="2">
        <v>70988740</v>
      </c>
      <c r="Q3" s="2">
        <v>71001565</v>
      </c>
      <c r="R3" s="2"/>
      <c r="S3" s="11">
        <f t="shared" si="2"/>
        <v>2.4285946906251236E-2</v>
      </c>
      <c r="T3" s="11">
        <v>0.20330000000000001</v>
      </c>
      <c r="U3" s="3">
        <f t="shared" si="3"/>
        <v>4.9373330060408765E-3</v>
      </c>
      <c r="V3">
        <v>4223</v>
      </c>
      <c r="W3">
        <v>112</v>
      </c>
      <c r="X3" s="3"/>
      <c r="Y3">
        <v>83.1</v>
      </c>
      <c r="Z3" s="2">
        <v>69.400000000000006</v>
      </c>
      <c r="AA3">
        <v>25039</v>
      </c>
      <c r="AB3" s="2">
        <f>AA3*Y3</f>
        <v>2080740.9</v>
      </c>
      <c r="AD3" s="3">
        <f>E3/AB3</f>
        <v>1.1443039351992361E-2</v>
      </c>
      <c r="AE3" s="3">
        <f t="shared" si="4"/>
        <v>1.3333333333333332E-2</v>
      </c>
      <c r="AF3" s="3">
        <f>(F3*$E$10+E3)/AB3</f>
        <v>1.3124734559694578E-2</v>
      </c>
      <c r="AG3" s="2">
        <f t="shared" si="5"/>
        <v>21.032191795712752</v>
      </c>
      <c r="AH3" s="2">
        <f>Constants!$B$6*L3*12*Q3/10^9</f>
        <v>25.143552870628557</v>
      </c>
    </row>
    <row r="4" spans="1:34" x14ac:dyDescent="0.25">
      <c r="A4" s="7" t="s">
        <v>2</v>
      </c>
      <c r="B4" s="12">
        <f t="shared" si="0"/>
        <v>7.3089030223605529E-3</v>
      </c>
      <c r="C4" s="3">
        <v>0.42099999999999999</v>
      </c>
      <c r="D4" s="3">
        <v>2.0999999999999999E-3</v>
      </c>
      <c r="E4">
        <v>2900</v>
      </c>
      <c r="F4" s="1">
        <v>9.0999999999999998E-2</v>
      </c>
      <c r="G4" s="11">
        <f>D4*((E4+$E$10*F4)/E4)</f>
        <v>3.0770481724137926E-3</v>
      </c>
      <c r="H4" s="11"/>
      <c r="I4" s="20">
        <f>K4*(O4*(Q4/P4)*Constants!$C$1/Constants!$C$2)*Constants!$C$3/P4/12-30</f>
        <v>5.0865013761834774</v>
      </c>
      <c r="J4" s="2">
        <f t="shared" si="1"/>
        <v>2.392690247356708</v>
      </c>
      <c r="K4" s="13">
        <v>0.9</v>
      </c>
      <c r="L4" s="2">
        <f>(O4*(Q4/P4)*Constants!$C$1/Constants!$C$2)*Constants!$C$3/P4/12-30</f>
        <v>8.9850015290927558</v>
      </c>
      <c r="M4" s="2">
        <v>39.200000000000003</v>
      </c>
      <c r="N4" s="8">
        <v>293.8</v>
      </c>
      <c r="O4" s="9">
        <f>N4/Constants!$C$4</f>
        <v>9.1027388771842861E-3</v>
      </c>
      <c r="P4" s="2">
        <v>39480741</v>
      </c>
      <c r="Q4" s="2">
        <v>40507042</v>
      </c>
      <c r="R4" s="2"/>
      <c r="S4" s="11">
        <f t="shared" si="2"/>
        <v>8.4503315316459028E-3</v>
      </c>
      <c r="T4" s="11">
        <v>0.19869999999999999</v>
      </c>
      <c r="U4" s="3">
        <f t="shared" si="3"/>
        <v>1.6790808753380407E-3</v>
      </c>
      <c r="V4">
        <v>1425</v>
      </c>
      <c r="W4">
        <v>83</v>
      </c>
      <c r="X4" s="3"/>
      <c r="Y4">
        <v>47.1</v>
      </c>
      <c r="Z4" s="2">
        <v>38.5</v>
      </c>
      <c r="AA4">
        <v>17656</v>
      </c>
      <c r="AB4" s="2">
        <f>AA4*Y4</f>
        <v>831597.6</v>
      </c>
      <c r="AD4" s="3">
        <f>E4/AB4</f>
        <v>3.487263551506161E-3</v>
      </c>
      <c r="AE4" s="3">
        <f t="shared" si="4"/>
        <v>4.9881235154394295E-3</v>
      </c>
      <c r="AF4" s="3">
        <f>(F4*$E$10+E4)/AB4</f>
        <v>5.109751398993936E-3</v>
      </c>
      <c r="AG4" s="2">
        <f t="shared" si="5"/>
        <v>2.3499636357967666</v>
      </c>
      <c r="AH4" s="2">
        <f>Constants!$B$6*L4*12*Q4/10^9</f>
        <v>4.1054218110057965</v>
      </c>
    </row>
    <row r="5" spans="1:34" x14ac:dyDescent="0.25">
      <c r="A5" s="19" t="s">
        <v>4</v>
      </c>
      <c r="B5" s="3">
        <f t="shared" si="0"/>
        <v>1.3414634146341463E-2</v>
      </c>
      <c r="C5" s="3">
        <v>0.32800000000000001</v>
      </c>
      <c r="D5" s="3">
        <v>4.4000000000000003E-3</v>
      </c>
      <c r="E5">
        <v>3090</v>
      </c>
      <c r="G5" s="3">
        <v>4.4000000000000003E-3</v>
      </c>
      <c r="H5" s="3"/>
      <c r="I5" s="21">
        <f>K5*(O5*(Q5/P5)*Constants!$C$1/Constants!$C$2)*Constants!$C$3/P5/12-30</f>
        <v>37.428768662577298</v>
      </c>
      <c r="J5" s="2">
        <f t="shared" si="1"/>
        <v>3.3910464408295034</v>
      </c>
      <c r="K5" s="13">
        <v>0.9</v>
      </c>
      <c r="L5" s="2">
        <f>(O5*(Q5/P5)*Constants!$C$1/Constants!$C$2)*Constants!$C$3/P5/12-30</f>
        <v>44.920854069530336</v>
      </c>
      <c r="M5" s="2">
        <v>7.55</v>
      </c>
      <c r="N5" s="8">
        <v>94.2</v>
      </c>
      <c r="O5" s="9">
        <f>N5/Constants!$C$4</f>
        <v>2.9185772710373032E-3</v>
      </c>
      <c r="P5" s="2">
        <v>7089710</v>
      </c>
      <c r="Q5" s="2">
        <v>7829300</v>
      </c>
      <c r="R5" s="2"/>
      <c r="S5" s="11">
        <f t="shared" si="2"/>
        <v>2.182641984567564E-2</v>
      </c>
      <c r="T5" s="11">
        <v>0.19109999999999999</v>
      </c>
      <c r="U5" s="3">
        <f t="shared" si="3"/>
        <v>4.1710288325086144E-3</v>
      </c>
      <c r="V5">
        <v>813</v>
      </c>
      <c r="W5">
        <v>152</v>
      </c>
      <c r="X5" s="3"/>
      <c r="Y5">
        <v>8.6</v>
      </c>
      <c r="Z5" s="2">
        <v>7.11</v>
      </c>
      <c r="AA5">
        <v>23603</v>
      </c>
      <c r="AB5" s="2">
        <f>AA5*Y5</f>
        <v>202985.8</v>
      </c>
      <c r="AD5" s="3">
        <f>E5/AB5</f>
        <v>1.5222739718738948E-2</v>
      </c>
      <c r="AE5" s="3">
        <f t="shared" si="4"/>
        <v>1.3414634146341463E-2</v>
      </c>
      <c r="AG5" s="2">
        <f t="shared" si="5"/>
        <v>3.1934225422910951</v>
      </c>
      <c r="AH5" s="2">
        <f>Constants!$B$6*L5*12*Q5/10^9</f>
        <v>3.9671629464069529</v>
      </c>
    </row>
    <row r="6" spans="1:34" x14ac:dyDescent="0.25">
      <c r="A6" s="7" t="s">
        <v>3</v>
      </c>
      <c r="B6" s="12">
        <f t="shared" si="0"/>
        <v>1.7199017199017199E-2</v>
      </c>
      <c r="C6" s="3">
        <v>0.40699999999999997</v>
      </c>
      <c r="D6" s="3">
        <v>7.0000000000000001E-3</v>
      </c>
      <c r="E6">
        <v>19370</v>
      </c>
      <c r="G6" s="3">
        <v>7.0000000000000001E-3</v>
      </c>
      <c r="H6" s="3"/>
      <c r="I6" s="20">
        <f>K6*(O6*(Q6/P6)*Constants!$C$1/Constants!$C$2)*Constants!$C$3/P6/12-30</f>
        <v>23.310686870464927</v>
      </c>
      <c r="J6" s="2">
        <f t="shared" si="1"/>
        <v>15.664781576952432</v>
      </c>
      <c r="K6" s="5">
        <v>0.9</v>
      </c>
      <c r="L6" s="2">
        <f>(O6*(Q6/P6)*Constants!$C$1/Constants!$C$2)*Constants!$C$3/P6/12-30</f>
        <v>29.234096522738803</v>
      </c>
      <c r="M6" s="2">
        <v>56</v>
      </c>
      <c r="N6" s="8">
        <v>575.79999999999995</v>
      </c>
      <c r="O6" s="9">
        <f>N6/Constants!$C$4</f>
        <v>1.7839881026149459E-2</v>
      </c>
      <c r="P6" s="2">
        <v>53897217</v>
      </c>
      <c r="Q6" s="2">
        <v>58525747</v>
      </c>
      <c r="R6" s="2"/>
      <c r="S6" s="11">
        <f t="shared" si="2"/>
        <v>2.7832459188770545E-2</v>
      </c>
      <c r="T6" s="11">
        <v>0.17660000000000001</v>
      </c>
      <c r="U6" s="3">
        <f t="shared" si="3"/>
        <v>4.9152122927368785E-3</v>
      </c>
      <c r="V6">
        <v>3187</v>
      </c>
      <c r="W6">
        <v>88</v>
      </c>
      <c r="X6" s="3"/>
      <c r="Y6">
        <v>66.8</v>
      </c>
      <c r="Z6" s="2">
        <v>53.1</v>
      </c>
      <c r="AA6">
        <v>19798</v>
      </c>
      <c r="AB6" s="2">
        <f>AA6*Y6</f>
        <v>1322506.3999999999</v>
      </c>
      <c r="AD6" s="3">
        <f>E6/AB6</f>
        <v>1.4646431956775409E-2</v>
      </c>
      <c r="AE6" s="3">
        <f t="shared" si="4"/>
        <v>1.7199017199017199E-2</v>
      </c>
      <c r="AF6" s="11">
        <v>1.7000000000000001E-2</v>
      </c>
      <c r="AG6" s="2">
        <f t="shared" si="5"/>
        <v>14.853569673860253</v>
      </c>
      <c r="AH6" s="2">
        <f>Constants!$B$6*L6*12*Q6/10^9</f>
        <v>19.299485959819044</v>
      </c>
    </row>
    <row r="7" spans="1:34" x14ac:dyDescent="0.25">
      <c r="A7" s="7" t="s">
        <v>5</v>
      </c>
      <c r="B7" s="12">
        <f t="shared" si="0"/>
        <v>4.1884816753926706E-3</v>
      </c>
      <c r="C7" s="3">
        <v>0.38200000000000001</v>
      </c>
      <c r="D7" s="3">
        <v>1.6000000000000001E-3</v>
      </c>
      <c r="E7">
        <v>34620</v>
      </c>
      <c r="G7" s="3">
        <v>1.6000000000000001E-3</v>
      </c>
      <c r="H7" s="3"/>
      <c r="I7" s="20">
        <f>K7*(O7*(Q7/P7)*Constants!$C$1/Constants!$C$2)*Constants!$C$3/P7/12-30</f>
        <v>85.616150463269989</v>
      </c>
      <c r="J7" s="2">
        <f t="shared" si="1"/>
        <v>285.30725980380089</v>
      </c>
      <c r="K7" s="13">
        <v>0.9</v>
      </c>
      <c r="L7" s="2">
        <f>(O7*(Q7/P7)*Constants!$C$1/Constants!$C$2)*Constants!$C$3/P7/12-30</f>
        <v>98.462389403633296</v>
      </c>
      <c r="M7" s="4">
        <v>277.7</v>
      </c>
      <c r="N7" s="10">
        <v>5794.5</v>
      </c>
      <c r="O7" s="9">
        <f>N7/Constants!$C$4</f>
        <v>0.17952968149708762</v>
      </c>
      <c r="P7" s="4">
        <v>258461619</v>
      </c>
      <c r="Q7" s="4">
        <v>290045629</v>
      </c>
      <c r="R7" s="2"/>
      <c r="S7" s="11">
        <f t="shared" si="2"/>
        <v>4.5731003235390304E-2</v>
      </c>
      <c r="T7" s="11">
        <v>0.27129999999999999</v>
      </c>
      <c r="U7" s="3">
        <f t="shared" si="3"/>
        <v>1.2406821177761389E-2</v>
      </c>
      <c r="V7">
        <v>22996</v>
      </c>
      <c r="W7">
        <v>172</v>
      </c>
      <c r="X7" s="3"/>
      <c r="Y7">
        <v>328.3</v>
      </c>
      <c r="Z7" s="4">
        <v>257</v>
      </c>
      <c r="AA7">
        <v>24858</v>
      </c>
      <c r="AB7" s="2">
        <v>4496000</v>
      </c>
      <c r="AC7">
        <v>44100</v>
      </c>
      <c r="AD7" s="3">
        <f>AC7/AB7</f>
        <v>9.8087188612099637E-3</v>
      </c>
      <c r="AE7" s="3">
        <f t="shared" si="4"/>
        <v>4.1884816753926706E-3</v>
      </c>
      <c r="AG7" s="2">
        <f t="shared" si="5"/>
        <v>264.04020802872463</v>
      </c>
      <c r="AH7" s="2">
        <f>Constants!$B$6*L7*12*Q7/10^9</f>
        <v>322.14084632849483</v>
      </c>
    </row>
    <row r="8" spans="1:34" x14ac:dyDescent="0.25">
      <c r="A8" t="s">
        <v>63</v>
      </c>
      <c r="B8" s="3"/>
      <c r="C8" s="3"/>
      <c r="D8" s="3"/>
      <c r="E8">
        <f>SUM(E2+E3+E4+E6)</f>
        <v>58260</v>
      </c>
      <c r="F8" s="1">
        <f>F2+F3+F4</f>
        <v>0.51249999999999996</v>
      </c>
      <c r="G8" s="3"/>
      <c r="H8" s="3"/>
      <c r="L8" s="2">
        <f>SUMPRODUCT(L2:L6,Q2:Q6)/Q8</f>
        <v>23.777393803164124</v>
      </c>
      <c r="M8" s="2">
        <f>SUM(M2:M6)</f>
        <v>225.65000000000003</v>
      </c>
      <c r="P8" s="2">
        <f>SUM(P2:P6)</f>
        <v>224140415</v>
      </c>
      <c r="Q8" s="2">
        <f>SUM(Q2:Q6)</f>
        <v>234328547</v>
      </c>
      <c r="Y8">
        <f>SUM(Y2+Y3+Y4+Y6)</f>
        <v>264.39999999999998</v>
      </c>
      <c r="Z8" s="2">
        <f>SUM(Z2:Z6)</f>
        <v>219.81000000000003</v>
      </c>
      <c r="AB8">
        <f t="shared" ref="AB8" si="6">SUM(AB2+AB3+AB4+AB6)</f>
        <v>4703844.9000000004</v>
      </c>
      <c r="AD8" s="3">
        <f>E8/AB8</f>
        <v>1.2385612459288356E-2</v>
      </c>
      <c r="AE8" s="3"/>
      <c r="AF8" s="3">
        <f>(F8*$E$10+E8)/AB8</f>
        <v>1.4001064852287113E-2</v>
      </c>
      <c r="AH8" s="2">
        <f>Constants!$B$6*L8*12*Q8/10^9</f>
        <v>62.849025754340616</v>
      </c>
    </row>
    <row r="9" spans="1:34" ht="14.25" customHeight="1" x14ac:dyDescent="0.25">
      <c r="A9" t="s">
        <v>62</v>
      </c>
      <c r="B9" s="3"/>
      <c r="C9" s="3"/>
      <c r="D9" s="3"/>
      <c r="E9">
        <f>E8+E5</f>
        <v>61350</v>
      </c>
      <c r="F9" s="1">
        <f>F2+F3+F4</f>
        <v>0.51249999999999996</v>
      </c>
      <c r="G9" s="3"/>
      <c r="H9" s="3"/>
      <c r="L9" s="2">
        <f>SUMPRODUCT(L2:L6,Q2:Q6)/Q9</f>
        <v>23.777393803164124</v>
      </c>
      <c r="M9" s="2">
        <f>M8+M5</f>
        <v>233.20000000000005</v>
      </c>
      <c r="P9" s="2">
        <f>SUM(P2:P6)</f>
        <v>224140415</v>
      </c>
      <c r="Q9" s="2">
        <f>SUM(Q2:Q6)</f>
        <v>234328547</v>
      </c>
      <c r="Y9">
        <f>Y8+Y5</f>
        <v>273</v>
      </c>
      <c r="Z9" s="2">
        <f>Z8+Z5</f>
        <v>226.92000000000004</v>
      </c>
      <c r="AB9">
        <f>AB8+AB5</f>
        <v>4906830.7</v>
      </c>
      <c r="AD9" s="3">
        <f>E9/AB9</f>
        <v>1.2502978755717004E-2</v>
      </c>
      <c r="AE9" s="3"/>
      <c r="AF9" s="3">
        <f>(F9*$E$10+E9)/AB9</f>
        <v>1.4051603105034782E-2</v>
      </c>
      <c r="AH9" s="2">
        <f>Constants!$B$6*L9*12*Q9/10^9</f>
        <v>62.849025754340616</v>
      </c>
    </row>
    <row r="10" spans="1:34" x14ac:dyDescent="0.25">
      <c r="A10" t="s">
        <v>61</v>
      </c>
      <c r="E10">
        <v>14827</v>
      </c>
      <c r="Y10">
        <v>446.8</v>
      </c>
      <c r="AB10" s="2"/>
    </row>
    <row r="11" spans="1:34" x14ac:dyDescent="0.25">
      <c r="A11" t="s">
        <v>32</v>
      </c>
      <c r="N11" s="8">
        <v>3964.1</v>
      </c>
      <c r="O11" s="9">
        <f>N11/Constants!$C$4</f>
        <v>0.1228188127401165</v>
      </c>
      <c r="AB11" s="2"/>
    </row>
    <row r="13" spans="1:34" x14ac:dyDescent="0.25">
      <c r="A13" s="7" t="s">
        <v>8</v>
      </c>
      <c r="C13" t="s">
        <v>9</v>
      </c>
      <c r="D13" t="s">
        <v>13</v>
      </c>
      <c r="E13" t="s">
        <v>13</v>
      </c>
      <c r="F13" t="s">
        <v>14</v>
      </c>
      <c r="I13" t="s">
        <v>58</v>
      </c>
      <c r="K13" t="s">
        <v>43</v>
      </c>
      <c r="M13" t="s">
        <v>59</v>
      </c>
      <c r="N13" t="s">
        <v>60</v>
      </c>
      <c r="O13" t="s">
        <v>60</v>
      </c>
      <c r="P13" t="s">
        <v>59</v>
      </c>
      <c r="Q13" t="s">
        <v>59</v>
      </c>
      <c r="T13" t="s">
        <v>52</v>
      </c>
      <c r="V13" t="s">
        <v>47</v>
      </c>
      <c r="W13" t="s">
        <v>52</v>
      </c>
      <c r="Y13" t="s">
        <v>12</v>
      </c>
      <c r="Z13" t="s">
        <v>59</v>
      </c>
      <c r="AA13" t="s">
        <v>9</v>
      </c>
      <c r="AB13" t="s">
        <v>33</v>
      </c>
      <c r="AC13" t="s">
        <v>33</v>
      </c>
      <c r="AF13" t="s">
        <v>36</v>
      </c>
    </row>
    <row r="14" spans="1:34" x14ac:dyDescent="0.25">
      <c r="B14" t="s">
        <v>57</v>
      </c>
      <c r="K14" t="s">
        <v>45</v>
      </c>
      <c r="AB14" t="s">
        <v>34</v>
      </c>
      <c r="AC14" t="s">
        <v>34</v>
      </c>
    </row>
    <row r="15" spans="1:34" x14ac:dyDescent="0.25">
      <c r="B15" s="18" t="s">
        <v>64</v>
      </c>
      <c r="K15" t="s">
        <v>44</v>
      </c>
    </row>
    <row r="16" spans="1:34" x14ac:dyDescent="0.25">
      <c r="B16" s="7" t="s">
        <v>72</v>
      </c>
      <c r="I16" t="s">
        <v>73</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9</vt:i4>
      </vt:variant>
    </vt:vector>
  </HeadingPairs>
  <TitlesOfParts>
    <vt:vector size="9" baseType="lpstr">
      <vt:lpstr>Figures</vt:lpstr>
      <vt:lpstr>Wording</vt:lpstr>
      <vt:lpstr>Quotas</vt:lpstr>
      <vt:lpstr>Constants</vt:lpstr>
      <vt:lpstr>Income</vt:lpstr>
      <vt:lpstr>Education</vt:lpstr>
      <vt:lpstr>Policies</vt:lpstr>
      <vt:lpstr>Wealth tax</vt:lpstr>
      <vt:lpstr>Rotated (old)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fabre</dc:creator>
  <cp:lastModifiedBy>fabre</cp:lastModifiedBy>
  <dcterms:created xsi:type="dcterms:W3CDTF">2022-11-21T22:48:55Z</dcterms:created>
  <dcterms:modified xsi:type="dcterms:W3CDTF">2023-02-24T18:38:10Z</dcterms:modified>
</cp:coreProperties>
</file>