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Main" sheetId="3" r:id="rId1"/>
    <sheet name="quotas" sheetId="12" r:id="rId2"/>
    <sheet name="Constants" sheetId="2" r:id="rId3"/>
    <sheet name="Income" sheetId="4" r:id="rId4"/>
    <sheet name="Education" sheetId="5" r:id="rId5"/>
    <sheet name="Policies" sheetId="6" r:id="rId6"/>
    <sheet name="Wealth tax" sheetId="7" r:id="rId7"/>
    <sheet name="Rotated (old)" sheetId="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 i="12" l="1"/>
  <c r="N11" i="12"/>
  <c r="O11" i="12"/>
  <c r="P11" i="12"/>
  <c r="N12" i="12"/>
  <c r="O12" i="12"/>
  <c r="P12" i="12"/>
  <c r="N13" i="12"/>
  <c r="O13" i="12"/>
  <c r="P13" i="12"/>
  <c r="N14" i="12"/>
  <c r="O14" i="12"/>
  <c r="P14" i="12"/>
  <c r="B6" i="12"/>
  <c r="B7" i="12"/>
  <c r="U8" i="12" l="1"/>
  <c r="V8" i="12"/>
  <c r="W8" i="12"/>
  <c r="T8" i="12"/>
  <c r="C3" i="12"/>
  <c r="D3" i="12" l="1"/>
  <c r="T3" i="12"/>
  <c r="X3" i="12"/>
  <c r="W3" i="12"/>
  <c r="V3" i="12"/>
  <c r="U3" i="12"/>
  <c r="C5" i="12"/>
  <c r="C2" i="12"/>
  <c r="C4" i="12"/>
  <c r="H7" i="12" l="1"/>
  <c r="L7" i="12"/>
  <c r="I6" i="12"/>
  <c r="E6" i="12"/>
  <c r="J6" i="12"/>
  <c r="O6" i="12"/>
  <c r="K6" i="12"/>
  <c r="F6" i="12"/>
  <c r="H6" i="12"/>
  <c r="L6" i="12"/>
  <c r="M6" i="12"/>
  <c r="G6" i="12"/>
  <c r="P6" i="12"/>
  <c r="N6" i="12"/>
  <c r="Z6" i="12"/>
  <c r="AA6" i="12"/>
  <c r="Y6" i="12"/>
  <c r="J7" i="12"/>
  <c r="K7" i="12"/>
  <c r="O7" i="12"/>
  <c r="I7" i="12"/>
  <c r="E7" i="12"/>
  <c r="P7" i="12"/>
  <c r="N7" i="12"/>
  <c r="F7" i="12"/>
  <c r="M7" i="12"/>
  <c r="G7" i="12"/>
  <c r="D4" i="12"/>
  <c r="V4" i="12"/>
  <c r="T4" i="12"/>
  <c r="U4" i="12"/>
  <c r="X4" i="12"/>
  <c r="W4" i="12"/>
  <c r="D5" i="12"/>
  <c r="U5" i="12"/>
  <c r="T5" i="12"/>
  <c r="V5" i="12"/>
  <c r="W5" i="12"/>
  <c r="X5" i="12"/>
  <c r="V2" i="12"/>
  <c r="U2" i="12"/>
  <c r="X2" i="12"/>
  <c r="T2" i="12"/>
  <c r="Y7" i="12"/>
  <c r="D2" i="12"/>
  <c r="Z7" i="12"/>
  <c r="AA7" i="12"/>
  <c r="F14" i="12" l="1"/>
  <c r="F13" i="12"/>
  <c r="F12" i="12"/>
  <c r="F11" i="12"/>
  <c r="G11" i="12"/>
  <c r="G12" i="12"/>
  <c r="G14" i="12"/>
  <c r="G13" i="12"/>
  <c r="E12" i="12"/>
  <c r="E11" i="12"/>
  <c r="E16" i="12" s="1"/>
  <c r="E14" i="12"/>
  <c r="E13" i="12"/>
  <c r="E15" i="12" s="1"/>
  <c r="K13" i="12"/>
  <c r="K12" i="12"/>
  <c r="K11" i="12"/>
  <c r="K14" i="12"/>
  <c r="N15" i="12"/>
  <c r="I11" i="12"/>
  <c r="I12" i="12"/>
  <c r="I14" i="12"/>
  <c r="I13" i="12"/>
  <c r="O16" i="12"/>
  <c r="O15" i="12"/>
  <c r="L14" i="12"/>
  <c r="L13" i="12"/>
  <c r="L12" i="12"/>
  <c r="L11" i="12"/>
  <c r="L16" i="12" s="1"/>
  <c r="J12" i="12"/>
  <c r="J14" i="12"/>
  <c r="J11" i="12"/>
  <c r="J13" i="12"/>
  <c r="J15" i="12" s="1"/>
  <c r="H12" i="12"/>
  <c r="H11" i="12"/>
  <c r="H16" i="12" s="1"/>
  <c r="H14" i="12"/>
  <c r="H13" i="12"/>
  <c r="M16" i="12"/>
  <c r="M15" i="12"/>
  <c r="M17" i="12" s="1"/>
  <c r="L15" i="12"/>
  <c r="I15" i="12"/>
  <c r="K15" i="12"/>
  <c r="K16" i="12"/>
  <c r="G16" i="12"/>
  <c r="G15" i="12"/>
  <c r="I16" i="12"/>
  <c r="I17" i="12" s="1"/>
  <c r="J16" i="12"/>
  <c r="F16" i="12"/>
  <c r="F15" i="12"/>
  <c r="P15" i="12" l="1"/>
  <c r="N16" i="12"/>
  <c r="N17" i="12" s="1"/>
  <c r="H15" i="12"/>
  <c r="H17" i="12" s="1"/>
  <c r="P16" i="12"/>
  <c r="K17" i="12"/>
  <c r="P17" i="12"/>
  <c r="O17" i="12"/>
  <c r="L17" i="12"/>
  <c r="J17" i="12"/>
  <c r="F17" i="12"/>
  <c r="E17" i="12"/>
  <c r="G17" i="12"/>
  <c r="G22" i="7" l="1"/>
  <c r="G21" i="7"/>
  <c r="H21" i="7"/>
  <c r="G20" i="7"/>
  <c r="G3" i="7"/>
  <c r="G4" i="7"/>
  <c r="G5" i="7"/>
  <c r="G6" i="7"/>
  <c r="G7" i="7"/>
  <c r="G2" i="7"/>
  <c r="F9" i="7"/>
  <c r="F3" i="7"/>
  <c r="F4" i="7"/>
  <c r="F5" i="7"/>
  <c r="F6" i="7"/>
  <c r="F7" i="7"/>
  <c r="F2" i="7"/>
  <c r="D9" i="7"/>
  <c r="E3" i="7"/>
  <c r="E4" i="7"/>
  <c r="E5" i="7"/>
  <c r="E6" i="7"/>
  <c r="E7" i="7"/>
  <c r="E2" i="7"/>
  <c r="D3" i="7"/>
  <c r="D4" i="7"/>
  <c r="D5" i="7"/>
  <c r="D6" i="7"/>
  <c r="D7" i="7"/>
  <c r="D13" i="7"/>
  <c r="D14" i="7"/>
  <c r="D15" i="7"/>
  <c r="D16" i="7"/>
  <c r="D17" i="7"/>
  <c r="D18" i="7"/>
  <c r="D19" i="7"/>
  <c r="D2" i="7"/>
  <c r="B14" i="7"/>
  <c r="B15" i="7"/>
  <c r="B16" i="7"/>
  <c r="B17" i="7"/>
  <c r="B18" i="7"/>
  <c r="B19" i="7"/>
  <c r="B13" i="7"/>
  <c r="B3" i="7"/>
  <c r="B4" i="7"/>
  <c r="B5" i="7"/>
  <c r="B6" i="7"/>
  <c r="B7" i="7"/>
  <c r="B2" i="7"/>
  <c r="Y19" i="7"/>
  <c r="H19" i="7"/>
  <c r="C19" i="7"/>
  <c r="Y18" i="7"/>
  <c r="H18" i="7"/>
  <c r="C18" i="7"/>
  <c r="Y17" i="7"/>
  <c r="H17" i="7"/>
  <c r="C17" i="7"/>
  <c r="Y16" i="7"/>
  <c r="H16" i="7"/>
  <c r="C16" i="7"/>
  <c r="Y15" i="7"/>
  <c r="H15" i="7"/>
  <c r="C15" i="7"/>
  <c r="Y14" i="7"/>
  <c r="H14" i="7"/>
  <c r="C14" i="7"/>
  <c r="Y13" i="7"/>
  <c r="H13" i="7"/>
  <c r="C13" i="7"/>
  <c r="AA7" i="7"/>
  <c r="V7" i="7"/>
  <c r="U7" i="7"/>
  <c r="S7" i="7"/>
  <c r="R7" i="7" s="1"/>
  <c r="C7" i="7" s="1"/>
  <c r="H7" i="7"/>
  <c r="AA6" i="7"/>
  <c r="R6" i="7" s="1"/>
  <c r="Y6" i="7"/>
  <c r="X6" i="7"/>
  <c r="V6" i="7"/>
  <c r="U6" i="7" s="1"/>
  <c r="S6" i="7"/>
  <c r="P6" i="7"/>
  <c r="M6" i="7"/>
  <c r="L6" i="7"/>
  <c r="C6" i="7" s="1"/>
  <c r="J6" i="7"/>
  <c r="I6" i="7" s="1"/>
  <c r="X5" i="7"/>
  <c r="U5" i="7"/>
  <c r="R5" i="7"/>
  <c r="C5" i="7" s="1"/>
  <c r="O5" i="7"/>
  <c r="L5" i="7"/>
  <c r="I5" i="7"/>
  <c r="H5" i="7"/>
  <c r="X4" i="7"/>
  <c r="U4" i="7"/>
  <c r="R4" i="7"/>
  <c r="O4" i="7"/>
  <c r="L4" i="7"/>
  <c r="H4" i="7" s="1"/>
  <c r="I4" i="7"/>
  <c r="C4" i="7"/>
  <c r="X3" i="7"/>
  <c r="U3" i="7"/>
  <c r="R3" i="7"/>
  <c r="O3" i="7"/>
  <c r="L3" i="7"/>
  <c r="I3" i="7"/>
  <c r="H3" i="7"/>
  <c r="C3" i="7"/>
  <c r="X2" i="7"/>
  <c r="U2" i="7"/>
  <c r="R2" i="7"/>
  <c r="O2" i="7"/>
  <c r="L2" i="7"/>
  <c r="I2" i="7"/>
  <c r="H2" i="7"/>
  <c r="C2" i="7"/>
  <c r="AB6" i="7" l="1"/>
  <c r="O6" i="7"/>
  <c r="H6" i="7" l="1"/>
  <c r="K15" i="3"/>
  <c r="G15" i="3"/>
  <c r="F15" i="3"/>
  <c r="E15" i="3"/>
  <c r="D15" i="3"/>
  <c r="C15" i="3"/>
  <c r="B15" i="3"/>
  <c r="O11" i="1"/>
  <c r="O7" i="1"/>
  <c r="O6" i="1"/>
  <c r="O5" i="1"/>
  <c r="O4" i="1"/>
  <c r="O3" i="1"/>
  <c r="O2" i="1"/>
  <c r="B32" i="3" l="1"/>
  <c r="G31" i="3"/>
  <c r="F31" i="3"/>
  <c r="E31" i="3"/>
  <c r="D31" i="3"/>
  <c r="C31" i="3"/>
  <c r="B31" i="3"/>
  <c r="G30" i="3"/>
  <c r="B30" i="3"/>
  <c r="F28" i="3"/>
  <c r="F30" i="3" s="1"/>
  <c r="E28" i="3"/>
  <c r="E30" i="3" s="1"/>
  <c r="D28" i="3"/>
  <c r="D32" i="3" s="1"/>
  <c r="C28" i="3"/>
  <c r="C32" i="3" s="1"/>
  <c r="H26" i="3"/>
  <c r="H25" i="3"/>
  <c r="I25" i="3" s="1"/>
  <c r="I17" i="3"/>
  <c r="H17" i="3"/>
  <c r="I16" i="3"/>
  <c r="H16" i="3"/>
  <c r="G9" i="3"/>
  <c r="F9" i="3"/>
  <c r="E12" i="3"/>
  <c r="E34" i="3" s="1"/>
  <c r="D12" i="3"/>
  <c r="D34" i="3" s="1"/>
  <c r="B12" i="3"/>
  <c r="H13" i="3"/>
  <c r="I13" i="3" s="1"/>
  <c r="C12" i="3"/>
  <c r="C34" i="3" s="1"/>
  <c r="C9" i="3"/>
  <c r="C10" i="3" s="1"/>
  <c r="C21" i="3" s="1"/>
  <c r="C19" i="3" s="1"/>
  <c r="D7" i="3"/>
  <c r="C7" i="3"/>
  <c r="C2" i="3" s="1"/>
  <c r="B7" i="3"/>
  <c r="I6" i="3"/>
  <c r="H6" i="3"/>
  <c r="H5" i="3"/>
  <c r="I5" i="3" s="1"/>
  <c r="G2" i="3"/>
  <c r="F2" i="3"/>
  <c r="E2" i="3"/>
  <c r="D2" i="3"/>
  <c r="B2" i="3"/>
  <c r="M8" i="1"/>
  <c r="M9" i="1" s="1"/>
  <c r="Z8" i="1"/>
  <c r="Z9" i="1" s="1"/>
  <c r="D30" i="3" l="1"/>
  <c r="C35" i="3"/>
  <c r="D35" i="3"/>
  <c r="F35" i="3"/>
  <c r="B35" i="3"/>
  <c r="I26" i="3"/>
  <c r="B9" i="3"/>
  <c r="B10" i="3" s="1"/>
  <c r="B21" i="3" s="1"/>
  <c r="B19" i="3" s="1"/>
  <c r="D9" i="3"/>
  <c r="D33" i="3" s="1"/>
  <c r="G12" i="3"/>
  <c r="G34" i="3" s="1"/>
  <c r="B34" i="3"/>
  <c r="F33" i="3"/>
  <c r="F10" i="3"/>
  <c r="F21" i="3" s="1"/>
  <c r="F19" i="3" s="1"/>
  <c r="G33" i="3"/>
  <c r="G10" i="3"/>
  <c r="G21" i="3" s="1"/>
  <c r="G19" i="3" s="1"/>
  <c r="F12" i="3"/>
  <c r="F34" i="3" s="1"/>
  <c r="C30" i="3"/>
  <c r="E9" i="3"/>
  <c r="C33" i="3"/>
  <c r="H28" i="3"/>
  <c r="I28" i="3" s="1"/>
  <c r="I30" i="3" s="1"/>
  <c r="H30" i="3"/>
  <c r="B6" i="1"/>
  <c r="B5" i="1"/>
  <c r="B7" i="1"/>
  <c r="G3" i="1"/>
  <c r="B3" i="1" s="1"/>
  <c r="G4" i="1"/>
  <c r="B4" i="1" s="1"/>
  <c r="G2" i="1"/>
  <c r="B2" i="1" s="1"/>
  <c r="AE3" i="1"/>
  <c r="AE4" i="1"/>
  <c r="AE6" i="1"/>
  <c r="AE5" i="1"/>
  <c r="AE7" i="1"/>
  <c r="AE2" i="1"/>
  <c r="AF2" i="1"/>
  <c r="AD2" i="1"/>
  <c r="AD7" i="1"/>
  <c r="B33" i="3" l="1"/>
  <c r="H12" i="3"/>
  <c r="H34" i="3" s="1"/>
  <c r="D10" i="3"/>
  <c r="D21" i="3" s="1"/>
  <c r="D19" i="3" s="1"/>
  <c r="H32" i="3"/>
  <c r="E10" i="3"/>
  <c r="E21" i="3" s="1"/>
  <c r="E19" i="3" s="1"/>
  <c r="E33" i="3"/>
  <c r="I32" i="3"/>
  <c r="I12" i="3"/>
  <c r="I34" i="3" s="1"/>
  <c r="L6" i="1"/>
  <c r="AH6" i="1" s="1"/>
  <c r="I6" i="1"/>
  <c r="L2" i="1"/>
  <c r="AH2" i="1" s="1"/>
  <c r="I2" i="1"/>
  <c r="L4" i="1"/>
  <c r="AH4" i="1" s="1"/>
  <c r="I4" i="1"/>
  <c r="L3" i="1"/>
  <c r="AH3" i="1" s="1"/>
  <c r="I3" i="1"/>
  <c r="L5" i="1"/>
  <c r="AH5" i="1" s="1"/>
  <c r="I5" i="1"/>
  <c r="I7" i="1"/>
  <c r="L7" i="1"/>
  <c r="AH7" i="1" s="1"/>
  <c r="Q8" i="1"/>
  <c r="Q9" i="1"/>
  <c r="P9" i="1"/>
  <c r="P8" i="1"/>
  <c r="E8" i="1"/>
  <c r="Y8" i="1"/>
  <c r="Y9" i="1" s="1"/>
  <c r="J2" i="1" l="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<sst xmlns="http://schemas.openxmlformats.org/spreadsheetml/2006/main" count="567" uniqueCount="353">
  <si>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</si>
  <si>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</si>
  <si>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</si>
  <si>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</si>
  <si>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</si>
  <si>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</si>
  <si>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</si>
  <si>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</si>
  <si>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</si>
  <si>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</si>
  <si>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</si>
  <si>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</si>
  <si>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</si>
  <si>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</si>
  <si>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</si>
  <si>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</si>
  <si>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</si>
  <si>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</si>
  <si>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</si>
  <si>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</si>
  <si>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</si>
  <si>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</si>
  <si>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</si>
  <si>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</si>
  <si>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</si>
  <si>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</si>
  <si>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</si>
  <si>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</si>
  <si>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</si>
  <si>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</si>
  <si>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</si>
  <si>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</si>
  <si>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</si>
  <si>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</si>
  <si>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</si>
  <si>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</si>
  <si>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</si>
  <si>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</si>
  <si>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</si>
  <si>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</si>
  <si>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</si>
  <si>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</si>
  <si>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</si>
  <si>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</si>
  <si>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</si>
  <si>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</si>
  <si>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</si>
  <si>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</si>
  <si>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</si>
  <si>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</si>
  <si>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</si>
  <si>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</si>
  <si>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</si>
  <si>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</si>
  <si>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</si>
  <si>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</si>
  <si>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</si>
  <si>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</si>
  <si>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</si>
  <si>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</si>
  <si>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</si>
  <si>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</si>
  <si>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</si>
  <si>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</si>
  <si>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</si>
  <si>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</si>
  <si>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</si>
  <si>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</si>
  <si>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</si>
  <si>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</si>
  <si>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</si>
  <si>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</si>
  <si>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</si>
  <si>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</si>
  <si>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</si>
  <si>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</si>
  <si>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</si>
  <si>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</si>
  <si>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</si>
  <si>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</si>
  <si>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</si>
  <si>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</si>
  <si>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</si>
  <si>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</si>
  <si>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</si>
  <si>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</si>
  <si>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</si>
  <si>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</si>
  <si>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</si>
  <si>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</si>
  <si>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</si>
  <si>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</si>
  <si>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</si>
  <si>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</si>
  <si>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</si>
  <si>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</si>
  <si>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</si>
  <si>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</si>
  <si>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</si>
  <si>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</si>
  <si>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</si>
  <si>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</si>
  <si>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</si>
  <si>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</si>
  <si>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</si>
  <si>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</si>
  <si>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</si>
  <si>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</si>
  <si>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</si>
  <si>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professionnel</t>
  </si>
  <si>
    <t>Bac général ou technologique</t>
  </si>
  <si>
    <t>Bac +2 (BTS, DUT, DEUG…)</t>
  </si>
  <si>
    <t>Bac +3 (licence…)</t>
  </si>
  <si>
    <t>Bac +5 ou plus (master, école d'ingénieur ou de commerce, doctorat, médecine, maîtrise, DEA, DESS...)</t>
  </si>
  <si>
    <t>Eigth grade</t>
  </si>
  <si>
    <t>Primary school or less</t>
  </si>
  <si>
    <t>Some high school</t>
  </si>
  <si>
    <t>Regular high school diploma/GED or alternative credential</t>
  </si>
  <si>
    <t>Bachelor's degree (for example: BA, BS)</t>
  </si>
  <si>
    <t>Master’s degree or above (MA, MS, MEng, MEd, MSW, MBA, MD, DDS, DVM, LLB, JD)</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</si>
  <si>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</si>
  <si>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</si>
  <si>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</si>
  <si>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</si>
  <si>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</si>
  <si>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</si>
  <si>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</si>
  <si>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</si>
  <si>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</si>
  <si>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</si>
  <si>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</si>
  <si>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</si>
  <si>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</si>
  <si>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</si>
  <si>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</si>
  <si>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</si>
  <si>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</si>
  <si>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</si>
  <si>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</si>
  <si>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</si>
  <si>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</si>
  <si>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</si>
  <si>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Zweitausbildung</t>
  </si>
  <si>
    <t>Hochschulabschluss (z.B. Bachelor, Fachschulabschluss)</t>
  </si>
  <si>
    <t>Erstausbildung</t>
  </si>
  <si>
    <t>Some secondary school</t>
  </si>
  <si>
    <t>merge 3 and 4</t>
  </si>
  <si>
    <t>United Kingdom</t>
  </si>
  <si>
    <t>United States</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</si>
  <si>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</si>
  <si>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</si>
  <si>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</si>
  <si>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</si>
  <si>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</si>
  <si>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</si>
  <si>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</si>
  <si>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</si>
  <si>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</si>
  <si>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</si>
  <si>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</si>
  <si>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</si>
  <si>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</si>
  <si>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</si>
  <si>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</si>
  <si>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</si>
  <si>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</si>
  <si>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</si>
  <si>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</si>
  <si>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</si>
  <si>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</si>
  <si>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</si>
  <si>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</si>
  <si>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</si>
  <si>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</si>
  <si>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</si>
  <si>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</si>
  <si>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</si>
  <si>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</si>
  <si>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</si>
  <si>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</si>
  <si>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</si>
  <si>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Instaurer des quotas d'immigration</t>
  </si>
  <si>
    <t>15 heures d'activité par semaine obligatoires pour bénéficier du RSA</t>
  </si>
  <si>
    <t>Suppression de 150 000 fonctionnaires</t>
  </si>
  <si>
    <t>Plan pour l'isolation thermique</t>
  </si>
  <si>
    <t>Plan de redistribution nationale</t>
  </si>
  <si>
    <t>Exonération des droits de succession pour 95% des Français</t>
  </si>
  <si>
    <t>It can be both SPD or CDU</t>
  </si>
  <si>
    <t>Second tour Présidentielle</t>
  </si>
  <si>
    <t>What platform do you prefer?</t>
  </si>
  <si>
    <t>Conjoint analysis d</t>
  </si>
  <si>
    <t>Klimaneutral Industrie fördern</t>
  </si>
  <si>
    <t>Schuldenquote auf unter 60% reduzieren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</si>
  <si>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</si>
  <si>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</si>
  <si>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</si>
  <si>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</si>
  <si>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</si>
  <si>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Tougher sentencing for the worst offenders and 10,000 more prison places</t>
  </si>
  <si>
    <t>Cut the burden of tax on business</t>
  </si>
  <si>
    <t>£100 billion for infrastructures like road and rail</t>
  </si>
  <si>
    <t>Upgrade UK homes to the highest energy-efficiency standards</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</si>
  <si>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</si>
  <si>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</si>
  <si>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</si>
  <si>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</si>
  <si>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</si>
  <si>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</si>
  <si>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</si>
  <si>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Plan Climático Global</t>
  </si>
  <si>
    <t>Globaler Klimaschutzplan</t>
  </si>
  <si>
    <t>SMIC à 1600€ net</t>
  </si>
  <si>
    <t>Already exists</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</si>
  <si>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</si>
  <si>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</si>
  <si>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</si>
  <si>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</si>
  <si>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</si>
  <si>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</si>
  <si>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</si>
  <si>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</si>
  <si>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</si>
  <si>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</si>
  <si>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</si>
  <si>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</si>
  <si>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</si>
  <si>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</si>
  <si>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</si>
  <si>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</si>
  <si>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</si>
  <si>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</si>
  <si>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</si>
  <si>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</si>
  <si>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</si>
  <si>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</si>
  <si>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</si>
  <si>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</si>
  <si>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</si>
  <si>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</si>
  <si>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</si>
  <si>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</si>
  <si>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</si>
  <si>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</si>
  <si>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</si>
  <si>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</si>
  <si>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</si>
  <si>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</si>
  <si>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</si>
  <si>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</si>
  <si>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</si>
  <si>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</si>
  <si>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</si>
  <si>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</si>
  <si>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</si>
  <si>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</si>
  <si>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</si>
  <si>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</si>
  <si>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</si>
  <si>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</si>
  <si>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</si>
  <si>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</si>
  <si>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</si>
  <si>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</si>
  <si>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</si>
  <si>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</si>
  <si>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</si>
  <si>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</si>
  <si>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</si>
  <si>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</si>
  <si>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</si>
  <si>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</si>
  <si>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</si>
  <si>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</si>
  <si>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</si>
  <si>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</si>
  <si>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</si>
  <si>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</si>
  <si>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</si>
  <si>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</si>
  <si>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</si>
  <si>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</si>
  <si>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</si>
  <si>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</si>
  <si>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</si>
  <si>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</si>
  <si>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</si>
  <si>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</si>
  <si>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</si>
  <si>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</si>
  <si>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</si>
  <si>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</si>
  <si>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</si>
  <si>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</si>
  <si>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</si>
  <si>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</si>
  <si>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</si>
  <si>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</si>
  <si>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</si>
  <si>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</si>
  <si>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</si>
  <si>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</si>
  <si>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</si>
  <si>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</si>
  <si>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</si>
  <si>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</si>
  <si>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</si>
  <si>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</si>
  <si>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</si>
  <si>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</si>
  <si>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</si>
  <si>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</si>
  <si>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</si>
  <si>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College in 25-64</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</si>
  <si>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</si>
  <si>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</si>
  <si>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</si>
  <si>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</si>
  <si>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</si>
  <si>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</si>
  <si>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</si>
  <si>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</si>
  <si>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</si>
  <si>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</si>
  <si>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</si>
  <si>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College in &gt;18</t>
  </si>
  <si>
    <t>Somme</t>
  </si>
  <si>
    <t>Moyenne</t>
  </si>
  <si>
    <t>Résultat cumulé</t>
  </si>
  <si>
    <t>Nombre</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</si>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</sst>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9"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65">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9" fontId="0" fillId="0" borderId="0" xfId="0" applyNumberFormat="1"/>
    <xf numFmtId="9" fontId="3" fillId="0" borderId="0" xfId="1" applyFont="1"/>
    <xf numFmtId="9" fontId="2" fillId="0" borderId="0" xfId="1" applyNumberFormat="1" applyFont="1"/>
    <xf numFmtId="9" fontId="2" fillId="0" borderId="0" xfId="1" applyFont="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F26" activeCellId="1" sqref="C26:D26 F26:G26"/>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42</v>
      </c>
      <c r="B2" s="12">
        <f t="shared" ref="B2:G2" si="0">B7/B3</f>
        <v>9.7357029337316898E-3</v>
      </c>
      <c r="C2" s="12">
        <f t="shared" si="0"/>
        <v>1.5292830463390731E-2</v>
      </c>
      <c r="D2" s="12">
        <f t="shared" si="0"/>
        <v>7.3089030223605529E-3</v>
      </c>
      <c r="E2" s="3">
        <f t="shared" si="0"/>
        <v>1.3414634146341463E-2</v>
      </c>
      <c r="F2" s="12">
        <f t="shared" si="0"/>
        <v>1.7199017199017199E-2</v>
      </c>
      <c r="G2" s="12">
        <f t="shared" si="0"/>
        <v>4.1884816753926706E-3</v>
      </c>
      <c r="H2" s="3"/>
      <c r="I2" s="3"/>
      <c r="N2" t="s">
        <v>58</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6" t="s">
        <v>66</v>
      </c>
      <c r="B5">
        <v>12180</v>
      </c>
      <c r="C5">
        <v>23810</v>
      </c>
      <c r="D5">
        <v>2900</v>
      </c>
      <c r="E5">
        <v>3090</v>
      </c>
      <c r="F5">
        <v>19370</v>
      </c>
      <c r="G5">
        <v>34620</v>
      </c>
      <c r="H5">
        <f>SUM(B5+C5+D5+F5)</f>
        <v>58260</v>
      </c>
      <c r="I5">
        <f>H5+E5</f>
        <v>61350</v>
      </c>
      <c r="J5">
        <v>14827</v>
      </c>
      <c r="M5" t="s">
        <v>13</v>
      </c>
    </row>
    <row r="6" spans="1:16" x14ac:dyDescent="0.25">
      <c r="A6" s="16" t="s">
        <v>67</v>
      </c>
      <c r="B6" s="1">
        <v>0.1855</v>
      </c>
      <c r="C6" s="1">
        <v>0.23599999999999999</v>
      </c>
      <c r="D6" s="1">
        <v>9.0999999999999998E-2</v>
      </c>
      <c r="H6" s="1">
        <f>B6+C6+D6</f>
        <v>0.51249999999999996</v>
      </c>
      <c r="I6" s="1">
        <f>B6+C6+D6</f>
        <v>0.51249999999999996</v>
      </c>
      <c r="M6" t="s">
        <v>14</v>
      </c>
    </row>
    <row r="7" spans="1:16" x14ac:dyDescent="0.25">
      <c r="A7" s="15" t="s">
        <v>41</v>
      </c>
      <c r="B7" s="11">
        <f>B4*((B5+$J$5*B6)/B5)</f>
        <v>5.3935794252873565E-3</v>
      </c>
      <c r="C7" s="11">
        <f>C4*((C5+$J$5*C6)/C5)</f>
        <v>6.881773708525829E-3</v>
      </c>
      <c r="D7" s="11">
        <f>D4*((D5+$J$5*D6)/D5)</f>
        <v>3.0770481724137926E-3</v>
      </c>
      <c r="E7" s="3">
        <v>4.4000000000000003E-3</v>
      </c>
      <c r="F7" s="3">
        <v>7.0000000000000001E-3</v>
      </c>
      <c r="G7" s="3">
        <v>1.6000000000000001E-3</v>
      </c>
      <c r="H7" s="3"/>
      <c r="I7" s="3"/>
      <c r="L7" s="18" t="s">
        <v>65</v>
      </c>
    </row>
    <row r="8" spans="1:16" x14ac:dyDescent="0.25">
      <c r="A8" s="15"/>
      <c r="B8" s="11"/>
      <c r="C8" s="11"/>
      <c r="D8" s="11"/>
      <c r="E8" s="3"/>
      <c r="F8" s="3"/>
      <c r="G8" s="3"/>
      <c r="H8" s="3"/>
      <c r="I8" s="3"/>
      <c r="L8" s="7" t="s">
        <v>73</v>
      </c>
    </row>
    <row r="9" spans="1:16" x14ac:dyDescent="0.25">
      <c r="A9" s="14" t="s">
        <v>68</v>
      </c>
      <c r="B9" s="20">
        <f>B11*(B15*(B17/B16)*Constants!$C$1/Constants!$C$2)*Constants!$C$3/B16/12-30</f>
        <v>11.601525537519159</v>
      </c>
      <c r="C9" s="20">
        <f>C11*(C15*(C17/C16)*Constants!$C$1/Constants!$C$2)*Constants!$C$3/C16/12-30</f>
        <v>25.254793222517712</v>
      </c>
      <c r="D9" s="20">
        <f>D11*(D15*(D17/D16)*Constants!$C$1/Constants!$C$2)*Constants!$C$3/D16/12-30</f>
        <v>5.0865013761834774</v>
      </c>
      <c r="E9" s="21">
        <f>E11*(E15*(E17/E16)*Constants!$C$1/Constants!$C$2)*Constants!$C$3/E16/12-30</f>
        <v>37.428768662577298</v>
      </c>
      <c r="F9" s="20">
        <f>F11*(F15*(F17/F16)*Constants!$C$1/Constants!$C$2)*Constants!$C$3/F16/12-30</f>
        <v>23.310686870464927</v>
      </c>
      <c r="G9" s="20">
        <f>G11*(G15*(G17/G16)*Constants!$C$1/Constants!$C$2)*Constants!$C$3/G16/12-30</f>
        <v>85.616150463269989</v>
      </c>
      <c r="M9" t="s">
        <v>59</v>
      </c>
      <c r="P9" t="s">
        <v>74</v>
      </c>
    </row>
    <row r="10" spans="1:16" x14ac:dyDescent="0.25">
      <c r="A10" s="14" t="s">
        <v>57</v>
      </c>
      <c r="B10" s="2">
        <f t="shared" ref="B10:G10" si="1">B9*B13*12/1000</f>
        <v>7.5317103789574373</v>
      </c>
      <c r="C10" s="2">
        <f t="shared" si="1"/>
        <v>20.850357284510622</v>
      </c>
      <c r="D10" s="2">
        <f t="shared" si="1"/>
        <v>2.392690247356708</v>
      </c>
      <c r="E10" s="2">
        <f t="shared" si="1"/>
        <v>3.3910464408295034</v>
      </c>
      <c r="F10" s="2">
        <f t="shared" si="1"/>
        <v>15.664781576952432</v>
      </c>
      <c r="G10" s="2">
        <f t="shared" si="1"/>
        <v>285.30725980380089</v>
      </c>
    </row>
    <row r="11" spans="1:16" x14ac:dyDescent="0.25">
      <c r="A11" s="16" t="s">
        <v>43</v>
      </c>
      <c r="B11" s="13">
        <v>0.9</v>
      </c>
      <c r="C11" s="13">
        <v>0.9</v>
      </c>
      <c r="D11" s="13">
        <v>0.9</v>
      </c>
      <c r="E11" s="13">
        <v>0.9</v>
      </c>
      <c r="F11" s="5">
        <v>0.9</v>
      </c>
      <c r="G11" s="13">
        <v>0.9</v>
      </c>
      <c r="M11" t="s">
        <v>44</v>
      </c>
      <c r="N11" t="s">
        <v>46</v>
      </c>
      <c r="O11" t="s">
        <v>45</v>
      </c>
    </row>
    <row r="12" spans="1:16" x14ac:dyDescent="0.25">
      <c r="A12" s="14" t="s">
        <v>16</v>
      </c>
      <c r="B12" s="2">
        <f>(B15*(B17/B16)*Constants!$C$1/Constants!$C$2)*Constants!$C$3/B16/12-30</f>
        <v>16.223917263910174</v>
      </c>
      <c r="C12" s="2">
        <f>(C15*(C17/C16)*Constants!$C$1/Constants!$C$2)*Constants!$C$3/C16/12-30</f>
        <v>31.394214691686351</v>
      </c>
      <c r="D12" s="2">
        <f>(D15*(D17/D16)*Constants!$C$1/Constants!$C$2)*Constants!$C$3/D16/12-30</f>
        <v>8.9850015290927558</v>
      </c>
      <c r="E12" s="2">
        <f>(E15*(E17/E16)*Constants!$C$1/Constants!$C$2)*Constants!$C$3/E16/12-30</f>
        <v>44.920854069530336</v>
      </c>
      <c r="F12" s="2">
        <f>(F15*(F17/F16)*Constants!$C$1/Constants!$C$2)*Constants!$C$3/F16/12-30</f>
        <v>29.234096522738803</v>
      </c>
      <c r="G12" s="2">
        <f>(G15*(G17/G16)*Constants!$C$1/Constants!$C$2)*Constants!$C$3/G16/12-30</f>
        <v>98.462389403633296</v>
      </c>
      <c r="H12" s="2">
        <f>SUMPRODUCT(B12:F12,B17:F17)/H17</f>
        <v>23.777393803164124</v>
      </c>
      <c r="I12" s="2">
        <f>SUMPRODUCT(B12:F12,B17:F17)/I17</f>
        <v>23.777393803164124</v>
      </c>
    </row>
    <row r="13" spans="1:16" x14ac:dyDescent="0.25">
      <c r="A13" s="16" t="s">
        <v>55</v>
      </c>
      <c r="B13" s="4">
        <v>54.1</v>
      </c>
      <c r="C13" s="2">
        <v>68.8</v>
      </c>
      <c r="D13" s="2">
        <v>39.200000000000003</v>
      </c>
      <c r="E13" s="2">
        <v>7.55</v>
      </c>
      <c r="F13" s="2">
        <v>56</v>
      </c>
      <c r="G13" s="4">
        <v>277.7</v>
      </c>
      <c r="H13" s="2">
        <f>SUM(B13:F13)</f>
        <v>225.65000000000003</v>
      </c>
      <c r="I13" s="2">
        <f>H13+E13</f>
        <v>233.20000000000005</v>
      </c>
      <c r="M13" t="s">
        <v>60</v>
      </c>
    </row>
    <row r="14" spans="1:16" x14ac:dyDescent="0.25">
      <c r="A14" s="16" t="s">
        <v>31</v>
      </c>
      <c r="B14" s="8">
        <v>445</v>
      </c>
      <c r="C14" s="8">
        <v>853.4</v>
      </c>
      <c r="D14" s="8">
        <v>293.8</v>
      </c>
      <c r="E14" s="8">
        <v>94.2</v>
      </c>
      <c r="F14" s="8">
        <v>575.79999999999995</v>
      </c>
      <c r="G14" s="10">
        <v>5794.5</v>
      </c>
      <c r="K14" s="8">
        <v>3964.1</v>
      </c>
      <c r="M14" t="s">
        <v>61</v>
      </c>
    </row>
    <row r="15" spans="1:16" x14ac:dyDescent="0.25">
      <c r="A15" s="16" t="s">
        <v>32</v>
      </c>
      <c r="B15" s="9">
        <f>B14/Constants!$C$4</f>
        <v>1.3787334242161359E-2</v>
      </c>
      <c r="C15" s="9">
        <f>C14/Constants!$C$4</f>
        <v>2.6440698971371916E-2</v>
      </c>
      <c r="D15" s="9">
        <f>D14/Constants!$C$4</f>
        <v>9.1027388771842861E-3</v>
      </c>
      <c r="E15" s="9">
        <f>E14/Constants!$C$4</f>
        <v>2.9185772710373032E-3</v>
      </c>
      <c r="F15" s="9">
        <f>F14/Constants!$C$4</f>
        <v>1.7839881026149459E-2</v>
      </c>
      <c r="G15" s="9">
        <f>G14/Constants!$C$4</f>
        <v>0.17952968149708762</v>
      </c>
      <c r="K15" s="9">
        <f>K14/Constants!$C$4</f>
        <v>0.1228188127401165</v>
      </c>
      <c r="M15" t="s">
        <v>61</v>
      </c>
    </row>
    <row r="16" spans="1:16" x14ac:dyDescent="0.25">
      <c r="A16" s="16" t="s">
        <v>17</v>
      </c>
      <c r="B16" s="4">
        <v>52684007</v>
      </c>
      <c r="C16" s="2">
        <v>70988740</v>
      </c>
      <c r="D16" s="2">
        <v>39480741</v>
      </c>
      <c r="E16" s="2">
        <v>7089710</v>
      </c>
      <c r="F16" s="2">
        <v>53897217</v>
      </c>
      <c r="G16" s="4">
        <v>258461619</v>
      </c>
      <c r="H16" s="2">
        <f>SUM(B16:F16)</f>
        <v>224140415</v>
      </c>
      <c r="I16" s="2">
        <f>SUM(B16:F16)</f>
        <v>224140415</v>
      </c>
      <c r="M16" t="s">
        <v>60</v>
      </c>
    </row>
    <row r="17" spans="1:14" x14ac:dyDescent="0.25">
      <c r="A17" s="16" t="s">
        <v>18</v>
      </c>
      <c r="B17" s="4">
        <v>56464893</v>
      </c>
      <c r="C17" s="2">
        <v>71001565</v>
      </c>
      <c r="D17" s="2">
        <v>40507042</v>
      </c>
      <c r="E17" s="2">
        <v>7829300</v>
      </c>
      <c r="F17" s="2">
        <v>58525747</v>
      </c>
      <c r="G17" s="4">
        <v>290045629</v>
      </c>
      <c r="H17" s="2">
        <f>SUM(B17:F17)</f>
        <v>234328547</v>
      </c>
      <c r="I17" s="2">
        <f>SUM(B17:F17)</f>
        <v>234328547</v>
      </c>
      <c r="M17" t="s">
        <v>60</v>
      </c>
    </row>
    <row r="18" spans="1:14" x14ac:dyDescent="0.25">
      <c r="A18" s="14"/>
      <c r="B18" s="2"/>
      <c r="C18" s="2"/>
      <c r="D18" s="2"/>
      <c r="E18" s="2"/>
      <c r="F18" s="2"/>
      <c r="G18" s="2"/>
    </row>
    <row r="19" spans="1:14" x14ac:dyDescent="0.25">
      <c r="A19" s="14" t="s">
        <v>52</v>
      </c>
      <c r="B19" s="11">
        <f t="shared" ref="B19:G19" si="2">B21/B20</f>
        <v>1.6804869000780116E-2</v>
      </c>
      <c r="C19" s="11">
        <f t="shared" si="2"/>
        <v>2.4285946906251236E-2</v>
      </c>
      <c r="D19" s="11">
        <f t="shared" si="2"/>
        <v>8.4503315316459028E-3</v>
      </c>
      <c r="E19" s="11">
        <f t="shared" si="2"/>
        <v>2.182641984567564E-2</v>
      </c>
      <c r="F19" s="11">
        <f t="shared" si="2"/>
        <v>2.7832459188770545E-2</v>
      </c>
      <c r="G19" s="11">
        <f t="shared" si="2"/>
        <v>4.5731003235390304E-2</v>
      </c>
    </row>
    <row r="20" spans="1:14" x14ac:dyDescent="0.25">
      <c r="A20" s="16" t="s">
        <v>50</v>
      </c>
      <c r="B20" s="11">
        <v>0.15260000000000001</v>
      </c>
      <c r="C20" s="11">
        <v>0.20330000000000001</v>
      </c>
      <c r="D20" s="11">
        <v>0.19869999999999999</v>
      </c>
      <c r="E20" s="11">
        <v>0.19109999999999999</v>
      </c>
      <c r="F20" s="11">
        <v>0.17660000000000001</v>
      </c>
      <c r="G20" s="11">
        <v>0.27129999999999999</v>
      </c>
      <c r="M20" t="s">
        <v>53</v>
      </c>
    </row>
    <row r="21" spans="1:14" x14ac:dyDescent="0.25">
      <c r="A21" s="14" t="s">
        <v>70</v>
      </c>
      <c r="B21" s="3">
        <f>B10/B22</f>
        <v>2.5644230095190458E-3</v>
      </c>
      <c r="C21" s="3">
        <f>C10/C22</f>
        <v>4.9373330060408765E-3</v>
      </c>
      <c r="D21" s="3">
        <f>D10/D22</f>
        <v>1.6790808753380407E-3</v>
      </c>
      <c r="E21" s="3">
        <f>E10/E22</f>
        <v>4.1710288325086144E-3</v>
      </c>
      <c r="F21" s="3">
        <f>F10/F22</f>
        <v>4.9152122927368785E-3</v>
      </c>
      <c r="G21" s="3">
        <f>G10/G22</f>
        <v>1.2406821177761389E-2</v>
      </c>
    </row>
    <row r="22" spans="1:14" x14ac:dyDescent="0.25">
      <c r="A22" s="16" t="s">
        <v>49</v>
      </c>
      <c r="B22">
        <v>2937</v>
      </c>
      <c r="C22">
        <v>4223</v>
      </c>
      <c r="D22">
        <v>1425</v>
      </c>
      <c r="E22">
        <v>813</v>
      </c>
      <c r="F22">
        <v>3187</v>
      </c>
      <c r="G22">
        <v>22996</v>
      </c>
      <c r="M22" t="s">
        <v>48</v>
      </c>
    </row>
    <row r="23" spans="1:14" x14ac:dyDescent="0.25">
      <c r="A23" s="16" t="s">
        <v>51</v>
      </c>
      <c r="B23">
        <v>95</v>
      </c>
      <c r="C23">
        <v>112</v>
      </c>
      <c r="D23">
        <v>83</v>
      </c>
      <c r="E23">
        <v>152</v>
      </c>
      <c r="F23">
        <v>88</v>
      </c>
      <c r="G23">
        <v>172</v>
      </c>
      <c r="M23" t="s">
        <v>53</v>
      </c>
    </row>
    <row r="24" spans="1:14" x14ac:dyDescent="0.25">
      <c r="A24" s="14" t="s">
        <v>72</v>
      </c>
      <c r="B24" s="3"/>
      <c r="C24" s="3"/>
      <c r="D24" s="3"/>
      <c r="E24" s="3"/>
      <c r="F24" s="3"/>
      <c r="G24" s="3"/>
    </row>
    <row r="25" spans="1:14" x14ac:dyDescent="0.25">
      <c r="A25" s="16" t="s">
        <v>71</v>
      </c>
      <c r="B25">
        <v>67.400000000000006</v>
      </c>
      <c r="C25">
        <v>83.1</v>
      </c>
      <c r="D25">
        <v>47.1</v>
      </c>
      <c r="E25">
        <v>8.6</v>
      </c>
      <c r="F25">
        <v>66.8</v>
      </c>
      <c r="G25">
        <v>328.3</v>
      </c>
      <c r="H25">
        <f>SUM(B25+C25+D25+F25)</f>
        <v>264.39999999999998</v>
      </c>
      <c r="I25">
        <f>H25+E25</f>
        <v>273</v>
      </c>
      <c r="J25">
        <v>446.8</v>
      </c>
      <c r="M25" t="s">
        <v>12</v>
      </c>
    </row>
    <row r="26" spans="1:14" x14ac:dyDescent="0.2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25">
      <c r="A27" s="16" t="s">
        <v>10</v>
      </c>
      <c r="B27">
        <v>27012</v>
      </c>
      <c r="C27">
        <v>25039</v>
      </c>
      <c r="D27">
        <v>17656</v>
      </c>
      <c r="E27">
        <v>23603</v>
      </c>
      <c r="F27">
        <v>19798</v>
      </c>
      <c r="G27">
        <v>24858</v>
      </c>
      <c r="M27" t="s">
        <v>9</v>
      </c>
    </row>
    <row r="28" spans="1:14" x14ac:dyDescent="0.2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25">
      <c r="A29" s="16" t="s">
        <v>36</v>
      </c>
      <c r="B29">
        <v>3079</v>
      </c>
      <c r="G29">
        <v>44100</v>
      </c>
      <c r="M29" t="s">
        <v>34</v>
      </c>
      <c r="N29" t="s">
        <v>35</v>
      </c>
    </row>
    <row r="30" spans="1:14" x14ac:dyDescent="0.25">
      <c r="A30" s="14" t="s">
        <v>7</v>
      </c>
      <c r="B30" s="3">
        <f>B29/B28</f>
        <v>6.5650319829424304E-3</v>
      </c>
      <c r="C30" s="3">
        <f>C5/C28</f>
        <v>1.1443039351992361E-2</v>
      </c>
      <c r="D30" s="3">
        <f>D5/D28</f>
        <v>3.487263551506161E-3</v>
      </c>
      <c r="E30" s="3">
        <f>E5/E28</f>
        <v>1.5222739718738948E-2</v>
      </c>
      <c r="F30" s="3">
        <f>F5/F28</f>
        <v>1.4646431956775409E-2</v>
      </c>
      <c r="G30" s="3">
        <f>G29/G28</f>
        <v>9.8087188612099637E-3</v>
      </c>
      <c r="H30" s="3">
        <f>H5/H28</f>
        <v>1.2385612459288356E-2</v>
      </c>
      <c r="I30" s="3">
        <f>I5/I28</f>
        <v>1.2502978755717004E-2</v>
      </c>
    </row>
    <row r="31" spans="1:14" x14ac:dyDescent="0.25">
      <c r="A31" s="14" t="s">
        <v>40</v>
      </c>
      <c r="B31" s="3">
        <f>B4/B3</f>
        <v>7.9422382671480145E-3</v>
      </c>
      <c r="C31" s="3">
        <f>C4/C3</f>
        <v>1.3333333333333332E-2</v>
      </c>
      <c r="D31" s="3">
        <f>D4/D3</f>
        <v>4.9881235154394295E-3</v>
      </c>
      <c r="E31" s="3">
        <f>E4/E3</f>
        <v>1.3414634146341463E-2</v>
      </c>
      <c r="F31" s="3">
        <f>F4/F3</f>
        <v>1.7199017199017199E-2</v>
      </c>
      <c r="G31" s="3">
        <f>G4/G3</f>
        <v>4.1884816753926706E-3</v>
      </c>
      <c r="H31" s="3"/>
      <c r="I31" s="3"/>
    </row>
    <row r="32" spans="1:14" x14ac:dyDescent="0.25">
      <c r="A32" s="14" t="s">
        <v>15</v>
      </c>
      <c r="B32" s="3">
        <f>(B6*$J$5+B29)/B28</f>
        <v>1.2429442430703624E-2</v>
      </c>
      <c r="C32" s="3">
        <f>(C6*$J$5+C5)/C28</f>
        <v>1.3124734559694578E-2</v>
      </c>
      <c r="D32" s="3">
        <f>(D6*$J$5+D5)/D28</f>
        <v>5.109751398993936E-3</v>
      </c>
      <c r="F32" s="11">
        <v>1.7000000000000001E-2</v>
      </c>
      <c r="H32" s="3">
        <f>(H6*$J$5+H5)/H28</f>
        <v>1.4001064852287113E-2</v>
      </c>
      <c r="I32" s="3">
        <f>(I6*$J$5+I5)/I28</f>
        <v>1.4051603105034782E-2</v>
      </c>
      <c r="M32" t="s">
        <v>37</v>
      </c>
    </row>
    <row r="33" spans="1:9" x14ac:dyDescent="0.25">
      <c r="A33" s="14" t="s">
        <v>56</v>
      </c>
      <c r="B33" s="2">
        <f>B9*B26*12/1000</f>
        <v>7.1975864434768866</v>
      </c>
      <c r="C33" s="2">
        <f>C9*C26*12/1000</f>
        <v>21.032191795712752</v>
      </c>
      <c r="D33" s="2">
        <f>D9*D26*12/1000</f>
        <v>2.3499636357967666</v>
      </c>
      <c r="E33" s="2">
        <f>E9*E26*12/1000</f>
        <v>3.1934225422910951</v>
      </c>
      <c r="F33" s="2">
        <f>F9*F26*12/1000</f>
        <v>14.853569673860253</v>
      </c>
      <c r="G33" s="2">
        <f>G9*G26*12/1000</f>
        <v>264.04020802872463</v>
      </c>
    </row>
    <row r="34" spans="1:9" x14ac:dyDescent="0.25">
      <c r="A34" s="14" t="s">
        <v>20</v>
      </c>
      <c r="B34" s="2">
        <f>Constants!$B$6*B12*12*B17/10^9</f>
        <v>10.992981028170488</v>
      </c>
      <c r="C34" s="2">
        <f>Constants!$B$6*C12*12*C17/10^9</f>
        <v>26.748460500668678</v>
      </c>
      <c r="D34" s="2">
        <f>Constants!$B$6*D12*12*D17/10^9</f>
        <v>4.3674700117082939</v>
      </c>
      <c r="E34" s="2">
        <f>Constants!$B$6*E12*12*E17/10^9</f>
        <v>4.2203861131988871</v>
      </c>
      <c r="F34" s="2">
        <f>Constants!$B$6*F12*12*F17/10^9</f>
        <v>20.53136804236069</v>
      </c>
      <c r="G34" s="2">
        <f>Constants!$B$6*G12*12*G17/10^9</f>
        <v>342.70302800903698</v>
      </c>
      <c r="H34" s="2">
        <f>Constants!$B$6*H12*12*H17/10^9</f>
        <v>66.860665696107034</v>
      </c>
      <c r="I34" s="2">
        <f>Constants!$B$6*I12*12*I17/10^9</f>
        <v>66.860665696107034</v>
      </c>
    </row>
    <row r="35" spans="1:9" x14ac:dyDescent="0.25">
      <c r="A35" s="14" t="s">
        <v>106</v>
      </c>
      <c r="B35" s="2">
        <f>2000*B26/$H$26</f>
        <v>470.40625995177646</v>
      </c>
      <c r="C35" s="2">
        <f t="shared" ref="C35:F35" si="3">2000*C26/$H$26</f>
        <v>631.4544379236612</v>
      </c>
      <c r="D35" s="2">
        <f t="shared" si="3"/>
        <v>350.30253400664208</v>
      </c>
      <c r="E35" s="2"/>
      <c r="F35" s="2">
        <f t="shared" si="3"/>
        <v>483.14453391565434</v>
      </c>
    </row>
    <row r="36" spans="1:9" x14ac:dyDescent="0.25">
      <c r="A36" s="14"/>
    </row>
    <row r="37" spans="1:9" x14ac:dyDescent="0.25">
      <c r="A37" s="14"/>
    </row>
    <row r="38" spans="1:9" x14ac:dyDescent="0.25">
      <c r="A38" s="14"/>
    </row>
    <row r="39" spans="1:9" x14ac:dyDescent="0.25">
      <c r="A39" s="14"/>
    </row>
    <row r="40" spans="1:9" x14ac:dyDescent="0.25">
      <c r="A40" s="14"/>
    </row>
    <row r="41" spans="1:9" x14ac:dyDescent="0.25">
      <c r="A41" s="14"/>
    </row>
    <row r="42" spans="1:9" x14ac:dyDescent="0.25">
      <c r="A42" s="14"/>
    </row>
    <row r="43" spans="1:9" x14ac:dyDescent="0.25">
      <c r="A43" s="14"/>
    </row>
    <row r="44" spans="1:9" x14ac:dyDescent="0.25">
      <c r="A44" s="14"/>
    </row>
    <row r="45" spans="1:9" x14ac:dyDescent="0.25">
      <c r="A45" s="14"/>
    </row>
    <row r="46" spans="1:9" x14ac:dyDescent="0.25">
      <c r="A46" s="14"/>
    </row>
    <row r="47" spans="1:9" x14ac:dyDescent="0.25">
      <c r="A47" s="14"/>
    </row>
    <row r="48" spans="1:9"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9"/>
  <sheetViews>
    <sheetView tabSelected="1" workbookViewId="0">
      <selection activeCell="U15" sqref="U15"/>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3" width="6.140625" customWidth="1"/>
    <col min="14" max="16" width="5.42578125" customWidth="1"/>
    <col min="17" max="17" width="5" customWidth="1"/>
    <col min="18" max="18" width="5.28515625" customWidth="1"/>
    <col min="19" max="19" width="5.42578125" customWidth="1"/>
    <col min="20" max="20" width="8.5703125" customWidth="1"/>
    <col min="21" max="21" width="8.42578125" customWidth="1"/>
    <col min="22" max="22" width="9" customWidth="1"/>
    <col min="23" max="23" width="8.28515625" customWidth="1"/>
    <col min="24" max="24" width="8.42578125" customWidth="1"/>
    <col min="25" max="26" width="8.28515625" customWidth="1"/>
    <col min="27" max="27" width="9.140625" customWidth="1"/>
    <col min="30" max="30" width="8.85546875" customWidth="1"/>
    <col min="31" max="31" width="7.85546875" customWidth="1"/>
  </cols>
  <sheetData>
    <row r="1" spans="1:31" s="7" customFormat="1" ht="45" x14ac:dyDescent="0.25">
      <c r="A1" s="14" t="s">
        <v>6</v>
      </c>
      <c r="B1" s="14" t="s">
        <v>54</v>
      </c>
      <c r="C1" s="14" t="s">
        <v>330</v>
      </c>
      <c r="D1" s="7" t="s">
        <v>286</v>
      </c>
      <c r="E1" s="7" t="s">
        <v>329</v>
      </c>
      <c r="F1" s="7" t="s">
        <v>311</v>
      </c>
      <c r="G1" s="7" t="s">
        <v>287</v>
      </c>
      <c r="H1" s="7" t="s">
        <v>288</v>
      </c>
      <c r="I1" s="7" t="s">
        <v>289</v>
      </c>
      <c r="J1" s="7" t="s">
        <v>290</v>
      </c>
      <c r="K1" s="7" t="s">
        <v>291</v>
      </c>
      <c r="L1" s="7" t="s">
        <v>312</v>
      </c>
      <c r="M1" s="7" t="s">
        <v>324</v>
      </c>
      <c r="N1" s="7" t="s">
        <v>301</v>
      </c>
      <c r="O1" s="7" t="s">
        <v>316</v>
      </c>
      <c r="P1" s="7" t="s">
        <v>299</v>
      </c>
      <c r="Q1" s="7" t="s">
        <v>331</v>
      </c>
      <c r="R1" s="7" t="s">
        <v>332</v>
      </c>
      <c r="S1" s="7" t="s">
        <v>333</v>
      </c>
      <c r="T1" s="14" t="s">
        <v>340</v>
      </c>
      <c r="U1" s="14" t="s">
        <v>341</v>
      </c>
      <c r="V1" s="14" t="s">
        <v>342</v>
      </c>
      <c r="W1" s="14" t="s">
        <v>344</v>
      </c>
      <c r="X1" s="14" t="s">
        <v>343</v>
      </c>
      <c r="Y1" s="7" t="s">
        <v>301</v>
      </c>
      <c r="Z1" s="7" t="s">
        <v>316</v>
      </c>
      <c r="AA1" s="7" t="s">
        <v>299</v>
      </c>
      <c r="AB1" s="7" t="s">
        <v>313</v>
      </c>
      <c r="AC1" s="7" t="s">
        <v>317</v>
      </c>
      <c r="AD1" s="7" t="s">
        <v>318</v>
      </c>
      <c r="AE1" s="7" t="s">
        <v>8</v>
      </c>
    </row>
    <row r="2" spans="1:31" x14ac:dyDescent="0.25">
      <c r="A2" s="7" t="s">
        <v>0</v>
      </c>
      <c r="B2" s="4">
        <v>51.7</v>
      </c>
      <c r="C2" s="62">
        <f>B2/$B$7</f>
        <v>0.24306535025858014</v>
      </c>
      <c r="D2" s="2">
        <f>C2*$D$7</f>
        <v>729.19605077574045</v>
      </c>
      <c r="E2">
        <v>516</v>
      </c>
      <c r="F2">
        <v>484</v>
      </c>
      <c r="G2">
        <v>120</v>
      </c>
      <c r="H2">
        <v>150</v>
      </c>
      <c r="I2">
        <v>240</v>
      </c>
      <c r="J2">
        <v>240</v>
      </c>
      <c r="K2">
        <v>250</v>
      </c>
      <c r="L2">
        <v>400</v>
      </c>
      <c r="M2">
        <v>285</v>
      </c>
      <c r="N2">
        <v>465</v>
      </c>
      <c r="O2">
        <v>341</v>
      </c>
      <c r="P2">
        <v>194</v>
      </c>
      <c r="T2" s="2">
        <f>U15*$C2*$D$7/1000</f>
        <v>137.81805359661496</v>
      </c>
      <c r="U2" s="2">
        <f>V15*$C2*$D$7/1000</f>
        <v>145.83921015514809</v>
      </c>
      <c r="V2" s="2">
        <f>W15*$C2*$D$7/1000</f>
        <v>160.42313117066291</v>
      </c>
      <c r="W2" s="2">
        <f>X15*$C2*$D$7/1000</f>
        <v>102.08744710860366</v>
      </c>
      <c r="X2" s="2">
        <f>Y15*$C2*$D$7/1000</f>
        <v>183.02820874471087</v>
      </c>
      <c r="Y2">
        <v>595</v>
      </c>
      <c r="Z2">
        <v>184</v>
      </c>
      <c r="AA2">
        <v>222</v>
      </c>
      <c r="AB2" t="s">
        <v>314</v>
      </c>
      <c r="AC2" t="s">
        <v>292</v>
      </c>
      <c r="AD2" t="s">
        <v>293</v>
      </c>
      <c r="AE2" t="s">
        <v>351</v>
      </c>
    </row>
    <row r="3" spans="1:31" x14ac:dyDescent="0.25">
      <c r="A3" s="7" t="s">
        <v>1</v>
      </c>
      <c r="B3" s="2">
        <v>69.400000000000006</v>
      </c>
      <c r="C3" s="62">
        <f>B3/$B$7</f>
        <v>0.32628114715561823</v>
      </c>
      <c r="D3" s="2">
        <f>C3*$D$7</f>
        <v>978.84344146685476</v>
      </c>
      <c r="E3">
        <v>512</v>
      </c>
      <c r="F3">
        <v>488</v>
      </c>
      <c r="G3">
        <v>85</v>
      </c>
      <c r="H3">
        <v>150</v>
      </c>
      <c r="I3">
        <v>222</v>
      </c>
      <c r="J3">
        <v>280</v>
      </c>
      <c r="K3">
        <v>263</v>
      </c>
      <c r="L3">
        <v>310</v>
      </c>
      <c r="N3">
        <v>366</v>
      </c>
      <c r="O3">
        <v>404</v>
      </c>
      <c r="P3">
        <v>230</v>
      </c>
      <c r="T3" s="2">
        <f>U16*$C3*$D$7/1000</f>
        <v>176.97489421720732</v>
      </c>
      <c r="U3" s="2">
        <f>V16*$C3*$D$7/1000</f>
        <v>271.04174894217203</v>
      </c>
      <c r="V3" s="2">
        <f>W16*$C3*$D$7/1000</f>
        <v>99.156840620592376</v>
      </c>
      <c r="W3" s="2">
        <f>X16*$C3*$D$7/1000</f>
        <v>146.63074753173484</v>
      </c>
      <c r="X3" s="2">
        <f>Y16*$C3*$D$7/1000</f>
        <v>285.13709449929479</v>
      </c>
      <c r="Y3">
        <v>395</v>
      </c>
      <c r="Z3">
        <v>403</v>
      </c>
      <c r="AA3">
        <v>202</v>
      </c>
      <c r="AB3" t="s">
        <v>301</v>
      </c>
      <c r="AC3" t="s">
        <v>300</v>
      </c>
      <c r="AD3" t="s">
        <v>299</v>
      </c>
      <c r="AE3" t="s">
        <v>315</v>
      </c>
    </row>
    <row r="4" spans="1:31" x14ac:dyDescent="0.25">
      <c r="A4" s="7" t="s">
        <v>2</v>
      </c>
      <c r="B4" s="2">
        <v>38.5</v>
      </c>
      <c r="C4" s="62">
        <f>B4/$B$7</f>
        <v>0.18100611189468735</v>
      </c>
      <c r="D4" s="2">
        <f>C4*$D$7</f>
        <v>543.01833568406209</v>
      </c>
      <c r="E4">
        <v>506</v>
      </c>
      <c r="F4">
        <v>494</v>
      </c>
      <c r="G4">
        <v>79</v>
      </c>
      <c r="H4">
        <v>124</v>
      </c>
      <c r="I4">
        <v>285</v>
      </c>
      <c r="J4">
        <v>266</v>
      </c>
      <c r="K4">
        <v>246</v>
      </c>
      <c r="L4">
        <v>400</v>
      </c>
      <c r="N4">
        <v>515</v>
      </c>
      <c r="O4">
        <v>261</v>
      </c>
      <c r="P4">
        <v>224</v>
      </c>
      <c r="T4" s="2">
        <f>U17*$C4*$D$7/1000</f>
        <v>160.32073342736248</v>
      </c>
      <c r="U4" s="2">
        <f>V17*$C4*$D$7/1000</f>
        <v>100.99272214386461</v>
      </c>
      <c r="V4" s="2">
        <f>W17*$C4*$D$7/1000</f>
        <v>153.19687588152328</v>
      </c>
      <c r="W4" s="2">
        <f>X17*$C4*$D$7/1000</f>
        <v>58.522715091678421</v>
      </c>
      <c r="X4" s="2">
        <f>Y17*$C4*$D$7/1000</f>
        <v>69.98474612129759</v>
      </c>
      <c r="Y4">
        <v>697</v>
      </c>
      <c r="AA4">
        <v>303</v>
      </c>
      <c r="AB4" t="s">
        <v>319</v>
      </c>
      <c r="AD4" t="s">
        <v>320</v>
      </c>
      <c r="AE4" t="s">
        <v>351</v>
      </c>
    </row>
    <row r="5" spans="1:31" x14ac:dyDescent="0.25">
      <c r="A5" s="7" t="s">
        <v>3</v>
      </c>
      <c r="B5" s="2">
        <v>53.1</v>
      </c>
      <c r="C5" s="62">
        <f>B5/$B$7</f>
        <v>0.24964739069111425</v>
      </c>
      <c r="D5" s="2">
        <f>C5*$D$7</f>
        <v>748.9421720733427</v>
      </c>
      <c r="E5">
        <v>504</v>
      </c>
      <c r="F5">
        <v>496</v>
      </c>
      <c r="G5">
        <v>102</v>
      </c>
      <c r="H5">
        <v>168</v>
      </c>
      <c r="I5">
        <v>244</v>
      </c>
      <c r="J5">
        <v>246</v>
      </c>
      <c r="K5">
        <v>241</v>
      </c>
      <c r="L5">
        <v>490</v>
      </c>
      <c r="N5">
        <v>593</v>
      </c>
      <c r="O5">
        <v>279</v>
      </c>
      <c r="P5">
        <v>128</v>
      </c>
      <c r="T5" s="2">
        <f>U18*$C5*$D$7/1000</f>
        <v>97.137799717912543</v>
      </c>
      <c r="U5" s="2">
        <f>V18*$C5*$D$7/1000</f>
        <v>233.81974612129761</v>
      </c>
      <c r="V5" s="2">
        <f>W18*$C5*$D$7/1000</f>
        <v>156.90338504936531</v>
      </c>
      <c r="W5" s="2">
        <f>X18*$C5*$D$7/1000</f>
        <v>177.12482369534555</v>
      </c>
      <c r="X5" s="2">
        <f>Y18*$C5*$D$7/1000</f>
        <v>83.95641748942171</v>
      </c>
      <c r="Y5">
        <v>401</v>
      </c>
      <c r="Z5">
        <v>423</v>
      </c>
      <c r="AA5">
        <v>176</v>
      </c>
      <c r="AB5" t="s">
        <v>321</v>
      </c>
      <c r="AC5" t="s">
        <v>322</v>
      </c>
      <c r="AD5" t="s">
        <v>310</v>
      </c>
      <c r="AE5" t="s">
        <v>323</v>
      </c>
    </row>
    <row r="6" spans="1:31" x14ac:dyDescent="0.25">
      <c r="A6" t="s">
        <v>64</v>
      </c>
      <c r="B6" s="2">
        <f>SUM(B2:B5)</f>
        <v>212.70000000000002</v>
      </c>
      <c r="C6" s="2"/>
      <c r="D6" s="7">
        <v>1000</v>
      </c>
      <c r="E6" s="2">
        <f>SUMPRODUCT($C2:$C5,E2:E5)</f>
        <v>509.88904560413727</v>
      </c>
      <c r="F6" s="2">
        <f t="shared" ref="F6:P6" si="0">SUMPRODUCT($C2:$C5,F2:F5)</f>
        <v>490.11095439586268</v>
      </c>
      <c r="G6" s="2">
        <f t="shared" si="0"/>
        <v>96.665256229431108</v>
      </c>
      <c r="H6" s="2">
        <f t="shared" si="0"/>
        <v>149.78749412317816</v>
      </c>
      <c r="I6" s="2">
        <f t="shared" si="0"/>
        <v>243.27080394922424</v>
      </c>
      <c r="J6" s="2">
        <f t="shared" si="0"/>
        <v>259.25528913963331</v>
      </c>
      <c r="K6" s="2">
        <f t="shared" si="0"/>
        <v>251.27080394922424</v>
      </c>
      <c r="L6" s="2">
        <f t="shared" si="0"/>
        <v>393.10296191819464</v>
      </c>
      <c r="M6" s="2">
        <f t="shared" si="0"/>
        <v>69.273624823695343</v>
      </c>
      <c r="N6" s="2">
        <f t="shared" si="0"/>
        <v>473.70333803479082</v>
      </c>
      <c r="O6" s="2">
        <f t="shared" si="0"/>
        <v>331.59708509637989</v>
      </c>
      <c r="P6" s="2">
        <f t="shared" si="0"/>
        <v>194.69957686882933</v>
      </c>
      <c r="Q6" s="2"/>
      <c r="R6" s="2"/>
      <c r="S6" s="2"/>
      <c r="Y6" s="2">
        <f>SUMPRODUCT($C1:$C4,Y1:Y4)</f>
        <v>399.66619652092146</v>
      </c>
      <c r="Z6" s="2">
        <f>SUMPRODUCT($C1:$C4,Z1:Z4)</f>
        <v>176.21532675129291</v>
      </c>
      <c r="AA6" s="2">
        <f>SUMPRODUCT($C1:$C4,AA1:AA4)</f>
        <v>174.71415138692993</v>
      </c>
    </row>
    <row r="7" spans="1:31" x14ac:dyDescent="0.25">
      <c r="A7" t="s">
        <v>64</v>
      </c>
      <c r="B7" s="2">
        <f>SUM(B2:B5)</f>
        <v>212.70000000000002</v>
      </c>
      <c r="C7" s="2"/>
      <c r="D7" s="7">
        <v>3000</v>
      </c>
      <c r="E7" s="2">
        <f>SUMPRODUCT($C2:$C5,E2:E5)*$D$7/1000</f>
        <v>1529.6671368124116</v>
      </c>
      <c r="F7" s="2">
        <f>SUMPRODUCT($C2:$C5,F2:F5)*$D$7/1000</f>
        <v>1470.3328631875881</v>
      </c>
      <c r="G7" s="2">
        <f>SUMPRODUCT($C2:$C5,G2:G5)*$D$7/1000</f>
        <v>289.99576868829337</v>
      </c>
      <c r="H7" s="2">
        <f>SUMPRODUCT($C2:$C5,H2:H5)*$D$7/1000</f>
        <v>449.36248236953452</v>
      </c>
      <c r="I7" s="2">
        <f>SUMPRODUCT($C2:$C5,I2:I5)*$D$7/1000</f>
        <v>729.81241184767282</v>
      </c>
      <c r="J7" s="2">
        <f>SUMPRODUCT($C2:$C5,J2:J5)*$D$7/1000</f>
        <v>777.76586741889992</v>
      </c>
      <c r="K7" s="2">
        <f>SUMPRODUCT($C2:$C5,K2:K5)*$D$7/1000</f>
        <v>753.81241184767282</v>
      </c>
      <c r="L7" s="2">
        <f>SUMPRODUCT($C2:$C5,L2:L5)*$D$7/1000</f>
        <v>1179.3088857545838</v>
      </c>
      <c r="M7" s="2">
        <f>SUMPRODUCT($C2:$C5,M2:M5)*$D$7/1000</f>
        <v>207.82087447108603</v>
      </c>
      <c r="N7" s="2">
        <f>SUMPRODUCT($C2:$C5,N2:N5)*$D$7/1000</f>
        <v>1421.1100141043723</v>
      </c>
      <c r="O7" s="2">
        <f>SUMPRODUCT($C2:$C5,O2:O5)*$D$7/1000</f>
        <v>994.79125528913971</v>
      </c>
      <c r="P7" s="2">
        <f>SUMPRODUCT($C2:$C5,P2:P5)*$D$7/1000</f>
        <v>584.09873060648795</v>
      </c>
      <c r="Q7" s="2"/>
      <c r="R7" s="2"/>
      <c r="S7" s="2"/>
      <c r="Y7" s="2">
        <f>SUMPRODUCT($C2:$C5,Y2:Y5)</f>
        <v>499.77480018805829</v>
      </c>
      <c r="Z7" s="2">
        <f>SUMPRODUCT($C2:$C5,Z2:Z5)</f>
        <v>281.81617301363423</v>
      </c>
      <c r="AA7" s="2">
        <f>SUMPRODUCT($C2:$C5,AA2:AA5)</f>
        <v>218.65209214856603</v>
      </c>
      <c r="AE7" t="s">
        <v>352</v>
      </c>
    </row>
    <row r="8" spans="1:31" x14ac:dyDescent="0.25">
      <c r="A8" s="7" t="s">
        <v>5</v>
      </c>
      <c r="B8" s="4">
        <v>257</v>
      </c>
      <c r="C8" s="4"/>
      <c r="D8" s="7">
        <v>1000</v>
      </c>
      <c r="E8" s="2">
        <v>507.5</v>
      </c>
      <c r="F8" s="2">
        <v>492.5</v>
      </c>
      <c r="G8" s="2">
        <v>118</v>
      </c>
      <c r="H8" s="2">
        <v>180</v>
      </c>
      <c r="I8" s="2">
        <v>243</v>
      </c>
      <c r="J8" s="2">
        <v>246.7</v>
      </c>
      <c r="K8" s="2">
        <v>212.3</v>
      </c>
      <c r="L8" s="2">
        <v>610</v>
      </c>
      <c r="M8" s="2"/>
      <c r="N8" s="2">
        <v>732.4</v>
      </c>
      <c r="P8" s="2">
        <v>267.60000000000002</v>
      </c>
      <c r="Q8" s="2">
        <v>601</v>
      </c>
      <c r="R8" s="2">
        <v>185</v>
      </c>
      <c r="S8" s="2">
        <v>134</v>
      </c>
      <c r="T8">
        <f>U19*$D$8/1000</f>
        <v>171</v>
      </c>
      <c r="U8">
        <f>V19*$D$8/1000</f>
        <v>208</v>
      </c>
      <c r="V8">
        <f>W19*$D$8/1000</f>
        <v>239</v>
      </c>
      <c r="W8">
        <f>X19*$D$8/1000</f>
        <v>383</v>
      </c>
      <c r="AE8" t="s">
        <v>334</v>
      </c>
    </row>
    <row r="10" spans="1:31" ht="27" customHeight="1" x14ac:dyDescent="0.25">
      <c r="A10" s="7" t="s">
        <v>335</v>
      </c>
      <c r="R10" t="s">
        <v>345</v>
      </c>
      <c r="T10" s="19" t="s">
        <v>87</v>
      </c>
      <c r="U10" s="58" t="s">
        <v>281</v>
      </c>
      <c r="V10" s="58" t="s">
        <v>282</v>
      </c>
      <c r="W10" s="58" t="s">
        <v>283</v>
      </c>
      <c r="X10" s="58" t="s">
        <v>284</v>
      </c>
      <c r="Y10" s="58" t="s">
        <v>285</v>
      </c>
    </row>
    <row r="11" spans="1:31" ht="28.5" customHeight="1" x14ac:dyDescent="0.25">
      <c r="A11" s="19" t="s">
        <v>87</v>
      </c>
      <c r="E11">
        <f>E2/E$6</f>
        <v>1.0119848709215202</v>
      </c>
      <c r="F11">
        <f t="shared" ref="F11:L11" si="1">F2/F$6</f>
        <v>0.98753148783749312</v>
      </c>
      <c r="G11">
        <f t="shared" si="1"/>
        <v>1.2413974232394813</v>
      </c>
      <c r="H11">
        <f t="shared" si="1"/>
        <v>1.0014187157483727</v>
      </c>
      <c r="I11">
        <f t="shared" si="1"/>
        <v>0.98655488494251475</v>
      </c>
      <c r="J11">
        <f t="shared" si="1"/>
        <v>0.92572846168911704</v>
      </c>
      <c r="K11">
        <f t="shared" si="1"/>
        <v>0.99494249260458834</v>
      </c>
      <c r="L11">
        <f t="shared" si="1"/>
        <v>1.0175451185820388</v>
      </c>
      <c r="N11">
        <f t="shared" ref="M11:P11" si="2">N2/N$6</f>
        <v>0.98162702827702764</v>
      </c>
      <c r="O11">
        <f t="shared" si="2"/>
        <v>1.0283564462000234</v>
      </c>
      <c r="P11">
        <f t="shared" si="2"/>
        <v>0.99640689065646693</v>
      </c>
      <c r="T11" s="19" t="s">
        <v>88</v>
      </c>
      <c r="U11" s="59" t="s">
        <v>294</v>
      </c>
      <c r="V11" s="59" t="s">
        <v>295</v>
      </c>
      <c r="W11" s="59" t="s">
        <v>296</v>
      </c>
      <c r="X11" s="59" t="s">
        <v>297</v>
      </c>
      <c r="Y11" s="60" t="s">
        <v>298</v>
      </c>
    </row>
    <row r="12" spans="1:31" ht="16.5" customHeight="1" x14ac:dyDescent="0.25">
      <c r="A12" s="19" t="s">
        <v>88</v>
      </c>
      <c r="E12">
        <f t="shared" ref="E12:E14" si="3">E3/E$6</f>
        <v>1.0041400269608882</v>
      </c>
      <c r="F12">
        <f t="shared" ref="F12:L12" si="4">F3/F$6</f>
        <v>0.99569290509234842</v>
      </c>
      <c r="G12">
        <f t="shared" si="4"/>
        <v>0.87932317479463262</v>
      </c>
      <c r="H12">
        <f t="shared" si="4"/>
        <v>1.0014187157483727</v>
      </c>
      <c r="I12">
        <f t="shared" si="4"/>
        <v>0.91256326857182624</v>
      </c>
      <c r="J12">
        <f t="shared" si="4"/>
        <v>1.0800165386373033</v>
      </c>
      <c r="K12">
        <f t="shared" si="4"/>
        <v>1.0466795022200268</v>
      </c>
      <c r="L12">
        <f t="shared" si="4"/>
        <v>0.78859746690108001</v>
      </c>
      <c r="N12">
        <f t="shared" ref="M12:P12" si="5">N3/N$6</f>
        <v>0.77263546741804756</v>
      </c>
      <c r="O12">
        <f t="shared" si="5"/>
        <v>1.2183460535624913</v>
      </c>
      <c r="P12">
        <f t="shared" si="5"/>
        <v>1.1813071384071516</v>
      </c>
      <c r="T12" s="19" t="s">
        <v>89</v>
      </c>
      <c r="U12" s="59" t="s">
        <v>349</v>
      </c>
      <c r="V12" s="59" t="s">
        <v>350</v>
      </c>
      <c r="W12" s="59" t="s">
        <v>302</v>
      </c>
      <c r="X12" s="59" t="s">
        <v>303</v>
      </c>
      <c r="Y12" s="60" t="s">
        <v>304</v>
      </c>
    </row>
    <row r="13" spans="1:31" ht="15.75" customHeight="1" x14ac:dyDescent="0.25">
      <c r="A13" s="19" t="s">
        <v>89</v>
      </c>
      <c r="E13">
        <f t="shared" si="3"/>
        <v>0.99237276101994043</v>
      </c>
      <c r="F13">
        <f t="shared" ref="F13:L13" si="6">F4/F$6</f>
        <v>1.0079350309746313</v>
      </c>
      <c r="G13">
        <f t="shared" si="6"/>
        <v>0.81725330363265858</v>
      </c>
      <c r="H13">
        <f t="shared" si="6"/>
        <v>0.82783947168532146</v>
      </c>
      <c r="I13">
        <f t="shared" si="6"/>
        <v>1.1715339258692363</v>
      </c>
      <c r="J13">
        <f t="shared" si="6"/>
        <v>1.026015711705438</v>
      </c>
      <c r="K13">
        <f t="shared" si="6"/>
        <v>0.97902341272291493</v>
      </c>
      <c r="L13">
        <f t="shared" si="6"/>
        <v>1.0175451185820388</v>
      </c>
      <c r="N13">
        <f t="shared" ref="M13:P13" si="7">N4/N$6</f>
        <v>1.0871783216401489</v>
      </c>
      <c r="O13">
        <f t="shared" si="7"/>
        <v>0.78709980193022322</v>
      </c>
      <c r="P13">
        <f t="shared" si="7"/>
        <v>1.150490430448704</v>
      </c>
      <c r="T13" s="19" t="s">
        <v>3</v>
      </c>
      <c r="U13" t="s">
        <v>305</v>
      </c>
      <c r="V13" s="59" t="s">
        <v>306</v>
      </c>
      <c r="W13" s="59" t="s">
        <v>307</v>
      </c>
      <c r="X13" s="59" t="s">
        <v>308</v>
      </c>
      <c r="Y13" s="60" t="s">
        <v>309</v>
      </c>
    </row>
    <row r="14" spans="1:31" ht="25.5" customHeight="1" x14ac:dyDescent="0.25">
      <c r="A14" s="19" t="s">
        <v>3</v>
      </c>
      <c r="E14">
        <f t="shared" si="3"/>
        <v>0.98845033903962443</v>
      </c>
      <c r="F14">
        <f t="shared" ref="F14:L14" si="8">F5/F$6</f>
        <v>1.012015739602059</v>
      </c>
      <c r="G14">
        <f t="shared" si="8"/>
        <v>1.0551878097535592</v>
      </c>
      <c r="H14">
        <f t="shared" si="8"/>
        <v>1.1215889616381773</v>
      </c>
      <c r="I14">
        <f t="shared" si="8"/>
        <v>1.0029974663582233</v>
      </c>
      <c r="J14">
        <f t="shared" si="8"/>
        <v>0.94887167323134503</v>
      </c>
      <c r="K14">
        <f t="shared" si="8"/>
        <v>0.95912456287082315</v>
      </c>
      <c r="L14">
        <f t="shared" si="8"/>
        <v>1.2464927702629973</v>
      </c>
      <c r="N14">
        <f t="shared" ref="M14:P14" si="9">N5/N$6</f>
        <v>1.2518383392866181</v>
      </c>
      <c r="O14">
        <f t="shared" si="9"/>
        <v>0.84138254689092828</v>
      </c>
      <c r="P14">
        <f t="shared" si="9"/>
        <v>0.65742310311354524</v>
      </c>
      <c r="T14" t="s">
        <v>5</v>
      </c>
      <c r="U14" t="s">
        <v>346</v>
      </c>
      <c r="V14" t="s">
        <v>347</v>
      </c>
      <c r="W14" t="s">
        <v>348</v>
      </c>
      <c r="X14" t="s">
        <v>302</v>
      </c>
    </row>
    <row r="15" spans="1:31" x14ac:dyDescent="0.25">
      <c r="A15" s="19" t="s">
        <v>336</v>
      </c>
      <c r="E15">
        <f>MIN(E11:E14)</f>
        <v>0.98845033903962443</v>
      </c>
      <c r="F15">
        <f t="shared" ref="F15:K15" si="10">MIN(F11:F14)</f>
        <v>0.98753148783749312</v>
      </c>
      <c r="G15">
        <f t="shared" si="10"/>
        <v>0.81725330363265858</v>
      </c>
      <c r="H15">
        <f t="shared" si="10"/>
        <v>0.82783947168532146</v>
      </c>
      <c r="I15">
        <f t="shared" si="10"/>
        <v>0.91256326857182624</v>
      </c>
      <c r="J15">
        <f t="shared" si="10"/>
        <v>0.92572846168911704</v>
      </c>
      <c r="K15" s="61">
        <f t="shared" si="10"/>
        <v>0.95912456287082315</v>
      </c>
      <c r="L15" s="61">
        <f t="shared" ref="L15" si="11">MIN(L11:L14)</f>
        <v>0.78859746690108001</v>
      </c>
      <c r="M15" s="61">
        <f t="shared" ref="M15" si="12">MIN(M11:M14)</f>
        <v>0</v>
      </c>
      <c r="N15" s="61">
        <f t="shared" ref="N15" si="13">MIN(N11:N14)</f>
        <v>0.77263546741804756</v>
      </c>
      <c r="O15" s="61">
        <f t="shared" ref="O15:P15" si="14">MIN(O11:O14)</f>
        <v>0.78709980193022322</v>
      </c>
      <c r="P15" s="61">
        <f t="shared" ref="P15" si="15">MIN(P11:P14)</f>
        <v>0.65742310311354524</v>
      </c>
      <c r="T15" s="19" t="s">
        <v>87</v>
      </c>
      <c r="U15" s="2">
        <v>189</v>
      </c>
      <c r="V15" s="2">
        <v>200</v>
      </c>
      <c r="W15" s="2">
        <v>220</v>
      </c>
      <c r="X15" s="2">
        <v>140</v>
      </c>
      <c r="Y15" s="2">
        <v>251</v>
      </c>
    </row>
    <row r="16" spans="1:31" x14ac:dyDescent="0.25">
      <c r="A16" s="19" t="s">
        <v>337</v>
      </c>
      <c r="E16">
        <f>MAX(E11:E14)</f>
        <v>1.0119848709215202</v>
      </c>
      <c r="F16">
        <f t="shared" ref="F16:J16" si="16">MAX(F11:F14)</f>
        <v>1.012015739602059</v>
      </c>
      <c r="G16">
        <f t="shared" si="16"/>
        <v>1.2413974232394813</v>
      </c>
      <c r="H16">
        <f t="shared" si="16"/>
        <v>1.1215889616381773</v>
      </c>
      <c r="I16">
        <f t="shared" si="16"/>
        <v>1.1715339258692363</v>
      </c>
      <c r="J16">
        <f t="shared" si="16"/>
        <v>1.0800165386373033</v>
      </c>
      <c r="K16" s="61">
        <f t="shared" ref="K16:M16" si="17">MAX(K11:K14)</f>
        <v>1.0466795022200268</v>
      </c>
      <c r="L16" s="61">
        <f t="shared" si="17"/>
        <v>1.2464927702629973</v>
      </c>
      <c r="M16" s="61">
        <f t="shared" si="17"/>
        <v>0</v>
      </c>
      <c r="N16" s="61">
        <f>MAX(N11:N14)</f>
        <v>1.2518383392866181</v>
      </c>
      <c r="O16" s="61">
        <f>MAX(O11:O14)</f>
        <v>1.2183460535624913</v>
      </c>
      <c r="P16" s="61">
        <f>MAX(P11:P14)</f>
        <v>1.1813071384071516</v>
      </c>
      <c r="T16" s="19" t="s">
        <v>88</v>
      </c>
      <c r="U16" s="2">
        <v>180.8</v>
      </c>
      <c r="V16" s="2">
        <v>276.89999999999998</v>
      </c>
      <c r="W16" s="2">
        <v>101.3</v>
      </c>
      <c r="X16" s="2">
        <v>149.80000000000001</v>
      </c>
      <c r="Y16" s="2">
        <v>291.3</v>
      </c>
    </row>
    <row r="17" spans="1:25" s="7" customFormat="1" x14ac:dyDescent="0.25">
      <c r="A17" s="7" t="s">
        <v>338</v>
      </c>
      <c r="E17" s="63">
        <f>IF(E16&gt;=1/E15,E16-1,1-1/E15)</f>
        <v>1.198487092152023E-2</v>
      </c>
      <c r="F17" s="63">
        <f t="shared" ref="F17:K17" si="18">IF(F16&gt;=1/F15,F16-1,1-1/F15)</f>
        <v>-1.2625938834426975E-2</v>
      </c>
      <c r="G17" s="63">
        <f t="shared" si="18"/>
        <v>0.24139742323948132</v>
      </c>
      <c r="H17" s="63">
        <f t="shared" si="18"/>
        <v>-0.20796366228369489</v>
      </c>
      <c r="I17" s="63">
        <f t="shared" si="18"/>
        <v>0.17153392586923633</v>
      </c>
      <c r="J17" s="63">
        <f t="shared" si="18"/>
        <v>-8.023037141513889E-2</v>
      </c>
      <c r="K17" s="64">
        <f t="shared" si="18"/>
        <v>4.6679502220026814E-2</v>
      </c>
      <c r="L17" s="64">
        <f t="shared" ref="L17" si="19">IF(L16&gt;=1/L15,L16-1,1-1/L15)</f>
        <v>-0.26807407070385358</v>
      </c>
      <c r="M17" s="64" t="e">
        <f t="shared" ref="M17" si="20">IF(M16&gt;=1/M15,M16-1,1-1/M15)</f>
        <v>#DIV/0!</v>
      </c>
      <c r="N17" s="64">
        <f t="shared" ref="N17" si="21">IF(N16&gt;=1/N15,N16-1,1-1/N15)</f>
        <v>-0.29427141539560342</v>
      </c>
      <c r="O17" s="64">
        <f t="shared" ref="O17" si="22">IF(O16&gt;=1/O15,O16-1,1-1/O15)</f>
        <v>-0.27048691607808384</v>
      </c>
      <c r="P17" s="64">
        <f t="shared" ref="P17" si="23">IF(P16&gt;=1/P15,P16-1,1-1/P15)</f>
        <v>-0.5210904442877291</v>
      </c>
      <c r="T17" s="19" t="s">
        <v>89</v>
      </c>
      <c r="U17" s="2">
        <v>295.24</v>
      </c>
      <c r="V17" s="2">
        <v>185.98400000000001</v>
      </c>
      <c r="W17" s="2">
        <v>282.12099999999998</v>
      </c>
      <c r="X17" s="2">
        <v>107.773</v>
      </c>
      <c r="Y17" s="2">
        <v>128.881</v>
      </c>
    </row>
    <row r="18" spans="1:25" x14ac:dyDescent="0.25">
      <c r="A18" s="19" t="s">
        <v>339</v>
      </c>
      <c r="E18" t="s">
        <v>87</v>
      </c>
      <c r="F18" t="s">
        <v>87</v>
      </c>
      <c r="G18" t="s">
        <v>87</v>
      </c>
      <c r="H18" t="s">
        <v>89</v>
      </c>
      <c r="I18" t="s">
        <v>89</v>
      </c>
      <c r="J18" t="s">
        <v>87</v>
      </c>
      <c r="K18" t="s">
        <v>88</v>
      </c>
      <c r="L18" t="s">
        <v>88</v>
      </c>
      <c r="N18" t="s">
        <v>88</v>
      </c>
      <c r="O18" t="s">
        <v>89</v>
      </c>
      <c r="P18" t="s">
        <v>3</v>
      </c>
      <c r="T18" s="19" t="s">
        <v>3</v>
      </c>
      <c r="U18" s="2">
        <v>129.69999999999999</v>
      </c>
      <c r="V18" s="2">
        <v>312.2</v>
      </c>
      <c r="W18" s="2">
        <v>209.5</v>
      </c>
      <c r="X18" s="2">
        <v>236.5</v>
      </c>
      <c r="Y18" s="2">
        <v>112.1</v>
      </c>
    </row>
    <row r="19" spans="1:25" x14ac:dyDescent="0.25">
      <c r="T19" t="s">
        <v>5</v>
      </c>
      <c r="U19" s="2">
        <v>171</v>
      </c>
      <c r="V19" s="2">
        <v>208</v>
      </c>
      <c r="W19" s="2">
        <v>239</v>
      </c>
      <c r="X19" s="2">
        <v>383</v>
      </c>
    </row>
  </sheetData>
  <conditionalFormatting sqref="E11:P14">
    <cfRule type="colorScale" priority="4">
      <colorScale>
        <cfvo type="min"/>
        <cfvo type="percentile" val="50"/>
        <cfvo type="max"/>
        <color rgb="FFF8696B"/>
        <color rgb="FFFCFCFF"/>
        <color rgb="FF5A8AC6"/>
      </colorScale>
    </cfRule>
  </conditionalFormatting>
  <conditionalFormatting sqref="E17:K17 P17">
    <cfRule type="colorScale" priority="3">
      <colorScale>
        <cfvo type="min"/>
        <cfvo type="percentile" val="50"/>
        <cfvo type="max"/>
        <color rgb="FFF8696B"/>
        <color rgb="FFFCFCFF"/>
        <color rgb="FF5A8AC6"/>
      </colorScale>
    </cfRule>
  </conditionalFormatting>
  <conditionalFormatting sqref="E17:L17 P17">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1" sqref="A11"/>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1</v>
      </c>
    </row>
    <row r="8" spans="1:4" x14ac:dyDescent="0.25">
      <c r="A8" t="s">
        <v>29</v>
      </c>
    </row>
    <row r="9" spans="1:4" x14ac:dyDescent="0.25">
      <c r="A9" t="s">
        <v>69</v>
      </c>
    </row>
    <row r="10" spans="1:4" x14ac:dyDescent="0.25">
      <c r="A10" t="s">
        <v>75</v>
      </c>
    </row>
    <row r="11" spans="1:4" x14ac:dyDescent="0.25">
      <c r="A11"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M7" sqref="M7"/>
    </sheetView>
  </sheetViews>
  <sheetFormatPr baseColWidth="10" defaultRowHeight="15" x14ac:dyDescent="0.25"/>
  <cols>
    <col min="14" max="14" width="18.7109375" customWidth="1"/>
  </cols>
  <sheetData>
    <row r="1" spans="1:17" x14ac:dyDescent="0.25">
      <c r="B1" t="s">
        <v>76</v>
      </c>
      <c r="C1" t="s">
        <v>77</v>
      </c>
      <c r="D1" t="s">
        <v>78</v>
      </c>
      <c r="E1" t="s">
        <v>79</v>
      </c>
      <c r="F1" t="s">
        <v>80</v>
      </c>
      <c r="G1" t="s">
        <v>81</v>
      </c>
      <c r="H1" t="s">
        <v>82</v>
      </c>
      <c r="I1" t="s">
        <v>83</v>
      </c>
      <c r="J1" t="s">
        <v>84</v>
      </c>
      <c r="K1" t="s">
        <v>85</v>
      </c>
      <c r="L1" t="s">
        <v>86</v>
      </c>
      <c r="M1" t="s">
        <v>97</v>
      </c>
      <c r="N1" t="s">
        <v>94</v>
      </c>
      <c r="O1" t="s">
        <v>8</v>
      </c>
    </row>
    <row r="2" spans="1:17" x14ac:dyDescent="0.25">
      <c r="A2" t="s">
        <v>87</v>
      </c>
      <c r="B2">
        <v>12240</v>
      </c>
      <c r="C2">
        <v>15229</v>
      </c>
      <c r="D2">
        <v>16467</v>
      </c>
      <c r="E2">
        <v>17832</v>
      </c>
      <c r="F2">
        <v>20277</v>
      </c>
      <c r="G2">
        <v>22680</v>
      </c>
      <c r="H2">
        <v>25306</v>
      </c>
      <c r="I2">
        <v>28487</v>
      </c>
      <c r="J2">
        <v>30367</v>
      </c>
      <c r="K2">
        <v>32758</v>
      </c>
      <c r="L2">
        <v>41385</v>
      </c>
      <c r="M2" t="s">
        <v>218</v>
      </c>
      <c r="N2" t="s">
        <v>95</v>
      </c>
      <c r="O2" t="s">
        <v>91</v>
      </c>
      <c r="Q2" t="s">
        <v>102</v>
      </c>
    </row>
    <row r="3" spans="1:17" x14ac:dyDescent="0.25">
      <c r="A3" t="s">
        <v>88</v>
      </c>
      <c r="B3">
        <v>12638</v>
      </c>
      <c r="C3">
        <v>16328</v>
      </c>
      <c r="D3">
        <v>17830</v>
      </c>
      <c r="E3">
        <v>19166</v>
      </c>
      <c r="F3">
        <v>22018</v>
      </c>
      <c r="G3">
        <v>25015</v>
      </c>
      <c r="H3">
        <v>28374</v>
      </c>
      <c r="I3">
        <v>32543</v>
      </c>
      <c r="J3">
        <v>35054</v>
      </c>
      <c r="K3">
        <v>38056</v>
      </c>
      <c r="L3">
        <v>48503</v>
      </c>
      <c r="M3" t="s">
        <v>218</v>
      </c>
      <c r="N3" t="s">
        <v>95</v>
      </c>
      <c r="O3" t="s">
        <v>91</v>
      </c>
      <c r="Q3" t="s">
        <v>103</v>
      </c>
    </row>
    <row r="4" spans="1:17" x14ac:dyDescent="0.25">
      <c r="A4" t="s">
        <v>89</v>
      </c>
      <c r="B4">
        <v>6283</v>
      </c>
      <c r="C4">
        <v>9216</v>
      </c>
      <c r="D4">
        <v>10291</v>
      </c>
      <c r="E4">
        <v>11489</v>
      </c>
      <c r="F4">
        <v>13697</v>
      </c>
      <c r="G4">
        <v>15892</v>
      </c>
      <c r="H4">
        <v>18418</v>
      </c>
      <c r="I4">
        <v>21470</v>
      </c>
      <c r="J4">
        <v>23213</v>
      </c>
      <c r="K4">
        <v>25461</v>
      </c>
      <c r="L4">
        <v>32059</v>
      </c>
      <c r="M4" t="s">
        <v>218</v>
      </c>
      <c r="N4" t="s">
        <v>95</v>
      </c>
      <c r="O4" t="s">
        <v>91</v>
      </c>
      <c r="Q4" t="s">
        <v>105</v>
      </c>
    </row>
    <row r="5" spans="1:17" x14ac:dyDescent="0.25">
      <c r="A5" t="s">
        <v>3</v>
      </c>
      <c r="B5">
        <v>9648</v>
      </c>
      <c r="C5">
        <v>12544</v>
      </c>
      <c r="D5">
        <v>13840</v>
      </c>
      <c r="E5">
        <v>15066</v>
      </c>
      <c r="F5">
        <v>17548</v>
      </c>
      <c r="G5">
        <v>20275</v>
      </c>
      <c r="H5">
        <v>23362</v>
      </c>
      <c r="I5">
        <v>27074</v>
      </c>
      <c r="J5">
        <v>29458</v>
      </c>
      <c r="K5">
        <v>32398</v>
      </c>
      <c r="L5">
        <v>41490</v>
      </c>
      <c r="M5" t="s">
        <v>219</v>
      </c>
      <c r="N5" t="s">
        <v>95</v>
      </c>
      <c r="O5" t="s">
        <v>92</v>
      </c>
    </row>
    <row r="6" spans="1:17" x14ac:dyDescent="0.25">
      <c r="A6" t="s">
        <v>90</v>
      </c>
      <c r="B6">
        <v>24722</v>
      </c>
      <c r="C6">
        <v>31614</v>
      </c>
      <c r="D6">
        <v>34529</v>
      </c>
      <c r="E6">
        <v>37408</v>
      </c>
      <c r="F6">
        <v>42625</v>
      </c>
      <c r="G6">
        <v>48678</v>
      </c>
      <c r="H6">
        <v>54933</v>
      </c>
      <c r="I6">
        <v>62150</v>
      </c>
      <c r="J6">
        <v>66665</v>
      </c>
      <c r="K6">
        <v>71547</v>
      </c>
      <c r="L6">
        <v>90271</v>
      </c>
      <c r="M6" t="s">
        <v>220</v>
      </c>
      <c r="N6" t="s">
        <v>95</v>
      </c>
      <c r="O6" t="s">
        <v>93</v>
      </c>
    </row>
    <row r="7" spans="1:17" x14ac:dyDescent="0.25">
      <c r="A7" t="s">
        <v>5</v>
      </c>
      <c r="B7">
        <v>20</v>
      </c>
      <c r="C7">
        <v>35</v>
      </c>
      <c r="D7">
        <v>42</v>
      </c>
      <c r="E7">
        <v>50</v>
      </c>
      <c r="F7">
        <v>65</v>
      </c>
      <c r="G7">
        <v>82</v>
      </c>
      <c r="H7">
        <v>103</v>
      </c>
      <c r="I7">
        <v>130</v>
      </c>
      <c r="J7">
        <v>145</v>
      </c>
      <c r="K7">
        <v>165</v>
      </c>
      <c r="L7">
        <v>250</v>
      </c>
      <c r="M7" t="s">
        <v>101</v>
      </c>
      <c r="N7" t="s">
        <v>96</v>
      </c>
      <c r="O7" t="s">
        <v>104</v>
      </c>
    </row>
    <row r="10" spans="1:17" x14ac:dyDescent="0.25">
      <c r="B10" t="s">
        <v>76</v>
      </c>
      <c r="C10" t="s">
        <v>77</v>
      </c>
      <c r="D10" t="s">
        <v>78</v>
      </c>
      <c r="E10" t="s">
        <v>79</v>
      </c>
      <c r="F10" t="s">
        <v>80</v>
      </c>
      <c r="G10" t="s">
        <v>81</v>
      </c>
      <c r="H10" t="s">
        <v>82</v>
      </c>
      <c r="I10" t="s">
        <v>83</v>
      </c>
      <c r="J10" t="s">
        <v>84</v>
      </c>
      <c r="K10" t="s">
        <v>85</v>
      </c>
      <c r="L10" t="s">
        <v>86</v>
      </c>
    </row>
    <row r="11" spans="1:17" x14ac:dyDescent="0.25">
      <c r="A11" t="s">
        <v>87</v>
      </c>
      <c r="B11">
        <v>1000</v>
      </c>
      <c r="C11">
        <v>1250</v>
      </c>
      <c r="D11">
        <v>1350</v>
      </c>
      <c r="E11">
        <v>1500</v>
      </c>
      <c r="F11">
        <v>1700</v>
      </c>
      <c r="G11">
        <v>1900</v>
      </c>
      <c r="H11">
        <v>2100</v>
      </c>
      <c r="I11">
        <v>2350</v>
      </c>
      <c r="J11">
        <v>2550</v>
      </c>
      <c r="K11">
        <v>2750</v>
      </c>
      <c r="L11">
        <v>3450</v>
      </c>
      <c r="M11" t="s">
        <v>98</v>
      </c>
    </row>
    <row r="12" spans="1:17" x14ac:dyDescent="0.25">
      <c r="A12" t="s">
        <v>88</v>
      </c>
      <c r="B12">
        <v>1050</v>
      </c>
      <c r="C12">
        <v>1350</v>
      </c>
      <c r="D12">
        <v>1500</v>
      </c>
      <c r="E12">
        <v>1600</v>
      </c>
      <c r="F12">
        <v>1850</v>
      </c>
      <c r="G12">
        <v>2100</v>
      </c>
      <c r="H12">
        <v>2350</v>
      </c>
      <c r="I12">
        <v>2700</v>
      </c>
      <c r="J12">
        <v>2900</v>
      </c>
      <c r="K12">
        <v>3150</v>
      </c>
      <c r="L12">
        <v>4050</v>
      </c>
      <c r="M12" t="s">
        <v>98</v>
      </c>
    </row>
    <row r="13" spans="1:17" x14ac:dyDescent="0.25">
      <c r="A13" t="s">
        <v>89</v>
      </c>
      <c r="B13">
        <v>500</v>
      </c>
      <c r="C13">
        <v>750</v>
      </c>
      <c r="D13">
        <v>850</v>
      </c>
      <c r="E13">
        <v>950</v>
      </c>
      <c r="F13">
        <v>1150</v>
      </c>
      <c r="G13">
        <v>1300</v>
      </c>
      <c r="H13">
        <v>1550</v>
      </c>
      <c r="I13">
        <v>1800</v>
      </c>
      <c r="J13">
        <v>1950</v>
      </c>
      <c r="K13">
        <v>2100</v>
      </c>
      <c r="L13">
        <v>2650</v>
      </c>
      <c r="M13" t="s">
        <v>98</v>
      </c>
    </row>
    <row r="14" spans="1:17" x14ac:dyDescent="0.25">
      <c r="A14" t="s">
        <v>3</v>
      </c>
      <c r="B14">
        <v>800</v>
      </c>
      <c r="C14">
        <v>1050</v>
      </c>
      <c r="D14">
        <v>1150</v>
      </c>
      <c r="E14">
        <v>1250</v>
      </c>
      <c r="F14">
        <v>1450</v>
      </c>
      <c r="G14">
        <v>1700</v>
      </c>
      <c r="H14">
        <v>1950</v>
      </c>
      <c r="I14">
        <v>2250</v>
      </c>
      <c r="J14">
        <v>2450</v>
      </c>
      <c r="K14">
        <v>2700</v>
      </c>
      <c r="L14">
        <v>3450</v>
      </c>
      <c r="M14" t="s">
        <v>99</v>
      </c>
    </row>
    <row r="15" spans="1:17" x14ac:dyDescent="0.25">
      <c r="A15" t="s">
        <v>90</v>
      </c>
      <c r="B15">
        <v>2050</v>
      </c>
      <c r="C15">
        <v>2650</v>
      </c>
      <c r="D15">
        <v>2900</v>
      </c>
      <c r="E15">
        <v>3100</v>
      </c>
      <c r="F15">
        <v>3550</v>
      </c>
      <c r="G15">
        <v>4050</v>
      </c>
      <c r="H15">
        <v>4600</v>
      </c>
      <c r="I15">
        <v>5200</v>
      </c>
      <c r="J15">
        <v>5550</v>
      </c>
      <c r="K15">
        <v>5950</v>
      </c>
      <c r="L15">
        <v>7500</v>
      </c>
      <c r="M15" t="s">
        <v>100</v>
      </c>
    </row>
    <row r="16" spans="1:17" x14ac:dyDescent="0.25">
      <c r="A16" t="s">
        <v>5</v>
      </c>
      <c r="B16">
        <v>20</v>
      </c>
      <c r="C16">
        <v>35</v>
      </c>
      <c r="D16">
        <v>42</v>
      </c>
      <c r="E16">
        <v>50</v>
      </c>
      <c r="F16">
        <v>65</v>
      </c>
      <c r="G16">
        <v>82</v>
      </c>
      <c r="H16">
        <v>103</v>
      </c>
      <c r="I16">
        <v>130</v>
      </c>
      <c r="J16">
        <v>145</v>
      </c>
      <c r="K16">
        <v>165</v>
      </c>
      <c r="L16">
        <v>250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A7"/>
    </sheetView>
  </sheetViews>
  <sheetFormatPr baseColWidth="10" defaultRowHeight="15" x14ac:dyDescent="0.25"/>
  <cols>
    <col min="3" max="3" width="24" customWidth="1"/>
    <col min="4" max="4" width="26" customWidth="1"/>
    <col min="5" max="5" width="24.5703125" customWidth="1"/>
    <col min="7" max="7" width="29.42578125" customWidth="1"/>
  </cols>
  <sheetData>
    <row r="1" spans="1:9" x14ac:dyDescent="0.25">
      <c r="B1">
        <v>1</v>
      </c>
      <c r="C1">
        <v>2</v>
      </c>
      <c r="D1">
        <v>3</v>
      </c>
      <c r="E1">
        <v>4</v>
      </c>
      <c r="F1">
        <v>5</v>
      </c>
      <c r="G1">
        <v>6</v>
      </c>
      <c r="H1">
        <v>7</v>
      </c>
      <c r="I1">
        <v>8</v>
      </c>
    </row>
    <row r="2" spans="1:9" x14ac:dyDescent="0.25">
      <c r="A2" t="s">
        <v>87</v>
      </c>
      <c r="B2" t="s">
        <v>137</v>
      </c>
      <c r="C2" t="s">
        <v>107</v>
      </c>
      <c r="D2" t="s">
        <v>108</v>
      </c>
      <c r="E2" t="s">
        <v>109</v>
      </c>
      <c r="F2" t="s">
        <v>110</v>
      </c>
      <c r="G2" t="s">
        <v>111</v>
      </c>
      <c r="H2" t="s">
        <v>112</v>
      </c>
      <c r="I2" t="s">
        <v>113</v>
      </c>
    </row>
    <row r="3" spans="1:9" x14ac:dyDescent="0.25">
      <c r="A3" t="s">
        <v>88</v>
      </c>
      <c r="B3" t="s">
        <v>135</v>
      </c>
      <c r="C3" t="s">
        <v>138</v>
      </c>
      <c r="D3" t="s">
        <v>144</v>
      </c>
      <c r="E3" t="s">
        <v>139</v>
      </c>
      <c r="F3" t="s">
        <v>140</v>
      </c>
      <c r="G3" t="s">
        <v>142</v>
      </c>
      <c r="H3" t="s">
        <v>143</v>
      </c>
      <c r="I3" t="s">
        <v>141</v>
      </c>
    </row>
    <row r="4" spans="1:9" x14ac:dyDescent="0.25">
      <c r="A4" t="s">
        <v>89</v>
      </c>
      <c r="B4" t="s">
        <v>136</v>
      </c>
      <c r="C4" t="s">
        <v>122</v>
      </c>
      <c r="D4" t="s">
        <v>123</v>
      </c>
      <c r="E4" t="s">
        <v>125</v>
      </c>
      <c r="F4" t="s">
        <v>124</v>
      </c>
      <c r="G4" t="s">
        <v>126</v>
      </c>
      <c r="H4" t="s">
        <v>127</v>
      </c>
      <c r="I4" t="s">
        <v>128</v>
      </c>
    </row>
    <row r="5" spans="1:9" x14ac:dyDescent="0.25">
      <c r="A5" t="s">
        <v>3</v>
      </c>
      <c r="B5" t="s">
        <v>129</v>
      </c>
      <c r="C5" t="s">
        <v>145</v>
      </c>
      <c r="E5" t="s">
        <v>131</v>
      </c>
      <c r="F5" t="s">
        <v>130</v>
      </c>
      <c r="G5" t="s">
        <v>132</v>
      </c>
      <c r="H5" t="s">
        <v>133</v>
      </c>
      <c r="I5" t="s">
        <v>134</v>
      </c>
    </row>
    <row r="6" spans="1:9" x14ac:dyDescent="0.25">
      <c r="A6" t="s">
        <v>90</v>
      </c>
    </row>
    <row r="7" spans="1:9" x14ac:dyDescent="0.25">
      <c r="A7" t="s">
        <v>5</v>
      </c>
      <c r="B7" t="s">
        <v>115</v>
      </c>
      <c r="C7" t="s">
        <v>114</v>
      </c>
      <c r="D7" t="s">
        <v>116</v>
      </c>
      <c r="E7" t="s">
        <v>120</v>
      </c>
      <c r="F7" t="s">
        <v>117</v>
      </c>
      <c r="G7" t="s">
        <v>121</v>
      </c>
      <c r="H7" t="s">
        <v>118</v>
      </c>
      <c r="I7" t="s">
        <v>119</v>
      </c>
    </row>
    <row r="9" spans="1:9" x14ac:dyDescent="0.25">
      <c r="D9" t="s">
        <v>146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Normal="100" workbookViewId="0">
      <selection activeCell="B11" sqref="B11"/>
    </sheetView>
  </sheetViews>
  <sheetFormatPr baseColWidth="10" defaultRowHeight="15" x14ac:dyDescent="0.25"/>
  <cols>
    <col min="1" max="1" width="38.140625" customWidth="1"/>
    <col min="2" max="2" width="32.42578125" customWidth="1"/>
    <col min="3" max="3" width="34" customWidth="1"/>
    <col min="4" max="4" width="36.5703125" customWidth="1"/>
    <col min="5" max="5" width="38" customWidth="1"/>
    <col min="6" max="6" width="50.28515625" customWidth="1"/>
  </cols>
  <sheetData>
    <row r="1" spans="1:6" x14ac:dyDescent="0.25">
      <c r="B1" s="7" t="s">
        <v>0</v>
      </c>
      <c r="C1" s="7" t="s">
        <v>1</v>
      </c>
      <c r="D1" s="7" t="s">
        <v>2</v>
      </c>
      <c r="E1" s="7" t="s">
        <v>147</v>
      </c>
      <c r="F1" s="7" t="s">
        <v>148</v>
      </c>
    </row>
    <row r="2" spans="1:6" x14ac:dyDescent="0.25">
      <c r="A2" t="s">
        <v>190</v>
      </c>
      <c r="B2" s="19" t="s">
        <v>188</v>
      </c>
      <c r="C2" s="19" t="s">
        <v>189</v>
      </c>
      <c r="D2" s="19" t="s">
        <v>189</v>
      </c>
      <c r="E2" s="19" t="s">
        <v>189</v>
      </c>
      <c r="F2" s="19" t="s">
        <v>205</v>
      </c>
    </row>
    <row r="3" spans="1:6" x14ac:dyDescent="0.25">
      <c r="B3" s="19"/>
      <c r="C3" s="19"/>
      <c r="D3" s="19"/>
      <c r="E3" s="19"/>
      <c r="F3" s="19"/>
    </row>
    <row r="4" spans="1:6" x14ac:dyDescent="0.25">
      <c r="A4" t="s">
        <v>172</v>
      </c>
      <c r="B4" t="s">
        <v>182</v>
      </c>
      <c r="C4" t="s">
        <v>179</v>
      </c>
      <c r="D4" t="s">
        <v>196</v>
      </c>
      <c r="E4" t="s">
        <v>199</v>
      </c>
      <c r="F4" t="s">
        <v>149</v>
      </c>
    </row>
    <row r="5" spans="1:6" x14ac:dyDescent="0.25">
      <c r="B5" t="s">
        <v>186</v>
      </c>
      <c r="C5" t="s">
        <v>191</v>
      </c>
      <c r="D5" t="s">
        <v>197</v>
      </c>
      <c r="E5" t="s">
        <v>200</v>
      </c>
      <c r="F5" t="s">
        <v>150</v>
      </c>
    </row>
    <row r="6" spans="1:6" x14ac:dyDescent="0.25">
      <c r="A6" t="s">
        <v>178</v>
      </c>
      <c r="B6" t="s">
        <v>183</v>
      </c>
      <c r="C6" t="s">
        <v>192</v>
      </c>
      <c r="D6" t="s">
        <v>195</v>
      </c>
      <c r="E6" t="s">
        <v>198</v>
      </c>
      <c r="F6" t="s">
        <v>152</v>
      </c>
    </row>
    <row r="7" spans="1:6" x14ac:dyDescent="0.25">
      <c r="A7" t="s">
        <v>176</v>
      </c>
      <c r="B7" t="s">
        <v>181</v>
      </c>
      <c r="C7" t="s">
        <v>193</v>
      </c>
      <c r="D7" t="s">
        <v>217</v>
      </c>
      <c r="E7" t="s">
        <v>153</v>
      </c>
      <c r="F7" t="s">
        <v>153</v>
      </c>
    </row>
    <row r="8" spans="1:6" x14ac:dyDescent="0.25">
      <c r="A8" t="s">
        <v>175</v>
      </c>
      <c r="B8" t="s">
        <v>171</v>
      </c>
      <c r="C8" t="s">
        <v>171</v>
      </c>
      <c r="D8" t="s">
        <v>171</v>
      </c>
      <c r="E8" t="s">
        <v>171</v>
      </c>
      <c r="F8" t="s">
        <v>151</v>
      </c>
    </row>
    <row r="10" spans="1:6" x14ac:dyDescent="0.25">
      <c r="A10" t="s">
        <v>177</v>
      </c>
      <c r="B10" t="s">
        <v>180</v>
      </c>
      <c r="C10" s="19" t="s">
        <v>194</v>
      </c>
      <c r="D10" s="19" t="s">
        <v>216</v>
      </c>
      <c r="E10" s="19" t="s">
        <v>202</v>
      </c>
      <c r="F10" t="s">
        <v>154</v>
      </c>
    </row>
    <row r="11" spans="1:6" x14ac:dyDescent="0.25">
      <c r="A11" t="s">
        <v>174</v>
      </c>
      <c r="B11" t="s">
        <v>184</v>
      </c>
      <c r="C11" t="s">
        <v>214</v>
      </c>
      <c r="D11" t="s">
        <v>215</v>
      </c>
      <c r="E11" t="s">
        <v>165</v>
      </c>
      <c r="F11" t="s">
        <v>155</v>
      </c>
    </row>
    <row r="12" spans="1:6" x14ac:dyDescent="0.25">
      <c r="A12" t="s">
        <v>173</v>
      </c>
      <c r="B12" t="s">
        <v>211</v>
      </c>
      <c r="C12" t="s">
        <v>213</v>
      </c>
      <c r="D12" t="s">
        <v>204</v>
      </c>
      <c r="E12" t="s">
        <v>203</v>
      </c>
      <c r="F12" t="s">
        <v>157</v>
      </c>
    </row>
    <row r="13" spans="1:6" x14ac:dyDescent="0.25">
      <c r="A13" t="s">
        <v>177</v>
      </c>
      <c r="B13" t="s">
        <v>185</v>
      </c>
      <c r="C13" t="s">
        <v>207</v>
      </c>
      <c r="D13" t="s">
        <v>206</v>
      </c>
      <c r="E13" t="s">
        <v>158</v>
      </c>
      <c r="F13" t="s">
        <v>158</v>
      </c>
    </row>
    <row r="14" spans="1:6" x14ac:dyDescent="0.25">
      <c r="A14" t="s">
        <v>174</v>
      </c>
      <c r="B14" t="s">
        <v>171</v>
      </c>
      <c r="C14" t="s">
        <v>171</v>
      </c>
      <c r="D14" t="s">
        <v>171</v>
      </c>
      <c r="E14" t="s">
        <v>171</v>
      </c>
      <c r="F14" t="s">
        <v>156</v>
      </c>
    </row>
    <row r="16" spans="1:6" x14ac:dyDescent="0.25">
      <c r="F16" t="s">
        <v>159</v>
      </c>
    </row>
    <row r="17" spans="2:6" x14ac:dyDescent="0.25">
      <c r="F17" t="s">
        <v>157</v>
      </c>
    </row>
    <row r="18" spans="2:6" x14ac:dyDescent="0.25">
      <c r="F18" t="s">
        <v>160</v>
      </c>
    </row>
    <row r="19" spans="2:6" x14ac:dyDescent="0.25">
      <c r="F19" t="s">
        <v>161</v>
      </c>
    </row>
    <row r="21" spans="2:6" x14ac:dyDescent="0.25">
      <c r="F21" t="s">
        <v>162</v>
      </c>
    </row>
    <row r="22" spans="2:6" x14ac:dyDescent="0.25">
      <c r="F22" t="s">
        <v>163</v>
      </c>
    </row>
    <row r="23" spans="2:6" x14ac:dyDescent="0.25">
      <c r="F23" t="s">
        <v>164</v>
      </c>
    </row>
    <row r="25" spans="2:6" x14ac:dyDescent="0.25">
      <c r="F25" t="s">
        <v>155</v>
      </c>
    </row>
    <row r="26" spans="2:6" x14ac:dyDescent="0.25">
      <c r="E26" s="19" t="s">
        <v>201</v>
      </c>
      <c r="F26" t="s">
        <v>156</v>
      </c>
    </row>
    <row r="27" spans="2:6" x14ac:dyDescent="0.25">
      <c r="F27" t="s">
        <v>165</v>
      </c>
    </row>
    <row r="29" spans="2:6" x14ac:dyDescent="0.25">
      <c r="F29" t="s">
        <v>158</v>
      </c>
    </row>
    <row r="30" spans="2:6" x14ac:dyDescent="0.25">
      <c r="F30" t="s">
        <v>154</v>
      </c>
    </row>
    <row r="31" spans="2:6" x14ac:dyDescent="0.25">
      <c r="B31" t="s">
        <v>166</v>
      </c>
      <c r="C31" t="s">
        <v>166</v>
      </c>
      <c r="D31" t="s">
        <v>212</v>
      </c>
      <c r="E31" t="s">
        <v>166</v>
      </c>
      <c r="F31" t="s">
        <v>166</v>
      </c>
    </row>
    <row r="33" spans="2:6" x14ac:dyDescent="0.25">
      <c r="B33" t="s">
        <v>208</v>
      </c>
      <c r="C33" t="s">
        <v>187</v>
      </c>
      <c r="D33" t="s">
        <v>209</v>
      </c>
      <c r="E33" t="s">
        <v>167</v>
      </c>
      <c r="F33" t="s">
        <v>167</v>
      </c>
    </row>
    <row r="34" spans="2:6" x14ac:dyDescent="0.25">
      <c r="C34" t="s">
        <v>210</v>
      </c>
      <c r="F34" t="s">
        <v>169</v>
      </c>
    </row>
    <row r="35" spans="2:6" x14ac:dyDescent="0.25">
      <c r="F35" t="s">
        <v>168</v>
      </c>
    </row>
    <row r="36" spans="2:6" x14ac:dyDescent="0.25">
      <c r="F36" t="s">
        <v>170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R20" sqref="R20"/>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221</v>
      </c>
      <c r="B1" s="23" t="s">
        <v>268</v>
      </c>
      <c r="C1" s="23" t="s">
        <v>267</v>
      </c>
      <c r="D1" s="23" t="s">
        <v>269</v>
      </c>
      <c r="E1" s="23"/>
      <c r="F1" s="46" t="s">
        <v>274</v>
      </c>
      <c r="G1" s="46"/>
      <c r="H1" s="23" t="s">
        <v>222</v>
      </c>
      <c r="I1" s="23" t="s">
        <v>261</v>
      </c>
      <c r="J1" s="23" t="s">
        <v>223</v>
      </c>
      <c r="K1" s="23" t="s">
        <v>224</v>
      </c>
      <c r="L1" s="23" t="s">
        <v>262</v>
      </c>
      <c r="M1" s="23" t="s">
        <v>223</v>
      </c>
      <c r="N1" s="23" t="s">
        <v>224</v>
      </c>
      <c r="O1" s="23" t="s">
        <v>263</v>
      </c>
      <c r="P1" s="23" t="s">
        <v>223</v>
      </c>
      <c r="Q1" s="23" t="s">
        <v>224</v>
      </c>
      <c r="R1" s="24" t="s">
        <v>265</v>
      </c>
      <c r="S1" s="23" t="s">
        <v>223</v>
      </c>
      <c r="T1" s="23" t="s">
        <v>224</v>
      </c>
      <c r="U1" s="24" t="s">
        <v>266</v>
      </c>
      <c r="V1" s="23" t="s">
        <v>223</v>
      </c>
      <c r="W1" s="23" t="s">
        <v>224</v>
      </c>
      <c r="X1" s="24" t="s">
        <v>264</v>
      </c>
      <c r="Y1" s="23" t="s">
        <v>223</v>
      </c>
      <c r="Z1" s="23" t="s">
        <v>224</v>
      </c>
      <c r="AA1" s="25" t="s">
        <v>225</v>
      </c>
      <c r="AB1" s="25" t="s">
        <v>226</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227</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228</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229</v>
      </c>
    </row>
    <row r="7" spans="1:29" x14ac:dyDescent="0.25">
      <c r="A7" s="37" t="s">
        <v>230</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231</v>
      </c>
    </row>
    <row r="8" spans="1:29" x14ac:dyDescent="0.25">
      <c r="A8" s="37"/>
      <c r="B8" s="26"/>
      <c r="C8" s="26"/>
      <c r="D8" s="26"/>
      <c r="E8" s="40" t="s">
        <v>275</v>
      </c>
      <c r="F8" s="50">
        <v>9.5999999999999992E-3</v>
      </c>
      <c r="G8" s="51"/>
      <c r="H8" s="26"/>
      <c r="I8" s="38"/>
      <c r="J8" s="7"/>
      <c r="K8" s="39"/>
      <c r="L8" s="38"/>
      <c r="M8" s="7"/>
      <c r="N8" s="39"/>
      <c r="O8" s="38"/>
      <c r="P8" s="7"/>
      <c r="Q8" s="13"/>
      <c r="R8" s="38"/>
      <c r="S8" s="7"/>
      <c r="T8" s="32"/>
      <c r="U8" s="38"/>
      <c r="V8" s="7"/>
      <c r="W8" s="5"/>
      <c r="X8" s="38"/>
      <c r="Y8" s="7"/>
      <c r="Z8" s="13"/>
      <c r="AC8" t="s">
        <v>277</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270</v>
      </c>
      <c r="AC9" t="s">
        <v>272</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271</v>
      </c>
      <c r="AC10" t="s">
        <v>273</v>
      </c>
    </row>
    <row r="11" spans="1:29" x14ac:dyDescent="0.25">
      <c r="A11" s="37"/>
      <c r="B11" s="26"/>
      <c r="D11" s="26"/>
      <c r="E11" s="40" t="s">
        <v>275</v>
      </c>
      <c r="F11" s="55">
        <v>2.1299999999999999E-2</v>
      </c>
      <c r="G11" s="54"/>
      <c r="H11" s="19"/>
      <c r="T11" s="32"/>
      <c r="V11" s="32"/>
      <c r="W11" s="5"/>
    </row>
    <row r="12" spans="1:29" x14ac:dyDescent="0.25">
      <c r="A12" t="s">
        <v>232</v>
      </c>
      <c r="B12" s="40" t="s">
        <v>233</v>
      </c>
      <c r="C12" t="s">
        <v>233</v>
      </c>
      <c r="D12" s="26" t="s">
        <v>233</v>
      </c>
      <c r="E12" s="26"/>
      <c r="F12" s="55" t="s">
        <v>233</v>
      </c>
      <c r="G12" s="55"/>
      <c r="H12" s="19" t="s">
        <v>233</v>
      </c>
      <c r="I12" t="s">
        <v>233</v>
      </c>
      <c r="L12" t="s">
        <v>233</v>
      </c>
      <c r="O12" t="s">
        <v>233</v>
      </c>
      <c r="R12" t="s">
        <v>233</v>
      </c>
      <c r="T12" s="32"/>
      <c r="U12" t="s">
        <v>233</v>
      </c>
      <c r="V12" s="32"/>
      <c r="W12" s="5" t="s">
        <v>234</v>
      </c>
      <c r="X12" t="s">
        <v>233</v>
      </c>
      <c r="Y12" t="s">
        <v>235</v>
      </c>
      <c r="AA12" s="33">
        <v>260000</v>
      </c>
    </row>
    <row r="13" spans="1:29" x14ac:dyDescent="0.25">
      <c r="A13" t="s">
        <v>236</v>
      </c>
      <c r="B13" s="40">
        <f>2*(O13-U13)</f>
        <v>0</v>
      </c>
      <c r="C13" s="40">
        <f t="shared" ref="C13:C19" si="6">L13-R13</f>
        <v>0</v>
      </c>
      <c r="D13" s="40">
        <f>2*R13-I13</f>
        <v>0</v>
      </c>
      <c r="E13" s="40"/>
      <c r="F13" s="56">
        <v>0</v>
      </c>
      <c r="G13" s="56"/>
      <c r="H13" s="40">
        <f t="shared" ref="H13:H19" si="7">O13-L13+I13/2</f>
        <v>0</v>
      </c>
      <c r="I13">
        <v>2</v>
      </c>
      <c r="L13">
        <v>1</v>
      </c>
      <c r="O13">
        <v>0</v>
      </c>
      <c r="R13">
        <v>1</v>
      </c>
      <c r="T13" s="32"/>
      <c r="U13">
        <v>0</v>
      </c>
      <c r="V13" s="32"/>
      <c r="W13" s="41">
        <v>0.5</v>
      </c>
      <c r="X13">
        <v>0.1</v>
      </c>
      <c r="Y13">
        <f>W13*$AA$12/1000000</f>
        <v>0.13</v>
      </c>
    </row>
    <row r="14" spans="1:29" x14ac:dyDescent="0.25">
      <c r="A14" t="s">
        <v>237</v>
      </c>
      <c r="B14" s="40">
        <f t="shared" ref="B14:B19" si="8">2*(O14-U14)</f>
        <v>0</v>
      </c>
      <c r="C14" s="40">
        <f t="shared" si="6"/>
        <v>0</v>
      </c>
      <c r="D14" s="40">
        <f>2*R14-I14</f>
        <v>2</v>
      </c>
      <c r="E14" s="40"/>
      <c r="F14" s="56">
        <v>0</v>
      </c>
      <c r="G14" s="56"/>
      <c r="H14" s="40">
        <f t="shared" si="7"/>
        <v>1</v>
      </c>
      <c r="I14">
        <v>2</v>
      </c>
      <c r="L14">
        <v>2</v>
      </c>
      <c r="O14">
        <v>2</v>
      </c>
      <c r="R14">
        <v>2</v>
      </c>
      <c r="T14" s="32"/>
      <c r="U14">
        <v>2</v>
      </c>
      <c r="V14" s="32"/>
      <c r="W14" s="41">
        <v>2</v>
      </c>
      <c r="X14">
        <v>1</v>
      </c>
      <c r="Y14">
        <f>W14*$AA$12/1000000</f>
        <v>0.52</v>
      </c>
    </row>
    <row r="15" spans="1:29" x14ac:dyDescent="0.25">
      <c r="A15" t="s">
        <v>238</v>
      </c>
      <c r="B15" s="40">
        <f t="shared" si="8"/>
        <v>0</v>
      </c>
      <c r="C15" s="40">
        <f t="shared" si="6"/>
        <v>1</v>
      </c>
      <c r="D15" s="40">
        <f>2*R15-I15</f>
        <v>2</v>
      </c>
      <c r="E15" s="40"/>
      <c r="F15" s="56">
        <v>2</v>
      </c>
      <c r="G15" s="56"/>
      <c r="H15" s="40">
        <f t="shared" si="7"/>
        <v>1</v>
      </c>
      <c r="I15">
        <v>2</v>
      </c>
      <c r="L15">
        <v>3</v>
      </c>
      <c r="O15">
        <v>3</v>
      </c>
      <c r="R15">
        <v>2</v>
      </c>
      <c r="T15" s="32"/>
      <c r="U15">
        <v>3</v>
      </c>
      <c r="V15" s="32"/>
      <c r="W15" s="41">
        <v>5</v>
      </c>
      <c r="X15">
        <v>2</v>
      </c>
      <c r="Y15">
        <f>W15*$AA$12/1000000</f>
        <v>1.3</v>
      </c>
    </row>
    <row r="16" spans="1:29" x14ac:dyDescent="0.25">
      <c r="A16" t="s">
        <v>239</v>
      </c>
      <c r="B16" s="40">
        <f t="shared" si="8"/>
        <v>2</v>
      </c>
      <c r="C16" s="40">
        <f t="shared" si="6"/>
        <v>1</v>
      </c>
      <c r="D16" s="40">
        <f>2*R16-I16</f>
        <v>2</v>
      </c>
      <c r="E16" s="40"/>
      <c r="F16" s="56">
        <v>2</v>
      </c>
      <c r="G16" s="56"/>
      <c r="H16" s="40">
        <f t="shared" si="7"/>
        <v>3</v>
      </c>
      <c r="I16">
        <v>2</v>
      </c>
      <c r="L16">
        <v>3</v>
      </c>
      <c r="O16">
        <v>5</v>
      </c>
      <c r="R16">
        <v>2</v>
      </c>
      <c r="T16" s="32"/>
      <c r="U16">
        <v>4</v>
      </c>
      <c r="V16" s="32"/>
      <c r="W16" s="41">
        <v>10</v>
      </c>
      <c r="X16">
        <v>5</v>
      </c>
      <c r="Y16">
        <f>W16*$AA$12/1000000</f>
        <v>2.6</v>
      </c>
    </row>
    <row r="17" spans="1:26" x14ac:dyDescent="0.25">
      <c r="A17" t="s">
        <v>240</v>
      </c>
      <c r="B17" s="40">
        <f t="shared" si="8"/>
        <v>4</v>
      </c>
      <c r="C17" s="40">
        <f t="shared" si="6"/>
        <v>1</v>
      </c>
      <c r="D17" s="40">
        <f>2*R17-I17</f>
        <v>2</v>
      </c>
      <c r="E17" s="40"/>
      <c r="F17" s="56">
        <v>2</v>
      </c>
      <c r="G17" s="56"/>
      <c r="H17" s="40">
        <f t="shared" si="7"/>
        <v>5</v>
      </c>
      <c r="I17">
        <v>2</v>
      </c>
      <c r="L17">
        <v>3</v>
      </c>
      <c r="O17">
        <v>7</v>
      </c>
      <c r="R17">
        <v>2</v>
      </c>
      <c r="T17" s="32"/>
      <c r="U17">
        <v>5</v>
      </c>
      <c r="V17" s="32"/>
      <c r="W17" s="41">
        <v>100</v>
      </c>
      <c r="X17">
        <v>10</v>
      </c>
      <c r="Y17">
        <f>W17*$AA$12/1000000</f>
        <v>26</v>
      </c>
    </row>
    <row r="18" spans="1:26" x14ac:dyDescent="0.25">
      <c r="A18" t="s">
        <v>241</v>
      </c>
      <c r="B18" s="40">
        <f t="shared" si="8"/>
        <v>4</v>
      </c>
      <c r="C18" s="40">
        <f t="shared" si="6"/>
        <v>1</v>
      </c>
      <c r="D18" s="40">
        <f>2*R18-I18</f>
        <v>2</v>
      </c>
      <c r="E18" s="40"/>
      <c r="F18" s="56">
        <v>2</v>
      </c>
      <c r="G18" s="56"/>
      <c r="H18" s="40">
        <f t="shared" si="7"/>
        <v>6</v>
      </c>
      <c r="I18">
        <v>2</v>
      </c>
      <c r="L18">
        <v>3</v>
      </c>
      <c r="O18">
        <v>8</v>
      </c>
      <c r="R18">
        <v>2</v>
      </c>
      <c r="T18" s="32"/>
      <c r="U18">
        <v>6</v>
      </c>
      <c r="V18" s="32"/>
      <c r="W18" s="41">
        <v>1000</v>
      </c>
      <c r="X18">
        <v>60</v>
      </c>
      <c r="Y18">
        <f>W18*$AA$12/1000000</f>
        <v>260</v>
      </c>
    </row>
    <row r="19" spans="1:26" x14ac:dyDescent="0.25">
      <c r="A19" t="s">
        <v>242</v>
      </c>
      <c r="B19" s="40">
        <f t="shared" si="8"/>
        <v>4</v>
      </c>
      <c r="C19" s="40">
        <f t="shared" si="6"/>
        <v>1</v>
      </c>
      <c r="D19" s="40">
        <f>2*R19-I19</f>
        <v>2</v>
      </c>
      <c r="E19" s="40"/>
      <c r="F19" s="56">
        <v>2</v>
      </c>
      <c r="G19" s="56"/>
      <c r="H19" s="40">
        <f t="shared" si="7"/>
        <v>7</v>
      </c>
      <c r="I19">
        <v>2</v>
      </c>
      <c r="L19">
        <v>3</v>
      </c>
      <c r="O19">
        <v>9</v>
      </c>
      <c r="R19">
        <v>2</v>
      </c>
      <c r="T19" s="32"/>
      <c r="U19">
        <v>7</v>
      </c>
      <c r="V19" s="32"/>
      <c r="W19" s="41">
        <v>10000</v>
      </c>
      <c r="X19">
        <v>90</v>
      </c>
      <c r="Y19">
        <f>W19*$AA$12/1000000</f>
        <v>2600</v>
      </c>
    </row>
    <row r="20" spans="1:26" x14ac:dyDescent="0.25">
      <c r="E20" t="s">
        <v>276</v>
      </c>
      <c r="F20" s="50">
        <v>1.6000000000000001E-3</v>
      </c>
      <c r="G20" s="57">
        <f>F20*H20</f>
        <v>2880000000</v>
      </c>
      <c r="H20">
        <v>1800000000000</v>
      </c>
      <c r="T20" s="32"/>
      <c r="V20" s="32"/>
      <c r="W20" s="5"/>
    </row>
    <row r="21" spans="1:26" x14ac:dyDescent="0.25">
      <c r="E21" t="s">
        <v>278</v>
      </c>
      <c r="F21" s="50">
        <v>8.5000000000000006E-3</v>
      </c>
      <c r="G21" s="53">
        <f>F21*H21</f>
        <v>816000000000</v>
      </c>
      <c r="H21">
        <f>96*10^12</f>
        <v>96000000000000</v>
      </c>
      <c r="T21" s="32"/>
      <c r="V21" s="32"/>
      <c r="W21" s="5"/>
    </row>
    <row r="22" spans="1:26" x14ac:dyDescent="0.25">
      <c r="E22" t="s">
        <v>279</v>
      </c>
      <c r="F22" s="50">
        <v>1.6000000000000001E-3</v>
      </c>
      <c r="G22" s="53">
        <f>F22*H22</f>
        <v>841600000</v>
      </c>
      <c r="H22">
        <v>526000000000</v>
      </c>
      <c r="I22" t="s">
        <v>280</v>
      </c>
      <c r="T22" s="32"/>
      <c r="V22" s="32"/>
      <c r="W22" s="5"/>
    </row>
    <row r="23" spans="1:26" x14ac:dyDescent="0.25">
      <c r="A23" s="23" t="s">
        <v>243</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244</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245</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246</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247</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248</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249</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250</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251</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252</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253</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254</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255</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256</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257</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258</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259</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260</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10.992981028170488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26.748460500668678</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4.3674700117082939</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4.2203861131988871</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20.53136804236069</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342.70302800903698</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66.860665696107034</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66.860665696107034</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Main</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2022-11-30T01:55:26Z</dcterms:modified>
</cp:coreProperties>
</file>