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Bluebii/Library/Mobile Documents/com~apple~CloudDocs/TRAVAIL/Jobs/Stantcheva_2020:21/OECD/oecd_climate/questionnaires/"/>
    </mc:Choice>
  </mc:AlternateContent>
  <xr:revisionPtr revIDLastSave="0" documentId="13_ncr:1_{2078924A-AE27-7349-A437-590D4E2FE874}" xr6:coauthVersionLast="43" xr6:coauthVersionMax="43" xr10:uidLastSave="{00000000-0000-0000-0000-000000000000}"/>
  <bookViews>
    <workbookView xWindow="0" yWindow="460" windowWidth="25600" windowHeight="14480" firstSheet="5" activeTab="12" xr2:uid="{00000000-000D-0000-FFFF-FFFF00000000}"/>
  </bookViews>
  <sheets>
    <sheet name="Specificities" sheetId="1" r:id="rId1"/>
    <sheet name="quotas_US" sheetId="2" r:id="rId2"/>
    <sheet name="quotas_DK" sheetId="4" r:id="rId3"/>
    <sheet name="quotas_FR" sheetId="3" r:id="rId4"/>
    <sheet name="quotas_DE" sheetId="8" r:id="rId5"/>
    <sheet name="quotas_IT" sheetId="12" r:id="rId6"/>
    <sheet name="quotas_PL" sheetId="9" r:id="rId7"/>
    <sheet name="quotas_SP" sheetId="7" r:id="rId8"/>
    <sheet name="quotas_UK" sheetId="6" r:id="rId9"/>
    <sheet name="quotas_JP" sheetId="11" r:id="rId10"/>
    <sheet name="quotas_IN" sheetId="5" r:id="rId11"/>
    <sheet name="quotas_ID" sheetId="10" r:id="rId12"/>
    <sheet name="quotas_SA" sheetId="14" r:id="rId13"/>
    <sheet name="quotas_CH" sheetId="15" r:id="rId14"/>
    <sheet name="quotas_BR" sheetId="16" r:id="rId15"/>
    <sheet name="quotas_MX" sheetId="17" r:id="rId16"/>
    <sheet name="quotas_SK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" i="18" l="1"/>
  <c r="E10" i="18"/>
  <c r="D10" i="18"/>
  <c r="C10" i="18"/>
  <c r="B10" i="18"/>
  <c r="F9" i="18"/>
  <c r="E9" i="18"/>
  <c r="D9" i="18"/>
  <c r="C9" i="18"/>
  <c r="B9" i="18"/>
  <c r="G8" i="18"/>
  <c r="G10" i="18" s="1"/>
  <c r="F10" i="17"/>
  <c r="E10" i="17"/>
  <c r="D10" i="17"/>
  <c r="C10" i="17"/>
  <c r="B10" i="17"/>
  <c r="F9" i="17"/>
  <c r="E9" i="17"/>
  <c r="D9" i="17"/>
  <c r="C9" i="17"/>
  <c r="B9" i="17"/>
  <c r="G8" i="17"/>
  <c r="G10" i="17" s="1"/>
  <c r="F10" i="16"/>
  <c r="E10" i="16"/>
  <c r="D10" i="16"/>
  <c r="C10" i="16"/>
  <c r="B10" i="16"/>
  <c r="F9" i="16"/>
  <c r="E9" i="16"/>
  <c r="D9" i="16"/>
  <c r="C9" i="16"/>
  <c r="B9" i="16"/>
  <c r="G8" i="16"/>
  <c r="G10" i="16" s="1"/>
  <c r="F10" i="15"/>
  <c r="E10" i="15"/>
  <c r="D10" i="15"/>
  <c r="C10" i="15"/>
  <c r="B10" i="15"/>
  <c r="F9" i="15"/>
  <c r="E9" i="15"/>
  <c r="D9" i="15"/>
  <c r="C9" i="15"/>
  <c r="B9" i="15"/>
  <c r="G8" i="15"/>
  <c r="G10" i="15" s="1"/>
  <c r="F10" i="14"/>
  <c r="E10" i="14"/>
  <c r="D10" i="14"/>
  <c r="C10" i="14"/>
  <c r="B10" i="14"/>
  <c r="F9" i="14"/>
  <c r="E9" i="14"/>
  <c r="D9" i="14"/>
  <c r="C9" i="14"/>
  <c r="B9" i="14"/>
  <c r="G8" i="14"/>
  <c r="G10" i="14" s="1"/>
  <c r="F10" i="10"/>
  <c r="E10" i="10"/>
  <c r="D10" i="10"/>
  <c r="C10" i="10"/>
  <c r="B10" i="10"/>
  <c r="F9" i="10"/>
  <c r="E9" i="10"/>
  <c r="D9" i="10"/>
  <c r="C9" i="10"/>
  <c r="B9" i="10"/>
  <c r="G8" i="10"/>
  <c r="G9" i="10" s="1"/>
  <c r="F11" i="5"/>
  <c r="E11" i="5"/>
  <c r="D11" i="5"/>
  <c r="C11" i="5"/>
  <c r="B11" i="5"/>
  <c r="F10" i="5"/>
  <c r="E10" i="5"/>
  <c r="D10" i="5"/>
  <c r="C10" i="5"/>
  <c r="B10" i="5"/>
  <c r="G9" i="5"/>
  <c r="G11" i="5" s="1"/>
  <c r="F10" i="11"/>
  <c r="E10" i="11"/>
  <c r="D10" i="11"/>
  <c r="C10" i="11"/>
  <c r="B10" i="11"/>
  <c r="F9" i="11"/>
  <c r="E9" i="11"/>
  <c r="D9" i="11"/>
  <c r="C9" i="11"/>
  <c r="B9" i="11"/>
  <c r="G8" i="11"/>
  <c r="G10" i="11" s="1"/>
  <c r="F10" i="6"/>
  <c r="E10" i="6"/>
  <c r="D10" i="6"/>
  <c r="C10" i="6"/>
  <c r="B10" i="6"/>
  <c r="F9" i="6"/>
  <c r="E9" i="6"/>
  <c r="D9" i="6"/>
  <c r="C9" i="6"/>
  <c r="B9" i="6"/>
  <c r="G8" i="6"/>
  <c r="G10" i="6" s="1"/>
  <c r="F10" i="7"/>
  <c r="E10" i="7"/>
  <c r="D10" i="7"/>
  <c r="C10" i="7"/>
  <c r="B10" i="7"/>
  <c r="F9" i="7"/>
  <c r="E9" i="7"/>
  <c r="D9" i="7"/>
  <c r="C9" i="7"/>
  <c r="B9" i="7"/>
  <c r="G8" i="7"/>
  <c r="G10" i="7" s="1"/>
  <c r="F10" i="9"/>
  <c r="E10" i="9"/>
  <c r="D10" i="9"/>
  <c r="C10" i="9"/>
  <c r="B10" i="9"/>
  <c r="F9" i="9"/>
  <c r="E9" i="9"/>
  <c r="D9" i="9"/>
  <c r="C9" i="9"/>
  <c r="B9" i="9"/>
  <c r="G8" i="9"/>
  <c r="G10" i="9" s="1"/>
  <c r="F10" i="12"/>
  <c r="E10" i="12"/>
  <c r="D10" i="12"/>
  <c r="C10" i="12"/>
  <c r="B10" i="12"/>
  <c r="F9" i="12"/>
  <c r="E9" i="12"/>
  <c r="D9" i="12"/>
  <c r="C9" i="12"/>
  <c r="B9" i="12"/>
  <c r="G8" i="12"/>
  <c r="G10" i="12" s="1"/>
  <c r="G9" i="18" l="1"/>
  <c r="G9" i="17"/>
  <c r="G9" i="16"/>
  <c r="G9" i="15"/>
  <c r="G9" i="14"/>
  <c r="G10" i="10"/>
  <c r="G10" i="5"/>
  <c r="G9" i="11"/>
  <c r="G9" i="6"/>
  <c r="G9" i="7"/>
  <c r="G9" i="9"/>
  <c r="G9" i="12"/>
  <c r="C27" i="4" l="1"/>
  <c r="B27" i="4"/>
  <c r="D27" i="4" s="1"/>
  <c r="D26" i="4"/>
  <c r="C26" i="4"/>
  <c r="B26" i="4"/>
  <c r="D25" i="4"/>
  <c r="F21" i="4"/>
  <c r="E21" i="4"/>
  <c r="D21" i="4"/>
  <c r="C21" i="4"/>
  <c r="G21" i="4" s="1"/>
  <c r="B21" i="4"/>
  <c r="F20" i="4"/>
  <c r="E20" i="4"/>
  <c r="D20" i="4"/>
  <c r="C20" i="4"/>
  <c r="B20" i="4"/>
  <c r="G20" i="4" s="1"/>
  <c r="G19" i="4"/>
  <c r="F15" i="4"/>
  <c r="E15" i="4"/>
  <c r="D15" i="4"/>
  <c r="C15" i="4"/>
  <c r="B15" i="4"/>
  <c r="F14" i="4"/>
  <c r="E14" i="4"/>
  <c r="D14" i="4"/>
  <c r="C14" i="4"/>
  <c r="B14" i="4"/>
  <c r="F10" i="4"/>
  <c r="E10" i="4"/>
  <c r="D10" i="4"/>
  <c r="C10" i="4"/>
  <c r="B10" i="4"/>
  <c r="F9" i="4"/>
  <c r="E9" i="4"/>
  <c r="D9" i="4"/>
  <c r="C9" i="4"/>
  <c r="B9" i="4"/>
  <c r="G8" i="4"/>
  <c r="G9" i="4" s="1"/>
  <c r="D4" i="4"/>
  <c r="C4" i="4"/>
  <c r="B4" i="4"/>
  <c r="D3" i="4"/>
  <c r="C3" i="4"/>
  <c r="B3" i="4"/>
  <c r="D2" i="4"/>
  <c r="F47" i="3"/>
  <c r="E47" i="3"/>
  <c r="D47" i="3"/>
  <c r="C47" i="3"/>
  <c r="B47" i="3"/>
  <c r="G46" i="3"/>
  <c r="F46" i="3"/>
  <c r="E46" i="3"/>
  <c r="D46" i="3"/>
  <c r="C46" i="3"/>
  <c r="B46" i="3"/>
  <c r="G45" i="3"/>
  <c r="G47" i="3" s="1"/>
  <c r="I40" i="3"/>
  <c r="H40" i="3"/>
  <c r="G40" i="3"/>
  <c r="F40" i="3"/>
  <c r="E40" i="3"/>
  <c r="D40" i="3"/>
  <c r="C40" i="3"/>
  <c r="B40" i="3"/>
  <c r="I39" i="3"/>
  <c r="H39" i="3"/>
  <c r="G39" i="3"/>
  <c r="F39" i="3"/>
  <c r="E39" i="3"/>
  <c r="D39" i="3"/>
  <c r="C39" i="3"/>
  <c r="B39" i="3"/>
  <c r="J38" i="3"/>
  <c r="J40" i="3" s="1"/>
  <c r="D31" i="3"/>
  <c r="C31" i="3"/>
  <c r="B31" i="3"/>
  <c r="E31" i="3" s="1"/>
  <c r="B30" i="3"/>
  <c r="E29" i="3"/>
  <c r="D28" i="3"/>
  <c r="D30" i="3" s="1"/>
  <c r="C28" i="3"/>
  <c r="C30" i="3" s="1"/>
  <c r="B28" i="3"/>
  <c r="E27" i="3"/>
  <c r="F23" i="3"/>
  <c r="E23" i="3"/>
  <c r="D23" i="3"/>
  <c r="C23" i="3"/>
  <c r="B23" i="3"/>
  <c r="F22" i="3"/>
  <c r="E22" i="3"/>
  <c r="D22" i="3"/>
  <c r="C22" i="3"/>
  <c r="B22" i="3"/>
  <c r="F17" i="3"/>
  <c r="E17" i="3"/>
  <c r="D17" i="3"/>
  <c r="C17" i="3"/>
  <c r="B17" i="3"/>
  <c r="G16" i="3"/>
  <c r="F16" i="3"/>
  <c r="E16" i="3"/>
  <c r="D16" i="3"/>
  <c r="C16" i="3"/>
  <c r="B16" i="3"/>
  <c r="G15" i="3"/>
  <c r="G17" i="3" s="1"/>
  <c r="C11" i="3"/>
  <c r="B11" i="3"/>
  <c r="C10" i="3"/>
  <c r="B10" i="3"/>
  <c r="D9" i="3"/>
  <c r="D10" i="3" s="1"/>
  <c r="B4" i="3"/>
  <c r="F3" i="3"/>
  <c r="C3" i="3"/>
  <c r="B3" i="3"/>
  <c r="F2" i="3"/>
  <c r="F4" i="3" s="1"/>
  <c r="E2" i="3"/>
  <c r="E3" i="3" s="1"/>
  <c r="D2" i="3"/>
  <c r="D3" i="3" s="1"/>
  <c r="C2" i="3"/>
  <c r="C4" i="3" s="1"/>
  <c r="E29" i="2"/>
  <c r="D28" i="2"/>
  <c r="C28" i="2"/>
  <c r="B28" i="2"/>
  <c r="E28" i="2" s="1"/>
  <c r="D24" i="2"/>
  <c r="C23" i="2"/>
  <c r="B23" i="2"/>
  <c r="D23" i="2" s="1"/>
  <c r="F19" i="2"/>
  <c r="E18" i="2"/>
  <c r="D18" i="2"/>
  <c r="C18" i="2"/>
  <c r="B18" i="2"/>
  <c r="F18" i="2" s="1"/>
  <c r="F17" i="2"/>
  <c r="F14" i="2"/>
  <c r="E13" i="2"/>
  <c r="D13" i="2"/>
  <c r="C13" i="2"/>
  <c r="B13" i="2"/>
  <c r="F13" i="2" s="1"/>
  <c r="F12" i="2"/>
  <c r="G9" i="2"/>
  <c r="E8" i="2"/>
  <c r="D8" i="2"/>
  <c r="C8" i="2"/>
  <c r="B8" i="2"/>
  <c r="F7" i="2"/>
  <c r="G7" i="2" s="1"/>
  <c r="G6" i="2"/>
  <c r="E4" i="2"/>
  <c r="C3" i="2"/>
  <c r="B3" i="2"/>
  <c r="E3" i="2" s="1"/>
  <c r="G10" i="4" l="1"/>
  <c r="G3" i="3"/>
  <c r="D4" i="3"/>
  <c r="G4" i="3" s="1"/>
  <c r="E4" i="3"/>
  <c r="J39" i="3"/>
  <c r="D11" i="3"/>
  <c r="E28" i="3"/>
  <c r="E30" i="3" s="1"/>
  <c r="G2" i="3"/>
  <c r="F8" i="2"/>
  <c r="G8" i="2" s="1"/>
  <c r="Q58" i="1" l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Q56" i="1"/>
  <c r="Q57" i="1" s="1"/>
  <c r="P56" i="1"/>
  <c r="P57" i="1" s="1"/>
  <c r="O56" i="1"/>
  <c r="O57" i="1" s="1"/>
  <c r="N56" i="1"/>
  <c r="N57" i="1" s="1"/>
  <c r="M56" i="1"/>
  <c r="M57" i="1" s="1"/>
  <c r="L56" i="1"/>
  <c r="L57" i="1" s="1"/>
  <c r="K56" i="1"/>
  <c r="K57" i="1" s="1"/>
  <c r="J56" i="1"/>
  <c r="J57" i="1" s="1"/>
  <c r="I56" i="1"/>
  <c r="I57" i="1" s="1"/>
  <c r="H56" i="1"/>
  <c r="H57" i="1" s="1"/>
  <c r="G56" i="1"/>
  <c r="G57" i="1" s="1"/>
  <c r="F56" i="1"/>
  <c r="F57" i="1" s="1"/>
  <c r="E56" i="1"/>
  <c r="E57" i="1" s="1"/>
  <c r="D56" i="1"/>
  <c r="D57" i="1" s="1"/>
  <c r="C56" i="1"/>
  <c r="C57" i="1" s="1"/>
  <c r="B56" i="1"/>
  <c r="B57" i="1" s="1"/>
  <c r="C53" i="1"/>
  <c r="M50" i="1"/>
  <c r="K50" i="1"/>
  <c r="I50" i="1"/>
  <c r="H50" i="1"/>
  <c r="G50" i="1"/>
  <c r="F50" i="1"/>
  <c r="E50" i="1"/>
  <c r="D50" i="1"/>
  <c r="C50" i="1"/>
  <c r="Q48" i="1"/>
  <c r="P48" i="1"/>
  <c r="O48" i="1"/>
  <c r="N48" i="1"/>
  <c r="M48" i="1"/>
  <c r="L48" i="1"/>
  <c r="K48" i="1"/>
  <c r="I48" i="1"/>
  <c r="H48" i="1"/>
  <c r="G48" i="1"/>
  <c r="F48" i="1"/>
  <c r="E48" i="1"/>
  <c r="D48" i="1"/>
  <c r="C48" i="1"/>
  <c r="F10" i="8" l="1"/>
  <c r="E10" i="8"/>
  <c r="D10" i="8"/>
  <c r="C10" i="8"/>
  <c r="B10" i="8"/>
  <c r="F9" i="8"/>
  <c r="E9" i="8"/>
  <c r="D9" i="8"/>
  <c r="C9" i="8"/>
  <c r="B9" i="8"/>
  <c r="G8" i="8"/>
  <c r="G10" i="8" s="1"/>
  <c r="D2" i="18"/>
  <c r="D4" i="18" s="1"/>
  <c r="C2" i="18"/>
  <c r="C3" i="18" s="1"/>
  <c r="B2" i="18"/>
  <c r="B4" i="18" s="1"/>
  <c r="C2" i="17"/>
  <c r="C3" i="17" s="1"/>
  <c r="B2" i="17"/>
  <c r="B3" i="17" s="1"/>
  <c r="C2" i="16"/>
  <c r="C3" i="16" s="1"/>
  <c r="B2" i="16"/>
  <c r="B4" i="16" s="1"/>
  <c r="C2" i="15"/>
  <c r="C3" i="15" s="1"/>
  <c r="B2" i="15"/>
  <c r="B3" i="15" s="1"/>
  <c r="C2" i="14"/>
  <c r="C3" i="14" s="1"/>
  <c r="B2" i="14"/>
  <c r="B3" i="14" s="1"/>
  <c r="C2" i="11"/>
  <c r="C3" i="11" s="1"/>
  <c r="B2" i="11"/>
  <c r="B4" i="11" s="1"/>
  <c r="C2" i="10"/>
  <c r="C3" i="10" s="1"/>
  <c r="B2" i="10"/>
  <c r="B3" i="10" s="1"/>
  <c r="C2" i="12"/>
  <c r="C3" i="12" s="1"/>
  <c r="B2" i="12"/>
  <c r="B3" i="12" s="1"/>
  <c r="C2" i="9"/>
  <c r="C3" i="9" s="1"/>
  <c r="B2" i="9"/>
  <c r="B3" i="9" s="1"/>
  <c r="C2" i="8"/>
  <c r="C3" i="8" s="1"/>
  <c r="B2" i="8"/>
  <c r="B4" i="8" s="1"/>
  <c r="C2" i="7"/>
  <c r="C3" i="7" s="1"/>
  <c r="B2" i="7"/>
  <c r="B3" i="7" s="1"/>
  <c r="C2" i="6"/>
  <c r="C3" i="6" s="1"/>
  <c r="B2" i="6"/>
  <c r="B3" i="6" s="1"/>
  <c r="C2" i="5"/>
  <c r="B2" i="5"/>
  <c r="D2" i="16" l="1"/>
  <c r="D4" i="16" s="1"/>
  <c r="B4" i="10"/>
  <c r="B4" i="12"/>
  <c r="B3" i="8"/>
  <c r="G9" i="8"/>
  <c r="B3" i="18"/>
  <c r="C4" i="18"/>
  <c r="B3" i="16"/>
  <c r="B3" i="11"/>
  <c r="D3" i="18"/>
  <c r="D2" i="17"/>
  <c r="B4" i="17"/>
  <c r="C4" i="17"/>
  <c r="C4" i="16"/>
  <c r="D2" i="15"/>
  <c r="B4" i="15"/>
  <c r="C4" i="15"/>
  <c r="D2" i="14"/>
  <c r="B4" i="14"/>
  <c r="C4" i="14"/>
  <c r="D2" i="11"/>
  <c r="C4" i="11"/>
  <c r="D2" i="10"/>
  <c r="C4" i="10"/>
  <c r="D2" i="12"/>
  <c r="C4" i="12"/>
  <c r="D2" i="9"/>
  <c r="B4" i="9"/>
  <c r="C4" i="9"/>
  <c r="D2" i="8"/>
  <c r="C4" i="8"/>
  <c r="D2" i="7"/>
  <c r="B4" i="7"/>
  <c r="C4" i="7"/>
  <c r="D2" i="6"/>
  <c r="B4" i="6"/>
  <c r="C4" i="6"/>
  <c r="C4" i="5"/>
  <c r="B4" i="5"/>
  <c r="C3" i="5"/>
  <c r="B3" i="5"/>
  <c r="D2" i="5"/>
  <c r="D3" i="5" s="1"/>
  <c r="D3" i="16" l="1"/>
  <c r="D4" i="17"/>
  <c r="D3" i="17"/>
  <c r="D4" i="15"/>
  <c r="D3" i="15"/>
  <c r="D4" i="14"/>
  <c r="D3" i="14"/>
  <c r="D4" i="11"/>
  <c r="D3" i="11"/>
  <c r="D4" i="10"/>
  <c r="D3" i="10"/>
  <c r="D4" i="12"/>
  <c r="D3" i="12"/>
  <c r="D4" i="9"/>
  <c r="D3" i="9"/>
  <c r="D4" i="8"/>
  <c r="D3" i="8"/>
  <c r="D4" i="7"/>
  <c r="D3" i="7"/>
  <c r="D4" i="6"/>
  <c r="D3" i="6"/>
  <c r="D4" i="5"/>
</calcChain>
</file>

<file path=xl/sharedStrings.xml><?xml version="1.0" encoding="utf-8"?>
<sst xmlns="http://schemas.openxmlformats.org/spreadsheetml/2006/main" count="1114" uniqueCount="571">
  <si>
    <t>Country</t>
  </si>
  <si>
    <t>US</t>
  </si>
  <si>
    <t>France</t>
  </si>
  <si>
    <t>Denmark</t>
  </si>
  <si>
    <t>India</t>
  </si>
  <si>
    <t>UK</t>
  </si>
  <si>
    <t>Spain</t>
  </si>
  <si>
    <t>Germany</t>
  </si>
  <si>
    <t>Italy</t>
  </si>
  <si>
    <t>Japan</t>
  </si>
  <si>
    <t>Indonesia</t>
  </si>
  <si>
    <t>$</t>
  </si>
  <si>
    <t>€</t>
  </si>
  <si>
    <t>kr.</t>
  </si>
  <si>
    <t>£</t>
  </si>
  <si>
    <t>Rs (or ₹?)</t>
  </si>
  <si>
    <t>¥</t>
  </si>
  <si>
    <t>Poland</t>
  </si>
  <si>
    <t>Rp</t>
  </si>
  <si>
    <t>zł</t>
  </si>
  <si>
    <t>currency in $ (5/5/21)</t>
  </si>
  <si>
    <t>5k</t>
  </si>
  <si>
    <t>20k</t>
  </si>
  <si>
    <t>50k</t>
  </si>
  <si>
    <t>250k</t>
  </si>
  <si>
    <t>3M</t>
  </si>
  <si>
    <t>IDF</t>
  </si>
  <si>
    <t>1k</t>
  </si>
  <si>
    <t>10k</t>
  </si>
  <si>
    <t>100k</t>
  </si>
  <si>
    <t>origin</t>
  </si>
  <si>
    <t>race</t>
  </si>
  <si>
    <t>HH, year</t>
  </si>
  <si>
    <t>Biden; Trump; Jorgensen; Hawkins</t>
  </si>
  <si>
    <t>Macron; Le Pen; Fillon; Mélenchon; Hamon; Dupont-Aignan; Lassalle; Poutou; Asselineau; Arthaud; Cheminade</t>
  </si>
  <si>
    <t>2/3.6/8/15 °F</t>
  </si>
  <si>
    <t>1/2/4/7 °C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</si>
  <si>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</si>
  <si>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</si>
  <si>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4, NYC - Toronto, 500 mi</t>
  </si>
  <si>
    <t>40 cents per gallon</t>
  </si>
  <si>
    <t>10 centimes par litre</t>
  </si>
  <si>
    <t>2 kr. pr. liter</t>
  </si>
  <si>
    <t>$600 per year</t>
  </si>
  <si>
    <t>3700 kr./year</t>
  </si>
  <si>
    <t>50/200/300/600/2000/3000/6000</t>
  </si>
  <si>
    <t>10/30/50/100/300/500/1000</t>
  </si>
  <si>
    <t>95/60gCO2/km 2021/2025</t>
  </si>
  <si>
    <t>150/100gCO2/mi 2021, 2025</t>
  </si>
  <si>
    <t>not given</t>
  </si>
  <si>
    <t>currency (LCU)</t>
  </si>
  <si>
    <t>millionaires</t>
  </si>
  <si>
    <t>?</t>
  </si>
  <si>
    <t>20.2 scale</t>
  </si>
  <si>
    <t>Federal/State</t>
  </si>
  <si>
    <t>European/National</t>
  </si>
  <si>
    <t>20.8 millionaires</t>
  </si>
  <si>
    <t>20.7 LCU global tax pc</t>
  </si>
  <si>
    <t>20.7 $ global tax pc</t>
  </si>
  <si>
    <t>20.7 global transfer (LCU)</t>
  </si>
  <si>
    <t>19.2, 251 Donation</t>
  </si>
  <si>
    <t>264-270 WTP</t>
  </si>
  <si>
    <t>vid_pol, 17.2 transfer</t>
  </si>
  <si>
    <t>13.10 transport footprint</t>
  </si>
  <si>
    <t>9.3 video question</t>
  </si>
  <si>
    <t>vid_pol, emission limit</t>
  </si>
  <si>
    <t>vid_cli, 9.2 temperatures</t>
  </si>
  <si>
    <t>24.1, 24.2 vote parties</t>
  </si>
  <si>
    <t>23.4, 24.1, 24.2</t>
  </si>
  <si>
    <t>2020 presidential</t>
  </si>
  <si>
    <t>2017 presidential</t>
  </si>
  <si>
    <t>2019 legislative</t>
  </si>
  <si>
    <t>2.14 income</t>
  </si>
  <si>
    <t>2.6 origin</t>
  </si>
  <si>
    <t>2.5 town size 1</t>
  </si>
  <si>
    <t>2.5 town size 2</t>
  </si>
  <si>
    <t>2.5 town size 3</t>
  </si>
  <si>
    <t>2.5 town size 4</t>
  </si>
  <si>
    <t>2.5 town size 5</t>
  </si>
  <si>
    <t>13.10 option transport footprint</t>
  </si>
  <si>
    <t>coach</t>
  </si>
  <si>
    <t>train</t>
  </si>
  <si>
    <t>4, Copenhagen - Stockholm, 700 km</t>
  </si>
  <si>
    <t>4, Bordeaux - Nice, 800 km</t>
  </si>
  <si>
    <t>4, Paris - London, 500 km OR 4, London - Glasgow, 700 km</t>
  </si>
  <si>
    <t>4, Barcelona - Madrid, 600 km</t>
  </si>
  <si>
    <t>1, Warsaw - Berlin, 600 km</t>
  </si>
  <si>
    <t>2, Milan - Naples, 850 km</t>
  </si>
  <si>
    <t>35k</t>
  </si>
  <si>
    <t>70k</t>
  </si>
  <si>
    <t>120k</t>
  </si>
  <si>
    <t>4k</t>
  </si>
  <si>
    <t>380k</t>
  </si>
  <si>
    <t>60k</t>
  </si>
  <si>
    <t>180k</t>
  </si>
  <si>
    <t>350k</t>
  </si>
  <si>
    <t>2M</t>
  </si>
  <si>
    <t>500k</t>
  </si>
  <si>
    <t>75k</t>
  </si>
  <si>
    <t>40k</t>
  </si>
  <si>
    <t>8 Rs per liter</t>
  </si>
  <si>
    <t>6000 Rs per year</t>
  </si>
  <si>
    <t>Source income quartiles</t>
  </si>
  <si>
    <t>Source wealth quintiles</t>
  </si>
  <si>
    <t>Source zipcode</t>
  </si>
  <si>
    <t>Source transport footprint</t>
  </si>
  <si>
    <t>Source gasoline price increase carbon tax</t>
  </si>
  <si>
    <t>Method/source global carbon tax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</si>
  <si>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</si>
  <si>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Douenne &amp; Fabre (2020)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</si>
  <si>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</si>
  <si>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Source vid_pol emission limit</t>
  </si>
  <si>
    <t xml:space="preserve">Source vid graph temperatures </t>
  </si>
  <si>
    <t>https://i.pinimg.com/originals/28/f0/72/28f07273a64c12a313c3ad49ab8e5bae.gif</t>
  </si>
  <si>
    <t>Source vid_cli emission by sectors</t>
  </si>
  <si>
    <t>Source climate video 1</t>
  </si>
  <si>
    <t>Source climate video 2</t>
  </si>
  <si>
    <t>Source climate video 3</t>
  </si>
  <si>
    <t>Source climate video 4</t>
  </si>
  <si>
    <t>Source climate video 5</t>
  </si>
  <si>
    <t>Source climate video 6</t>
  </si>
  <si>
    <t>Source climate video 7</t>
  </si>
  <si>
    <t>Source climate video 8</t>
  </si>
  <si>
    <t>Source climate video 9</t>
  </si>
  <si>
    <t>Source climate video 10</t>
  </si>
  <si>
    <t>200k deaths air pollution Lelieveld et al. (2019)</t>
  </si>
  <si>
    <t>heatwaves http://www.impactlab.org/map/#usmeas=absolute&amp;usyear=1981-2010&amp;gmeas=change-from-hist&amp;gyear=2080-2099&amp;tab=global&amp;gvar=tasmax-over-95F</t>
  </si>
  <si>
    <t>agriculture http://www.impactlab.org/research/estimating-economic-damage-from-climate-change-in-the-united-states/</t>
  </si>
  <si>
    <t>floodings, wildfires https://youtu.be/wd6w6mTQGwc?t=461</t>
  </si>
  <si>
    <t>ski https://www.ecologie.gouv.fr/observatoire-national-sur-effets-du-rechauffement-climatique-onerc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</si>
  <si>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</si>
  <si>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heatwave https://www.euro.who.int/__data/assets/pdf_file/0018/112473/E91350.pdf (https://www.liberation.fr/checknews/2018/08/06/combien-de-morts-y-avait-t-il-eu-lors-de-la-canicule-en-2003_1671066)</t>
  </si>
  <si>
    <t>future heatwaves http://www.meteofrance.fr/actualites/75746838-changement-climatique-8-aout-2030-le-mercure-pourrait-localement-depasser-les-50-c</t>
  </si>
  <si>
    <t>floodings https://www.ccr.fr/documents/35794/35836/Etude+Climatique+2018+version+complete.pdf/6a7b6120-7050-ff2e-4aa9-89e80c1e30f2?t=1536662736000</t>
  </si>
  <si>
    <t>48k deaths air pollution (Santé Publique France, 2016)</t>
  </si>
  <si>
    <t>sea-level rise Hinkel et al. 2010</t>
  </si>
  <si>
    <t>more rain, etc. https://en.klimatilpasning.dk/sectors/nature/climate-change-impact-on-nature/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</si>
  <si>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</si>
  <si>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record temperature https://www.ndtv.com/delhi-news/delhi-weather-delhi-at-48-degrees-highest-ever-in-june-says-weather-agency-skymet-2051014</t>
  </si>
  <si>
    <t>record temperatures https://thewire.in/environment/2018-was-sixth-warmest-year-in-indias-recorded-history-imd</t>
  </si>
  <si>
    <t>uninhabitable Im et al. (2017)</t>
  </si>
  <si>
    <t>floodings https://www.worldbank.org/en/news/feature/2013/06/19/india-climate-change-impacts</t>
  </si>
  <si>
    <t>flood Kulp &amp; Strauss (2019)</t>
  </si>
  <si>
    <t>flood https://en.wikipedia.org/wiki/Effects_of_climate_change_on_South_Asia#:~:text=Heat%20waves'%20frequency%20and%20power,accessing%20the%20closest%20water%20source</t>
  </si>
  <si>
    <t>700k deaths air pollution Lelieveld et al. (2019)</t>
  </si>
  <si>
    <t>agriculture https://link.springer.com/article/10.1007/s10584-011-0208-4 https://www.int-res.com/abstracts/cr/v59/n3/p173-187/</t>
  </si>
  <si>
    <t xml:space="preserve">agriculture http://www.indianjournals.com/ijor.aspx?target=ijor:aerr&amp;volume=27&amp;issue=2&amp;article=001 </t>
  </si>
  <si>
    <t>overheating WSP, Overheating in homes: Keeping a growing population cool in summer, October 2015, London</t>
  </si>
  <si>
    <t>heatwave https://www.theccc.org.uk/uk-climate-change-risk-assessment-2017/the-ccra-at-a-glance/</t>
  </si>
  <si>
    <t>flooding UCCRN, The Future We Don’t Want: How Climate Change Could Impact the World’s Greatest Cities UCCRN Technical Report, February 2018</t>
  </si>
  <si>
    <t>flood Sayers, P.B et al, Climate Change Risk Assessment 2017: Projections of future flood risk in the UK, 2015, London</t>
  </si>
  <si>
    <t>flood london.gov.uk/sites/default/files/climate_change_risks_for_london_-_a_review_of_evidence_under_1.5degc_and_different_warming_scenarios.pdf</t>
  </si>
  <si>
    <t>water supply , agriculture https://www.theccc.org.uk/uk-climate-change-risk-assessment-2017/the-ccra-at-a-glance</t>
  </si>
  <si>
    <t>540k</t>
  </si>
  <si>
    <t>205k</t>
  </si>
  <si>
    <t>1045k</t>
  </si>
  <si>
    <t>280k</t>
  </si>
  <si>
    <t>650k</t>
  </si>
  <si>
    <t>165k</t>
  </si>
  <si>
    <t>1450k</t>
  </si>
  <si>
    <t>255k</t>
  </si>
  <si>
    <t>1230k</t>
  </si>
  <si>
    <t>880k</t>
  </si>
  <si>
    <t>4670k</t>
  </si>
  <si>
    <t>2380k</t>
  </si>
  <si>
    <t>360k</t>
  </si>
  <si>
    <t>130k</t>
  </si>
  <si>
    <t>4140k</t>
  </si>
  <si>
    <t>2250k</t>
  </si>
  <si>
    <t>job creation</t>
  </si>
  <si>
    <t>job destruction</t>
  </si>
  <si>
    <t>4M</t>
  </si>
  <si>
    <t>200k</t>
  </si>
  <si>
    <t>4.5M</t>
  </si>
  <si>
    <t>2.5M</t>
  </si>
  <si>
    <t>1M</t>
  </si>
  <si>
    <t>300k</t>
  </si>
  <si>
    <t>150k</t>
  </si>
  <si>
    <t>1.5M</t>
  </si>
  <si>
    <t>1.2M</t>
  </si>
  <si>
    <t>900k</t>
  </si>
  <si>
    <t>vid_pol job creation (rounded)</t>
  </si>
  <si>
    <t>vid_pol job destruction (rounded)</t>
  </si>
  <si>
    <t>temperature_trend.xlsx Adapted from Meinshausen et al. (2011) https://link.springer.com/article/10.1007/s10584-011-0156-z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</si>
  <si>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</si>
  <si>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>http://ecopassenger.hafas.de/</t>
  </si>
  <si>
    <t>https://www.nationalgeographic.com/travel/article/carbon-footprint-transportation-efficiency-graphic</t>
  </si>
  <si>
    <t>https://www.icao.int/annual-report-2018/Documents/Annual.Report.2018_Air%20Transport%20Statistics.pdf</t>
  </si>
  <si>
    <t>Source round-trip flight emission factor: 1450 kgCO2</t>
  </si>
  <si>
    <t>Source emission factor gasoline</t>
  </si>
  <si>
    <t>https://www.epa.gov/energy/greenhouse-gases-equivalencies-calculator-calculations-and-references</t>
  </si>
  <si>
    <t>Source price gasoline</t>
  </si>
  <si>
    <t>https://www.globalpetrolprices.com/USA/gasoline_prices/</t>
  </si>
  <si>
    <t>Source emission heating oil</t>
  </si>
  <si>
    <t>https://energysvc.com/the-real-cost-of-heating</t>
  </si>
  <si>
    <t>Source price heating oil, gas</t>
  </si>
  <si>
    <t>https://www.eia.gov/environment/emissions/co2_vol_mass.php</t>
  </si>
  <si>
    <t>Source price electricity</t>
  </si>
  <si>
    <t>https://www.eia.gov/electricity/state</t>
  </si>
  <si>
    <t>Source emission factor electricity</t>
  </si>
  <si>
    <t>data/zipcodes/US_elec.csv, from https://www.epa.gov/egrid/data-explorer</t>
  </si>
  <si>
    <t>data/zipcodes/US_zipcode.xlsx from https://www.arcgis.com/home/item.html?id=8d2012a2016e484dafaac0451f9aea24</t>
  </si>
  <si>
    <t>data/zipcodes/FR_aires_urbaines_2020.csv cf. code/FR_commune.R</t>
  </si>
  <si>
    <t>data/zipcodes/DK_municipalities.csv</t>
  </si>
  <si>
    <t>Source transfer carbon tax ($45/tCO2)</t>
  </si>
  <si>
    <t>share income &lt;Q1</t>
  </si>
  <si>
    <t>share income Q1-2</t>
  </si>
  <si>
    <t>share income Q2-3</t>
  </si>
  <si>
    <t>share income &gt;Q3</t>
  </si>
  <si>
    <t>wid.world</t>
  </si>
  <si>
    <t>socio-professional</t>
  </si>
  <si>
    <t>farmer</t>
  </si>
  <si>
    <t>independent</t>
  </si>
  <si>
    <t>executive</t>
  </si>
  <si>
    <t>intermediate</t>
  </si>
  <si>
    <t>employee</t>
  </si>
  <si>
    <t>worker</t>
  </si>
  <si>
    <t>retired</t>
  </si>
  <si>
    <t>inactive</t>
  </si>
  <si>
    <t>Population</t>
  </si>
  <si>
    <t>Quota</t>
  </si>
  <si>
    <t>Quota (+10%)</t>
  </si>
  <si>
    <t xml:space="preserve">region </t>
  </si>
  <si>
    <t>gender</t>
  </si>
  <si>
    <t>woman</t>
  </si>
  <si>
    <t>man</t>
  </si>
  <si>
    <t>age</t>
  </si>
  <si>
    <t>18-24</t>
  </si>
  <si>
    <t>25-34</t>
  </si>
  <si>
    <t>35-49</t>
  </si>
  <si>
    <t>50-64</t>
  </si>
  <si>
    <t>&gt;65</t>
  </si>
  <si>
    <t>education</t>
  </si>
  <si>
    <t>No diploma or Brevet</t>
  </si>
  <si>
    <t>CAP or BEP</t>
  </si>
  <si>
    <t>Bac</t>
  </si>
  <si>
    <t>Superior</t>
  </si>
  <si>
    <t xml:space="preserve">Population </t>
  </si>
  <si>
    <t>income</t>
  </si>
  <si>
    <t>Sample</t>
  </si>
  <si>
    <t>Gender</t>
  </si>
  <si>
    <t>Female</t>
  </si>
  <si>
    <t>Male</t>
  </si>
  <si>
    <t>Other</t>
  </si>
  <si>
    <t>Source: Census 2019</t>
  </si>
  <si>
    <t>Share</t>
  </si>
  <si>
    <t>https://data.census.gov/cedsci/table?q=United%20States&amp;g=0100000US&amp;tid=ACSDP1Y2019.DP05</t>
  </si>
  <si>
    <t>Age</t>
  </si>
  <si>
    <t>Income</t>
  </si>
  <si>
    <t>&lt; 35k</t>
  </si>
  <si>
    <t>35k-70k</t>
  </si>
  <si>
    <t>70k-120k</t>
  </si>
  <si>
    <t>&gt; 120k</t>
  </si>
  <si>
    <t>Region</t>
  </si>
  <si>
    <t>Northeast</t>
  </si>
  <si>
    <t>Midwest</t>
  </si>
  <si>
    <t>South</t>
  </si>
  <si>
    <t>West</t>
  </si>
  <si>
    <t>Urbanity</t>
  </si>
  <si>
    <t>Urban</t>
  </si>
  <si>
    <t>Rural</t>
  </si>
  <si>
    <t>Source: 2010 Rural-Urban Commuting Area Codes</t>
  </si>
  <si>
    <t> https://www.ers.usda.gov/data-products/rural-urban-commuting-area-codes</t>
  </si>
  <si>
    <t>Race</t>
  </si>
  <si>
    <t>White non Hispanic</t>
  </si>
  <si>
    <t>Hispanic</t>
  </si>
  <si>
    <t>Black</t>
  </si>
  <si>
    <t>https://www.census.gov/quickfacts/fact/table/US/IPE120220</t>
  </si>
  <si>
    <t>https://www.statbank.dk/BY2</t>
  </si>
  <si>
    <t>Source quota sex</t>
  </si>
  <si>
    <t>Source quota age</t>
  </si>
  <si>
    <t>Source quota region</t>
  </si>
  <si>
    <t>Source quota socio-professional category</t>
  </si>
  <si>
    <t>Source quota race</t>
  </si>
  <si>
    <t>Source quota town size</t>
  </si>
  <si>
    <t>Source quota income</t>
  </si>
  <si>
    <t>cf. Source income quartiles</t>
  </si>
  <si>
    <t>2020 https://www.statbank.dk/BEV22</t>
  </si>
  <si>
    <t>2021 https://www.statbank.dk/statbank5a/SelectVarVal/saveselections.asp</t>
  </si>
  <si>
    <t>https://www.statbank.dk/statbank5a/SelectVarVal/saveselections.asp</t>
  </si>
  <si>
    <t>region UDA5</t>
  </si>
  <si>
    <t>Nord-Ouest</t>
  </si>
  <si>
    <t>Nord-Est</t>
  </si>
  <si>
    <t>Sud-Ouest</t>
  </si>
  <si>
    <t>Sud-Est</t>
  </si>
  <si>
    <t>size of town</t>
  </si>
  <si>
    <t>rural</t>
  </si>
  <si>
    <t>Paris</t>
  </si>
  <si>
    <t>2019 https://www.insee.fr/fr/statistiques/2381478</t>
  </si>
  <si>
    <t>2020 https://www.insee.fr/fr/statistiques/4277596?sommaire=4318291&amp;q=population+par+r%C3%A9gion</t>
  </si>
  <si>
    <t>2013 own calculation https://www.insee.fr/fr/statistiques/1280970</t>
  </si>
  <si>
    <t>2019 https://www.insee.fr/fr/statistiques/1892088?sommaire=1912926</t>
  </si>
  <si>
    <t>2019 https://www.insee.fr/fr/statistiques/2381474</t>
  </si>
  <si>
    <t>Source quota diploma</t>
  </si>
  <si>
    <t>2016 https://www.insee.fr/fr/statistiques/4175605?sommaire=4175611&amp;geo=METRO-1</t>
  </si>
  <si>
    <t>2019 https://www.census.gov/quickfacts/fact/table/US/IPE120220</t>
  </si>
  <si>
    <t>2010 Rural-Urban Commuting Area Codes https://www.census.gov/quickfacts/fact/table/US/IPE120220</t>
  </si>
  <si>
    <t xml:space="preserve">2019 https://www.census.gov/popclock/print.php?component=growth&amp;image=//www.census.gov/popclock/share/images/growth_1561939200.png </t>
  </si>
  <si>
    <t>2019 https://www.census.gov/data/tables/time-series/demo/popest/2010s-national-detail.html</t>
  </si>
  <si>
    <t>2019 https://data.census.gov/cedsci/table?q=United%20States&amp;g=0100000US&amp;tid=ACSDP1Y2019.DP05</t>
  </si>
  <si>
    <t>South Africa</t>
  </si>
  <si>
    <t>R</t>
  </si>
  <si>
    <t>600k</t>
  </si>
  <si>
    <t>305k</t>
  </si>
  <si>
    <t>ind, year?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</si>
  <si>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</si>
  <si>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carbon price ($/tCO2)</t>
  </si>
  <si>
    <t>Marron &amp; Maag (2018) https://papers.ssrn.com/sol3/papers.cfm?abstract_id=3305124</t>
  </si>
  <si>
    <t>Marron &amp; Maag (2018) https://media.rff.org/documents/RFF-IB-18-07-rev_4evu2ny.pdf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</si>
  <si>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</si>
  <si>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agriculture https://www.int-res.com/abstracts/cr/v15/n3/p221-238/</t>
  </si>
  <si>
    <t>fossil CO2 emissions (2017, MtCO2) source: https://publications.jrc.ec.europa.eu/repository/handle/JRC113738 https://en.wikipedia.org/wiki/List_of_countries_by_carbon_dioxide_emissions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</si>
  <si>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</si>
  <si>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vid_pol, 17.2, 18.3, 18.4 gasoline price increase (LCU per liter, except US per gallon)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</si>
  <si>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</si>
  <si>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</si>
  <si>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Simply multiply carbon tax by an average of gasoline and diesel emission factor (see A46)</t>
  </si>
  <si>
    <t>17k</t>
  </si>
  <si>
    <t>25k</t>
  </si>
  <si>
    <t>37,5k</t>
  </si>
  <si>
    <t>&lt;17k</t>
  </si>
  <si>
    <t>17-25k</t>
  </si>
  <si>
    <t>25-37.5k</t>
  </si>
  <si>
    <t>&gt;37.5k</t>
  </si>
  <si>
    <t>Hovedstaden</t>
  </si>
  <si>
    <t>Midtjylland</t>
  </si>
  <si>
    <t>Nordjylland</t>
  </si>
  <si>
    <t>Sjælland</t>
  </si>
  <si>
    <t>Syddanmark</t>
  </si>
  <si>
    <t>Assume 20% emission reduction as in the US from Marron &amp; Maag (2018), that 80% is rebated to each adult equally  (the rest compensates e.g. decrease in energy/VAT tax revenues), see A43:48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</si>
  <si>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</si>
  <si>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Winner (if Yes, how much donates)</t>
  </si>
  <si>
    <t>No</t>
  </si>
  <si>
    <t>Yes</t>
  </si>
  <si>
    <t>Voice</t>
  </si>
  <si>
    <t xml:space="preserve">Jeffrey Davenport, </t>
  </si>
  <si>
    <t>Tania Maj Roden, 350$</t>
  </si>
  <si>
    <t>Rasmus Meldgaard Harboe, 50$</t>
  </si>
  <si>
    <t>Videos</t>
  </si>
  <si>
    <t>Marco Barneto hello@marcobarneto.com 100€ per country (250$ for US)</t>
  </si>
  <si>
    <t>urbanity</t>
  </si>
  <si>
    <t>town &lt;20k</t>
  </si>
  <si>
    <t>town &gt;20k</t>
  </si>
  <si>
    <t>30k</t>
  </si>
  <si>
    <t>2.5k</t>
  </si>
  <si>
    <t>700k</t>
  </si>
  <si>
    <t>15k</t>
  </si>
  <si>
    <t>80k</t>
  </si>
  <si>
    <t>heat mortality https://www.ep.epiprev.it/articoli_scientifici/sull-incremento-della-mortalita-in-italia-nel-2015-analisi-della-mortalita-stagionale-nelle-32-citta-del-sistema-di-sorveglianza-della-mortalita-giornaliera</t>
  </si>
  <si>
    <t>40k deaths air pollution Lelieveld et al. (2019)</t>
  </si>
  <si>
    <t>hot days http://apps.who.int/iris/bitstream/handle/10665/260380/WHO-FWC-PHE-EPE-15.52-eng.pdf;jsessionid=A1FBCAD8C8DA772B36BBF57ADB077632?sequence=1</t>
  </si>
  <si>
    <t>river, agriculture https://www.cmcc.it/analisi-del-rischio-i-cambiamenti-climatici-in-italia</t>
  </si>
  <si>
    <t>Venice flooded https://osf.io/preprints/marxiv/73a25/download</t>
  </si>
  <si>
    <t>survey URL</t>
  </si>
  <si>
    <t>?Q_Language=HI</t>
  </si>
  <si>
    <t>?Q_Language=EN-GB</t>
  </si>
  <si>
    <t>?Q_Language=ES-ES</t>
  </si>
  <si>
    <t>?Q_Language=DE</t>
  </si>
  <si>
    <t>?Q_Language=IT</t>
  </si>
  <si>
    <t>?Q_Language=JA</t>
  </si>
  <si>
    <t>?Q_Language=ID</t>
  </si>
  <si>
    <t>?Q_Language=PL</t>
  </si>
  <si>
    <t>https://lse.eu.qualtrics.com/jfe/form/SV_5v9eDh0dy0NcfBA</t>
  </si>
  <si>
    <t xml:space="preserve"> https://lse.eu.qualtrics.com/jfe/form/SV_bNG9fVgXBr0LX4W?Q_Language=DA</t>
  </si>
  <si>
    <t>150£ per year</t>
  </si>
  <si>
    <t>10 cents per liter</t>
  </si>
  <si>
    <t>160€ par an</t>
  </si>
  <si>
    <t>8 cents per liter</t>
  </si>
  <si>
    <t>180€ per year</t>
  </si>
  <si>
    <t>170€ per year</t>
  </si>
  <si>
    <t>12¥ per liter</t>
  </si>
  <si>
    <t>40 000¥ per year</t>
  </si>
  <si>
    <t>1600 Rp per liter</t>
  </si>
  <si>
    <t>1.2 million Rp per year</t>
  </si>
  <si>
    <t>40 cents per liter</t>
  </si>
  <si>
    <t>1100 zł per year</t>
  </si>
  <si>
    <t>1.6 R per liter</t>
  </si>
  <si>
    <t>5000 R per year</t>
  </si>
  <si>
    <t>1 million</t>
  </si>
  <si>
    <t>Europea/State</t>
  </si>
  <si>
    <t>National</t>
  </si>
  <si>
    <t>ASEAN/National</t>
  </si>
  <si>
    <t>Continental/National</t>
  </si>
  <si>
    <t>https://www.carbonfootprint.com/docs/2020_09_emissions_factors_sources_for_2020_electricity_v14.pdf</t>
  </si>
  <si>
    <t>Electricity emission factor (kgCO2e/kWh)</t>
  </si>
  <si>
    <t>by State</t>
  </si>
  <si>
    <t>https://global.jr-central.co.jp/en/company/about_shinkansen/</t>
  </si>
  <si>
    <t>bus</t>
  </si>
  <si>
    <t>train?</t>
  </si>
  <si>
    <t>4, Cape Town - Johannesburg, 1400 km</t>
  </si>
  <si>
    <t>https://wri-indonesia.org/en/blog/personalizing-carbon-footprint-our-travels-mobilize-climate-action</t>
  </si>
  <si>
    <t>2, Surabaya - Jakarta, 800 km</t>
  </si>
  <si>
    <t>2, Munich - Hamburg, 800 km</t>
  </si>
  <si>
    <t>2, Fukuoka - Tokyo, 1100 km</t>
  </si>
  <si>
    <t>https://indiaghgp.org/sites/default/files/Rail%20Transport%20Emission.pdf</t>
  </si>
  <si>
    <t>2, Mumbai - Bangaluru, 1000 km (or Mumbai - Ahmedabad, 500 km)</t>
  </si>
  <si>
    <t>equiv, year?</t>
  </si>
  <si>
    <t>2.14 income Q1 (rounded)</t>
  </si>
  <si>
    <t>2.14 income Q2 (rounded)</t>
  </si>
  <si>
    <t>2.14 income Q3 (rounded)</t>
  </si>
  <si>
    <t>2.14 yearly income Q1</t>
  </si>
  <si>
    <t>2.14 yearly income Q2</t>
  </si>
  <si>
    <t>2.14 yearly income Q3</t>
  </si>
  <si>
    <t>equiv, month</t>
  </si>
  <si>
    <t>2011 LIS equivalised cash disposable income, inflated to 2019 using nominal GDP growth https://data.worldbank.org/indicator/NY.GDP.MKTP.CN.AD?locations=IN</t>
  </si>
  <si>
    <t>2013 LIS equivalised cash disposable income, inflated to 2019 using nominal GDP growth https://data.worldbank.org/indicator/NY.GDP.MKTP.CN.AD?locations=JP</t>
  </si>
  <si>
    <t>2017 LIS equivalised cash disposable income, inflated to 2019 using nominal GDP growth https://data.worldbank.org/indicator/NY.GDP.MKTP.CN.AD?locations=ZA</t>
  </si>
  <si>
    <t>ind pre-tax, month</t>
  </si>
  <si>
    <t>22k</t>
  </si>
  <si>
    <t>13.5k</t>
  </si>
  <si>
    <t>29k</t>
  </si>
  <si>
    <t>23.5k</t>
  </si>
  <si>
    <t>32k</t>
  </si>
  <si>
    <t>11.5k</t>
  </si>
  <si>
    <t>24.5k</t>
  </si>
  <si>
    <t>25M</t>
  </si>
  <si>
    <t>45M</t>
  </si>
  <si>
    <t>77M</t>
  </si>
  <si>
    <t>2.9M</t>
  </si>
  <si>
    <t>4.25M</t>
  </si>
  <si>
    <t>6.25M</t>
  </si>
  <si>
    <t>42k</t>
  </si>
  <si>
    <t>46k</t>
  </si>
  <si>
    <t>115k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</si>
  <si>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</si>
  <si>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Eurostat equivalised disposable income, cf. inc_quartiles in preparation.R (wid.world gives: 1350/2200/3800) https://ec.europa.eu/eurostat/estat-navtree-portlet-prod/BulkDownloadListing?file=data/ilc_di01.tsv.gz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</si>
  <si>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</si>
  <si>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</si>
  <si>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2019 Eurostat equivalised disposable income, cf. inc_quartiles in preparation.R https://ec.europa.eu/eurostat/estat-navtree-portlet-prod/BulkDownloadListing?file=data/ilc_di01.tsv.gz</t>
  </si>
  <si>
    <t>2019 individual pre-tax income wid.world</t>
  </si>
  <si>
    <t>2k</t>
  </si>
  <si>
    <t>110k</t>
  </si>
  <si>
    <t>320k</t>
  </si>
  <si>
    <t>160k</t>
  </si>
  <si>
    <t>5M</t>
  </si>
  <si>
    <t>20M</t>
  </si>
  <si>
    <t>35M</t>
  </si>
  <si>
    <t>2.16 household wealth q1</t>
  </si>
  <si>
    <t>2.16 household wealth q2</t>
  </si>
  <si>
    <t>2.16 household wealth q3</t>
  </si>
  <si>
    <t>2.16 household wealth q4</t>
  </si>
  <si>
    <t>80M</t>
  </si>
  <si>
    <t>160M</t>
  </si>
  <si>
    <t>500M</t>
  </si>
  <si>
    <t>2018 Insee https://www.insee.fr/fr/statistiques/2388851</t>
  </si>
  <si>
    <t>2019 https://www.statbank.dk/statbank5a/selectvarval/define.asp?PLanguage=1&amp;subword=tabsel&amp;MainTable=FORMUE3&amp;PXSId=194386&amp;tablestyle=&amp;ST=SD&amp;buttons=0</t>
  </si>
  <si>
    <t>2012 wid.world inflated approximately</t>
  </si>
  <si>
    <t>2017 LIS inflated approximately</t>
  </si>
  <si>
    <t>2014 LIS inflated approximately</t>
  </si>
  <si>
    <t>2016 LIS inflated approximately</t>
  </si>
  <si>
    <t>Approximated using French values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</si>
  <si>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</si>
  <si>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Approximated using Slovakian and Estonia values from LIS</t>
  </si>
  <si>
    <t>2017 LIS lisdatacenter.org</t>
  </si>
  <si>
    <t>Greater London</t>
  </si>
  <si>
    <t>Script done</t>
  </si>
  <si>
    <t>Translated</t>
  </si>
  <si>
    <t>Recorded</t>
  </si>
  <si>
    <t>Survey launched</t>
  </si>
  <si>
    <t>x</t>
  </si>
  <si>
    <t>~</t>
  </si>
  <si>
    <t>Jacques Denigelles, 90$</t>
  </si>
  <si>
    <t>Venice flooded https://tandf.figshare.com/articles/dataset/Flooding_scenario_for_four_Italian_coastal_plains_using_three_relative_sea_level_rise_models/5766519/1?file=10160808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</si>
  <si>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</si>
  <si>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</si>
  <si>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</si>
  <si>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</si>
  <si>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>https://core.ac.uk/download/pdf/6261529.pdf</t>
  </si>
  <si>
    <t>https://www.preventionweb.net/files/11490_oiclimatechangesouthafrica1.pdf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</si>
  <si>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</si>
  <si>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</si>
  <si>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https://databank.worldbank.org/data/download/poverty/33EF03BB-9722-4AE2-ABC7-AA2972D68AFE/Global_POVEQ_IDN.pdf</t>
  </si>
  <si>
    <t>https://en.wikipedia.org/wiki/Climate_change_in_South_Africa#Impacts_on_people</t>
  </si>
  <si>
    <t>https://features.japantimes.co.jp/climate-crisis-2030/</t>
  </si>
  <si>
    <t>https://www.env.go.jp/earth/tekiou/pamph2018_full_Eng.pdf</t>
  </si>
  <si>
    <t>https://www.lifegate.com/typhoons-climate-change-japan</t>
  </si>
  <si>
    <t>https://www.wwf.or.jp/activities/lib/pdf_climate/environment/WWF_NipponChanges_lores.pdf</t>
  </si>
  <si>
    <t>https://ourworld.unu.edu/en/japan-examines-costs-of-climate-change</t>
  </si>
  <si>
    <t>https://scienceinpoland.pap.pl/en/news/news%2C31836%2Cexpert-climate-change-poland-extremely-warm-summers-and-grey-rainy-winters.html</t>
  </si>
  <si>
    <t>https://www.climatechangepost.com/poland/agriculture-and-horticulture/</t>
  </si>
  <si>
    <t>https://www.researchgate.net/publication/46574490_Climate_Change_and_its_Effect_on_Agriculture_Water_Resources_and_Human_Health_Sectors_in_Poland</t>
  </si>
  <si>
    <t>https://onlinelibrary.wiley.com/doi/pdf/10.1002/wcc.175?casa_token=gqogIeHWYJkAAAAA:xONtVAat1l-I1LNXj7bekBYJSPSx4YNXHUeQ7A8PlRRAUOr1WpqZ-yqRJoK4dj0mrNTVZSb_VALZ5srE</t>
  </si>
  <si>
    <t>https://link.springer.com/article/10.1007/s11600-018-0220-4#Sec18</t>
  </si>
  <si>
    <t>https://core.ac.uk/download/pdf/29243736.pdf</t>
  </si>
  <si>
    <t>https://www.government.nl/binaries/government/documents/publications/2019/02/05/climate-change-profiles/Indonesia.pdf</t>
  </si>
  <si>
    <t>Jakarta floodings https://www.nytimes.com/2020/01/02/world/asia/indonesia-jakarta-rain-floods.html?auth=link-dismiss-google1tap</t>
  </si>
  <si>
    <t>https://www.nature.com/articles/s41467-019-12808-z</t>
  </si>
  <si>
    <t>Gurpreet Kaur, 120$</t>
  </si>
  <si>
    <t>Translation (8000 words)</t>
  </si>
  <si>
    <t>vid_cli Deaths from air pollution (Lelieveld et al. 2019)</t>
  </si>
  <si>
    <t>vid_cli M people permanently flooded in 2100 RCP8.5 (Kulp &amp; Strauss, 2019 https://www.nature.com/articles/s41467-019-12808-z)</t>
  </si>
  <si>
    <t>Price Respondi (k£)</t>
  </si>
  <si>
    <t>China</t>
  </si>
  <si>
    <t>Price Respondi after negotiation (€)</t>
  </si>
  <si>
    <t>water scarcity http://apps.who.int/iris/bitstream/handle/10665/260380/WHO-FWC-PHE-EPE-15.52-eng.pdf;jsessionid=A1FBCAD8C8DA772B36BBF57ADB077632?sequence=1</t>
  </si>
  <si>
    <t>Herwita Titi Sekartaji, 80$</t>
  </si>
  <si>
    <t>Megumi S, 240$</t>
  </si>
  <si>
    <t>Video done</t>
  </si>
  <si>
    <t>Climate Video</t>
  </si>
  <si>
    <t>Policy Video</t>
  </si>
  <si>
    <t>https://lse.eu.qualtrics.com/WRQualtricsControlPanel/File.php?F=F_dgnXQoN84vq2YXs</t>
  </si>
  <si>
    <t>https://lse.eu.qualtrics.com/WRQualtricsControlPanel/File.php?F=F_39OXHJ3gT6p4U74</t>
  </si>
  <si>
    <t>https://lse.eu.qualtrics.com/WRQualtricsControlPanel/File.php?F=F_9YacInO3B7TVcGy</t>
  </si>
  <si>
    <t>https://lse.eu.qualtrics.com/WRQualtricsControlPanel/File.php?F=F_6F2lryw2eo1eQNU</t>
  </si>
  <si>
    <t>https://lse.eu.qualtrics.com/WRQualtricsControlPanel/File.php?F=F_cT8837yWYLScqLs</t>
  </si>
  <si>
    <t>https://lse.eu.qualtrics.com/WRQualtricsControlPanel/File.php?F=F_bj5mFN15bJnlUbk</t>
  </si>
  <si>
    <t>20-99k</t>
  </si>
  <si>
    <t>&gt;100k</t>
  </si>
  <si>
    <t>2-20k</t>
  </si>
  <si>
    <t xml:space="preserve"> https://lse.eu.qualtrics.com/jfe/form/SV_4HqYpRHQw5LpNYO?Q_Language=FR</t>
  </si>
  <si>
    <t>Grand Pôle</t>
  </si>
  <si>
    <t>Couronne GP</t>
  </si>
  <si>
    <t>Autre</t>
  </si>
  <si>
    <t>urban category</t>
  </si>
  <si>
    <t>Unused:</t>
  </si>
  <si>
    <t>200/600/1,000/2,000/6,000/10,000/20,000</t>
  </si>
  <si>
    <t>Quota after bug</t>
  </si>
  <si>
    <t>Bug</t>
  </si>
  <si>
    <t>Quota (+10%) after bug</t>
  </si>
  <si>
    <t>Hindi: Kamran Ahmad, 90$, +971551976410; English: Melroy Furtado, 100$</t>
  </si>
  <si>
    <t>Massimo 100$</t>
  </si>
  <si>
    <t>~ Ana</t>
  </si>
  <si>
    <t>2.4, 2.5 urban definition</t>
  </si>
  <si>
    <t>core metropolitan, from zipcode</t>
  </si>
  <si>
    <t>grand pôle, from zipcode</t>
  </si>
  <si>
    <t>&gt;20k, from subjective answer</t>
  </si>
  <si>
    <t>Brazil</t>
  </si>
  <si>
    <t>Mexico</t>
  </si>
  <si>
    <t>South Korea</t>
  </si>
  <si>
    <t>adult population (2020) cf. data/future_population… source: UN https://population.un.org/wpp/Download/Files/1_Indicators%20(Standard)/EXCEL_FILES/1_Population/WPP2019_POP_F15_1_ANNUAL_POPULATION_BY_AGE_BOTH_SEXES.xlsx</t>
  </si>
  <si>
    <t>Ayanda Z., 40$</t>
  </si>
  <si>
    <t>Katarzyna Smiejczak, 80$ (Anna Wosik, 20$)</t>
  </si>
  <si>
    <t>Quotas</t>
  </si>
  <si>
    <t>David Parry, 75$</t>
  </si>
  <si>
    <t>Buhle Shibodze, 60$</t>
  </si>
  <si>
    <t>R$</t>
  </si>
  <si>
    <t>₩</t>
  </si>
  <si>
    <t>12,480k</t>
  </si>
  <si>
    <t>1,445k</t>
  </si>
  <si>
    <t>815k</t>
  </si>
  <si>
    <t>1,110k</t>
  </si>
  <si>
    <t>3,375k</t>
  </si>
  <si>
    <t>825k</t>
  </si>
  <si>
    <t>550k</t>
  </si>
  <si>
    <t>12.5M</t>
  </si>
  <si>
    <t>800k</t>
  </si>
  <si>
    <t>3.5M</t>
  </si>
  <si>
    <t>https://www.thelancet.com/article/S2542-5196(20)30161-3/fulltext</t>
  </si>
  <si>
    <t>https://earth.org/tackling-chinas-water-shortage-crisis/</t>
  </si>
  <si>
    <t>https://link.springer.com/article/10.1023/A:1006351126446</t>
  </si>
  <si>
    <t>https://www.nature.com/articles/s41467-018-05252-y</t>
  </si>
  <si>
    <t>https://www.ifpri.org/blog/climate-change-adversely-impact-grain-production-china-2030#:~:text=In%20China%2C%20climate%20change%2Ddriven,scenarios%20in%20our%20research%20reveals.</t>
  </si>
  <si>
    <t>https://www.bloomberg.com/news/articles/2020-08-27/china-is-heating-up-faster-than-the-global-average-data-shows?sref=vxSzVDP0</t>
  </si>
  <si>
    <t>0.7 ¥ per liter</t>
  </si>
  <si>
    <t>0.6 R$ per liter</t>
  </si>
  <si>
    <t>2.2$ per liter</t>
  </si>
  <si>
    <t>125 ₩ per liter</t>
  </si>
  <si>
    <t>1800 ¥ per year</t>
  </si>
  <si>
    <t>450 R$ per year</t>
  </si>
  <si>
    <t>3100$ per year</t>
  </si>
  <si>
    <t>500K₩ per year</t>
  </si>
  <si>
    <t>Men/Female Ratio</t>
  </si>
  <si>
    <t>~ Tomasz</t>
  </si>
  <si>
    <t>~ Megumi</t>
  </si>
  <si>
    <t>~ Gurpreet</t>
  </si>
  <si>
    <t>~ Marco</t>
  </si>
  <si>
    <t>2.5 town size 0 (discarded in e$urbanity)</t>
  </si>
  <si>
    <t>160€ per year</t>
  </si>
  <si>
    <t>coverage</t>
  </si>
  <si>
    <t>all</t>
  </si>
  <si>
    <t>tr &amp;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</si>
</sst>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Border="0" applyAlignment="0"/>
  </cellStyleXfs>
  <cellXfs count="42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horizontal="right" wrapText="1"/>
    </xf>
    <xf numFmtId="164" fontId="0" fillId="0" borderId="0" xfId="0" applyNumberFormat="1" applyFont="1"/>
    <xf numFmtId="1" fontId="5" fillId="0" borderId="1" xfId="0" applyNumberFormat="1" applyFont="1" applyBorder="1" applyAlignment="1">
      <alignment horizontal="right" wrapText="1"/>
    </xf>
    <xf numFmtId="0" fontId="5" fillId="0" borderId="0" xfId="0" applyFont="1" applyBorder="1" applyAlignment="1">
      <alignment wrapText="1"/>
    </xf>
    <xf numFmtId="1" fontId="5" fillId="0" borderId="0" xfId="0" applyNumberFormat="1" applyFont="1" applyBorder="1" applyAlignment="1">
      <alignment horizontal="right" wrapText="1"/>
    </xf>
    <xf numFmtId="164" fontId="5" fillId="0" borderId="0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2" fontId="0" fillId="0" borderId="0" xfId="0" applyNumberFormat="1"/>
    <xf numFmtId="0" fontId="4" fillId="0" borderId="0" xfId="1"/>
    <xf numFmtId="0" fontId="7" fillId="0" borderId="0" xfId="1" applyFont="1" applyFill="1" applyProtection="1"/>
    <xf numFmtId="3" fontId="8" fillId="0" borderId="0" xfId="0" applyNumberFormat="1" applyFont="1"/>
    <xf numFmtId="0" fontId="9" fillId="0" borderId="0" xfId="0" applyFont="1"/>
    <xf numFmtId="164" fontId="0" fillId="0" borderId="0" xfId="0" applyNumberFormat="1"/>
    <xf numFmtId="1" fontId="10" fillId="0" borderId="0" xfId="0" applyNumberFormat="1" applyFont="1" applyBorder="1" applyAlignment="1">
      <alignment horizontal="right" wrapText="1"/>
    </xf>
    <xf numFmtId="0" fontId="11" fillId="0" borderId="0" xfId="0" applyFont="1"/>
    <xf numFmtId="164" fontId="8" fillId="0" borderId="0" xfId="1" applyNumberFormat="1" applyFont="1"/>
    <xf numFmtId="3" fontId="0" fillId="0" borderId="0" xfId="0" applyNumberFormat="1"/>
    <xf numFmtId="0" fontId="12" fillId="0" borderId="0" xfId="0" applyFont="1"/>
    <xf numFmtId="165" fontId="0" fillId="0" borderId="0" xfId="0" applyNumberFormat="1"/>
    <xf numFmtId="1" fontId="0" fillId="0" borderId="0" xfId="0" applyNumberFormat="1" applyFont="1"/>
    <xf numFmtId="3" fontId="13" fillId="0" borderId="0" xfId="0" applyNumberFormat="1" applyFont="1"/>
    <xf numFmtId="1" fontId="1" fillId="0" borderId="0" xfId="0" applyNumberFormat="1" applyFont="1"/>
    <xf numFmtId="166" fontId="5" fillId="0" borderId="0" xfId="0" applyNumberFormat="1" applyFont="1" applyBorder="1" applyAlignment="1">
      <alignment horizontal="right" wrapText="1"/>
    </xf>
    <xf numFmtId="166" fontId="5" fillId="0" borderId="0" xfId="0" applyNumberFormat="1" applyFont="1" applyFill="1" applyBorder="1" applyAlignment="1">
      <alignment horizontal="right" wrapText="1"/>
    </xf>
    <xf numFmtId="0" fontId="8" fillId="0" borderId="0" xfId="0" applyFont="1"/>
    <xf numFmtId="0" fontId="0" fillId="0" borderId="0" xfId="0" applyFont="1" applyBorder="1"/>
    <xf numFmtId="164" fontId="0" fillId="0" borderId="0" xfId="0" applyNumberFormat="1" applyFont="1" applyBorder="1"/>
    <xf numFmtId="0" fontId="0" fillId="0" borderId="0" xfId="0" applyBorder="1"/>
    <xf numFmtId="164" fontId="5" fillId="0" borderId="0" xfId="0" applyNumberFormat="1" applyFont="1" applyBorder="1" applyAlignment="1">
      <alignment wrapText="1"/>
    </xf>
    <xf numFmtId="0" fontId="11" fillId="0" borderId="0" xfId="0" applyFont="1" applyBorder="1"/>
    <xf numFmtId="164" fontId="0" fillId="0" borderId="0" xfId="0" applyNumberFormat="1" applyBorder="1"/>
    <xf numFmtId="1" fontId="0" fillId="0" borderId="0" xfId="0" applyNumberFormat="1" applyBorder="1"/>
  </cellXfs>
  <cellStyles count="3">
    <cellStyle name="Hyperlink" xfId="1" builtinId="8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rs.usda.gov/data-products/rural-urban-commuting-area-codes/" TargetMode="External"/><Relationship Id="rId1" Type="http://schemas.openxmlformats.org/officeDocument/2006/relationships/hyperlink" Target="https://data.census.gov/cedsci/table?q=United%20States&amp;g=0100000US&amp;tid=ACSDP1Y2019.DP0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"/>
  <sheetViews>
    <sheetView workbookViewId="0">
      <pane ySplit="1" topLeftCell="A2" activePane="bottomLeft" state="frozen"/>
      <selection pane="bottomLeft" activeCell="N76" sqref="N76"/>
    </sheetView>
  </sheetViews>
  <sheetFormatPr baseColWidth="10" defaultColWidth="8.83203125" defaultRowHeight="15"/>
  <cols>
    <col min="1" max="1" width="40.6640625" customWidth="1"/>
    <col min="2" max="2" width="9.6640625" customWidth="1"/>
    <col min="3" max="7" width="8.83203125" bestFit="1" customWidth="1"/>
    <col min="8" max="11" width="9.6640625" customWidth="1"/>
    <col min="12" max="12" width="11.33203125" bestFit="1" customWidth="1"/>
    <col min="13" max="13" width="9.5" customWidth="1"/>
    <col min="17" max="17" width="13.6640625" customWidth="1"/>
  </cols>
  <sheetData>
    <row r="1" spans="1:17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8</v>
      </c>
      <c r="G1" s="1" t="s">
        <v>17</v>
      </c>
      <c r="H1" s="1" t="s">
        <v>6</v>
      </c>
      <c r="I1" s="1" t="s">
        <v>5</v>
      </c>
      <c r="J1" s="1" t="s">
        <v>9</v>
      </c>
      <c r="K1" s="1" t="s">
        <v>4</v>
      </c>
      <c r="L1" s="1" t="s">
        <v>10</v>
      </c>
      <c r="M1" s="1" t="s">
        <v>300</v>
      </c>
      <c r="N1" s="1" t="s">
        <v>492</v>
      </c>
      <c r="O1" s="1" t="s">
        <v>526</v>
      </c>
      <c r="P1" s="1" t="s">
        <v>527</v>
      </c>
      <c r="Q1" s="1" t="s">
        <v>528</v>
      </c>
    </row>
    <row r="2" spans="1:17">
      <c r="A2" s="1" t="s">
        <v>455</v>
      </c>
      <c r="B2" s="1" t="s">
        <v>459</v>
      </c>
      <c r="C2" s="1" t="s">
        <v>459</v>
      </c>
      <c r="D2" s="1" t="s">
        <v>459</v>
      </c>
      <c r="E2" s="1" t="s">
        <v>459</v>
      </c>
      <c r="F2" s="1" t="s">
        <v>459</v>
      </c>
      <c r="G2" s="1" t="s">
        <v>459</v>
      </c>
      <c r="H2" s="1" t="s">
        <v>459</v>
      </c>
      <c r="I2" s="1" t="s">
        <v>459</v>
      </c>
      <c r="J2" s="1" t="s">
        <v>459</v>
      </c>
      <c r="K2" s="1" t="s">
        <v>459</v>
      </c>
      <c r="L2" s="1" t="s">
        <v>459</v>
      </c>
      <c r="M2" s="1" t="s">
        <v>459</v>
      </c>
    </row>
    <row r="3" spans="1:17">
      <c r="A3" s="1" t="s">
        <v>456</v>
      </c>
      <c r="B3" s="1" t="s">
        <v>459</v>
      </c>
      <c r="C3" s="1" t="s">
        <v>459</v>
      </c>
      <c r="D3" s="1" t="s">
        <v>459</v>
      </c>
      <c r="E3" s="1"/>
      <c r="F3" s="1" t="s">
        <v>459</v>
      </c>
      <c r="G3" s="1" t="s">
        <v>562</v>
      </c>
      <c r="H3" s="1" t="s">
        <v>460</v>
      </c>
      <c r="I3" s="1" t="s">
        <v>459</v>
      </c>
      <c r="J3" s="1" t="s">
        <v>563</v>
      </c>
      <c r="K3" s="1" t="s">
        <v>564</v>
      </c>
      <c r="L3" s="1" t="s">
        <v>521</v>
      </c>
      <c r="M3" s="1" t="s">
        <v>459</v>
      </c>
    </row>
    <row r="4" spans="1:17">
      <c r="A4" s="1" t="s">
        <v>457</v>
      </c>
      <c r="B4" s="1" t="s">
        <v>459</v>
      </c>
      <c r="C4" s="1" t="s">
        <v>459</v>
      </c>
      <c r="D4" s="1" t="s">
        <v>459</v>
      </c>
      <c r="E4" s="1"/>
      <c r="F4" s="1" t="s">
        <v>459</v>
      </c>
      <c r="G4" s="1"/>
      <c r="H4" s="1"/>
      <c r="I4" s="1" t="s">
        <v>459</v>
      </c>
      <c r="J4" s="1"/>
      <c r="K4" s="1" t="s">
        <v>459</v>
      </c>
      <c r="L4" s="1"/>
      <c r="M4" s="1" t="s">
        <v>521</v>
      </c>
    </row>
    <row r="5" spans="1:17">
      <c r="A5" s="1" t="s">
        <v>497</v>
      </c>
      <c r="B5" s="1" t="s">
        <v>459</v>
      </c>
      <c r="C5" s="1" t="s">
        <v>459</v>
      </c>
      <c r="D5" s="1" t="s">
        <v>459</v>
      </c>
      <c r="E5" s="1"/>
      <c r="F5" s="1" t="s">
        <v>459</v>
      </c>
      <c r="G5" s="1"/>
      <c r="H5" s="1"/>
      <c r="I5" s="1" t="s">
        <v>565</v>
      </c>
      <c r="J5" s="1"/>
      <c r="K5" s="1"/>
      <c r="L5" s="1"/>
      <c r="M5" s="1"/>
    </row>
    <row r="6" spans="1:17">
      <c r="A6" s="1" t="s">
        <v>458</v>
      </c>
      <c r="B6" s="1" t="s">
        <v>459</v>
      </c>
      <c r="C6" s="1" t="s">
        <v>459</v>
      </c>
      <c r="D6" s="1" t="s">
        <v>459</v>
      </c>
      <c r="E6" s="1"/>
      <c r="F6" s="1"/>
      <c r="G6" s="1"/>
      <c r="H6" s="1"/>
      <c r="I6" s="1"/>
      <c r="J6" s="1"/>
      <c r="K6" s="1"/>
      <c r="L6" s="1"/>
      <c r="M6" s="1"/>
    </row>
    <row r="7" spans="1:17">
      <c r="A7" s="1" t="s">
        <v>50</v>
      </c>
      <c r="B7" t="s">
        <v>11</v>
      </c>
      <c r="C7" t="s">
        <v>13</v>
      </c>
      <c r="D7" t="s">
        <v>12</v>
      </c>
      <c r="E7" t="s">
        <v>12</v>
      </c>
      <c r="F7" t="s">
        <v>12</v>
      </c>
      <c r="G7" t="s">
        <v>19</v>
      </c>
      <c r="H7" t="s">
        <v>12</v>
      </c>
      <c r="I7" t="s">
        <v>14</v>
      </c>
      <c r="J7" t="s">
        <v>16</v>
      </c>
      <c r="K7" s="1" t="s">
        <v>15</v>
      </c>
      <c r="L7" t="s">
        <v>18</v>
      </c>
      <c r="M7" t="s">
        <v>301</v>
      </c>
      <c r="N7" t="s">
        <v>16</v>
      </c>
      <c r="O7" t="s">
        <v>535</v>
      </c>
      <c r="P7" t="s">
        <v>11</v>
      </c>
      <c r="Q7" t="s">
        <v>536</v>
      </c>
    </row>
    <row r="8" spans="1:17">
      <c r="A8" s="1" t="s">
        <v>20</v>
      </c>
      <c r="B8">
        <v>1</v>
      </c>
      <c r="C8">
        <v>6.19</v>
      </c>
      <c r="D8">
        <v>0.83</v>
      </c>
      <c r="E8">
        <v>0.83</v>
      </c>
      <c r="F8">
        <v>0.83</v>
      </c>
      <c r="G8">
        <v>3.81</v>
      </c>
      <c r="H8">
        <v>0.83</v>
      </c>
      <c r="I8">
        <v>0.72</v>
      </c>
      <c r="J8">
        <v>109</v>
      </c>
      <c r="K8">
        <v>73.900000000000006</v>
      </c>
      <c r="L8">
        <v>14436</v>
      </c>
      <c r="M8">
        <v>14.37</v>
      </c>
      <c r="N8">
        <v>6.37</v>
      </c>
      <c r="O8">
        <v>5.23</v>
      </c>
      <c r="P8">
        <v>19.920000000000002</v>
      </c>
      <c r="Q8">
        <v>1113.8499999999999</v>
      </c>
    </row>
    <row r="9" spans="1:17">
      <c r="A9" s="2" t="s">
        <v>169</v>
      </c>
      <c r="B9" t="s">
        <v>167</v>
      </c>
      <c r="C9" t="s">
        <v>98</v>
      </c>
      <c r="D9" t="s">
        <v>153</v>
      </c>
      <c r="E9" t="s">
        <v>155</v>
      </c>
      <c r="F9" t="s">
        <v>157</v>
      </c>
      <c r="G9" t="s">
        <v>156</v>
      </c>
      <c r="H9" t="s">
        <v>165</v>
      </c>
      <c r="I9" t="s">
        <v>157</v>
      </c>
      <c r="J9" t="s">
        <v>159</v>
      </c>
      <c r="K9" t="s">
        <v>163</v>
      </c>
      <c r="L9" t="s">
        <v>161</v>
      </c>
      <c r="M9" t="s">
        <v>302</v>
      </c>
      <c r="N9" t="s">
        <v>537</v>
      </c>
      <c r="O9" t="s">
        <v>538</v>
      </c>
      <c r="P9" t="s">
        <v>539</v>
      </c>
      <c r="Q9" t="s">
        <v>540</v>
      </c>
    </row>
    <row r="10" spans="1:17">
      <c r="A10" s="2" t="s">
        <v>170</v>
      </c>
      <c r="B10" t="s">
        <v>168</v>
      </c>
      <c r="C10" t="s">
        <v>99</v>
      </c>
      <c r="D10" t="s">
        <v>154</v>
      </c>
      <c r="E10" t="s">
        <v>156</v>
      </c>
      <c r="F10" t="s">
        <v>158</v>
      </c>
      <c r="G10" t="s">
        <v>29</v>
      </c>
      <c r="H10" t="s">
        <v>166</v>
      </c>
      <c r="I10" t="s">
        <v>24</v>
      </c>
      <c r="J10" t="s">
        <v>160</v>
      </c>
      <c r="K10" t="s">
        <v>164</v>
      </c>
      <c r="L10" t="s">
        <v>162</v>
      </c>
      <c r="M10" t="s">
        <v>303</v>
      </c>
      <c r="N10" t="s">
        <v>541</v>
      </c>
      <c r="O10" t="s">
        <v>542</v>
      </c>
      <c r="P10" t="s">
        <v>543</v>
      </c>
      <c r="Q10" t="s">
        <v>154</v>
      </c>
    </row>
    <row r="11" spans="1:17">
      <c r="A11" s="1" t="s">
        <v>181</v>
      </c>
      <c r="B11" t="s">
        <v>171</v>
      </c>
      <c r="C11" t="s">
        <v>98</v>
      </c>
      <c r="D11" t="s">
        <v>97</v>
      </c>
      <c r="E11" t="s">
        <v>175</v>
      </c>
      <c r="F11" t="s">
        <v>157</v>
      </c>
      <c r="G11" t="s">
        <v>176</v>
      </c>
      <c r="H11" t="s">
        <v>95</v>
      </c>
      <c r="I11" t="s">
        <v>157</v>
      </c>
      <c r="J11" t="s">
        <v>178</v>
      </c>
      <c r="K11" t="s">
        <v>173</v>
      </c>
      <c r="L11" t="s">
        <v>179</v>
      </c>
      <c r="M11" t="s">
        <v>302</v>
      </c>
      <c r="N11" t="s">
        <v>544</v>
      </c>
      <c r="O11" t="s">
        <v>178</v>
      </c>
      <c r="P11" t="s">
        <v>545</v>
      </c>
      <c r="Q11" t="s">
        <v>175</v>
      </c>
    </row>
    <row r="12" spans="1:17">
      <c r="A12" s="1" t="s">
        <v>182</v>
      </c>
      <c r="B12" t="s">
        <v>96</v>
      </c>
      <c r="C12" t="s">
        <v>99</v>
      </c>
      <c r="D12" t="s">
        <v>172</v>
      </c>
      <c r="E12" t="s">
        <v>176</v>
      </c>
      <c r="F12" t="s">
        <v>177</v>
      </c>
      <c r="G12" t="s">
        <v>29</v>
      </c>
      <c r="H12" t="s">
        <v>177</v>
      </c>
      <c r="I12" t="s">
        <v>24</v>
      </c>
      <c r="J12" t="s">
        <v>24</v>
      </c>
      <c r="K12" t="s">
        <v>174</v>
      </c>
      <c r="L12" t="s">
        <v>180</v>
      </c>
      <c r="M12" t="s">
        <v>176</v>
      </c>
      <c r="N12" t="s">
        <v>546</v>
      </c>
      <c r="O12" t="s">
        <v>545</v>
      </c>
      <c r="P12" t="s">
        <v>543</v>
      </c>
      <c r="Q12" t="s">
        <v>172</v>
      </c>
    </row>
    <row r="13" spans="1:17">
      <c r="A13" s="1" t="s">
        <v>400</v>
      </c>
      <c r="B13" t="s">
        <v>88</v>
      </c>
      <c r="C13" s="2" t="s">
        <v>317</v>
      </c>
      <c r="D13">
        <v>16754</v>
      </c>
      <c r="E13">
        <v>16942</v>
      </c>
      <c r="F13">
        <v>11457</v>
      </c>
      <c r="G13">
        <v>21850</v>
      </c>
      <c r="H13">
        <v>9831</v>
      </c>
      <c r="I13">
        <v>13363</v>
      </c>
      <c r="J13">
        <v>2874373</v>
      </c>
      <c r="K13">
        <v>51737</v>
      </c>
      <c r="L13" s="20">
        <v>24931044</v>
      </c>
      <c r="M13">
        <v>19653</v>
      </c>
    </row>
    <row r="14" spans="1:17">
      <c r="A14" s="1" t="s">
        <v>401</v>
      </c>
      <c r="B14" t="s">
        <v>89</v>
      </c>
      <c r="C14" s="2" t="s">
        <v>318</v>
      </c>
      <c r="D14">
        <v>22562</v>
      </c>
      <c r="E14">
        <v>23515</v>
      </c>
      <c r="F14">
        <v>17165</v>
      </c>
      <c r="G14">
        <v>30360</v>
      </c>
      <c r="H14">
        <v>15015</v>
      </c>
      <c r="I14">
        <v>19625</v>
      </c>
      <c r="J14">
        <v>4250597</v>
      </c>
      <c r="K14">
        <v>94829</v>
      </c>
      <c r="L14" s="20">
        <v>44519620</v>
      </c>
      <c r="M14">
        <v>46042</v>
      </c>
    </row>
    <row r="15" spans="1:17">
      <c r="A15" s="1" t="s">
        <v>402</v>
      </c>
      <c r="B15" t="s">
        <v>90</v>
      </c>
      <c r="C15" s="2" t="s">
        <v>319</v>
      </c>
      <c r="D15">
        <v>29932</v>
      </c>
      <c r="E15">
        <v>31800</v>
      </c>
      <c r="F15">
        <v>24482</v>
      </c>
      <c r="G15">
        <v>41566</v>
      </c>
      <c r="H15">
        <v>22231</v>
      </c>
      <c r="I15">
        <v>28783</v>
      </c>
      <c r="J15">
        <v>6238189</v>
      </c>
      <c r="K15">
        <v>183065</v>
      </c>
      <c r="L15" s="20">
        <v>77223472</v>
      </c>
      <c r="M15">
        <v>113696</v>
      </c>
    </row>
    <row r="16" spans="1:17">
      <c r="A16" s="2" t="s">
        <v>72</v>
      </c>
      <c r="B16" t="s">
        <v>32</v>
      </c>
      <c r="C16" s="2" t="s">
        <v>407</v>
      </c>
      <c r="D16" t="s">
        <v>403</v>
      </c>
      <c r="E16" s="1" t="s">
        <v>396</v>
      </c>
      <c r="F16" s="1" t="s">
        <v>396</v>
      </c>
      <c r="G16" s="1" t="s">
        <v>396</v>
      </c>
      <c r="H16" s="1" t="s">
        <v>396</v>
      </c>
      <c r="I16" s="1" t="s">
        <v>396</v>
      </c>
      <c r="J16" s="1" t="s">
        <v>396</v>
      </c>
      <c r="K16" s="1" t="s">
        <v>396</v>
      </c>
      <c r="L16" s="1" t="s">
        <v>304</v>
      </c>
      <c r="M16" s="1" t="s">
        <v>396</v>
      </c>
    </row>
    <row r="17" spans="1:13">
      <c r="A17" s="1" t="s">
        <v>397</v>
      </c>
      <c r="B17" s="1" t="s">
        <v>88</v>
      </c>
      <c r="C17" s="1" t="s">
        <v>317</v>
      </c>
      <c r="D17" s="1">
        <v>1400</v>
      </c>
      <c r="E17" s="1" t="s">
        <v>317</v>
      </c>
      <c r="F17" s="1" t="s">
        <v>413</v>
      </c>
      <c r="G17" s="1" t="s">
        <v>408</v>
      </c>
      <c r="H17" s="1" t="s">
        <v>28</v>
      </c>
      <c r="I17" s="1" t="s">
        <v>409</v>
      </c>
      <c r="J17" s="1" t="s">
        <v>418</v>
      </c>
      <c r="K17" s="1" t="s">
        <v>23</v>
      </c>
      <c r="L17" s="30" t="s">
        <v>415</v>
      </c>
      <c r="M17" s="1" t="s">
        <v>22</v>
      </c>
    </row>
    <row r="18" spans="1:13">
      <c r="A18" s="1" t="s">
        <v>398</v>
      </c>
      <c r="B18" s="1" t="s">
        <v>89</v>
      </c>
      <c r="C18" s="1" t="s">
        <v>318</v>
      </c>
      <c r="D18" s="1">
        <v>1900</v>
      </c>
      <c r="E18" s="1" t="s">
        <v>411</v>
      </c>
      <c r="F18" s="1" t="s">
        <v>317</v>
      </c>
      <c r="G18" s="1" t="s">
        <v>343</v>
      </c>
      <c r="H18" s="1" t="s">
        <v>346</v>
      </c>
      <c r="I18" s="1" t="s">
        <v>22</v>
      </c>
      <c r="J18" s="1" t="s">
        <v>419</v>
      </c>
      <c r="K18" s="1" t="s">
        <v>29</v>
      </c>
      <c r="L18" s="30" t="s">
        <v>416</v>
      </c>
      <c r="M18" s="1" t="s">
        <v>422</v>
      </c>
    </row>
    <row r="19" spans="1:13">
      <c r="A19" s="1" t="s">
        <v>399</v>
      </c>
      <c r="B19" s="1" t="s">
        <v>90</v>
      </c>
      <c r="C19" s="1" t="s">
        <v>319</v>
      </c>
      <c r="D19" s="1">
        <v>2500</v>
      </c>
      <c r="E19" s="1" t="s">
        <v>412</v>
      </c>
      <c r="F19" s="1" t="s">
        <v>414</v>
      </c>
      <c r="G19" s="1" t="s">
        <v>421</v>
      </c>
      <c r="H19" s="1" t="s">
        <v>408</v>
      </c>
      <c r="I19" s="1" t="s">
        <v>410</v>
      </c>
      <c r="J19" s="1" t="s">
        <v>420</v>
      </c>
      <c r="K19" s="1" t="s">
        <v>172</v>
      </c>
      <c r="L19" s="30" t="s">
        <v>417</v>
      </c>
      <c r="M19" s="1" t="s">
        <v>423</v>
      </c>
    </row>
    <row r="20" spans="1:13">
      <c r="A20" s="1" t="s">
        <v>205</v>
      </c>
      <c r="B20">
        <v>0.2034</v>
      </c>
      <c r="C20" s="2">
        <v>0.26340000000000002</v>
      </c>
      <c r="D20">
        <v>0.25</v>
      </c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</row>
    <row r="21" spans="1:13">
      <c r="A21" s="1" t="s">
        <v>206</v>
      </c>
      <c r="B21">
        <v>0.23899999999999999</v>
      </c>
      <c r="C21" s="2">
        <v>0.2334</v>
      </c>
      <c r="D21">
        <v>0.25</v>
      </c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</row>
    <row r="22" spans="1:13">
      <c r="A22" s="1" t="s">
        <v>207</v>
      </c>
      <c r="B22">
        <v>0.24390000000000001</v>
      </c>
      <c r="C22" s="2">
        <v>0.2782</v>
      </c>
      <c r="D22">
        <v>0.25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</row>
    <row r="23" spans="1:13">
      <c r="A23" s="1" t="s">
        <v>208</v>
      </c>
      <c r="B23">
        <v>0.31369999999999998</v>
      </c>
      <c r="C23" s="2">
        <v>0.22489999999999999</v>
      </c>
      <c r="D23">
        <v>0.25</v>
      </c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</row>
    <row r="24" spans="1:13">
      <c r="A24" s="1" t="s">
        <v>437</v>
      </c>
      <c r="B24">
        <v>0</v>
      </c>
      <c r="C24" s="2" t="s">
        <v>318</v>
      </c>
      <c r="D24" t="s">
        <v>28</v>
      </c>
      <c r="E24" t="s">
        <v>430</v>
      </c>
      <c r="F24" t="s">
        <v>318</v>
      </c>
      <c r="G24" s="27" t="s">
        <v>99</v>
      </c>
      <c r="H24" t="s">
        <v>318</v>
      </c>
      <c r="I24" t="s">
        <v>318</v>
      </c>
      <c r="J24" s="27" t="s">
        <v>175</v>
      </c>
      <c r="K24" s="2" t="s">
        <v>172</v>
      </c>
      <c r="L24" s="27" t="s">
        <v>415</v>
      </c>
      <c r="M24">
        <v>0</v>
      </c>
    </row>
    <row r="25" spans="1:13">
      <c r="A25" s="1" t="s">
        <v>438</v>
      </c>
      <c r="B25" t="s">
        <v>91</v>
      </c>
      <c r="C25" s="2" t="s">
        <v>97</v>
      </c>
      <c r="D25" t="s">
        <v>93</v>
      </c>
      <c r="E25" t="s">
        <v>88</v>
      </c>
      <c r="F25" t="s">
        <v>29</v>
      </c>
      <c r="G25" s="27" t="s">
        <v>172</v>
      </c>
      <c r="H25" t="s">
        <v>29</v>
      </c>
      <c r="I25" t="s">
        <v>431</v>
      </c>
      <c r="J25" s="27" t="s">
        <v>434</v>
      </c>
      <c r="K25" s="2" t="s">
        <v>97</v>
      </c>
      <c r="L25" s="27" t="s">
        <v>441</v>
      </c>
      <c r="M25" t="s">
        <v>347</v>
      </c>
    </row>
    <row r="26" spans="1:13">
      <c r="A26" s="1" t="s">
        <v>439</v>
      </c>
      <c r="B26" t="s">
        <v>90</v>
      </c>
      <c r="C26" s="2" t="s">
        <v>178</v>
      </c>
      <c r="D26" t="s">
        <v>94</v>
      </c>
      <c r="E26" t="s">
        <v>177</v>
      </c>
      <c r="F26" t="s">
        <v>172</v>
      </c>
      <c r="G26" s="27" t="s">
        <v>95</v>
      </c>
      <c r="H26" t="s">
        <v>172</v>
      </c>
      <c r="I26" t="s">
        <v>24</v>
      </c>
      <c r="J26" s="27" t="s">
        <v>435</v>
      </c>
      <c r="K26" s="2" t="s">
        <v>175</v>
      </c>
      <c r="L26" s="27" t="s">
        <v>442</v>
      </c>
      <c r="M26" t="s">
        <v>433</v>
      </c>
    </row>
    <row r="27" spans="1:13">
      <c r="A27" s="1" t="s">
        <v>440</v>
      </c>
      <c r="B27" t="s">
        <v>92</v>
      </c>
      <c r="C27" s="2" t="s">
        <v>25</v>
      </c>
      <c r="D27" t="s">
        <v>95</v>
      </c>
      <c r="E27" t="s">
        <v>432</v>
      </c>
      <c r="F27" t="s">
        <v>95</v>
      </c>
      <c r="G27" s="27" t="s">
        <v>302</v>
      </c>
      <c r="H27" t="s">
        <v>95</v>
      </c>
      <c r="I27" t="s">
        <v>97</v>
      </c>
      <c r="J27" s="27" t="s">
        <v>436</v>
      </c>
      <c r="K27" s="2" t="s">
        <v>96</v>
      </c>
      <c r="L27" s="27" t="s">
        <v>443</v>
      </c>
      <c r="M27" t="s">
        <v>97</v>
      </c>
    </row>
    <row r="28" spans="1:13">
      <c r="A28" s="1" t="s">
        <v>522</v>
      </c>
      <c r="B28" t="s">
        <v>523</v>
      </c>
      <c r="C28" t="s">
        <v>525</v>
      </c>
      <c r="D28" t="s">
        <v>524</v>
      </c>
    </row>
    <row r="29" spans="1:13">
      <c r="A29" s="1" t="s">
        <v>566</v>
      </c>
      <c r="C29">
        <v>200</v>
      </c>
    </row>
    <row r="30" spans="1:13">
      <c r="A30" s="1" t="s">
        <v>74</v>
      </c>
      <c r="B30" t="s">
        <v>21</v>
      </c>
      <c r="C30" t="s">
        <v>27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</row>
    <row r="31" spans="1:13">
      <c r="A31" s="1" t="s">
        <v>75</v>
      </c>
      <c r="B31" t="s">
        <v>22</v>
      </c>
      <c r="C31" t="s">
        <v>28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</row>
    <row r="32" spans="1:13">
      <c r="A32" s="1" t="s">
        <v>76</v>
      </c>
      <c r="B32" t="s">
        <v>23</v>
      </c>
      <c r="C32" t="s">
        <v>22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</row>
    <row r="33" spans="1:17">
      <c r="A33" s="1" t="s">
        <v>77</v>
      </c>
      <c r="B33" t="s">
        <v>24</v>
      </c>
      <c r="C33" t="s">
        <v>29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</row>
    <row r="34" spans="1:17">
      <c r="A34" s="1" t="s">
        <v>78</v>
      </c>
      <c r="B34" t="s">
        <v>25</v>
      </c>
      <c r="C34" t="s">
        <v>179</v>
      </c>
      <c r="D34" t="s">
        <v>26</v>
      </c>
      <c r="E34" t="s">
        <v>25</v>
      </c>
      <c r="F34" t="s">
        <v>175</v>
      </c>
      <c r="G34" t="s">
        <v>175</v>
      </c>
      <c r="H34" t="s">
        <v>25</v>
      </c>
      <c r="I34" t="s">
        <v>454</v>
      </c>
      <c r="J34" t="s">
        <v>25</v>
      </c>
      <c r="K34" t="s">
        <v>25</v>
      </c>
      <c r="L34" t="s">
        <v>25</v>
      </c>
      <c r="M34" t="s">
        <v>25</v>
      </c>
    </row>
    <row r="35" spans="1:17">
      <c r="A35" s="1" t="s">
        <v>73</v>
      </c>
      <c r="B35" t="s">
        <v>31</v>
      </c>
      <c r="C35" t="s">
        <v>30</v>
      </c>
    </row>
    <row r="36" spans="1:17">
      <c r="A36" s="1" t="s">
        <v>68</v>
      </c>
      <c r="B36" t="s">
        <v>69</v>
      </c>
      <c r="C36" t="s">
        <v>71</v>
      </c>
      <c r="D36" t="s">
        <v>70</v>
      </c>
    </row>
    <row r="37" spans="1:17">
      <c r="A37" s="1" t="s">
        <v>67</v>
      </c>
      <c r="B37" t="s">
        <v>33</v>
      </c>
      <c r="C37" s="2" t="s">
        <v>305</v>
      </c>
      <c r="D37" t="s">
        <v>34</v>
      </c>
    </row>
    <row r="38" spans="1:17">
      <c r="A38" s="1" t="s">
        <v>66</v>
      </c>
      <c r="B38" t="s">
        <v>35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</row>
    <row r="39" spans="1:17">
      <c r="A39" s="1" t="s">
        <v>65</v>
      </c>
      <c r="B39" t="s">
        <v>48</v>
      </c>
      <c r="C39" t="s">
        <v>47</v>
      </c>
      <c r="D39" t="s">
        <v>47</v>
      </c>
      <c r="E39" t="s">
        <v>47</v>
      </c>
      <c r="F39" t="s">
        <v>47</v>
      </c>
      <c r="G39" t="s">
        <v>47</v>
      </c>
      <c r="H39" t="s">
        <v>47</v>
      </c>
      <c r="I39" t="s">
        <v>47</v>
      </c>
      <c r="J39" t="s">
        <v>47</v>
      </c>
      <c r="K39" t="s">
        <v>47</v>
      </c>
      <c r="L39" t="s">
        <v>47</v>
      </c>
      <c r="M39" t="s">
        <v>47</v>
      </c>
    </row>
    <row r="40" spans="1:17">
      <c r="A40" s="1" t="s">
        <v>64</v>
      </c>
      <c r="B40" t="s">
        <v>37</v>
      </c>
      <c r="C40" t="s">
        <v>38</v>
      </c>
    </row>
    <row r="41" spans="1:17">
      <c r="A41" s="1" t="s">
        <v>63</v>
      </c>
      <c r="B41" s="1" t="s">
        <v>39</v>
      </c>
      <c r="C41" s="1" t="s">
        <v>82</v>
      </c>
      <c r="D41" s="1" t="s">
        <v>83</v>
      </c>
      <c r="E41" s="1" t="s">
        <v>392</v>
      </c>
      <c r="F41" s="1" t="s">
        <v>87</v>
      </c>
      <c r="G41" s="1" t="s">
        <v>86</v>
      </c>
      <c r="H41" s="1" t="s">
        <v>85</v>
      </c>
      <c r="I41" s="1" t="s">
        <v>84</v>
      </c>
      <c r="J41" s="1" t="s">
        <v>393</v>
      </c>
      <c r="K41" s="1" t="s">
        <v>395</v>
      </c>
      <c r="L41" s="1" t="s">
        <v>391</v>
      </c>
      <c r="M41" s="1" t="s">
        <v>389</v>
      </c>
    </row>
    <row r="42" spans="1:17">
      <c r="A42" s="1" t="s">
        <v>79</v>
      </c>
      <c r="B42" t="s">
        <v>80</v>
      </c>
      <c r="C42" t="s">
        <v>81</v>
      </c>
      <c r="D42" t="s">
        <v>81</v>
      </c>
      <c r="E42" s="2" t="s">
        <v>81</v>
      </c>
      <c r="F42" t="s">
        <v>81</v>
      </c>
      <c r="G42" s="1" t="s">
        <v>388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387</v>
      </c>
    </row>
    <row r="43" spans="1:17">
      <c r="A43" s="1" t="s">
        <v>313</v>
      </c>
      <c r="B43" s="1" t="s">
        <v>40</v>
      </c>
      <c r="C43" s="1" t="s">
        <v>42</v>
      </c>
      <c r="D43" s="1" t="s">
        <v>41</v>
      </c>
      <c r="E43" s="1" t="s">
        <v>365</v>
      </c>
      <c r="F43" s="1" t="s">
        <v>365</v>
      </c>
      <c r="G43" s="1" t="s">
        <v>374</v>
      </c>
      <c r="H43" s="1" t="s">
        <v>365</v>
      </c>
      <c r="I43" s="1" t="s">
        <v>367</v>
      </c>
      <c r="J43" s="1" t="s">
        <v>370</v>
      </c>
      <c r="K43" s="1" t="s">
        <v>100</v>
      </c>
      <c r="L43" s="1" t="s">
        <v>372</v>
      </c>
      <c r="M43" s="1" t="s">
        <v>376</v>
      </c>
      <c r="N43" s="1" t="s">
        <v>553</v>
      </c>
      <c r="O43" s="1" t="s">
        <v>554</v>
      </c>
      <c r="P43" s="1" t="s">
        <v>555</v>
      </c>
      <c r="Q43" s="1" t="s">
        <v>556</v>
      </c>
    </row>
    <row r="44" spans="1:17">
      <c r="A44" s="1" t="s">
        <v>62</v>
      </c>
      <c r="B44" s="1" t="s">
        <v>43</v>
      </c>
      <c r="C44" s="1" t="s">
        <v>44</v>
      </c>
      <c r="D44" s="1" t="s">
        <v>366</v>
      </c>
      <c r="E44" s="1" t="s">
        <v>567</v>
      </c>
      <c r="F44" s="1" t="s">
        <v>369</v>
      </c>
      <c r="G44" s="1" t="s">
        <v>375</v>
      </c>
      <c r="H44" s="1" t="s">
        <v>368</v>
      </c>
      <c r="I44" s="1" t="s">
        <v>364</v>
      </c>
      <c r="J44" s="1" t="s">
        <v>371</v>
      </c>
      <c r="K44" s="1" t="s">
        <v>101</v>
      </c>
      <c r="L44" s="1" t="s">
        <v>373</v>
      </c>
      <c r="M44" s="1" t="s">
        <v>377</v>
      </c>
      <c r="N44" s="1" t="s">
        <v>557</v>
      </c>
      <c r="O44" s="1" t="s">
        <v>558</v>
      </c>
      <c r="P44" s="1" t="s">
        <v>559</v>
      </c>
      <c r="Q44" s="1" t="s">
        <v>560</v>
      </c>
    </row>
    <row r="45" spans="1:17">
      <c r="A45" s="1" t="s">
        <v>568</v>
      </c>
      <c r="B45" s="1" t="s">
        <v>569</v>
      </c>
      <c r="C45" s="1"/>
      <c r="D45" s="1" t="s">
        <v>570</v>
      </c>
      <c r="E45" s="1" t="s">
        <v>570</v>
      </c>
      <c r="F45" s="1"/>
      <c r="G45" s="1"/>
      <c r="H45" s="1"/>
      <c r="I45" s="1"/>
      <c r="J45" s="1"/>
      <c r="K45" s="1"/>
      <c r="L45" s="1"/>
      <c r="M45" s="1"/>
    </row>
    <row r="46" spans="1:17">
      <c r="A46" s="1" t="s">
        <v>61</v>
      </c>
      <c r="B46" s="1" t="s">
        <v>46</v>
      </c>
      <c r="C46" s="1" t="s">
        <v>45</v>
      </c>
      <c r="D46" s="1" t="s">
        <v>46</v>
      </c>
      <c r="E46" s="1" t="s">
        <v>46</v>
      </c>
      <c r="F46" s="1" t="s">
        <v>46</v>
      </c>
      <c r="G46" s="1"/>
      <c r="H46" s="1" t="s">
        <v>46</v>
      </c>
      <c r="I46" s="1"/>
      <c r="J46" s="1"/>
      <c r="K46" s="1" t="s">
        <v>515</v>
      </c>
      <c r="L46" s="1"/>
      <c r="M46" s="1"/>
    </row>
    <row r="47" spans="1:17">
      <c r="A47" s="1" t="s">
        <v>60</v>
      </c>
      <c r="B47">
        <v>100</v>
      </c>
      <c r="C47">
        <v>600</v>
      </c>
      <c r="D47">
        <v>100</v>
      </c>
      <c r="E47">
        <v>100</v>
      </c>
      <c r="F47">
        <v>100</v>
      </c>
      <c r="G47">
        <v>400</v>
      </c>
      <c r="H47">
        <v>100</v>
      </c>
      <c r="I47">
        <v>100</v>
      </c>
      <c r="J47" s="26">
        <v>10000</v>
      </c>
      <c r="K47">
        <v>1000</v>
      </c>
      <c r="L47" t="s">
        <v>378</v>
      </c>
      <c r="M47">
        <v>1000</v>
      </c>
      <c r="N47" s="31"/>
      <c r="O47" s="31"/>
      <c r="P47" s="31"/>
      <c r="Q47" s="31"/>
    </row>
    <row r="48" spans="1:17">
      <c r="A48" s="1" t="s">
        <v>59</v>
      </c>
      <c r="B48" s="1">
        <v>30</v>
      </c>
      <c r="C48" s="31">
        <f t="shared" ref="C48:I48" si="0">$B$48*C8</f>
        <v>185.70000000000002</v>
      </c>
      <c r="D48" s="31">
        <f t="shared" si="0"/>
        <v>24.9</v>
      </c>
      <c r="E48" s="31">
        <f t="shared" si="0"/>
        <v>24.9</v>
      </c>
      <c r="F48" s="31">
        <f t="shared" si="0"/>
        <v>24.9</v>
      </c>
      <c r="G48" s="31">
        <f t="shared" si="0"/>
        <v>114.3</v>
      </c>
      <c r="H48" s="31">
        <f t="shared" si="0"/>
        <v>24.9</v>
      </c>
      <c r="I48" s="31">
        <f t="shared" si="0"/>
        <v>21.599999999999998</v>
      </c>
      <c r="J48" s="31">
        <v>3300</v>
      </c>
      <c r="K48" s="31">
        <f>$B$48*K8</f>
        <v>2217</v>
      </c>
      <c r="L48" s="31">
        <f>$B$48*L8</f>
        <v>433080</v>
      </c>
      <c r="M48" s="31">
        <f>$B$48*M8</f>
        <v>431.09999999999997</v>
      </c>
      <c r="N48" s="31">
        <f t="shared" ref="N48:Q48" si="1">$B$48*N8</f>
        <v>191.1</v>
      </c>
      <c r="O48" s="31">
        <f t="shared" si="1"/>
        <v>156.9</v>
      </c>
      <c r="P48" s="31">
        <f t="shared" si="1"/>
        <v>597.6</v>
      </c>
      <c r="Q48" s="31">
        <f t="shared" si="1"/>
        <v>33415.5</v>
      </c>
    </row>
    <row r="49" spans="1:17">
      <c r="A49" s="1" t="s">
        <v>58</v>
      </c>
      <c r="B49">
        <v>128</v>
      </c>
      <c r="C49">
        <v>68</v>
      </c>
      <c r="D49">
        <v>46</v>
      </c>
      <c r="E49">
        <v>61</v>
      </c>
      <c r="F49">
        <v>42</v>
      </c>
      <c r="G49">
        <v>42</v>
      </c>
      <c r="H49">
        <v>39</v>
      </c>
      <c r="I49">
        <v>59</v>
      </c>
      <c r="J49">
        <v>60</v>
      </c>
      <c r="K49">
        <v>13</v>
      </c>
      <c r="L49">
        <v>16</v>
      </c>
      <c r="M49">
        <v>50</v>
      </c>
    </row>
    <row r="50" spans="1:17">
      <c r="A50" s="1" t="s">
        <v>57</v>
      </c>
      <c r="B50" s="1" t="s">
        <v>49</v>
      </c>
      <c r="C50" s="31">
        <f t="shared" ref="C50:I50" si="2">C49*C8</f>
        <v>420.92</v>
      </c>
      <c r="D50" s="31">
        <f t="shared" si="2"/>
        <v>38.18</v>
      </c>
      <c r="E50" s="31">
        <f t="shared" si="2"/>
        <v>50.629999999999995</v>
      </c>
      <c r="F50" s="31">
        <f t="shared" si="2"/>
        <v>34.86</v>
      </c>
      <c r="G50" s="31">
        <f t="shared" si="2"/>
        <v>160.02000000000001</v>
      </c>
      <c r="H50" s="31">
        <f t="shared" si="2"/>
        <v>32.369999999999997</v>
      </c>
      <c r="I50" s="31">
        <f t="shared" si="2"/>
        <v>42.48</v>
      </c>
      <c r="J50" s="31">
        <v>6500</v>
      </c>
      <c r="K50" s="31">
        <f>K49*K8</f>
        <v>960.7</v>
      </c>
      <c r="L50" s="31">
        <v>230000</v>
      </c>
      <c r="M50" s="31">
        <f>M49*M8</f>
        <v>718.5</v>
      </c>
    </row>
    <row r="51" spans="1:17">
      <c r="A51" s="1" t="s">
        <v>56</v>
      </c>
      <c r="B51" s="2" t="s">
        <v>51</v>
      </c>
      <c r="C51" s="1" t="s">
        <v>52</v>
      </c>
      <c r="D51" s="2" t="s">
        <v>51</v>
      </c>
      <c r="E51" s="2" t="s">
        <v>51</v>
      </c>
      <c r="F51" s="2" t="s">
        <v>51</v>
      </c>
      <c r="H51" s="2" t="s">
        <v>51</v>
      </c>
      <c r="I51" s="2" t="s">
        <v>51</v>
      </c>
      <c r="O51" s="1"/>
    </row>
    <row r="52" spans="1:17">
      <c r="A52" s="1" t="s">
        <v>53</v>
      </c>
      <c r="B52" t="s">
        <v>54</v>
      </c>
      <c r="C52" t="s">
        <v>55</v>
      </c>
      <c r="D52" t="s">
        <v>55</v>
      </c>
      <c r="E52" t="s">
        <v>55</v>
      </c>
      <c r="F52" t="s">
        <v>55</v>
      </c>
      <c r="G52" t="s">
        <v>55</v>
      </c>
      <c r="H52" t="s">
        <v>55</v>
      </c>
      <c r="I52" s="1" t="s">
        <v>379</v>
      </c>
      <c r="J52" s="1" t="s">
        <v>380</v>
      </c>
      <c r="K52" t="s">
        <v>54</v>
      </c>
      <c r="L52" s="1" t="s">
        <v>381</v>
      </c>
      <c r="M52" s="1" t="s">
        <v>382</v>
      </c>
      <c r="O52" s="1"/>
    </row>
    <row r="53" spans="1:17">
      <c r="A53" s="1" t="s">
        <v>306</v>
      </c>
      <c r="B53">
        <v>45</v>
      </c>
      <c r="C53" s="3">
        <f>830/C8</f>
        <v>134.08723747980613</v>
      </c>
      <c r="D53">
        <v>45</v>
      </c>
      <c r="E53">
        <v>45</v>
      </c>
      <c r="F53">
        <v>45</v>
      </c>
      <c r="G53">
        <v>45</v>
      </c>
      <c r="H53">
        <v>45</v>
      </c>
      <c r="I53">
        <v>45</v>
      </c>
      <c r="J53">
        <v>45</v>
      </c>
      <c r="K53">
        <v>45</v>
      </c>
      <c r="L53">
        <v>45</v>
      </c>
      <c r="M53">
        <v>45</v>
      </c>
      <c r="N53">
        <v>45</v>
      </c>
      <c r="O53">
        <v>45</v>
      </c>
      <c r="P53">
        <v>45</v>
      </c>
      <c r="Q53">
        <v>45</v>
      </c>
    </row>
    <row r="54" spans="1:17">
      <c r="A54" s="1" t="s">
        <v>311</v>
      </c>
      <c r="B54" s="3">
        <v>5107.393</v>
      </c>
      <c r="C54" s="3">
        <v>33.573</v>
      </c>
      <c r="D54" s="3">
        <v>338.19299999999998</v>
      </c>
      <c r="E54" s="3">
        <v>796.529</v>
      </c>
      <c r="F54" s="3">
        <v>361.17599999999999</v>
      </c>
      <c r="G54" s="3">
        <v>319.02800000000002</v>
      </c>
      <c r="H54" s="3">
        <v>282.36399999999998</v>
      </c>
      <c r="I54" s="3">
        <v>379.15</v>
      </c>
      <c r="J54" s="3">
        <v>1320.7760000000001</v>
      </c>
      <c r="K54" s="3">
        <v>2454.7739999999999</v>
      </c>
      <c r="L54" s="3">
        <v>511.327</v>
      </c>
      <c r="M54" s="3">
        <v>433.17</v>
      </c>
      <c r="N54" s="3">
        <v>10877</v>
      </c>
      <c r="O54" s="3">
        <v>493</v>
      </c>
      <c r="P54" s="3">
        <v>507</v>
      </c>
      <c r="Q54" s="3">
        <v>673</v>
      </c>
    </row>
    <row r="55" spans="1:17">
      <c r="A55" s="1" t="s">
        <v>529</v>
      </c>
      <c r="B55" s="3">
        <v>245683439.40000001</v>
      </c>
      <c r="C55" s="3">
        <v>4514349.4000000004</v>
      </c>
      <c r="D55" s="21">
        <v>50403455</v>
      </c>
      <c r="E55" s="3">
        <v>68527599.400000006</v>
      </c>
      <c r="F55" s="3">
        <v>49663148.200000003</v>
      </c>
      <c r="G55" s="3">
        <v>31355629</v>
      </c>
      <c r="H55" s="3">
        <v>38223111.600000001</v>
      </c>
      <c r="I55" s="3">
        <v>51629389.799999997</v>
      </c>
      <c r="J55" s="3">
        <v>107761630.8</v>
      </c>
      <c r="K55" s="3">
        <v>859909198.39999998</v>
      </c>
      <c r="L55" s="3">
        <v>172734542.40000001</v>
      </c>
      <c r="M55" s="3">
        <v>35983394.399999999</v>
      </c>
      <c r="N55">
        <v>1128677232</v>
      </c>
      <c r="O55">
        <v>159837762.59999999</v>
      </c>
      <c r="P55">
        <v>92799575.799999997</v>
      </c>
      <c r="Q55">
        <v>43190072.399999999</v>
      </c>
    </row>
    <row r="56" spans="1:17">
      <c r="A56" s="1" t="s">
        <v>312</v>
      </c>
      <c r="B56" s="17">
        <f>2.5*B53/1000</f>
        <v>0.1125</v>
      </c>
      <c r="C56" s="17">
        <f>2.5*C53/1000</f>
        <v>0.33521809369951533</v>
      </c>
      <c r="D56" s="17">
        <f t="shared" ref="D56:Q56" si="3">2.5*D53/1000</f>
        <v>0.1125</v>
      </c>
      <c r="E56" s="17">
        <f t="shared" si="3"/>
        <v>0.1125</v>
      </c>
      <c r="F56" s="17">
        <f t="shared" si="3"/>
        <v>0.1125</v>
      </c>
      <c r="G56" s="17">
        <f t="shared" si="3"/>
        <v>0.1125</v>
      </c>
      <c r="H56" s="17">
        <f t="shared" si="3"/>
        <v>0.1125</v>
      </c>
      <c r="I56" s="17">
        <f t="shared" si="3"/>
        <v>0.1125</v>
      </c>
      <c r="J56" s="17">
        <f t="shared" si="3"/>
        <v>0.1125</v>
      </c>
      <c r="K56" s="17">
        <f t="shared" si="3"/>
        <v>0.1125</v>
      </c>
      <c r="L56" s="17">
        <f t="shared" si="3"/>
        <v>0.1125</v>
      </c>
      <c r="M56" s="17">
        <f t="shared" si="3"/>
        <v>0.1125</v>
      </c>
      <c r="N56" s="17">
        <f t="shared" si="3"/>
        <v>0.1125</v>
      </c>
      <c r="O56" s="17">
        <f t="shared" si="3"/>
        <v>0.1125</v>
      </c>
      <c r="P56" s="17">
        <f t="shared" si="3"/>
        <v>0.1125</v>
      </c>
      <c r="Q56" s="17">
        <f t="shared" si="3"/>
        <v>0.1125</v>
      </c>
    </row>
    <row r="57" spans="1:17">
      <c r="A57" s="1" t="s">
        <v>314</v>
      </c>
      <c r="B57" s="22">
        <f>B56*B8*3.78541</f>
        <v>0.42585862500000005</v>
      </c>
      <c r="C57" s="22">
        <f t="shared" ref="C57:Q57" si="4">C56*C8</f>
        <v>2.0750000000000002</v>
      </c>
      <c r="D57" s="22">
        <f t="shared" si="4"/>
        <v>9.3375E-2</v>
      </c>
      <c r="E57" s="22">
        <f t="shared" si="4"/>
        <v>9.3375E-2</v>
      </c>
      <c r="F57" s="22">
        <f t="shared" si="4"/>
        <v>9.3375E-2</v>
      </c>
      <c r="G57" s="22">
        <f t="shared" si="4"/>
        <v>0.42862500000000003</v>
      </c>
      <c r="H57" s="22">
        <f t="shared" si="4"/>
        <v>9.3375E-2</v>
      </c>
      <c r="I57" s="22">
        <f t="shared" si="4"/>
        <v>8.1000000000000003E-2</v>
      </c>
      <c r="J57" s="22">
        <f t="shared" si="4"/>
        <v>12.262500000000001</v>
      </c>
      <c r="K57" s="22">
        <f t="shared" si="4"/>
        <v>8.3137500000000006</v>
      </c>
      <c r="L57" s="22">
        <f t="shared" si="4"/>
        <v>1624.05</v>
      </c>
      <c r="M57" s="22">
        <f t="shared" si="4"/>
        <v>1.616625</v>
      </c>
      <c r="N57" s="22">
        <f t="shared" si="4"/>
        <v>0.71662500000000007</v>
      </c>
      <c r="O57" s="22">
        <f t="shared" si="4"/>
        <v>0.58837500000000009</v>
      </c>
      <c r="P57" s="22">
        <f t="shared" si="4"/>
        <v>2.2410000000000001</v>
      </c>
      <c r="Q57" s="22">
        <f t="shared" si="4"/>
        <v>125.30812499999999</v>
      </c>
    </row>
    <row r="58" spans="1:17">
      <c r="A58" s="1" t="s">
        <v>315</v>
      </c>
      <c r="B58" s="22">
        <f>0.8*0.8*B54*B53*1000000*B8/B55</f>
        <v>598.70913057561188</v>
      </c>
      <c r="C58" s="22">
        <f>0.8*0.75*C54*C53*1000000*C8/C55</f>
        <v>3703.602118170118</v>
      </c>
      <c r="D58" s="22">
        <f t="shared" ref="D58:Q58" si="5">0.8*0.8*D54*D53*1000000*D8/D55</f>
        <v>160.38911364310246</v>
      </c>
      <c r="E58" s="22">
        <f t="shared" si="5"/>
        <v>277.84760275726222</v>
      </c>
      <c r="F58" s="22">
        <f t="shared" si="5"/>
        <v>173.84220326169338</v>
      </c>
      <c r="G58" s="22">
        <f t="shared" si="5"/>
        <v>1116.4280705068938</v>
      </c>
      <c r="H58" s="22">
        <f t="shared" si="5"/>
        <v>176.58502339197312</v>
      </c>
      <c r="I58" s="22">
        <f t="shared" si="5"/>
        <v>152.27866202672033</v>
      </c>
      <c r="J58" s="22">
        <f t="shared" si="5"/>
        <v>38475.475811006392</v>
      </c>
      <c r="K58" s="22">
        <f t="shared" si="5"/>
        <v>6075.6933515784121</v>
      </c>
      <c r="L58" s="22">
        <f t="shared" si="5"/>
        <v>1230718.9651813384</v>
      </c>
      <c r="M58" s="22">
        <f t="shared" si="5"/>
        <v>4982.0203599246888</v>
      </c>
      <c r="N58" s="22">
        <f t="shared" si="5"/>
        <v>1767.9553156787704</v>
      </c>
      <c r="O58" s="22">
        <f t="shared" si="5"/>
        <v>464.58127786631081</v>
      </c>
      <c r="P58" s="22">
        <f t="shared" si="5"/>
        <v>3134.3232928872949</v>
      </c>
      <c r="Q58" s="22">
        <f t="shared" si="5"/>
        <v>499862.23778592242</v>
      </c>
    </row>
    <row r="59" spans="1:17">
      <c r="A59" s="1" t="s">
        <v>331</v>
      </c>
      <c r="B59" s="22">
        <v>100</v>
      </c>
      <c r="C59" s="22" t="s">
        <v>332</v>
      </c>
      <c r="D59" s="22" t="s">
        <v>332</v>
      </c>
      <c r="E59" s="22" t="s">
        <v>332</v>
      </c>
      <c r="F59" s="22" t="s">
        <v>332</v>
      </c>
      <c r="G59" s="22" t="s">
        <v>332</v>
      </c>
      <c r="H59" s="22" t="s">
        <v>332</v>
      </c>
      <c r="I59" s="22" t="s">
        <v>332</v>
      </c>
      <c r="J59" s="22" t="s">
        <v>332</v>
      </c>
      <c r="K59" s="22" t="s">
        <v>332</v>
      </c>
      <c r="L59" s="22" t="s">
        <v>332</v>
      </c>
      <c r="M59" s="22" t="s">
        <v>333</v>
      </c>
    </row>
    <row r="60" spans="1:17">
      <c r="A60" s="1" t="s">
        <v>489</v>
      </c>
      <c r="B60" s="22" t="s">
        <v>172</v>
      </c>
      <c r="C60" s="22" t="s">
        <v>344</v>
      </c>
      <c r="D60" s="22" t="s">
        <v>343</v>
      </c>
      <c r="E60" s="22" t="s">
        <v>347</v>
      </c>
      <c r="F60" s="22" t="s">
        <v>99</v>
      </c>
      <c r="G60" s="22" t="s">
        <v>99</v>
      </c>
      <c r="H60" s="22" t="s">
        <v>346</v>
      </c>
      <c r="I60" s="22" t="s">
        <v>343</v>
      </c>
      <c r="J60" s="22" t="s">
        <v>347</v>
      </c>
      <c r="K60" s="22" t="s">
        <v>345</v>
      </c>
      <c r="L60" s="22" t="s">
        <v>88</v>
      </c>
      <c r="M60" s="22" t="s">
        <v>346</v>
      </c>
    </row>
    <row r="61" spans="1:17">
      <c r="A61" s="1" t="s">
        <v>353</v>
      </c>
      <c r="B61" s="22" t="s">
        <v>362</v>
      </c>
      <c r="C61" s="25" t="s">
        <v>363</v>
      </c>
      <c r="D61" s="22" t="s">
        <v>509</v>
      </c>
      <c r="E61" s="22" t="s">
        <v>357</v>
      </c>
      <c r="F61" s="22" t="s">
        <v>358</v>
      </c>
      <c r="G61" s="22" t="s">
        <v>361</v>
      </c>
      <c r="H61" s="22" t="s">
        <v>356</v>
      </c>
      <c r="I61" s="22" t="s">
        <v>355</v>
      </c>
      <c r="J61" s="22" t="s">
        <v>359</v>
      </c>
      <c r="K61" s="22" t="s">
        <v>354</v>
      </c>
      <c r="L61" s="22" t="s">
        <v>360</v>
      </c>
      <c r="M61" s="22"/>
    </row>
    <row r="62" spans="1:17">
      <c r="A62" s="1" t="s">
        <v>384</v>
      </c>
      <c r="B62" s="22" t="s">
        <v>385</v>
      </c>
      <c r="C62">
        <v>0.15443999999999999</v>
      </c>
      <c r="D62">
        <v>3.8949999999999999E-2</v>
      </c>
      <c r="E62">
        <v>0.37862000000000001</v>
      </c>
      <c r="F62">
        <v>0.33854000000000001</v>
      </c>
      <c r="G62">
        <v>0.79107000000000005</v>
      </c>
      <c r="H62">
        <v>0.22026000000000001</v>
      </c>
      <c r="I62">
        <v>0.23313999999999999</v>
      </c>
      <c r="J62">
        <v>0.50600000000000001</v>
      </c>
      <c r="K62">
        <v>0.70799999999999996</v>
      </c>
      <c r="L62">
        <v>0.76100000000000001</v>
      </c>
      <c r="M62">
        <v>0.92800000000000005</v>
      </c>
    </row>
    <row r="63" spans="1:17">
      <c r="A63" s="1" t="s">
        <v>490</v>
      </c>
      <c r="B63" s="28">
        <v>4.3</v>
      </c>
      <c r="C63">
        <v>0.14000000000000001</v>
      </c>
      <c r="D63">
        <v>1</v>
      </c>
      <c r="E63">
        <v>1.5</v>
      </c>
      <c r="F63">
        <v>0.7</v>
      </c>
      <c r="G63">
        <v>0.25</v>
      </c>
      <c r="H63">
        <v>0.4</v>
      </c>
      <c r="I63">
        <v>3</v>
      </c>
      <c r="J63">
        <v>12</v>
      </c>
      <c r="K63">
        <v>38</v>
      </c>
      <c r="L63">
        <v>27</v>
      </c>
      <c r="M63">
        <v>0.15</v>
      </c>
    </row>
    <row r="64" spans="1:17">
      <c r="A64" s="1" t="s">
        <v>102</v>
      </c>
      <c r="B64" s="2" t="s">
        <v>424</v>
      </c>
      <c r="C64" s="2" t="s">
        <v>426</v>
      </c>
      <c r="D64" s="2" t="s">
        <v>425</v>
      </c>
      <c r="E64" t="s">
        <v>428</v>
      </c>
      <c r="F64" t="s">
        <v>428</v>
      </c>
      <c r="G64" t="s">
        <v>428</v>
      </c>
      <c r="H64" t="s">
        <v>428</v>
      </c>
      <c r="I64" t="s">
        <v>427</v>
      </c>
      <c r="J64" s="2" t="s">
        <v>405</v>
      </c>
      <c r="K64" s="2" t="s">
        <v>404</v>
      </c>
      <c r="L64" t="s">
        <v>429</v>
      </c>
      <c r="M64" s="2" t="s">
        <v>406</v>
      </c>
    </row>
    <row r="65" spans="1:14">
      <c r="A65" s="1" t="s">
        <v>103</v>
      </c>
      <c r="B65" t="s">
        <v>209</v>
      </c>
      <c r="C65" t="s">
        <v>445</v>
      </c>
      <c r="D65" t="s">
        <v>444</v>
      </c>
      <c r="E65" t="s">
        <v>447</v>
      </c>
      <c r="F65" t="s">
        <v>449</v>
      </c>
      <c r="G65" t="s">
        <v>452</v>
      </c>
      <c r="H65" t="s">
        <v>448</v>
      </c>
      <c r="I65" t="s">
        <v>447</v>
      </c>
      <c r="J65" t="s">
        <v>450</v>
      </c>
      <c r="K65" t="s">
        <v>446</v>
      </c>
      <c r="L65" t="s">
        <v>451</v>
      </c>
      <c r="M65" t="s">
        <v>453</v>
      </c>
    </row>
    <row r="66" spans="1:14">
      <c r="A66" s="1" t="s">
        <v>104</v>
      </c>
      <c r="B66" t="s">
        <v>201</v>
      </c>
      <c r="C66" t="s">
        <v>203</v>
      </c>
      <c r="D66" t="s">
        <v>202</v>
      </c>
    </row>
    <row r="67" spans="1:14">
      <c r="A67" s="1" t="s">
        <v>111</v>
      </c>
      <c r="B67" s="4" t="s">
        <v>108</v>
      </c>
    </row>
    <row r="68" spans="1:14">
      <c r="A68" s="1" t="s">
        <v>105</v>
      </c>
      <c r="B68" t="s">
        <v>186</v>
      </c>
      <c r="C68" t="s">
        <v>185</v>
      </c>
      <c r="D68" t="s">
        <v>185</v>
      </c>
      <c r="E68" t="s">
        <v>185</v>
      </c>
      <c r="F68" t="s">
        <v>185</v>
      </c>
      <c r="G68" t="s">
        <v>185</v>
      </c>
      <c r="H68" t="s">
        <v>185</v>
      </c>
      <c r="I68" t="s">
        <v>185</v>
      </c>
      <c r="J68" t="s">
        <v>386</v>
      </c>
      <c r="K68" t="s">
        <v>394</v>
      </c>
      <c r="L68" t="s">
        <v>390</v>
      </c>
    </row>
    <row r="69" spans="1:14">
      <c r="A69" s="1" t="s">
        <v>106</v>
      </c>
      <c r="B69" t="s">
        <v>307</v>
      </c>
      <c r="C69" s="2" t="s">
        <v>309</v>
      </c>
      <c r="D69" t="s">
        <v>109</v>
      </c>
      <c r="K69" s="2" t="s">
        <v>316</v>
      </c>
    </row>
    <row r="70" spans="1:14">
      <c r="A70" s="1" t="s">
        <v>204</v>
      </c>
      <c r="B70" t="s">
        <v>308</v>
      </c>
      <c r="C70" s="2" t="s">
        <v>330</v>
      </c>
      <c r="D70" t="s">
        <v>109</v>
      </c>
      <c r="I70" t="s">
        <v>329</v>
      </c>
      <c r="K70" t="s">
        <v>110</v>
      </c>
    </row>
    <row r="71" spans="1:14">
      <c r="A71" s="1" t="s">
        <v>107</v>
      </c>
      <c r="B71" t="s">
        <v>184</v>
      </c>
    </row>
    <row r="72" spans="1:14">
      <c r="A72" s="1" t="s">
        <v>112</v>
      </c>
      <c r="B72" s="5" t="s">
        <v>183</v>
      </c>
    </row>
    <row r="73" spans="1:14">
      <c r="A73" s="1" t="s">
        <v>114</v>
      </c>
      <c r="B73" t="s">
        <v>113</v>
      </c>
    </row>
    <row r="74" spans="1:14">
      <c r="A74" s="6" t="s">
        <v>115</v>
      </c>
      <c r="B74" t="s">
        <v>125</v>
      </c>
      <c r="C74" t="s">
        <v>135</v>
      </c>
      <c r="D74" t="s">
        <v>129</v>
      </c>
      <c r="F74" t="s">
        <v>494</v>
      </c>
      <c r="G74" t="s">
        <v>478</v>
      </c>
      <c r="I74" t="s">
        <v>147</v>
      </c>
      <c r="J74" t="s">
        <v>473</v>
      </c>
      <c r="K74" t="s">
        <v>138</v>
      </c>
      <c r="L74" t="s">
        <v>463</v>
      </c>
      <c r="M74" t="s">
        <v>464</v>
      </c>
      <c r="N74" t="s">
        <v>552</v>
      </c>
    </row>
    <row r="75" spans="1:14">
      <c r="A75" s="6" t="s">
        <v>116</v>
      </c>
      <c r="B75" t="s">
        <v>126</v>
      </c>
      <c r="C75" t="s">
        <v>136</v>
      </c>
      <c r="D75" t="s">
        <v>134</v>
      </c>
      <c r="F75" t="s">
        <v>348</v>
      </c>
      <c r="G75" t="s">
        <v>479</v>
      </c>
      <c r="I75" t="s">
        <v>148</v>
      </c>
      <c r="J75" t="s">
        <v>474</v>
      </c>
      <c r="K75" t="s">
        <v>139</v>
      </c>
      <c r="L75" t="s">
        <v>465</v>
      </c>
      <c r="M75" t="s">
        <v>466</v>
      </c>
      <c r="N75" t="s">
        <v>547</v>
      </c>
    </row>
    <row r="76" spans="1:14">
      <c r="A76" s="6" t="s">
        <v>117</v>
      </c>
      <c r="B76" t="s">
        <v>127</v>
      </c>
      <c r="C76" t="s">
        <v>137</v>
      </c>
      <c r="D76" t="s">
        <v>130</v>
      </c>
      <c r="F76" t="s">
        <v>349</v>
      </c>
      <c r="G76" t="s">
        <v>480</v>
      </c>
      <c r="I76" t="s">
        <v>149</v>
      </c>
      <c r="J76" t="s">
        <v>475</v>
      </c>
      <c r="K76" t="s">
        <v>140</v>
      </c>
      <c r="L76" t="s">
        <v>467</v>
      </c>
      <c r="M76" t="s">
        <v>468</v>
      </c>
      <c r="N76" t="s">
        <v>486</v>
      </c>
    </row>
    <row r="77" spans="1:14">
      <c r="A77" s="6" t="s">
        <v>118</v>
      </c>
      <c r="B77" s="7" t="s">
        <v>128</v>
      </c>
      <c r="C77" t="s">
        <v>310</v>
      </c>
      <c r="D77" t="s">
        <v>131</v>
      </c>
      <c r="F77" t="s">
        <v>350</v>
      </c>
      <c r="G77" t="s">
        <v>481</v>
      </c>
      <c r="I77" t="s">
        <v>150</v>
      </c>
      <c r="J77" t="s">
        <v>476</v>
      </c>
      <c r="K77" t="s">
        <v>141</v>
      </c>
      <c r="L77" t="s">
        <v>469</v>
      </c>
      <c r="M77" t="s">
        <v>470</v>
      </c>
      <c r="N77" t="s">
        <v>548</v>
      </c>
    </row>
    <row r="78" spans="1:14">
      <c r="A78" s="6" t="s">
        <v>119</v>
      </c>
      <c r="D78" t="s">
        <v>132</v>
      </c>
      <c r="F78" t="s">
        <v>351</v>
      </c>
      <c r="G78" t="s">
        <v>482</v>
      </c>
      <c r="I78" t="s">
        <v>151</v>
      </c>
      <c r="J78" t="s">
        <v>477</v>
      </c>
      <c r="K78" t="s">
        <v>142</v>
      </c>
      <c r="L78" t="s">
        <v>471</v>
      </c>
      <c r="M78" t="s">
        <v>472</v>
      </c>
      <c r="N78" t="s">
        <v>549</v>
      </c>
    </row>
    <row r="79" spans="1:14">
      <c r="A79" s="6" t="s">
        <v>120</v>
      </c>
      <c r="D79" t="s">
        <v>133</v>
      </c>
      <c r="F79" t="s">
        <v>352</v>
      </c>
      <c r="G79" t="s">
        <v>483</v>
      </c>
      <c r="I79" t="s">
        <v>152</v>
      </c>
      <c r="K79" t="s">
        <v>143</v>
      </c>
      <c r="L79" t="s">
        <v>484</v>
      </c>
      <c r="N79" t="s">
        <v>550</v>
      </c>
    </row>
    <row r="80" spans="1:14">
      <c r="A80" s="6" t="s">
        <v>121</v>
      </c>
      <c r="F80" t="s">
        <v>462</v>
      </c>
      <c r="K80" t="s">
        <v>144</v>
      </c>
      <c r="L80" t="s">
        <v>485</v>
      </c>
      <c r="N80" t="s">
        <v>551</v>
      </c>
    </row>
    <row r="81" spans="1:13">
      <c r="A81" s="6" t="s">
        <v>122</v>
      </c>
      <c r="K81" t="s">
        <v>145</v>
      </c>
    </row>
    <row r="82" spans="1:13">
      <c r="A82" s="6" t="s">
        <v>123</v>
      </c>
      <c r="K82" t="s">
        <v>146</v>
      </c>
    </row>
    <row r="83" spans="1:13">
      <c r="A83" s="6" t="s">
        <v>124</v>
      </c>
      <c r="K83" t="s">
        <v>486</v>
      </c>
      <c r="L83" t="s">
        <v>486</v>
      </c>
    </row>
    <row r="84" spans="1:13">
      <c r="A84" s="6" t="s">
        <v>188</v>
      </c>
      <c r="B84" t="s">
        <v>187</v>
      </c>
    </row>
    <row r="85" spans="1:13">
      <c r="A85" s="6" t="s">
        <v>189</v>
      </c>
      <c r="B85" t="s">
        <v>190</v>
      </c>
    </row>
    <row r="86" spans="1:13">
      <c r="A86" s="6" t="s">
        <v>193</v>
      </c>
      <c r="B86" t="s">
        <v>196</v>
      </c>
    </row>
    <row r="87" spans="1:13">
      <c r="A87" s="6" t="s">
        <v>199</v>
      </c>
      <c r="B87" t="s">
        <v>200</v>
      </c>
      <c r="C87" t="s">
        <v>383</v>
      </c>
      <c r="D87" t="s">
        <v>383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</row>
    <row r="88" spans="1:13">
      <c r="A88" s="4" t="s">
        <v>191</v>
      </c>
      <c r="B88" t="s">
        <v>192</v>
      </c>
    </row>
    <row r="89" spans="1:13">
      <c r="A89" s="4" t="s">
        <v>195</v>
      </c>
      <c r="B89" t="s">
        <v>194</v>
      </c>
    </row>
    <row r="90" spans="1:13">
      <c r="A90" s="4" t="s">
        <v>197</v>
      </c>
      <c r="B90" t="s">
        <v>198</v>
      </c>
    </row>
    <row r="91" spans="1:13">
      <c r="A91" s="6" t="s">
        <v>269</v>
      </c>
      <c r="B91" t="s">
        <v>299</v>
      </c>
      <c r="C91" t="s">
        <v>278</v>
      </c>
      <c r="D91" t="s">
        <v>291</v>
      </c>
    </row>
    <row r="92" spans="1:13">
      <c r="A92" s="6" t="s">
        <v>270</v>
      </c>
      <c r="B92" t="s">
        <v>298</v>
      </c>
      <c r="C92" t="s">
        <v>279</v>
      </c>
      <c r="D92" t="s">
        <v>292</v>
      </c>
    </row>
    <row r="93" spans="1:13">
      <c r="A93" s="6" t="s">
        <v>271</v>
      </c>
      <c r="B93" t="s">
        <v>297</v>
      </c>
      <c r="C93" t="s">
        <v>277</v>
      </c>
      <c r="D93" t="s">
        <v>289</v>
      </c>
    </row>
    <row r="94" spans="1:13">
      <c r="A94" s="6" t="s">
        <v>272</v>
      </c>
      <c r="D94" t="s">
        <v>288</v>
      </c>
    </row>
    <row r="95" spans="1:13">
      <c r="A95" s="6" t="s">
        <v>273</v>
      </c>
      <c r="B95" t="s">
        <v>295</v>
      </c>
    </row>
    <row r="96" spans="1:13">
      <c r="A96" s="6" t="s">
        <v>274</v>
      </c>
      <c r="B96" t="s">
        <v>296</v>
      </c>
      <c r="C96" s="19" t="s">
        <v>268</v>
      </c>
      <c r="D96" t="s">
        <v>290</v>
      </c>
    </row>
    <row r="97" spans="1:14">
      <c r="A97" s="6" t="s">
        <v>275</v>
      </c>
      <c r="B97" t="s">
        <v>276</v>
      </c>
    </row>
    <row r="98" spans="1:14">
      <c r="A98" s="6" t="s">
        <v>293</v>
      </c>
      <c r="D98" t="s">
        <v>294</v>
      </c>
    </row>
    <row r="99" spans="1:14">
      <c r="A99" s="6" t="s">
        <v>334</v>
      </c>
      <c r="B99" t="s">
        <v>335</v>
      </c>
      <c r="C99" t="s">
        <v>337</v>
      </c>
      <c r="D99" t="s">
        <v>461</v>
      </c>
      <c r="F99" t="s">
        <v>520</v>
      </c>
      <c r="I99" t="s">
        <v>533</v>
      </c>
      <c r="K99" t="s">
        <v>519</v>
      </c>
      <c r="M99" s="34" t="s">
        <v>534</v>
      </c>
    </row>
    <row r="100" spans="1:14">
      <c r="A100" s="6" t="s">
        <v>488</v>
      </c>
      <c r="C100" t="s">
        <v>336</v>
      </c>
      <c r="G100" t="s">
        <v>531</v>
      </c>
      <c r="J100" t="s">
        <v>496</v>
      </c>
      <c r="K100" t="s">
        <v>487</v>
      </c>
      <c r="L100" t="s">
        <v>495</v>
      </c>
      <c r="M100" t="s">
        <v>530</v>
      </c>
    </row>
    <row r="101" spans="1:14">
      <c r="A101" s="6" t="s">
        <v>338</v>
      </c>
      <c r="B101" t="s">
        <v>339</v>
      </c>
    </row>
    <row r="102" spans="1:14">
      <c r="A102" s="6" t="s">
        <v>491</v>
      </c>
      <c r="E102">
        <v>7</v>
      </c>
      <c r="F102">
        <v>10</v>
      </c>
      <c r="G102">
        <v>10</v>
      </c>
      <c r="H102">
        <v>10</v>
      </c>
      <c r="I102">
        <v>7</v>
      </c>
      <c r="J102">
        <v>7</v>
      </c>
      <c r="L102">
        <v>7</v>
      </c>
      <c r="M102">
        <v>10</v>
      </c>
    </row>
    <row r="103" spans="1:14">
      <c r="A103" s="6" t="s">
        <v>493</v>
      </c>
      <c r="E103">
        <v>6300</v>
      </c>
      <c r="F103">
        <v>6300</v>
      </c>
      <c r="G103">
        <v>6300</v>
      </c>
      <c r="H103">
        <v>6300</v>
      </c>
      <c r="I103">
        <v>6300</v>
      </c>
      <c r="J103">
        <v>6300</v>
      </c>
      <c r="L103">
        <v>6300</v>
      </c>
      <c r="M103">
        <v>6300</v>
      </c>
      <c r="N103">
        <v>6000</v>
      </c>
    </row>
    <row r="104" spans="1:14">
      <c r="A104" s="6" t="s">
        <v>498</v>
      </c>
      <c r="B104" t="s">
        <v>504</v>
      </c>
      <c r="C104" t="s">
        <v>500</v>
      </c>
      <c r="D104" t="s">
        <v>502</v>
      </c>
    </row>
    <row r="105" spans="1:14">
      <c r="A105" s="6" t="s">
        <v>499</v>
      </c>
      <c r="B105" t="s">
        <v>505</v>
      </c>
      <c r="C105" t="s">
        <v>501</v>
      </c>
      <c r="D105" t="s">
        <v>503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workbookViewId="0">
      <selection activeCell="K14" sqref="K14"/>
    </sheetView>
  </sheetViews>
  <sheetFormatPr baseColWidth="10" defaultColWidth="8.83203125" defaultRowHeight="15"/>
  <sheetData>
    <row r="1" spans="1:7">
      <c r="A1" t="s">
        <v>240</v>
      </c>
      <c r="B1" t="s">
        <v>241</v>
      </c>
      <c r="C1" t="s">
        <v>242</v>
      </c>
      <c r="D1" t="s">
        <v>243</v>
      </c>
      <c r="E1" t="s">
        <v>244</v>
      </c>
    </row>
    <row r="2" spans="1:7">
      <c r="A2" t="s">
        <v>245</v>
      </c>
      <c r="B2" s="17">
        <v>50.75</v>
      </c>
      <c r="C2" s="17">
        <v>49.25</v>
      </c>
      <c r="D2">
        <v>0</v>
      </c>
      <c r="E2" s="18" t="s">
        <v>246</v>
      </c>
    </row>
    <row r="3" spans="1:7">
      <c r="A3" t="s">
        <v>532</v>
      </c>
      <c r="B3">
        <f>20*B2</f>
        <v>1015</v>
      </c>
      <c r="C3">
        <f>20*C2</f>
        <v>985</v>
      </c>
      <c r="E3">
        <f>SUM(B3:D3)</f>
        <v>2000</v>
      </c>
    </row>
    <row r="4" spans="1:7">
      <c r="A4" t="s">
        <v>239</v>
      </c>
      <c r="B4">
        <v>1040</v>
      </c>
      <c r="C4">
        <v>959</v>
      </c>
      <c r="D4">
        <v>11</v>
      </c>
      <c r="E4">
        <f>SUM(B4:D4)</f>
        <v>2010</v>
      </c>
    </row>
    <row r="6" spans="1:7">
      <c r="A6" t="s">
        <v>247</v>
      </c>
      <c r="B6" t="s">
        <v>227</v>
      </c>
      <c r="C6" t="s">
        <v>228</v>
      </c>
      <c r="D6" t="s">
        <v>229</v>
      </c>
      <c r="E6" t="s">
        <v>230</v>
      </c>
      <c r="F6" t="s">
        <v>231</v>
      </c>
      <c r="G6">
        <f>SUM(B6:E6)</f>
        <v>0</v>
      </c>
    </row>
    <row r="7" spans="1:7">
      <c r="A7" t="s">
        <v>245</v>
      </c>
      <c r="B7" s="17">
        <v>11.8</v>
      </c>
      <c r="C7" s="17">
        <v>18</v>
      </c>
      <c r="D7" s="17">
        <v>24.3</v>
      </c>
      <c r="E7" s="17">
        <v>24.67</v>
      </c>
      <c r="F7" s="17">
        <f>100-SUM(B7:E7)</f>
        <v>21.22999999999999</v>
      </c>
      <c r="G7">
        <f>SUM(B7:F7)</f>
        <v>100</v>
      </c>
    </row>
    <row r="8" spans="1:7">
      <c r="A8" t="s">
        <v>532</v>
      </c>
      <c r="B8">
        <f>20*B7</f>
        <v>236</v>
      </c>
      <c r="C8">
        <f>20*C7</f>
        <v>360</v>
      </c>
      <c r="D8">
        <f>20*D7</f>
        <v>486</v>
      </c>
      <c r="E8" s="3">
        <f>20*E7</f>
        <v>493.40000000000003</v>
      </c>
      <c r="F8" s="3">
        <f>2000-SUM(B8:E8)</f>
        <v>424.59999999999991</v>
      </c>
      <c r="G8">
        <f>SUM(B8:F8)</f>
        <v>2000</v>
      </c>
    </row>
    <row r="9" spans="1:7">
      <c r="A9" t="s">
        <v>239</v>
      </c>
      <c r="B9">
        <v>225</v>
      </c>
      <c r="C9">
        <v>360</v>
      </c>
      <c r="D9">
        <v>493</v>
      </c>
      <c r="E9" s="3">
        <v>500</v>
      </c>
      <c r="F9">
        <v>432</v>
      </c>
      <c r="G9">
        <f>SUM(B9:F9)</f>
        <v>2010</v>
      </c>
    </row>
    <row r="10" spans="1:7">
      <c r="E10" s="3"/>
    </row>
    <row r="11" spans="1:7">
      <c r="A11" t="s">
        <v>248</v>
      </c>
      <c r="B11" t="s">
        <v>249</v>
      </c>
      <c r="C11" t="s">
        <v>250</v>
      </c>
      <c r="D11" t="s">
        <v>251</v>
      </c>
      <c r="E11" t="s">
        <v>252</v>
      </c>
    </row>
    <row r="12" spans="1:7">
      <c r="A12" t="s">
        <v>245</v>
      </c>
      <c r="B12" s="17">
        <v>20.338000000000001</v>
      </c>
      <c r="C12" s="17">
        <v>23.901</v>
      </c>
      <c r="D12" s="17">
        <v>24.39</v>
      </c>
      <c r="E12" s="17">
        <v>31.370999999999999</v>
      </c>
      <c r="F12" s="3">
        <f t="shared" ref="F12:F13" si="0">SUM(B12:E12)</f>
        <v>100</v>
      </c>
    </row>
    <row r="13" spans="1:7">
      <c r="A13" t="s">
        <v>532</v>
      </c>
      <c r="B13" s="3">
        <f>20*B12</f>
        <v>406.76</v>
      </c>
      <c r="C13" s="3">
        <f>20*C12</f>
        <v>478.02</v>
      </c>
      <c r="D13" s="3">
        <f>20*D12</f>
        <v>487.8</v>
      </c>
      <c r="E13" s="3">
        <f>20*E12</f>
        <v>627.41999999999996</v>
      </c>
      <c r="F13" s="3">
        <f t="shared" si="0"/>
        <v>2000</v>
      </c>
    </row>
    <row r="14" spans="1:7">
      <c r="A14" t="s">
        <v>239</v>
      </c>
      <c r="B14" s="3">
        <v>486</v>
      </c>
      <c r="C14" s="3">
        <v>565</v>
      </c>
      <c r="D14" s="3">
        <v>546</v>
      </c>
      <c r="E14" s="3">
        <v>413</v>
      </c>
      <c r="F14" s="3">
        <f>SUM(B14:E14)</f>
        <v>2010</v>
      </c>
    </row>
    <row r="15" spans="1:7">
      <c r="B15" s="3"/>
      <c r="C15" s="3"/>
      <c r="D15" s="3"/>
      <c r="E15" s="3"/>
    </row>
    <row r="16" spans="1:7">
      <c r="A16" t="s">
        <v>253</v>
      </c>
      <c r="B16" t="s">
        <v>254</v>
      </c>
      <c r="C16" t="s">
        <v>255</v>
      </c>
      <c r="D16" t="s">
        <v>257</v>
      </c>
      <c r="E16" t="s">
        <v>256</v>
      </c>
    </row>
    <row r="17" spans="1:6">
      <c r="A17" t="s">
        <v>245</v>
      </c>
      <c r="B17" s="17">
        <v>17.100000000000001</v>
      </c>
      <c r="C17" s="17">
        <v>20.8</v>
      </c>
      <c r="D17" s="17">
        <v>23.9</v>
      </c>
      <c r="E17" s="17">
        <v>38.299999999999997</v>
      </c>
      <c r="F17" s="3">
        <f>SUM(B17:E17)</f>
        <v>100.1</v>
      </c>
    </row>
    <row r="18" spans="1:6">
      <c r="A18" t="s">
        <v>532</v>
      </c>
      <c r="B18">
        <f>20*B17</f>
        <v>342</v>
      </c>
      <c r="C18">
        <f>20*C17</f>
        <v>416</v>
      </c>
      <c r="D18">
        <f>20*D17</f>
        <v>478</v>
      </c>
      <c r="E18">
        <f>20*E17</f>
        <v>766</v>
      </c>
      <c r="F18" s="3">
        <f t="shared" ref="F18" si="1">SUM(B18:E18)</f>
        <v>2002</v>
      </c>
    </row>
    <row r="19" spans="1:6">
      <c r="A19" t="s">
        <v>239</v>
      </c>
      <c r="B19">
        <v>387</v>
      </c>
      <c r="C19">
        <v>404</v>
      </c>
      <c r="D19">
        <v>746</v>
      </c>
      <c r="E19">
        <v>463</v>
      </c>
      <c r="F19" s="3">
        <f>SUM(B19:E19)</f>
        <v>2000</v>
      </c>
    </row>
    <row r="21" spans="1:6">
      <c r="A21" t="s">
        <v>258</v>
      </c>
      <c r="B21" t="s">
        <v>259</v>
      </c>
      <c r="C21" t="s">
        <v>260</v>
      </c>
      <c r="D21" t="s">
        <v>261</v>
      </c>
    </row>
    <row r="22" spans="1:6">
      <c r="A22" t="s">
        <v>245</v>
      </c>
      <c r="B22" s="17">
        <v>73.238</v>
      </c>
      <c r="C22" s="17">
        <v>26.762</v>
      </c>
      <c r="D22" s="18" t="s">
        <v>262</v>
      </c>
    </row>
    <row r="23" spans="1:6">
      <c r="A23" t="s">
        <v>532</v>
      </c>
      <c r="B23" s="3">
        <f>20*B22</f>
        <v>1464.76</v>
      </c>
      <c r="C23" s="3">
        <f>20*C22</f>
        <v>535.24</v>
      </c>
      <c r="D23" s="3">
        <f>SUM(B23:C23)</f>
        <v>2000</v>
      </c>
    </row>
    <row r="24" spans="1:6">
      <c r="A24" t="s">
        <v>239</v>
      </c>
      <c r="B24" s="3">
        <v>1437</v>
      </c>
      <c r="C24" s="3">
        <v>556</v>
      </c>
      <c r="D24" s="3">
        <f>SUM(B24:C24)</f>
        <v>1993</v>
      </c>
    </row>
    <row r="25" spans="1:6">
      <c r="B25" s="3"/>
      <c r="C25" s="3"/>
    </row>
    <row r="26" spans="1:6">
      <c r="A26" t="s">
        <v>263</v>
      </c>
      <c r="B26" t="s">
        <v>264</v>
      </c>
      <c r="C26" t="s">
        <v>265</v>
      </c>
      <c r="D26" t="s">
        <v>266</v>
      </c>
      <c r="E26" t="s">
        <v>244</v>
      </c>
    </row>
    <row r="27" spans="1:6">
      <c r="A27" t="s">
        <v>245</v>
      </c>
      <c r="B27">
        <v>60.1</v>
      </c>
      <c r="C27">
        <v>18.5</v>
      </c>
      <c r="D27">
        <v>13.4</v>
      </c>
      <c r="E27" t="s">
        <v>267</v>
      </c>
    </row>
    <row r="28" spans="1:6">
      <c r="A28" t="s">
        <v>532</v>
      </c>
      <c r="B28">
        <f>B27*20</f>
        <v>1202</v>
      </c>
      <c r="C28">
        <f>C27*20</f>
        <v>370</v>
      </c>
      <c r="D28">
        <f>D27*20</f>
        <v>268</v>
      </c>
      <c r="E28">
        <f>SUM(B28:D28)</f>
        <v>1840</v>
      </c>
    </row>
    <row r="29" spans="1:6">
      <c r="A29" t="s">
        <v>239</v>
      </c>
      <c r="B29">
        <v>1539</v>
      </c>
      <c r="C29">
        <v>100</v>
      </c>
      <c r="D29">
        <v>182</v>
      </c>
      <c r="E29">
        <f>SUM(B29:D29)</f>
        <v>1821</v>
      </c>
    </row>
  </sheetData>
  <hyperlinks>
    <hyperlink ref="E2" r:id="rId1" xr:uid="{B08CE4C3-AB75-234C-B4A1-6B2023B5967D}"/>
    <hyperlink ref="D22" r:id="rId2" display="https://www.ers.usda.gov/data-products/rural-urban-commuting-area-codes/" xr:uid="{7A214C26-8117-5948-A67D-3661D9169F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workbookViewId="0">
      <selection sqref="A1:XFD1048576"/>
    </sheetView>
  </sheetViews>
  <sheetFormatPr baseColWidth="10" defaultColWidth="8.83203125" defaultRowHeight="15"/>
  <cols>
    <col min="1" max="1" width="12.5" customWidth="1"/>
    <col min="2" max="2" width="11.5" customWidth="1"/>
    <col min="3" max="3" width="9.83203125" customWidth="1"/>
    <col min="4" max="4" width="10.5" customWidth="1"/>
  </cols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  <c r="G1" s="10"/>
    </row>
    <row r="2" spans="1:7" ht="16" thickBot="1">
      <c r="A2" s="8" t="s">
        <v>219</v>
      </c>
      <c r="B2" s="9">
        <v>0.50260000000000005</v>
      </c>
      <c r="C2" s="9">
        <v>0.49740000000000001</v>
      </c>
      <c r="D2" s="10">
        <f>SUM(B2:C2)</f>
        <v>1</v>
      </c>
      <c r="E2" s="10"/>
      <c r="F2" s="10"/>
      <c r="G2" s="10"/>
    </row>
    <row r="3" spans="1:7" ht="16" thickBot="1">
      <c r="A3" s="8" t="s">
        <v>220</v>
      </c>
      <c r="B3" s="11">
        <f>ROUND(2000*B2,0)</f>
        <v>1005</v>
      </c>
      <c r="C3" s="11">
        <f>ROUND(2000*C2,0)</f>
        <v>995</v>
      </c>
      <c r="D3" s="11">
        <f>ROUND(2000*D2,0)</f>
        <v>2000</v>
      </c>
      <c r="E3" s="10"/>
      <c r="F3" s="10"/>
      <c r="G3" s="10"/>
    </row>
    <row r="4" spans="1:7" ht="16" thickBot="1">
      <c r="A4" s="8" t="s">
        <v>221</v>
      </c>
      <c r="B4" s="11">
        <f>ROUND(2200*B2,0)</f>
        <v>1106</v>
      </c>
      <c r="C4" s="11">
        <f>ROUND(2200*C2,0)</f>
        <v>1094</v>
      </c>
      <c r="D4" s="11">
        <f>ROUND(2200*D2,0)</f>
        <v>2200</v>
      </c>
      <c r="E4" s="10"/>
      <c r="F4" s="10"/>
      <c r="G4" s="10"/>
    </row>
    <row r="5" spans="1:7">
      <c r="A5" s="12" t="s">
        <v>239</v>
      </c>
      <c r="B5" s="13"/>
      <c r="C5" s="13"/>
      <c r="D5" s="13"/>
      <c r="E5" s="10"/>
      <c r="F5" s="10"/>
      <c r="G5" s="10"/>
    </row>
    <row r="6" spans="1:7" ht="16" thickBot="1">
      <c r="A6" s="2"/>
      <c r="B6" s="10"/>
      <c r="C6" s="10"/>
      <c r="D6" s="10"/>
      <c r="E6" s="10"/>
      <c r="F6" s="10"/>
      <c r="G6" s="10"/>
    </row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6" thickBot="1">
      <c r="A8" s="8" t="s">
        <v>219</v>
      </c>
      <c r="B8" s="9">
        <v>0.1095</v>
      </c>
      <c r="C8" s="9">
        <v>0.1646</v>
      </c>
      <c r="D8" s="9">
        <v>0.2298</v>
      </c>
      <c r="E8" s="9">
        <v>0.2452</v>
      </c>
      <c r="F8" s="9">
        <v>0.251</v>
      </c>
      <c r="G8" s="10">
        <f>SUM(B8:F8)</f>
        <v>1.0001</v>
      </c>
    </row>
    <row r="9" spans="1:7" ht="16" thickBot="1">
      <c r="A9" s="8" t="s">
        <v>220</v>
      </c>
      <c r="B9" s="11">
        <f t="shared" ref="B9:G9" si="0">ROUND(2000*B8,0)</f>
        <v>219</v>
      </c>
      <c r="C9" s="11">
        <f t="shared" si="0"/>
        <v>329</v>
      </c>
      <c r="D9" s="11">
        <f t="shared" si="0"/>
        <v>460</v>
      </c>
      <c r="E9" s="11">
        <f t="shared" si="0"/>
        <v>490</v>
      </c>
      <c r="F9" s="11">
        <f t="shared" si="0"/>
        <v>502</v>
      </c>
      <c r="G9" s="11">
        <f t="shared" si="0"/>
        <v>2000</v>
      </c>
    </row>
    <row r="10" spans="1:7" ht="16" thickBot="1">
      <c r="A10" s="8" t="s">
        <v>221</v>
      </c>
      <c r="B10" s="11">
        <f t="shared" ref="B10:G10" si="1">ROUND(2200*B8,0)</f>
        <v>241</v>
      </c>
      <c r="C10" s="11">
        <f t="shared" si="1"/>
        <v>362</v>
      </c>
      <c r="D10" s="11">
        <f t="shared" si="1"/>
        <v>506</v>
      </c>
      <c r="E10" s="11">
        <f t="shared" si="1"/>
        <v>539</v>
      </c>
      <c r="F10" s="11">
        <f t="shared" si="1"/>
        <v>552</v>
      </c>
      <c r="G10" s="11">
        <f t="shared" si="1"/>
        <v>2200</v>
      </c>
    </row>
    <row r="11" spans="1:7" ht="16" thickBot="1"/>
    <row r="12" spans="1:7" ht="16" thickBot="1">
      <c r="A12" s="12" t="s">
        <v>238</v>
      </c>
      <c r="B12" s="2" t="s">
        <v>320</v>
      </c>
      <c r="C12" s="15" t="s">
        <v>321</v>
      </c>
      <c r="D12" s="15" t="s">
        <v>322</v>
      </c>
      <c r="E12" s="15" t="s">
        <v>323</v>
      </c>
      <c r="F12" s="10"/>
    </row>
    <row r="13" spans="1:7" ht="16" thickBot="1">
      <c r="A13" s="8" t="s">
        <v>237</v>
      </c>
      <c r="B13" s="2">
        <v>0.26340000000000002</v>
      </c>
      <c r="C13" s="2">
        <v>0.2334</v>
      </c>
      <c r="D13" s="2">
        <v>0.2782</v>
      </c>
      <c r="E13" s="2">
        <v>0.22489999999999999</v>
      </c>
      <c r="F13" s="9">
        <v>1</v>
      </c>
    </row>
    <row r="14" spans="1:7" ht="16" thickBot="1">
      <c r="A14" s="8" t="s">
        <v>220</v>
      </c>
      <c r="B14" s="11">
        <f>ROUND(2000*B13,0)</f>
        <v>527</v>
      </c>
      <c r="C14" s="11">
        <f>ROUND(2000*C13,0)</f>
        <v>467</v>
      </c>
      <c r="D14" s="11">
        <f>ROUND(2000*D13,0)</f>
        <v>556</v>
      </c>
      <c r="E14" s="11">
        <f>ROUND(2000*E13,0)</f>
        <v>450</v>
      </c>
      <c r="F14" s="11">
        <f>ROUND(2000*F13,0)</f>
        <v>2000</v>
      </c>
    </row>
    <row r="15" spans="1:7" ht="16" thickBot="1">
      <c r="A15" s="8" t="s">
        <v>221</v>
      </c>
      <c r="B15" s="11">
        <f>ROUND(2200*B13,0)</f>
        <v>579</v>
      </c>
      <c r="C15" s="11">
        <f>ROUND(2200*C13,0)</f>
        <v>513</v>
      </c>
      <c r="D15" s="11">
        <f>ROUND(2200*D13,0)</f>
        <v>612</v>
      </c>
      <c r="E15" s="11">
        <f>ROUND(2200*E13,0)</f>
        <v>495</v>
      </c>
      <c r="F15" s="11">
        <f>ROUND(2200*F13,0)</f>
        <v>2200</v>
      </c>
    </row>
    <row r="16" spans="1:7">
      <c r="A16" s="16" t="s">
        <v>239</v>
      </c>
    </row>
    <row r="18" spans="1:7" ht="16" thickBot="1">
      <c r="A18" s="12" t="s">
        <v>222</v>
      </c>
      <c r="B18" s="23" t="s">
        <v>324</v>
      </c>
      <c r="C18" s="23" t="s">
        <v>325</v>
      </c>
      <c r="D18" s="23" t="s">
        <v>326</v>
      </c>
      <c r="E18" s="23" t="s">
        <v>327</v>
      </c>
      <c r="F18" s="24" t="s">
        <v>328</v>
      </c>
    </row>
    <row r="19" spans="1:7" ht="16" thickBot="1">
      <c r="A19" s="8" t="s">
        <v>219</v>
      </c>
      <c r="B19" s="32">
        <v>0.31759999999999999</v>
      </c>
      <c r="C19" s="32">
        <v>0.2281</v>
      </c>
      <c r="D19" s="32">
        <v>0.1011</v>
      </c>
      <c r="E19" s="32">
        <v>0.14360000000000001</v>
      </c>
      <c r="F19" s="33">
        <v>0.20949999999999999</v>
      </c>
      <c r="G19" s="22">
        <f>SUM(B19:F19)</f>
        <v>0.99990000000000001</v>
      </c>
    </row>
    <row r="20" spans="1:7" ht="16" thickBot="1">
      <c r="A20" s="8" t="s">
        <v>220</v>
      </c>
      <c r="B20" s="13">
        <f>ROUND(2000*B19,0)</f>
        <v>635</v>
      </c>
      <c r="C20" s="13">
        <f>ROUND(2000*C19,0)</f>
        <v>456</v>
      </c>
      <c r="D20" s="13">
        <f>ROUND(2000*D19,0)</f>
        <v>202</v>
      </c>
      <c r="E20" s="13">
        <f>ROUND(2000*E19,0)</f>
        <v>287</v>
      </c>
      <c r="F20" s="13">
        <f>ROUND(2000*F19,0)</f>
        <v>419</v>
      </c>
      <c r="G20" s="3">
        <f>SUM(B20:F20)</f>
        <v>1999</v>
      </c>
    </row>
    <row r="21" spans="1:7" ht="16" thickBot="1">
      <c r="A21" s="8" t="s">
        <v>221</v>
      </c>
      <c r="B21" s="2">
        <f>ROUND(2200*B19,0)</f>
        <v>699</v>
      </c>
      <c r="C21" s="2">
        <f>ROUND(2200*C19,0)</f>
        <v>502</v>
      </c>
      <c r="D21" s="2">
        <f>ROUND(2200*D19,0)</f>
        <v>222</v>
      </c>
      <c r="E21" s="2">
        <f>ROUND(2200*E19,0)</f>
        <v>316</v>
      </c>
      <c r="F21" s="2">
        <f>ROUND(2200*F19,0)</f>
        <v>461</v>
      </c>
      <c r="G21" s="3">
        <f>SUM(B21:F21)</f>
        <v>2200</v>
      </c>
    </row>
    <row r="22" spans="1:7">
      <c r="A22" s="12" t="s">
        <v>239</v>
      </c>
      <c r="B22" s="2"/>
      <c r="C22" s="2"/>
      <c r="D22" s="2"/>
      <c r="E22" s="14"/>
    </row>
    <row r="24" spans="1:7" ht="16" thickBot="1">
      <c r="A24" s="16" t="s">
        <v>340</v>
      </c>
      <c r="B24" t="s">
        <v>341</v>
      </c>
      <c r="C24" t="s">
        <v>342</v>
      </c>
    </row>
    <row r="25" spans="1:7" ht="16" thickBot="1">
      <c r="A25" s="8" t="s">
        <v>219</v>
      </c>
      <c r="B25">
        <v>0.4703</v>
      </c>
      <c r="C25">
        <v>0.52969999999999995</v>
      </c>
      <c r="D25" s="22">
        <f>SUM(B25:C25)</f>
        <v>1</v>
      </c>
    </row>
    <row r="26" spans="1:7" ht="16" thickBot="1">
      <c r="A26" s="8" t="s">
        <v>220</v>
      </c>
      <c r="B26">
        <f>ROUND(2000*B25,0)</f>
        <v>941</v>
      </c>
      <c r="C26">
        <f>ROUND(2000*C25,0)</f>
        <v>1059</v>
      </c>
      <c r="D26">
        <f>SUM(B26:C26)</f>
        <v>2000</v>
      </c>
    </row>
    <row r="27" spans="1:7" ht="16" thickBot="1">
      <c r="A27" s="8" t="s">
        <v>221</v>
      </c>
      <c r="B27">
        <f>ROUND(2200*B25,0)</f>
        <v>1035</v>
      </c>
      <c r="C27">
        <f>ROUND(2200*C25,0)</f>
        <v>1165</v>
      </c>
      <c r="D27">
        <f>SUM(B27:C27)</f>
        <v>2200</v>
      </c>
    </row>
    <row r="28" spans="1:7">
      <c r="A28" s="12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9"/>
  <sheetViews>
    <sheetView workbookViewId="0">
      <selection activeCell="A14" sqref="A14:G17"/>
    </sheetView>
  </sheetViews>
  <sheetFormatPr baseColWidth="10" defaultColWidth="8.83203125" defaultRowHeight="15"/>
  <cols>
    <col min="1" max="1" width="16.6640625" customWidth="1"/>
    <col min="2" max="2" width="10.33203125" customWidth="1"/>
    <col min="3" max="3" width="11.5" customWidth="1"/>
    <col min="5" max="5" width="9.6640625" customWidth="1"/>
  </cols>
  <sheetData>
    <row r="1" spans="1:12" ht="16" thickBot="1">
      <c r="A1" s="12" t="s">
        <v>280</v>
      </c>
      <c r="B1" s="13" t="s">
        <v>26</v>
      </c>
      <c r="C1" s="13" t="s">
        <v>281</v>
      </c>
      <c r="D1" s="13" t="s">
        <v>282</v>
      </c>
      <c r="E1" s="13" t="s">
        <v>283</v>
      </c>
      <c r="F1" s="13" t="s">
        <v>284</v>
      </c>
      <c r="G1" s="13"/>
      <c r="H1" s="13"/>
      <c r="I1" s="13"/>
      <c r="J1" s="13"/>
      <c r="K1" s="13"/>
      <c r="L1" s="2"/>
    </row>
    <row r="2" spans="1:12" ht="16" thickBot="1">
      <c r="A2" s="8" t="s">
        <v>219</v>
      </c>
      <c r="B2" s="14">
        <v>0.18920000000000001</v>
      </c>
      <c r="C2" s="14">
        <f>0.1024+0.098014</f>
        <v>0.20041400000000001</v>
      </c>
      <c r="D2" s="14">
        <f>0.1278+0.09188</f>
        <v>0.21967999999999999</v>
      </c>
      <c r="E2" s="14">
        <f>0.1398</f>
        <v>0.13980000000000001</v>
      </c>
      <c r="F2" s="14">
        <f>0.0779+0.1238+0.04396+0.00531</f>
        <v>0.25096999999999997</v>
      </c>
      <c r="G2" s="14">
        <f>SUM(B2:F2)</f>
        <v>1.0000640000000001</v>
      </c>
      <c r="H2" s="13"/>
      <c r="I2" s="13"/>
      <c r="J2" s="13"/>
      <c r="K2" s="13"/>
      <c r="L2" s="2"/>
    </row>
    <row r="3" spans="1:12" ht="16" thickBot="1">
      <c r="A3" s="8" t="s">
        <v>220</v>
      </c>
      <c r="B3" s="13">
        <f>ROUND(2000*B2,0)</f>
        <v>378</v>
      </c>
      <c r="C3" s="13">
        <f>ROUND(2000*C2,0)</f>
        <v>401</v>
      </c>
      <c r="D3" s="13">
        <f>ROUND(2000*D2,0)</f>
        <v>439</v>
      </c>
      <c r="E3" s="13">
        <f>ROUND(2000*E2,0)</f>
        <v>280</v>
      </c>
      <c r="F3" s="13">
        <f>ROUND(2000*F2,0)</f>
        <v>502</v>
      </c>
      <c r="G3" s="13">
        <f>SUM(B3:F3)</f>
        <v>2000</v>
      </c>
      <c r="H3" s="13"/>
      <c r="I3" s="13"/>
      <c r="J3" s="13"/>
      <c r="K3" s="13"/>
      <c r="L3" s="2"/>
    </row>
    <row r="4" spans="1:12" ht="16" thickBot="1">
      <c r="A4" s="8" t="s">
        <v>221</v>
      </c>
      <c r="B4" s="2">
        <f>ROUND(2200*B2,0)</f>
        <v>416</v>
      </c>
      <c r="C4" s="2">
        <f>ROUND(2200*C2,0)</f>
        <v>441</v>
      </c>
      <c r="D4" s="2">
        <f>ROUND(2200*D2,0)</f>
        <v>483</v>
      </c>
      <c r="E4" s="2">
        <f>ROUND(2200*E2,0)</f>
        <v>308</v>
      </c>
      <c r="F4" s="2">
        <f>ROUND(2200*F2,0)</f>
        <v>552</v>
      </c>
      <c r="G4" s="13">
        <f>SUM(B4:F4)</f>
        <v>2200</v>
      </c>
      <c r="H4" s="13"/>
      <c r="I4" s="13"/>
      <c r="J4" s="13"/>
      <c r="K4" s="13"/>
      <c r="L4" s="2"/>
    </row>
    <row r="5" spans="1:12">
      <c r="A5" s="12" t="s">
        <v>239</v>
      </c>
      <c r="B5" s="2"/>
      <c r="C5" s="2"/>
      <c r="D5" s="2"/>
      <c r="E5" s="2"/>
      <c r="F5" s="2"/>
      <c r="G5" s="13"/>
      <c r="H5" s="13"/>
      <c r="I5" s="13"/>
      <c r="J5" s="13"/>
      <c r="K5" s="13"/>
      <c r="L5" s="2"/>
    </row>
    <row r="6" spans="1:12" ht="0.5" customHeight="1">
      <c r="A6" s="2"/>
      <c r="B6" s="10"/>
      <c r="C6" s="10"/>
      <c r="D6" s="10"/>
      <c r="E6" s="10"/>
      <c r="F6" s="10"/>
      <c r="G6" s="10"/>
      <c r="H6" s="10"/>
      <c r="I6" s="10"/>
      <c r="J6" s="10"/>
      <c r="K6" s="2"/>
      <c r="L6" s="2"/>
    </row>
    <row r="7" spans="1:12" ht="16" thickBot="1">
      <c r="H7" s="10"/>
      <c r="I7" s="10"/>
      <c r="J7" s="10"/>
      <c r="K7" s="2"/>
      <c r="L7" s="2"/>
    </row>
    <row r="8" spans="1:12" ht="16" thickBot="1">
      <c r="A8" s="12" t="s">
        <v>223</v>
      </c>
      <c r="B8" s="15" t="s">
        <v>224</v>
      </c>
      <c r="C8" s="15" t="s">
        <v>225</v>
      </c>
      <c r="D8" s="10"/>
      <c r="E8" s="10"/>
      <c r="F8" s="10"/>
      <c r="G8" s="10"/>
      <c r="H8" s="10"/>
      <c r="I8" s="10"/>
      <c r="J8" s="10"/>
      <c r="K8" s="2"/>
      <c r="L8" s="2"/>
    </row>
    <row r="9" spans="1:12" ht="16" thickBot="1">
      <c r="A9" s="8" t="s">
        <v>219</v>
      </c>
      <c r="B9" s="9">
        <v>0.51600000000000001</v>
      </c>
      <c r="C9" s="9">
        <v>0.48399999999999999</v>
      </c>
      <c r="D9" s="10">
        <f>SUM(B9:C9)</f>
        <v>1</v>
      </c>
      <c r="E9" s="10"/>
      <c r="F9" s="10"/>
      <c r="G9" s="10"/>
      <c r="H9" s="10"/>
      <c r="I9" s="10"/>
      <c r="J9" s="10"/>
      <c r="K9" s="2"/>
      <c r="L9" s="2"/>
    </row>
    <row r="10" spans="1:12" ht="16" thickBot="1">
      <c r="A10" s="8" t="s">
        <v>220</v>
      </c>
      <c r="B10" s="11">
        <f>ROUND(2000*B9,0)</f>
        <v>1032</v>
      </c>
      <c r="C10" s="11">
        <f>ROUND(2000*C9,0)</f>
        <v>968</v>
      </c>
      <c r="D10" s="11">
        <f>ROUND(2000*D9,0)</f>
        <v>2000</v>
      </c>
      <c r="E10" s="10"/>
      <c r="F10" s="10"/>
      <c r="G10" s="10"/>
      <c r="H10" s="10"/>
      <c r="I10" s="10"/>
      <c r="J10" s="10"/>
      <c r="K10" s="2"/>
      <c r="L10" s="2"/>
    </row>
    <row r="11" spans="1:12" ht="16" thickBot="1">
      <c r="A11" s="8" t="s">
        <v>221</v>
      </c>
      <c r="B11" s="11">
        <f>ROUND(2200*B9,0)</f>
        <v>1135</v>
      </c>
      <c r="C11" s="11">
        <f>ROUND(2200*C9,0)</f>
        <v>1065</v>
      </c>
      <c r="D11" s="11">
        <f>ROUND(2200*D9,0)</f>
        <v>2200</v>
      </c>
      <c r="E11" s="10"/>
      <c r="F11" s="10"/>
      <c r="G11" s="10"/>
      <c r="H11" s="10"/>
      <c r="I11" s="10"/>
      <c r="J11" s="10"/>
      <c r="K11" s="2"/>
      <c r="L11" s="2"/>
    </row>
    <row r="12" spans="1:12">
      <c r="A12" s="12" t="s">
        <v>239</v>
      </c>
      <c r="B12" s="13"/>
      <c r="C12" s="13"/>
      <c r="D12" s="13"/>
      <c r="E12" s="10"/>
      <c r="F12" s="10"/>
      <c r="G12" s="10"/>
      <c r="H12" s="10"/>
      <c r="I12" s="10"/>
      <c r="J12" s="10"/>
      <c r="K12" s="2"/>
      <c r="L12" s="2"/>
    </row>
    <row r="13" spans="1:12" ht="16" thickBot="1">
      <c r="A13" s="2"/>
      <c r="B13" s="10"/>
      <c r="C13" s="10"/>
      <c r="D13" s="10"/>
      <c r="E13" s="10"/>
      <c r="F13" s="10"/>
      <c r="G13" s="10"/>
      <c r="H13" s="10"/>
      <c r="I13" s="10"/>
      <c r="J13" s="10"/>
      <c r="K13" s="2"/>
      <c r="L13" s="2"/>
    </row>
    <row r="14" spans="1:12" ht="16" thickBot="1">
      <c r="A14" s="12" t="s">
        <v>226</v>
      </c>
      <c r="B14" s="15" t="s">
        <v>227</v>
      </c>
      <c r="C14" s="15" t="s">
        <v>228</v>
      </c>
      <c r="D14" s="15" t="s">
        <v>229</v>
      </c>
      <c r="E14" s="15" t="s">
        <v>230</v>
      </c>
      <c r="F14" s="15" t="s">
        <v>231</v>
      </c>
      <c r="G14" s="10"/>
      <c r="H14" s="10"/>
      <c r="I14" s="10"/>
      <c r="J14" s="10"/>
      <c r="K14" s="2"/>
      <c r="L14" s="2"/>
    </row>
    <row r="15" spans="1:12" ht="16" thickBot="1">
      <c r="A15" s="8" t="s">
        <v>219</v>
      </c>
      <c r="B15" s="9">
        <v>0.12</v>
      </c>
      <c r="C15" s="9">
        <v>0.15</v>
      </c>
      <c r="D15" s="9">
        <v>0.24</v>
      </c>
      <c r="E15" s="9">
        <v>0.24</v>
      </c>
      <c r="F15" s="9">
        <v>0.25</v>
      </c>
      <c r="G15" s="10">
        <f>SUM(B15:F15)</f>
        <v>1</v>
      </c>
      <c r="H15" s="10"/>
      <c r="I15" s="10"/>
      <c r="J15" s="10"/>
      <c r="K15" s="2"/>
      <c r="L15" s="2"/>
    </row>
    <row r="16" spans="1:12" ht="16" thickBot="1">
      <c r="A16" s="8" t="s">
        <v>220</v>
      </c>
      <c r="B16" s="11">
        <f t="shared" ref="B16:G16" si="0">ROUND(2000*B15,0)</f>
        <v>240</v>
      </c>
      <c r="C16" s="11">
        <f t="shared" si="0"/>
        <v>300</v>
      </c>
      <c r="D16" s="11">
        <f t="shared" si="0"/>
        <v>480</v>
      </c>
      <c r="E16" s="11">
        <f t="shared" si="0"/>
        <v>480</v>
      </c>
      <c r="F16" s="11">
        <f t="shared" si="0"/>
        <v>500</v>
      </c>
      <c r="G16" s="11">
        <f t="shared" si="0"/>
        <v>2000</v>
      </c>
      <c r="H16" s="10"/>
      <c r="I16" s="10"/>
      <c r="J16" s="10"/>
      <c r="K16" s="2"/>
      <c r="L16" s="2"/>
    </row>
    <row r="17" spans="1:12" ht="16" thickBot="1">
      <c r="A17" s="8" t="s">
        <v>221</v>
      </c>
      <c r="B17" s="11">
        <f t="shared" ref="B17:G17" si="1">ROUND(2200*B15,0)</f>
        <v>264</v>
      </c>
      <c r="C17" s="11">
        <f t="shared" si="1"/>
        <v>330</v>
      </c>
      <c r="D17" s="11">
        <f t="shared" si="1"/>
        <v>528</v>
      </c>
      <c r="E17" s="11">
        <f t="shared" si="1"/>
        <v>528</v>
      </c>
      <c r="F17" s="11">
        <f t="shared" si="1"/>
        <v>550</v>
      </c>
      <c r="G17" s="11">
        <f t="shared" si="1"/>
        <v>2200</v>
      </c>
      <c r="H17" s="10"/>
      <c r="I17" s="10"/>
      <c r="J17" s="10"/>
      <c r="K17" s="2"/>
      <c r="L17" s="2"/>
    </row>
    <row r="18" spans="1:12">
      <c r="A18" s="12" t="s">
        <v>239</v>
      </c>
      <c r="B18" s="13"/>
      <c r="C18" s="13"/>
      <c r="D18" s="13"/>
      <c r="E18" s="13"/>
      <c r="F18" s="13"/>
      <c r="G18" s="13"/>
      <c r="H18" s="10"/>
      <c r="I18" s="10"/>
      <c r="J18" s="10"/>
      <c r="K18" s="2"/>
      <c r="L18" s="2"/>
    </row>
    <row r="19" spans="1:12" ht="16" thickBot="1">
      <c r="A19" s="2"/>
      <c r="B19" s="10"/>
      <c r="C19" s="10"/>
      <c r="D19" s="10"/>
      <c r="E19" s="10"/>
      <c r="F19" s="10"/>
      <c r="G19" s="10"/>
      <c r="H19" s="10"/>
      <c r="I19" s="10"/>
      <c r="J19" s="10"/>
      <c r="K19" s="2"/>
      <c r="L19" s="2"/>
    </row>
    <row r="20" spans="1:12" ht="30" thickBot="1">
      <c r="A20" s="12" t="s">
        <v>232</v>
      </c>
      <c r="B20" s="15" t="s">
        <v>233</v>
      </c>
      <c r="C20" s="15" t="s">
        <v>234</v>
      </c>
      <c r="D20" s="15" t="s">
        <v>235</v>
      </c>
      <c r="E20" s="15" t="s">
        <v>236</v>
      </c>
      <c r="F20" s="10"/>
      <c r="G20" s="10"/>
      <c r="H20" s="10"/>
      <c r="I20" s="10"/>
      <c r="J20" s="10"/>
      <c r="K20" s="2"/>
      <c r="L20" s="2"/>
    </row>
    <row r="21" spans="1:12" ht="16" thickBot="1">
      <c r="A21" s="8" t="s">
        <v>237</v>
      </c>
      <c r="B21" s="9">
        <v>0.30099999999999999</v>
      </c>
      <c r="C21" s="9">
        <v>0.246</v>
      </c>
      <c r="D21" s="9">
        <v>0.16800000000000001</v>
      </c>
      <c r="E21" s="9">
        <v>0.28499999999999998</v>
      </c>
      <c r="F21" s="9">
        <v>1</v>
      </c>
      <c r="G21" s="10"/>
      <c r="H21" s="10"/>
      <c r="I21" s="10"/>
      <c r="J21" s="10"/>
      <c r="K21" s="2"/>
      <c r="L21" s="2"/>
    </row>
    <row r="22" spans="1:12" ht="16" thickBot="1">
      <c r="A22" s="8" t="s">
        <v>220</v>
      </c>
      <c r="B22" s="11">
        <f>ROUND(2000*B21,0)</f>
        <v>602</v>
      </c>
      <c r="C22" s="11">
        <f>ROUND(2000*C21,0)</f>
        <v>492</v>
      </c>
      <c r="D22" s="11">
        <f>ROUND(2000*D21,0)</f>
        <v>336</v>
      </c>
      <c r="E22" s="11">
        <f>ROUND(2000*E21,0)</f>
        <v>570</v>
      </c>
      <c r="F22" s="11">
        <f>ROUND(2000*F21,0)</f>
        <v>2000</v>
      </c>
      <c r="G22" s="10"/>
      <c r="H22" s="10"/>
      <c r="I22" s="10"/>
      <c r="J22" s="10"/>
      <c r="K22" s="2"/>
      <c r="L22" s="2"/>
    </row>
    <row r="23" spans="1:12" ht="16" thickBot="1">
      <c r="A23" s="8" t="s">
        <v>221</v>
      </c>
      <c r="B23" s="11">
        <f>ROUND(2200*B21,0)</f>
        <v>662</v>
      </c>
      <c r="C23" s="11">
        <f>ROUND(2200*C21,0)</f>
        <v>541</v>
      </c>
      <c r="D23" s="11">
        <f>ROUND(2200*D21,0)</f>
        <v>370</v>
      </c>
      <c r="E23" s="11">
        <f>ROUND(2200*E21,0)</f>
        <v>627</v>
      </c>
      <c r="F23" s="11">
        <f>ROUND(2200*F21,0)</f>
        <v>2200</v>
      </c>
      <c r="G23" s="10"/>
      <c r="H23" s="10"/>
      <c r="I23" s="10"/>
      <c r="J23" s="10"/>
      <c r="K23" s="2"/>
      <c r="L23" s="2"/>
    </row>
    <row r="24" spans="1:12" ht="16" thickBot="1">
      <c r="A24" s="12" t="s">
        <v>239</v>
      </c>
      <c r="B24" s="9"/>
      <c r="C24" s="9"/>
      <c r="D24" s="9"/>
      <c r="E24" s="9"/>
      <c r="F24" s="9"/>
    </row>
    <row r="25" spans="1:12" ht="16" thickBot="1">
      <c r="A25" s="8"/>
      <c r="B25" s="11"/>
      <c r="C25" s="11"/>
      <c r="D25" s="11"/>
      <c r="E25" s="11"/>
      <c r="F25" s="11"/>
    </row>
    <row r="26" spans="1:12" ht="16.5" customHeight="1" thickBot="1">
      <c r="A26" s="12" t="s">
        <v>513</v>
      </c>
      <c r="B26" s="15" t="s">
        <v>510</v>
      </c>
      <c r="C26" s="11" t="s">
        <v>511</v>
      </c>
      <c r="D26" s="15" t="s">
        <v>512</v>
      </c>
      <c r="E26" s="15"/>
      <c r="F26" s="15"/>
      <c r="G26" s="10"/>
    </row>
    <row r="27" spans="1:12" ht="16" thickBot="1">
      <c r="A27" s="8" t="s">
        <v>219</v>
      </c>
      <c r="B27" s="9">
        <v>0.59475129999999998</v>
      </c>
      <c r="C27" s="9">
        <v>0.1836103</v>
      </c>
      <c r="D27" s="9">
        <v>0.22163840000000001</v>
      </c>
      <c r="E27" s="10">
        <f>SUM(B27:D27)</f>
        <v>1</v>
      </c>
      <c r="F27" s="9"/>
    </row>
    <row r="28" spans="1:12" ht="16" thickBot="1">
      <c r="A28" s="8" t="s">
        <v>220</v>
      </c>
      <c r="B28" s="11">
        <f t="shared" ref="B28:D28" si="2">ROUND(2000*B27,0)</f>
        <v>1190</v>
      </c>
      <c r="C28" s="11">
        <f t="shared" si="2"/>
        <v>367</v>
      </c>
      <c r="D28" s="11">
        <f t="shared" si="2"/>
        <v>443</v>
      </c>
      <c r="E28" s="29">
        <f t="shared" ref="E28:E31" si="3">SUM(B28:D28)</f>
        <v>2000</v>
      </c>
      <c r="F28" s="11"/>
    </row>
    <row r="29" spans="1:12" ht="16" thickBot="1">
      <c r="A29" s="8" t="s">
        <v>517</v>
      </c>
      <c r="B29" s="13">
        <v>100</v>
      </c>
      <c r="C29" s="13">
        <v>32</v>
      </c>
      <c r="D29" s="13">
        <v>21</v>
      </c>
      <c r="E29" s="29">
        <f t="shared" si="3"/>
        <v>153</v>
      </c>
      <c r="F29" s="13"/>
    </row>
    <row r="30" spans="1:12" ht="16" thickBot="1">
      <c r="A30" s="8" t="s">
        <v>516</v>
      </c>
      <c r="B30" s="13">
        <f>B28-B29</f>
        <v>1090</v>
      </c>
      <c r="C30" s="13">
        <f t="shared" ref="C30:E30" si="4">C28-C29</f>
        <v>335</v>
      </c>
      <c r="D30" s="13">
        <f t="shared" si="4"/>
        <v>422</v>
      </c>
      <c r="E30" s="13">
        <f t="shared" si="4"/>
        <v>1847</v>
      </c>
      <c r="F30" s="13"/>
    </row>
    <row r="31" spans="1:12" ht="30" thickBot="1">
      <c r="A31" s="8" t="s">
        <v>518</v>
      </c>
      <c r="B31" s="13">
        <f>ROUND(2200*B27,0)-B29</f>
        <v>1208</v>
      </c>
      <c r="C31" s="13">
        <f t="shared" ref="C31:D31" si="5">ROUND(2200*C27,0)-C29</f>
        <v>372</v>
      </c>
      <c r="D31" s="13">
        <f t="shared" si="5"/>
        <v>467</v>
      </c>
      <c r="E31" s="29">
        <f t="shared" si="3"/>
        <v>2047</v>
      </c>
      <c r="F31" s="13"/>
    </row>
    <row r="32" spans="1:12">
      <c r="A32" s="12" t="s">
        <v>239</v>
      </c>
      <c r="B32" s="13"/>
      <c r="C32" s="13"/>
      <c r="D32" s="13"/>
      <c r="E32" s="13"/>
      <c r="F32" s="13"/>
      <c r="G32" s="13"/>
    </row>
    <row r="36" spans="1:10" ht="16" thickBot="1">
      <c r="A36" s="1" t="s">
        <v>514</v>
      </c>
    </row>
    <row r="37" spans="1:10" ht="30" thickBot="1">
      <c r="A37" s="8" t="s">
        <v>210</v>
      </c>
      <c r="B37" s="8" t="s">
        <v>211</v>
      </c>
      <c r="C37" s="8" t="s">
        <v>212</v>
      </c>
      <c r="D37" s="8" t="s">
        <v>213</v>
      </c>
      <c r="E37" s="8" t="s">
        <v>214</v>
      </c>
      <c r="F37" s="8" t="s">
        <v>215</v>
      </c>
      <c r="G37" s="8" t="s">
        <v>216</v>
      </c>
      <c r="H37" s="8" t="s">
        <v>217</v>
      </c>
      <c r="I37" s="8" t="s">
        <v>218</v>
      </c>
      <c r="J37" s="2"/>
    </row>
    <row r="38" spans="1:10" ht="16" thickBot="1">
      <c r="A38" s="8" t="s">
        <v>219</v>
      </c>
      <c r="B38" s="9">
        <v>8.0000000000000002E-3</v>
      </c>
      <c r="C38" s="9">
        <v>3.5000000000000003E-2</v>
      </c>
      <c r="D38" s="9">
        <v>0.10100000000000001</v>
      </c>
      <c r="E38" s="9">
        <v>0.13600000000000001</v>
      </c>
      <c r="F38" s="9">
        <v>0.15</v>
      </c>
      <c r="G38" s="9">
        <v>0.114</v>
      </c>
      <c r="H38" s="9">
        <v>0.32500000000000001</v>
      </c>
      <c r="I38" s="9">
        <v>0.129</v>
      </c>
      <c r="J38" s="10">
        <f>SUM(B38:I38)</f>
        <v>0.998</v>
      </c>
    </row>
    <row r="39" spans="1:10" ht="16" thickBot="1">
      <c r="A39" s="8" t="s">
        <v>220</v>
      </c>
      <c r="B39" s="11">
        <f>ROUND(2000*B38,0)</f>
        <v>16</v>
      </c>
      <c r="C39" s="11">
        <f t="shared" ref="C39:J39" si="6">ROUND(2000*C38,0)</f>
        <v>70</v>
      </c>
      <c r="D39" s="11">
        <f t="shared" si="6"/>
        <v>202</v>
      </c>
      <c r="E39" s="11">
        <f t="shared" si="6"/>
        <v>272</v>
      </c>
      <c r="F39" s="11">
        <f t="shared" si="6"/>
        <v>300</v>
      </c>
      <c r="G39" s="11">
        <f t="shared" si="6"/>
        <v>228</v>
      </c>
      <c r="H39" s="11">
        <f t="shared" si="6"/>
        <v>650</v>
      </c>
      <c r="I39" s="11">
        <f t="shared" si="6"/>
        <v>258</v>
      </c>
      <c r="J39" s="11">
        <f t="shared" si="6"/>
        <v>1996</v>
      </c>
    </row>
    <row r="40" spans="1:10" ht="16" thickBot="1">
      <c r="A40" s="8" t="s">
        <v>221</v>
      </c>
      <c r="B40" s="11">
        <f>ROUND(2200*B38,0)</f>
        <v>18</v>
      </c>
      <c r="C40" s="11">
        <f t="shared" ref="C40:J40" si="7">ROUND(2200*C38,0)</f>
        <v>77</v>
      </c>
      <c r="D40" s="11">
        <f t="shared" si="7"/>
        <v>222</v>
      </c>
      <c r="E40" s="11">
        <f t="shared" si="7"/>
        <v>299</v>
      </c>
      <c r="F40" s="11">
        <f t="shared" si="7"/>
        <v>330</v>
      </c>
      <c r="G40" s="11">
        <f t="shared" si="7"/>
        <v>251</v>
      </c>
      <c r="H40" s="11">
        <f t="shared" si="7"/>
        <v>715</v>
      </c>
      <c r="I40" s="11">
        <f t="shared" si="7"/>
        <v>284</v>
      </c>
      <c r="J40" s="11">
        <f t="shared" si="7"/>
        <v>2196</v>
      </c>
    </row>
    <row r="41" spans="1:10">
      <c r="A41" s="12" t="s">
        <v>239</v>
      </c>
      <c r="B41" s="13"/>
      <c r="C41" s="13"/>
      <c r="D41" s="13"/>
      <c r="E41" s="13"/>
      <c r="F41" s="13"/>
      <c r="G41" s="13"/>
      <c r="H41" s="13"/>
      <c r="I41" s="13"/>
      <c r="J41" s="13"/>
    </row>
    <row r="42" spans="1:10">
      <c r="A42" s="2"/>
      <c r="B42" s="10"/>
      <c r="C42" s="10"/>
      <c r="D42" s="10"/>
      <c r="E42" s="10"/>
      <c r="F42" s="10"/>
      <c r="G42" s="10"/>
      <c r="H42" s="10"/>
      <c r="I42" s="10"/>
      <c r="J42" s="10"/>
    </row>
    <row r="43" spans="1:10" ht="16" thickBot="1">
      <c r="A43" s="1" t="s">
        <v>514</v>
      </c>
    </row>
    <row r="44" spans="1:10" ht="16" thickBot="1">
      <c r="A44" s="12" t="s">
        <v>285</v>
      </c>
      <c r="B44" s="15" t="s">
        <v>286</v>
      </c>
      <c r="C44" s="11" t="s">
        <v>508</v>
      </c>
      <c r="D44" s="15" t="s">
        <v>506</v>
      </c>
      <c r="E44" s="15" t="s">
        <v>507</v>
      </c>
      <c r="F44" s="15" t="s">
        <v>287</v>
      </c>
      <c r="G44" s="10"/>
    </row>
    <row r="45" spans="1:10" ht="16" thickBot="1">
      <c r="A45" s="8" t="s">
        <v>219</v>
      </c>
      <c r="B45" s="9">
        <v>0.21659999999999999</v>
      </c>
      <c r="C45" s="9">
        <v>0.17100000000000001</v>
      </c>
      <c r="D45" s="9">
        <v>0.14080000000000001</v>
      </c>
      <c r="E45" s="9">
        <v>0.30830000000000002</v>
      </c>
      <c r="F45" s="9">
        <v>0.1633</v>
      </c>
      <c r="G45" s="10">
        <f>SUM(B45:F45)</f>
        <v>1</v>
      </c>
    </row>
    <row r="46" spans="1:10" ht="16" thickBot="1">
      <c r="A46" s="8" t="s">
        <v>220</v>
      </c>
      <c r="B46" s="11">
        <f t="shared" ref="B46:G46" si="8">ROUND(2000*B45,0)</f>
        <v>433</v>
      </c>
      <c r="C46" s="11">
        <f t="shared" si="8"/>
        <v>342</v>
      </c>
      <c r="D46" s="11">
        <f t="shared" si="8"/>
        <v>282</v>
      </c>
      <c r="E46" s="11">
        <f t="shared" si="8"/>
        <v>617</v>
      </c>
      <c r="F46" s="11">
        <f t="shared" si="8"/>
        <v>327</v>
      </c>
      <c r="G46" s="11">
        <f t="shared" si="8"/>
        <v>2000</v>
      </c>
    </row>
    <row r="47" spans="1:10" ht="16" thickBot="1">
      <c r="A47" s="8" t="s">
        <v>221</v>
      </c>
      <c r="B47" s="13">
        <f>ROUND(2200*B45,0)</f>
        <v>477</v>
      </c>
      <c r="C47" s="13">
        <f t="shared" ref="C47:G47" si="9">ROUND(2200*C45,0)</f>
        <v>376</v>
      </c>
      <c r="D47" s="13">
        <f t="shared" si="9"/>
        <v>310</v>
      </c>
      <c r="E47" s="13">
        <f t="shared" si="9"/>
        <v>678</v>
      </c>
      <c r="F47" s="13">
        <f t="shared" si="9"/>
        <v>359</v>
      </c>
      <c r="G47" s="13">
        <f t="shared" si="9"/>
        <v>2200</v>
      </c>
    </row>
    <row r="48" spans="1:10">
      <c r="A48" s="12" t="s">
        <v>239</v>
      </c>
      <c r="B48" s="13"/>
      <c r="C48" s="13"/>
      <c r="D48" s="13"/>
      <c r="E48" s="13"/>
      <c r="F48" s="13"/>
      <c r="G48" s="13"/>
    </row>
    <row r="49" spans="1:7">
      <c r="A49" s="2"/>
      <c r="B49" s="10"/>
      <c r="C49" s="10"/>
      <c r="D49" s="10"/>
      <c r="E49" s="10"/>
      <c r="F49" s="10"/>
      <c r="G49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"/>
  <sheetViews>
    <sheetView workbookViewId="0">
      <selection activeCell="B9" sqref="B9"/>
    </sheetView>
  </sheetViews>
  <sheetFormatPr baseColWidth="10" defaultColWidth="8.83203125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30" thickBot="1">
      <c r="A2" s="8" t="s">
        <v>219</v>
      </c>
      <c r="B2" s="9">
        <f>1/(1+F3)</f>
        <v>0.51209168827367724</v>
      </c>
      <c r="C2" s="9">
        <f>F3/(1+F3)</f>
        <v>0.48790831172632282</v>
      </c>
      <c r="D2" s="10">
        <f>SUM(B2:C2)</f>
        <v>1</v>
      </c>
      <c r="E2" s="10"/>
      <c r="F2" s="10" t="s">
        <v>561</v>
      </c>
    </row>
    <row r="3" spans="1:7" ht="16" thickBot="1">
      <c r="A3" s="8" t="s">
        <v>220</v>
      </c>
      <c r="B3" s="11">
        <f>ROUND(2000*B2,0)</f>
        <v>1024</v>
      </c>
      <c r="C3" s="11">
        <f>ROUND(2000*C2,0)</f>
        <v>976</v>
      </c>
      <c r="D3" s="11">
        <f>ROUND(2000*D2,0)</f>
        <v>2000</v>
      </c>
      <c r="E3" s="10"/>
      <c r="F3" s="10">
        <v>0.95277529961698948</v>
      </c>
    </row>
    <row r="4" spans="1:7" ht="30" thickBot="1">
      <c r="A4" s="8" t="s">
        <v>221</v>
      </c>
      <c r="B4" s="11">
        <f>ROUND(2200*B2,0)</f>
        <v>1127</v>
      </c>
      <c r="C4" s="11">
        <f>ROUND(2200*C2,0)</f>
        <v>1073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30" thickBot="1">
      <c r="A8" s="8" t="s">
        <v>219</v>
      </c>
      <c r="B8" s="9">
        <v>8.5032487385340152E-2</v>
      </c>
      <c r="C8" s="9">
        <v>0.15000317826692605</v>
      </c>
      <c r="D8" s="9">
        <v>0.22186747853739194</v>
      </c>
      <c r="E8" s="9">
        <v>0.27966619732270359</v>
      </c>
      <c r="F8" s="9">
        <v>0.26343065848763841</v>
      </c>
      <c r="G8" s="10">
        <f>SUM(B8:F8)</f>
        <v>1.0000000000000002</v>
      </c>
    </row>
    <row r="9" spans="1:7" ht="16" thickBot="1">
      <c r="A9" s="8" t="s">
        <v>220</v>
      </c>
      <c r="B9" s="11">
        <f t="shared" ref="B9:G9" si="0">ROUND(2000*B8,0)</f>
        <v>170</v>
      </c>
      <c r="C9" s="11">
        <f t="shared" si="0"/>
        <v>300</v>
      </c>
      <c r="D9" s="11">
        <f t="shared" si="0"/>
        <v>444</v>
      </c>
      <c r="E9" s="11">
        <f t="shared" si="0"/>
        <v>559</v>
      </c>
      <c r="F9" s="11">
        <f t="shared" si="0"/>
        <v>527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187</v>
      </c>
      <c r="C10" s="11">
        <f t="shared" si="1"/>
        <v>330</v>
      </c>
      <c r="D10" s="11">
        <f t="shared" si="1"/>
        <v>488</v>
      </c>
      <c r="E10" s="11">
        <f t="shared" si="1"/>
        <v>615</v>
      </c>
      <c r="F10" s="11">
        <f t="shared" si="1"/>
        <v>580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"/>
  <sheetViews>
    <sheetView workbookViewId="0">
      <selection activeCell="B8" sqref="B8:F8"/>
    </sheetView>
  </sheetViews>
  <sheetFormatPr baseColWidth="10" defaultColWidth="8.83203125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30" thickBot="1">
      <c r="A2" s="8" t="s">
        <v>219</v>
      </c>
      <c r="B2" s="9">
        <f>1/(1+F3)</f>
        <v>0.52409308277145628</v>
      </c>
      <c r="C2" s="9">
        <f>F3/(1+F3)</f>
        <v>0.47590691722854372</v>
      </c>
      <c r="D2" s="10">
        <f>SUM(B2:C2)</f>
        <v>1</v>
      </c>
      <c r="E2" s="10"/>
      <c r="F2" s="10" t="s">
        <v>561</v>
      </c>
    </row>
    <row r="3" spans="1:7" ht="16" thickBot="1">
      <c r="A3" s="8" t="s">
        <v>220</v>
      </c>
      <c r="B3" s="11">
        <f>ROUND(2000*B2,0)</f>
        <v>1048</v>
      </c>
      <c r="C3" s="11">
        <f>ROUND(2000*C2,0)</f>
        <v>952</v>
      </c>
      <c r="D3" s="11">
        <f>ROUND(2000*D2,0)</f>
        <v>2000</v>
      </c>
      <c r="E3" s="10"/>
      <c r="F3" s="10">
        <v>0.90805800128462044</v>
      </c>
    </row>
    <row r="4" spans="1:7" ht="30" thickBot="1">
      <c r="A4" s="8" t="s">
        <v>221</v>
      </c>
      <c r="B4" s="11">
        <f>ROUND(2200*B2,0)</f>
        <v>1153</v>
      </c>
      <c r="C4" s="11">
        <f>ROUND(2200*C2,0)</f>
        <v>1047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30" thickBot="1">
      <c r="A8" s="8" t="s">
        <v>219</v>
      </c>
      <c r="B8" s="9">
        <v>7.9952779995488915E-2</v>
      </c>
      <c r="C8" s="9">
        <v>0.12237462522799993</v>
      </c>
      <c r="D8" s="9">
        <v>0.24164701853283579</v>
      </c>
      <c r="E8" s="9">
        <v>0.27065084873707446</v>
      </c>
      <c r="F8" s="9">
        <v>0.28537472750660098</v>
      </c>
      <c r="G8" s="10">
        <f>SUM(B8:F8)</f>
        <v>1</v>
      </c>
    </row>
    <row r="9" spans="1:7" ht="16" thickBot="1">
      <c r="A9" s="8" t="s">
        <v>220</v>
      </c>
      <c r="B9" s="11">
        <f t="shared" ref="B9:G9" si="0">ROUND(2000*B8,0)</f>
        <v>160</v>
      </c>
      <c r="C9" s="11">
        <f t="shared" si="0"/>
        <v>245</v>
      </c>
      <c r="D9" s="11">
        <f t="shared" si="0"/>
        <v>483</v>
      </c>
      <c r="E9" s="11">
        <f t="shared" si="0"/>
        <v>541</v>
      </c>
      <c r="F9" s="11">
        <f t="shared" si="0"/>
        <v>571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176</v>
      </c>
      <c r="C10" s="11">
        <f t="shared" si="1"/>
        <v>269</v>
      </c>
      <c r="D10" s="11">
        <f t="shared" si="1"/>
        <v>532</v>
      </c>
      <c r="E10" s="11">
        <f t="shared" si="1"/>
        <v>595</v>
      </c>
      <c r="F10" s="11">
        <f t="shared" si="1"/>
        <v>628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1"/>
  <sheetViews>
    <sheetView workbookViewId="0">
      <selection activeCell="B8" sqref="B8:F8"/>
    </sheetView>
  </sheetViews>
  <sheetFormatPr baseColWidth="10" defaultColWidth="8.83203125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30" thickBot="1">
      <c r="A2" s="8" t="s">
        <v>219</v>
      </c>
      <c r="B2" s="9">
        <f>1/(1+F3)</f>
        <v>0.51901684851665975</v>
      </c>
      <c r="C2" s="9">
        <f>F3/(1+F3)</f>
        <v>0.48098315148334025</v>
      </c>
      <c r="D2" s="10">
        <f>SUM(B2:C2)</f>
        <v>1</v>
      </c>
      <c r="E2" s="10"/>
      <c r="F2" s="10" t="s">
        <v>561</v>
      </c>
    </row>
    <row r="3" spans="1:7" ht="16" thickBot="1">
      <c r="A3" s="8" t="s">
        <v>220</v>
      </c>
      <c r="B3" s="11">
        <f>ROUND(2000*B2,0)</f>
        <v>1038</v>
      </c>
      <c r="C3" s="11">
        <f>ROUND(2000*C2,0)</f>
        <v>962</v>
      </c>
      <c r="D3" s="11">
        <f>ROUND(2000*D2,0)</f>
        <v>2000</v>
      </c>
      <c r="E3" s="10"/>
      <c r="F3" s="10">
        <v>0.9267197256851698</v>
      </c>
    </row>
    <row r="4" spans="1:7" ht="30" thickBot="1">
      <c r="A4" s="8" t="s">
        <v>221</v>
      </c>
      <c r="B4" s="11">
        <f>ROUND(2200*B2,0)</f>
        <v>1142</v>
      </c>
      <c r="C4" s="11">
        <f>ROUND(2200*C2,0)</f>
        <v>1058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30" thickBot="1">
      <c r="A8" s="8" t="s">
        <v>219</v>
      </c>
      <c r="B8" s="9">
        <v>8.7186977295412069E-2</v>
      </c>
      <c r="C8" s="9">
        <v>0.16950329109546619</v>
      </c>
      <c r="D8" s="9">
        <v>0.28241706430402902</v>
      </c>
      <c r="E8" s="9">
        <v>0.23566356936015237</v>
      </c>
      <c r="F8" s="9">
        <v>0.22522909794494045</v>
      </c>
      <c r="G8" s="10">
        <f>SUM(B8:F8)</f>
        <v>1.0000000000000002</v>
      </c>
    </row>
    <row r="9" spans="1:7" ht="16" thickBot="1">
      <c r="A9" s="8" t="s">
        <v>220</v>
      </c>
      <c r="B9" s="11">
        <f t="shared" ref="B9:G9" si="0">ROUND(2000*B8,0)</f>
        <v>174</v>
      </c>
      <c r="C9" s="11">
        <f t="shared" si="0"/>
        <v>339</v>
      </c>
      <c r="D9" s="11">
        <f t="shared" si="0"/>
        <v>565</v>
      </c>
      <c r="E9" s="11">
        <f t="shared" si="0"/>
        <v>471</v>
      </c>
      <c r="F9" s="11">
        <f t="shared" si="0"/>
        <v>450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192</v>
      </c>
      <c r="C10" s="11">
        <f t="shared" si="1"/>
        <v>373</v>
      </c>
      <c r="D10" s="11">
        <f t="shared" si="1"/>
        <v>621</v>
      </c>
      <c r="E10" s="11">
        <f t="shared" si="1"/>
        <v>518</v>
      </c>
      <c r="F10" s="11">
        <f t="shared" si="1"/>
        <v>496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>
      <selection activeCell="B8" sqref="B8:F8"/>
    </sheetView>
  </sheetViews>
  <sheetFormatPr baseColWidth="10" defaultColWidth="8.83203125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30" thickBot="1">
      <c r="A2" s="8" t="s">
        <v>219</v>
      </c>
      <c r="B2" s="9">
        <f>1/(1+F3)</f>
        <v>0.5149429552904814</v>
      </c>
      <c r="C2" s="9">
        <f>F3/(1+F3)</f>
        <v>0.48505704470951866</v>
      </c>
      <c r="D2" s="10">
        <f>SUM(B2:C2)</f>
        <v>1</v>
      </c>
      <c r="E2" s="10"/>
      <c r="F2" s="10" t="s">
        <v>561</v>
      </c>
    </row>
    <row r="3" spans="1:7" ht="16" thickBot="1">
      <c r="A3" s="8" t="s">
        <v>220</v>
      </c>
      <c r="B3" s="11">
        <f>ROUND(2000*B2,0)</f>
        <v>1030</v>
      </c>
      <c r="C3" s="11">
        <f>ROUND(2000*C2,0)</f>
        <v>970</v>
      </c>
      <c r="D3" s="11">
        <f>ROUND(2000*D2,0)</f>
        <v>2000</v>
      </c>
      <c r="E3" s="10"/>
      <c r="F3" s="10">
        <v>0.94196267708118475</v>
      </c>
    </row>
    <row r="4" spans="1:7" ht="30" thickBot="1">
      <c r="A4" s="8" t="s">
        <v>221</v>
      </c>
      <c r="B4" s="11">
        <f>ROUND(2200*B2,0)</f>
        <v>1133</v>
      </c>
      <c r="C4" s="11">
        <f>ROUND(2200*C2,0)</f>
        <v>1067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30" thickBot="1">
      <c r="A8" s="8" t="s">
        <v>219</v>
      </c>
      <c r="B8" s="9">
        <v>0.10352435347156062</v>
      </c>
      <c r="C8" s="9">
        <v>0.15875899115699044</v>
      </c>
      <c r="D8" s="9">
        <v>0.2761165077151248</v>
      </c>
      <c r="E8" s="9">
        <v>0.27891432495522839</v>
      </c>
      <c r="F8" s="9">
        <v>0.18268582270109582</v>
      </c>
      <c r="G8" s="10">
        <f>SUM(B8:F8)</f>
        <v>1.0000000000000002</v>
      </c>
    </row>
    <row r="9" spans="1:7" ht="16" thickBot="1">
      <c r="A9" s="8" t="s">
        <v>220</v>
      </c>
      <c r="B9" s="11">
        <f t="shared" ref="B9:G9" si="0">ROUND(2000*B8,0)</f>
        <v>207</v>
      </c>
      <c r="C9" s="11">
        <f t="shared" si="0"/>
        <v>318</v>
      </c>
      <c r="D9" s="11">
        <f t="shared" si="0"/>
        <v>552</v>
      </c>
      <c r="E9" s="11">
        <f t="shared" si="0"/>
        <v>558</v>
      </c>
      <c r="F9" s="11">
        <f t="shared" si="0"/>
        <v>365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228</v>
      </c>
      <c r="C10" s="11">
        <f t="shared" si="1"/>
        <v>349</v>
      </c>
      <c r="D10" s="11">
        <f t="shared" si="1"/>
        <v>607</v>
      </c>
      <c r="E10" s="11">
        <f t="shared" si="1"/>
        <v>614</v>
      </c>
      <c r="F10" s="11">
        <f t="shared" si="1"/>
        <v>402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"/>
  <sheetViews>
    <sheetView workbookViewId="0">
      <selection activeCell="B8" sqref="B8:F8"/>
    </sheetView>
  </sheetViews>
  <sheetFormatPr baseColWidth="10" defaultColWidth="8.83203125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30" thickBot="1">
      <c r="A2" s="8" t="s">
        <v>219</v>
      </c>
      <c r="B2" s="9">
        <f>1/(1+F3)</f>
        <v>0.50415428420411779</v>
      </c>
      <c r="C2" s="9">
        <f>F3/(1+F3)</f>
        <v>0.4958457157958821</v>
      </c>
      <c r="D2" s="10">
        <f>SUM(B2:C2)</f>
        <v>0.99999999999999989</v>
      </c>
      <c r="E2" s="10"/>
      <c r="F2" s="10" t="s">
        <v>561</v>
      </c>
    </row>
    <row r="3" spans="1:7" ht="16" thickBot="1">
      <c r="A3" s="8" t="s">
        <v>220</v>
      </c>
      <c r="B3" s="11">
        <f>ROUND(2000*B2,0)</f>
        <v>1008</v>
      </c>
      <c r="C3" s="11">
        <f>ROUND(2000*C2,0)</f>
        <v>992</v>
      </c>
      <c r="D3" s="11">
        <f>ROUND(2000*D2,0)</f>
        <v>2000</v>
      </c>
      <c r="E3" s="10"/>
      <c r="F3" s="10">
        <v>0.98351979013457747</v>
      </c>
    </row>
    <row r="4" spans="1:7" ht="30" thickBot="1">
      <c r="A4" s="8" t="s">
        <v>221</v>
      </c>
      <c r="B4" s="11">
        <f>ROUND(2200*B2,0)</f>
        <v>1109</v>
      </c>
      <c r="C4" s="11">
        <f>ROUND(2200*C2,0)</f>
        <v>1091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30" thickBot="1">
      <c r="A8" s="8" t="s">
        <v>219</v>
      </c>
      <c r="B8" s="9">
        <v>0.10159127995127748</v>
      </c>
      <c r="C8" s="9">
        <v>0.16756283966052701</v>
      </c>
      <c r="D8" s="9">
        <v>0.24420109077165625</v>
      </c>
      <c r="E8" s="9">
        <v>0.24596309794558133</v>
      </c>
      <c r="F8" s="9">
        <v>0.24068169167095807</v>
      </c>
      <c r="G8" s="10">
        <f>SUM(B8:F8)</f>
        <v>1</v>
      </c>
    </row>
    <row r="9" spans="1:7" ht="16" thickBot="1">
      <c r="A9" s="8" t="s">
        <v>220</v>
      </c>
      <c r="B9" s="11">
        <f t="shared" ref="B9:G9" si="0">ROUND(2000*B8,0)</f>
        <v>203</v>
      </c>
      <c r="C9" s="11">
        <f t="shared" si="0"/>
        <v>335</v>
      </c>
      <c r="D9" s="11">
        <f t="shared" si="0"/>
        <v>488</v>
      </c>
      <c r="E9" s="11">
        <f t="shared" si="0"/>
        <v>492</v>
      </c>
      <c r="F9" s="11">
        <f t="shared" si="0"/>
        <v>481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224</v>
      </c>
      <c r="C10" s="11">
        <f t="shared" si="1"/>
        <v>369</v>
      </c>
      <c r="D10" s="11">
        <f t="shared" si="1"/>
        <v>537</v>
      </c>
      <c r="E10" s="11">
        <f t="shared" si="1"/>
        <v>541</v>
      </c>
      <c r="F10" s="11">
        <f t="shared" si="1"/>
        <v>529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1"/>
  <sheetViews>
    <sheetView workbookViewId="0">
      <selection activeCell="B8" sqref="B8:F8"/>
    </sheetView>
  </sheetViews>
  <sheetFormatPr baseColWidth="10" defaultColWidth="8.83203125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30" thickBot="1">
      <c r="A2" s="8" t="s">
        <v>219</v>
      </c>
      <c r="B2" s="9">
        <f>1/(1+F3)</f>
        <v>0.51914911814227283</v>
      </c>
      <c r="C2" s="9">
        <f>F3/(1+F3)</f>
        <v>0.48085088185772712</v>
      </c>
      <c r="D2" s="10">
        <f>SUM(B2:C2)</f>
        <v>1</v>
      </c>
      <c r="E2" s="10"/>
      <c r="F2" s="10" t="s">
        <v>561</v>
      </c>
    </row>
    <row r="3" spans="1:7" ht="16" thickBot="1">
      <c r="A3" s="8" t="s">
        <v>220</v>
      </c>
      <c r="B3" s="11">
        <f>ROUND(2000*B2,0)</f>
        <v>1038</v>
      </c>
      <c r="C3" s="11">
        <f>ROUND(2000*C2,0)</f>
        <v>962</v>
      </c>
      <c r="D3" s="11">
        <f>ROUND(2000*D2,0)</f>
        <v>2000</v>
      </c>
      <c r="E3" s="10"/>
      <c r="F3" s="10">
        <v>0.92622883301508352</v>
      </c>
    </row>
    <row r="4" spans="1:7" ht="30" thickBot="1">
      <c r="A4" s="8" t="s">
        <v>221</v>
      </c>
      <c r="B4" s="11">
        <f>ROUND(2200*B2,0)</f>
        <v>1142</v>
      </c>
      <c r="C4" s="11">
        <f>ROUND(2200*C2,0)</f>
        <v>1058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30" thickBot="1">
      <c r="A8" s="8" t="s">
        <v>219</v>
      </c>
      <c r="B8" s="9">
        <v>7.7537574259398639E-2</v>
      </c>
      <c r="C8" s="9">
        <v>0.12102414349872047</v>
      </c>
      <c r="D8" s="9">
        <v>0.24363458605206709</v>
      </c>
      <c r="E8" s="9">
        <v>0.22420400944608818</v>
      </c>
      <c r="F8" s="9">
        <v>0.33359968674372587</v>
      </c>
      <c r="G8" s="10">
        <f>SUM(B8:F8)</f>
        <v>1.0000000000000002</v>
      </c>
    </row>
    <row r="9" spans="1:7" ht="16" thickBot="1">
      <c r="A9" s="8" t="s">
        <v>220</v>
      </c>
      <c r="B9" s="11">
        <f t="shared" ref="B9:G9" si="0">ROUND(2000*B8,0)</f>
        <v>155</v>
      </c>
      <c r="C9" s="11">
        <f t="shared" si="0"/>
        <v>242</v>
      </c>
      <c r="D9" s="11">
        <f t="shared" si="0"/>
        <v>487</v>
      </c>
      <c r="E9" s="11">
        <f t="shared" si="0"/>
        <v>448</v>
      </c>
      <c r="F9" s="11">
        <f t="shared" si="0"/>
        <v>667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171</v>
      </c>
      <c r="C10" s="11">
        <f t="shared" si="1"/>
        <v>266</v>
      </c>
      <c r="D10" s="11">
        <f t="shared" si="1"/>
        <v>536</v>
      </c>
      <c r="E10" s="11">
        <f t="shared" si="1"/>
        <v>493</v>
      </c>
      <c r="F10" s="11">
        <f t="shared" si="1"/>
        <v>734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9"/>
  <sheetViews>
    <sheetView workbookViewId="0">
      <selection activeCell="B9" sqref="B9:F9"/>
    </sheetView>
  </sheetViews>
  <sheetFormatPr baseColWidth="10" defaultColWidth="8.83203125" defaultRowHeight="15"/>
  <cols>
    <col min="1" max="1" width="8.5" bestFit="1" customWidth="1"/>
  </cols>
  <sheetData>
    <row r="1" spans="1:8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  <c r="G1" s="10"/>
    </row>
    <row r="2" spans="1:8" ht="30" thickBot="1">
      <c r="A2" s="8" t="s">
        <v>219</v>
      </c>
      <c r="B2" s="9">
        <f>1/(1+F3)</f>
        <v>0.48604073678095544</v>
      </c>
      <c r="C2" s="9">
        <f>F3/(1+F3)</f>
        <v>0.5139592632190445</v>
      </c>
      <c r="D2" s="10">
        <f>SUM(B2:C2)</f>
        <v>1</v>
      </c>
      <c r="E2" s="10"/>
      <c r="F2" s="10" t="s">
        <v>561</v>
      </c>
      <c r="G2" s="10"/>
    </row>
    <row r="3" spans="1:8" ht="16" thickBot="1">
      <c r="A3" s="8" t="s">
        <v>220</v>
      </c>
      <c r="B3" s="11">
        <f>ROUND(2000*B2,0)</f>
        <v>972</v>
      </c>
      <c r="C3" s="11">
        <f>ROUND(2000*C2,0)</f>
        <v>1028</v>
      </c>
      <c r="D3" s="11">
        <f>ROUND(2000*D2,0)</f>
        <v>2000</v>
      </c>
      <c r="E3" s="10"/>
      <c r="F3" s="10">
        <v>1.057440712938988</v>
      </c>
      <c r="G3" s="10"/>
    </row>
    <row r="4" spans="1:8" ht="30" thickBot="1">
      <c r="A4" s="8" t="s">
        <v>221</v>
      </c>
      <c r="B4" s="11">
        <f>ROUND(2200*B2,0)</f>
        <v>1069</v>
      </c>
      <c r="C4" s="11">
        <f>ROUND(2200*C2,0)</f>
        <v>1131</v>
      </c>
      <c r="D4" s="11">
        <f>ROUND(2200*D2,0)</f>
        <v>2200</v>
      </c>
      <c r="E4" s="10"/>
      <c r="F4" s="10"/>
      <c r="G4" s="10"/>
    </row>
    <row r="5" spans="1:8">
      <c r="A5" s="12" t="s">
        <v>239</v>
      </c>
      <c r="B5" s="13"/>
      <c r="C5" s="13"/>
      <c r="D5" s="13"/>
      <c r="E5" s="10"/>
      <c r="F5" s="10"/>
      <c r="G5" s="10"/>
    </row>
    <row r="6" spans="1:8">
      <c r="A6" s="35"/>
      <c r="B6" s="36"/>
      <c r="C6" s="36"/>
      <c r="D6" s="36"/>
      <c r="E6" s="36"/>
      <c r="F6" s="36"/>
      <c r="G6" s="36"/>
      <c r="H6" s="37"/>
    </row>
    <row r="7" spans="1:8" ht="16" thickBot="1">
      <c r="A7" s="12"/>
      <c r="B7" s="38"/>
      <c r="C7" s="38"/>
      <c r="D7" s="38"/>
      <c r="E7" s="38"/>
      <c r="F7" s="38"/>
      <c r="G7" s="36"/>
      <c r="H7" s="37"/>
    </row>
    <row r="8" spans="1:8" ht="16" thickBot="1">
      <c r="A8" s="12" t="s">
        <v>226</v>
      </c>
      <c r="B8" s="15" t="s">
        <v>227</v>
      </c>
      <c r="C8" s="15" t="s">
        <v>228</v>
      </c>
      <c r="D8" s="15" t="s">
        <v>229</v>
      </c>
      <c r="E8" s="15" t="s">
        <v>230</v>
      </c>
      <c r="F8" s="15" t="s">
        <v>231</v>
      </c>
      <c r="G8" s="10"/>
      <c r="H8" s="37"/>
    </row>
    <row r="9" spans="1:8" ht="30" thickBot="1">
      <c r="A9" s="8" t="s">
        <v>219</v>
      </c>
      <c r="B9" s="9">
        <v>0.18353983704816287</v>
      </c>
      <c r="C9" s="9">
        <v>0.24282507436542905</v>
      </c>
      <c r="D9" s="9">
        <v>0.2889545677154407</v>
      </c>
      <c r="E9" s="9">
        <v>0.18828387827311449</v>
      </c>
      <c r="F9" s="9">
        <v>9.6396642597853091E-2</v>
      </c>
      <c r="G9" s="10">
        <f>SUM(B9:F9)</f>
        <v>1.0000000000000002</v>
      </c>
      <c r="H9" s="37"/>
    </row>
    <row r="10" spans="1:8" ht="16" thickBot="1">
      <c r="A10" s="8" t="s">
        <v>220</v>
      </c>
      <c r="B10" s="11">
        <f t="shared" ref="B10:G10" si="0">ROUND(2000*B9,0)</f>
        <v>367</v>
      </c>
      <c r="C10" s="11">
        <f t="shared" si="0"/>
        <v>486</v>
      </c>
      <c r="D10" s="11">
        <f t="shared" si="0"/>
        <v>578</v>
      </c>
      <c r="E10" s="11">
        <f t="shared" si="0"/>
        <v>377</v>
      </c>
      <c r="F10" s="11">
        <f t="shared" si="0"/>
        <v>193</v>
      </c>
      <c r="G10" s="11">
        <f t="shared" si="0"/>
        <v>2000</v>
      </c>
      <c r="H10" s="37"/>
    </row>
    <row r="11" spans="1:8" ht="30" thickBot="1">
      <c r="A11" s="8" t="s">
        <v>221</v>
      </c>
      <c r="B11" s="11">
        <f t="shared" ref="B11:G11" si="1">ROUND(2200*B9,0)</f>
        <v>404</v>
      </c>
      <c r="C11" s="11">
        <f t="shared" si="1"/>
        <v>534</v>
      </c>
      <c r="D11" s="11">
        <f t="shared" si="1"/>
        <v>636</v>
      </c>
      <c r="E11" s="11">
        <f t="shared" si="1"/>
        <v>414</v>
      </c>
      <c r="F11" s="11">
        <f t="shared" si="1"/>
        <v>212</v>
      </c>
      <c r="G11" s="11">
        <f t="shared" si="1"/>
        <v>2200</v>
      </c>
      <c r="H11" s="37"/>
    </row>
    <row r="12" spans="1:8">
      <c r="A12" s="12" t="s">
        <v>239</v>
      </c>
      <c r="B12" s="13"/>
      <c r="C12" s="13"/>
      <c r="D12" s="13"/>
      <c r="E12" s="13"/>
      <c r="F12" s="13"/>
      <c r="G12" s="13"/>
      <c r="H12" s="37"/>
    </row>
    <row r="13" spans="1:8">
      <c r="H13" s="37"/>
    </row>
    <row r="14" spans="1:8">
      <c r="A14" s="12"/>
      <c r="B14" s="13"/>
      <c r="C14" s="13"/>
      <c r="D14" s="13"/>
      <c r="E14" s="13"/>
      <c r="F14" s="13"/>
      <c r="G14" s="37"/>
      <c r="H14" s="37"/>
    </row>
    <row r="15" spans="1:8">
      <c r="A15" s="12"/>
      <c r="B15" s="13"/>
      <c r="C15" s="13"/>
      <c r="D15" s="13"/>
      <c r="E15" s="13"/>
      <c r="F15" s="13"/>
      <c r="G15" s="37"/>
      <c r="H15" s="37"/>
    </row>
    <row r="16" spans="1:8">
      <c r="A16" s="16"/>
      <c r="B16" s="37"/>
      <c r="C16" s="37"/>
      <c r="D16" s="37"/>
      <c r="E16" s="37"/>
      <c r="F16" s="37"/>
      <c r="G16" s="37"/>
      <c r="H16" s="37"/>
    </row>
    <row r="17" spans="1:8">
      <c r="A17" s="37"/>
      <c r="B17" s="37"/>
      <c r="C17" s="37"/>
      <c r="D17" s="37"/>
      <c r="E17" s="37"/>
      <c r="F17" s="37"/>
      <c r="G17" s="37"/>
      <c r="H17" s="37"/>
    </row>
    <row r="18" spans="1:8">
      <c r="A18" s="12"/>
      <c r="B18" s="23"/>
      <c r="C18" s="23"/>
      <c r="D18" s="23"/>
      <c r="E18" s="23"/>
      <c r="F18" s="39"/>
      <c r="G18" s="37"/>
      <c r="H18" s="37"/>
    </row>
    <row r="19" spans="1:8">
      <c r="A19" s="12"/>
      <c r="B19" s="32"/>
      <c r="C19" s="32"/>
      <c r="D19" s="32"/>
      <c r="E19" s="32"/>
      <c r="F19" s="33"/>
      <c r="G19" s="40"/>
      <c r="H19" s="37"/>
    </row>
    <row r="20" spans="1:8">
      <c r="A20" s="12"/>
      <c r="B20" s="13"/>
      <c r="C20" s="13"/>
      <c r="D20" s="13"/>
      <c r="E20" s="13"/>
      <c r="F20" s="13"/>
      <c r="G20" s="41"/>
      <c r="H20" s="37"/>
    </row>
    <row r="21" spans="1:8">
      <c r="A21" s="12"/>
      <c r="B21" s="35"/>
      <c r="C21" s="35"/>
      <c r="D21" s="35"/>
      <c r="E21" s="35"/>
      <c r="F21" s="35"/>
      <c r="G21" s="41"/>
      <c r="H21" s="37"/>
    </row>
    <row r="22" spans="1:8">
      <c r="A22" s="12"/>
      <c r="B22" s="35"/>
      <c r="C22" s="35"/>
      <c r="D22" s="35"/>
      <c r="E22" s="14"/>
      <c r="F22" s="37"/>
      <c r="G22" s="37"/>
      <c r="H22" s="37"/>
    </row>
    <row r="23" spans="1:8">
      <c r="A23" s="37"/>
      <c r="B23" s="37"/>
      <c r="C23" s="37"/>
      <c r="D23" s="37"/>
      <c r="E23" s="37"/>
      <c r="F23" s="37"/>
      <c r="G23" s="37"/>
      <c r="H23" s="37"/>
    </row>
    <row r="24" spans="1:8">
      <c r="A24" s="16"/>
      <c r="B24" s="37"/>
      <c r="C24" s="37"/>
      <c r="D24" s="37"/>
      <c r="E24" s="37"/>
      <c r="F24" s="37"/>
      <c r="G24" s="37"/>
      <c r="H24" s="37"/>
    </row>
    <row r="25" spans="1:8">
      <c r="A25" s="12"/>
      <c r="B25" s="37"/>
      <c r="C25" s="37"/>
      <c r="D25" s="40"/>
      <c r="E25" s="37"/>
      <c r="F25" s="37"/>
      <c r="G25" s="37"/>
      <c r="H25" s="37"/>
    </row>
    <row r="26" spans="1:8">
      <c r="A26" s="12"/>
      <c r="B26" s="37"/>
      <c r="C26" s="37"/>
      <c r="D26" s="37"/>
      <c r="E26" s="37"/>
      <c r="F26" s="37"/>
      <c r="G26" s="37"/>
      <c r="H26" s="37"/>
    </row>
    <row r="27" spans="1:8">
      <c r="A27" s="12"/>
      <c r="B27" s="37"/>
      <c r="C27" s="37"/>
      <c r="D27" s="37"/>
      <c r="E27" s="37"/>
      <c r="F27" s="37"/>
      <c r="G27" s="37"/>
      <c r="H27" s="37"/>
    </row>
    <row r="28" spans="1:8">
      <c r="A28" s="12"/>
      <c r="B28" s="37"/>
      <c r="C28" s="37"/>
      <c r="D28" s="37"/>
      <c r="E28" s="37"/>
      <c r="F28" s="37"/>
      <c r="G28" s="37"/>
      <c r="H28" s="37"/>
    </row>
    <row r="29" spans="1:8">
      <c r="A29" s="37"/>
      <c r="B29" s="37"/>
      <c r="C29" s="37"/>
      <c r="D29" s="37"/>
      <c r="E29" s="37"/>
      <c r="F29" s="37"/>
      <c r="G29" s="37"/>
      <c r="H29" s="3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1"/>
  <sheetViews>
    <sheetView workbookViewId="0">
      <selection activeCell="B8" sqref="B8:F8"/>
    </sheetView>
  </sheetViews>
  <sheetFormatPr baseColWidth="10" defaultColWidth="8.83203125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30" thickBot="1">
      <c r="A2" s="8" t="s">
        <v>219</v>
      </c>
      <c r="B2" s="9">
        <f>1/(1+F3)</f>
        <v>0.50001780620614533</v>
      </c>
      <c r="C2" s="9">
        <f>F3/(1+F3)</f>
        <v>0.49998219379385467</v>
      </c>
      <c r="D2" s="10">
        <f>SUM(B2:C2)</f>
        <v>1</v>
      </c>
      <c r="E2" s="10"/>
      <c r="F2" s="10" t="s">
        <v>561</v>
      </c>
    </row>
    <row r="3" spans="1:7" ht="16" thickBot="1">
      <c r="A3" s="8" t="s">
        <v>220</v>
      </c>
      <c r="B3" s="11">
        <f>ROUND(2000*B2,0)</f>
        <v>1000</v>
      </c>
      <c r="C3" s="11">
        <f>ROUND(2000*C2,0)</f>
        <v>1000</v>
      </c>
      <c r="D3" s="11">
        <f>ROUND(2000*D2,0)</f>
        <v>2000</v>
      </c>
      <c r="E3" s="10"/>
      <c r="F3" s="10">
        <v>0.99992877771181621</v>
      </c>
    </row>
    <row r="4" spans="1:7" ht="30" thickBot="1">
      <c r="A4" s="8" t="s">
        <v>221</v>
      </c>
      <c r="B4" s="11">
        <f>ROUND(2200*B2,0)</f>
        <v>1100</v>
      </c>
      <c r="C4" s="11">
        <f>ROUND(2200*C2,0)</f>
        <v>1100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30" thickBot="1">
      <c r="A8" s="8" t="s">
        <v>219</v>
      </c>
      <c r="B8" s="9">
        <v>0.16971230245923971</v>
      </c>
      <c r="C8" s="9">
        <v>0.22812202268499782</v>
      </c>
      <c r="D8" s="9">
        <v>0.31003297861716123</v>
      </c>
      <c r="E8" s="9">
        <v>0.20788644498076311</v>
      </c>
      <c r="F8" s="9">
        <v>8.4246251257838134E-2</v>
      </c>
      <c r="G8" s="10">
        <f>SUM(B8:F8)</f>
        <v>1</v>
      </c>
    </row>
    <row r="9" spans="1:7" ht="16" thickBot="1">
      <c r="A9" s="8" t="s">
        <v>220</v>
      </c>
      <c r="B9" s="11">
        <f t="shared" ref="B9:G9" si="0">ROUND(2000*B8,0)</f>
        <v>339</v>
      </c>
      <c r="C9" s="11">
        <f t="shared" si="0"/>
        <v>456</v>
      </c>
      <c r="D9" s="11">
        <f t="shared" si="0"/>
        <v>620</v>
      </c>
      <c r="E9" s="11">
        <f t="shared" si="0"/>
        <v>416</v>
      </c>
      <c r="F9" s="11">
        <f t="shared" si="0"/>
        <v>168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373</v>
      </c>
      <c r="C10" s="11">
        <f t="shared" si="1"/>
        <v>502</v>
      </c>
      <c r="D10" s="11">
        <f t="shared" si="1"/>
        <v>682</v>
      </c>
      <c r="E10" s="11">
        <f t="shared" si="1"/>
        <v>457</v>
      </c>
      <c r="F10" s="11">
        <f t="shared" si="1"/>
        <v>185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7A8E-9846-9646-A342-1C62E35E9E84}">
  <dimension ref="A1:G11"/>
  <sheetViews>
    <sheetView tabSelected="1" workbookViewId="0">
      <selection activeCell="K23" sqref="K23"/>
    </sheetView>
  </sheetViews>
  <sheetFormatPr baseColWidth="10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16" thickBot="1">
      <c r="A2" s="8" t="s">
        <v>219</v>
      </c>
      <c r="B2" s="9">
        <f>1/(1+F3)</f>
        <v>0.50566322232279204</v>
      </c>
      <c r="C2" s="9">
        <f>F3/(1+F3)</f>
        <v>0.49433677767720796</v>
      </c>
      <c r="D2" s="10">
        <f>SUM(B2:C2)</f>
        <v>1</v>
      </c>
      <c r="E2" s="10"/>
      <c r="F2" s="10" t="s">
        <v>561</v>
      </c>
    </row>
    <row r="3" spans="1:7" ht="16" thickBot="1">
      <c r="A3" s="8" t="s">
        <v>220</v>
      </c>
      <c r="B3" s="11">
        <f>ROUND(2000*B2,0)</f>
        <v>1011</v>
      </c>
      <c r="C3" s="11">
        <f>ROUND(2000*C2,0)</f>
        <v>989</v>
      </c>
      <c r="D3" s="11">
        <f>ROUND(2000*D2,0)</f>
        <v>2000</v>
      </c>
      <c r="E3" s="10"/>
      <c r="F3" s="10">
        <v>0.97760081385085629</v>
      </c>
    </row>
    <row r="4" spans="1:7" ht="30" thickBot="1">
      <c r="A4" s="8" t="s">
        <v>221</v>
      </c>
      <c r="B4" s="11">
        <f>ROUND(2200*B2,0)</f>
        <v>1112</v>
      </c>
      <c r="C4" s="11">
        <f>ROUND(2200*C2,0)</f>
        <v>1088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6" thickBot="1">
      <c r="A8" s="8" t="s">
        <v>219</v>
      </c>
      <c r="B8" s="9">
        <v>0.21274710794604357</v>
      </c>
      <c r="C8" s="9">
        <v>0.28487855417082691</v>
      </c>
      <c r="D8" s="9">
        <v>0.28284455395065966</v>
      </c>
      <c r="E8" s="9">
        <v>0.16141070131335164</v>
      </c>
      <c r="F8" s="9">
        <v>5.8119082619118287E-2</v>
      </c>
      <c r="G8" s="10">
        <f>SUM(B8:F8)</f>
        <v>1</v>
      </c>
    </row>
    <row r="9" spans="1:7" ht="16" thickBot="1">
      <c r="A9" s="8" t="s">
        <v>220</v>
      </c>
      <c r="B9" s="11">
        <f t="shared" ref="B9:G9" si="0">ROUND(2000*B8,0)</f>
        <v>425</v>
      </c>
      <c r="C9" s="11">
        <f t="shared" si="0"/>
        <v>570</v>
      </c>
      <c r="D9" s="11">
        <f t="shared" si="0"/>
        <v>566</v>
      </c>
      <c r="E9" s="11">
        <f t="shared" si="0"/>
        <v>323</v>
      </c>
      <c r="F9" s="11">
        <f t="shared" si="0"/>
        <v>116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468</v>
      </c>
      <c r="C10" s="11">
        <f t="shared" si="1"/>
        <v>627</v>
      </c>
      <c r="D10" s="11">
        <f t="shared" si="1"/>
        <v>622</v>
      </c>
      <c r="E10" s="11">
        <f t="shared" si="1"/>
        <v>355</v>
      </c>
      <c r="F10" s="11">
        <f t="shared" si="1"/>
        <v>128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AAAE-6D33-5D45-A5B6-111C627BB710}">
  <dimension ref="A1:G11"/>
  <sheetViews>
    <sheetView workbookViewId="0">
      <selection activeCell="B8" sqref="B8:F8"/>
    </sheetView>
  </sheetViews>
  <sheetFormatPr baseColWidth="10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16" thickBot="1">
      <c r="A2" s="8" t="s">
        <v>219</v>
      </c>
      <c r="B2" s="9">
        <f>1/(1+F3)</f>
        <v>0.49161452937874478</v>
      </c>
      <c r="C2" s="9">
        <f>F3/(1+F3)</f>
        <v>0.50838547062125539</v>
      </c>
      <c r="D2" s="10">
        <f>SUM(B2:C2)</f>
        <v>1.0000000000000002</v>
      </c>
      <c r="E2" s="10"/>
      <c r="F2" s="10" t="s">
        <v>561</v>
      </c>
    </row>
    <row r="3" spans="1:7" ht="16" thickBot="1">
      <c r="A3" s="8" t="s">
        <v>220</v>
      </c>
      <c r="B3" s="11">
        <f>ROUND(2000*B2,0)</f>
        <v>983</v>
      </c>
      <c r="C3" s="11">
        <f>ROUND(2000*C2,0)</f>
        <v>1017</v>
      </c>
      <c r="D3" s="11">
        <f>ROUND(2000*D2,0)</f>
        <v>2000</v>
      </c>
      <c r="E3" s="10"/>
      <c r="F3" s="10">
        <v>1.0341140064832992</v>
      </c>
    </row>
    <row r="4" spans="1:7" ht="30" thickBot="1">
      <c r="A4" s="8" t="s">
        <v>221</v>
      </c>
      <c r="B4" s="11">
        <f>ROUND(2200*B2,0)</f>
        <v>1082</v>
      </c>
      <c r="C4" s="11">
        <f>ROUND(2200*C2,0)</f>
        <v>1118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6" thickBot="1">
      <c r="A8" s="8" t="s">
        <v>219</v>
      </c>
      <c r="B8" s="9">
        <v>9.900574480623528E-2</v>
      </c>
      <c r="C8" s="9">
        <v>0.20351724433473822</v>
      </c>
      <c r="D8" s="9">
        <v>0.27862734720248172</v>
      </c>
      <c r="E8" s="9">
        <v>0.26501392118096706</v>
      </c>
      <c r="F8" s="9">
        <v>0.15383574247557782</v>
      </c>
      <c r="G8" s="10">
        <f>SUM(B8:F8)</f>
        <v>1.0000000000000002</v>
      </c>
    </row>
    <row r="9" spans="1:7" ht="16" thickBot="1">
      <c r="A9" s="8" t="s">
        <v>220</v>
      </c>
      <c r="B9" s="11">
        <f t="shared" ref="B9:G9" si="0">ROUND(2000*B8,0)</f>
        <v>198</v>
      </c>
      <c r="C9" s="11">
        <f t="shared" si="0"/>
        <v>407</v>
      </c>
      <c r="D9" s="11">
        <f t="shared" si="0"/>
        <v>557</v>
      </c>
      <c r="E9" s="11">
        <f t="shared" si="0"/>
        <v>530</v>
      </c>
      <c r="F9" s="11">
        <f t="shared" si="0"/>
        <v>308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218</v>
      </c>
      <c r="C10" s="11">
        <f t="shared" si="1"/>
        <v>448</v>
      </c>
      <c r="D10" s="11">
        <f t="shared" si="1"/>
        <v>613</v>
      </c>
      <c r="E10" s="11">
        <f t="shared" si="1"/>
        <v>583</v>
      </c>
      <c r="F10" s="11">
        <f t="shared" si="1"/>
        <v>338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9662-A17F-0844-8680-E0BE808928D5}">
  <dimension ref="A1:G11"/>
  <sheetViews>
    <sheetView workbookViewId="0">
      <selection activeCell="B8" sqref="B8:F8"/>
    </sheetView>
  </sheetViews>
  <sheetFormatPr baseColWidth="10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16" thickBot="1">
      <c r="A2" s="8" t="s">
        <v>219</v>
      </c>
      <c r="B2" s="9">
        <f>1/(1+F3)</f>
        <v>0.51224795602862983</v>
      </c>
      <c r="C2" s="9">
        <f>F3/(1+F3)</f>
        <v>0.48775204397137012</v>
      </c>
      <c r="D2" s="10">
        <f>SUM(B2:C2)</f>
        <v>1</v>
      </c>
      <c r="E2" s="10"/>
      <c r="F2" s="10" t="s">
        <v>561</v>
      </c>
    </row>
    <row r="3" spans="1:7" ht="16" thickBot="1">
      <c r="A3" s="8" t="s">
        <v>220</v>
      </c>
      <c r="B3" s="11">
        <f>ROUND(2000*B2,0)</f>
        <v>1024</v>
      </c>
      <c r="C3" s="11">
        <f>ROUND(2000*C2,0)</f>
        <v>976</v>
      </c>
      <c r="D3" s="11">
        <f>ROUND(2000*D2,0)</f>
        <v>2000</v>
      </c>
      <c r="E3" s="10"/>
      <c r="F3" s="10">
        <v>0.95217958067188335</v>
      </c>
    </row>
    <row r="4" spans="1:7" ht="30" thickBot="1">
      <c r="A4" s="8" t="s">
        <v>221</v>
      </c>
      <c r="B4" s="11">
        <f>ROUND(2200*B2,0)</f>
        <v>1127</v>
      </c>
      <c r="C4" s="11">
        <f>ROUND(2200*C2,0)</f>
        <v>1073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6" thickBot="1">
      <c r="A8" s="8" t="s">
        <v>219</v>
      </c>
      <c r="B8" s="9">
        <v>0.14903892679989256</v>
      </c>
      <c r="C8" s="9">
        <v>0.21540663132380461</v>
      </c>
      <c r="D8" s="9">
        <v>0.29591305102515247</v>
      </c>
      <c r="E8" s="9">
        <v>0.21188894569774219</v>
      </c>
      <c r="F8" s="9">
        <v>0.12775244515340833</v>
      </c>
      <c r="G8" s="10">
        <f>SUM(B8:F8)</f>
        <v>1</v>
      </c>
    </row>
    <row r="9" spans="1:7" ht="16" thickBot="1">
      <c r="A9" s="8" t="s">
        <v>220</v>
      </c>
      <c r="B9" s="11">
        <f t="shared" ref="B9:G9" si="0">ROUND(2000*B8,0)</f>
        <v>298</v>
      </c>
      <c r="C9" s="11">
        <f t="shared" si="0"/>
        <v>431</v>
      </c>
      <c r="D9" s="11">
        <f t="shared" si="0"/>
        <v>592</v>
      </c>
      <c r="E9" s="11">
        <f t="shared" si="0"/>
        <v>424</v>
      </c>
      <c r="F9" s="11">
        <f t="shared" si="0"/>
        <v>256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328</v>
      </c>
      <c r="C10" s="11">
        <f t="shared" si="1"/>
        <v>474</v>
      </c>
      <c r="D10" s="11">
        <f t="shared" si="1"/>
        <v>651</v>
      </c>
      <c r="E10" s="11">
        <f t="shared" si="1"/>
        <v>466</v>
      </c>
      <c r="F10" s="11">
        <f t="shared" si="1"/>
        <v>281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958B-F8AE-784D-A289-22BF324691D9}">
  <dimension ref="A1:G11"/>
  <sheetViews>
    <sheetView workbookViewId="0">
      <selection activeCell="B8" sqref="B8:F8"/>
    </sheetView>
  </sheetViews>
  <sheetFormatPr baseColWidth="10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16" thickBot="1">
      <c r="A2" s="8" t="s">
        <v>219</v>
      </c>
      <c r="B2" s="9">
        <f>1/(1+F3)</f>
        <v>0.51821302803620284</v>
      </c>
      <c r="C2" s="9">
        <f>F3/(1+F3)</f>
        <v>0.48178697196379722</v>
      </c>
      <c r="D2" s="10">
        <f>SUM(B2:C2)</f>
        <v>1</v>
      </c>
      <c r="E2" s="10"/>
      <c r="F2" s="10" t="s">
        <v>561</v>
      </c>
    </row>
    <row r="3" spans="1:7" ht="16" thickBot="1">
      <c r="A3" s="8" t="s">
        <v>220</v>
      </c>
      <c r="B3" s="11">
        <f>ROUND(2000*B2,0)</f>
        <v>1036</v>
      </c>
      <c r="C3" s="11">
        <f>ROUND(2000*C2,0)</f>
        <v>964</v>
      </c>
      <c r="D3" s="11">
        <f>ROUND(2000*D2,0)</f>
        <v>2000</v>
      </c>
      <c r="E3" s="10"/>
      <c r="F3" s="10">
        <v>0.92970833595125124</v>
      </c>
    </row>
    <row r="4" spans="1:7" ht="30" thickBot="1">
      <c r="A4" s="8" t="s">
        <v>221</v>
      </c>
      <c r="B4" s="11">
        <f>ROUND(2200*B2,0)</f>
        <v>1140</v>
      </c>
      <c r="C4" s="11">
        <f>ROUND(2200*C2,0)</f>
        <v>1060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6" thickBot="1">
      <c r="A8" s="8" t="s">
        <v>219</v>
      </c>
      <c r="B8" s="9">
        <v>0.17573222355182366</v>
      </c>
      <c r="C8" s="9">
        <v>0.2328969482207483</v>
      </c>
      <c r="D8" s="9">
        <v>0.29984795469291364</v>
      </c>
      <c r="E8" s="9">
        <v>0.1827328072764747</v>
      </c>
      <c r="F8" s="9">
        <v>0.10879006625803997</v>
      </c>
      <c r="G8" s="10">
        <f>SUM(B8:F8)</f>
        <v>1.0000000000000002</v>
      </c>
    </row>
    <row r="9" spans="1:7" ht="16" thickBot="1">
      <c r="A9" s="8" t="s">
        <v>220</v>
      </c>
      <c r="B9" s="11">
        <f t="shared" ref="B9:G9" si="0">ROUND(2000*B8,0)</f>
        <v>351</v>
      </c>
      <c r="C9" s="11">
        <f t="shared" si="0"/>
        <v>466</v>
      </c>
      <c r="D9" s="11">
        <f t="shared" si="0"/>
        <v>600</v>
      </c>
      <c r="E9" s="11">
        <f t="shared" si="0"/>
        <v>365</v>
      </c>
      <c r="F9" s="11">
        <f t="shared" si="0"/>
        <v>218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387</v>
      </c>
      <c r="C10" s="11">
        <f t="shared" si="1"/>
        <v>512</v>
      </c>
      <c r="D10" s="11">
        <f t="shared" si="1"/>
        <v>660</v>
      </c>
      <c r="E10" s="11">
        <f t="shared" si="1"/>
        <v>402</v>
      </c>
      <c r="F10" s="11">
        <f t="shared" si="1"/>
        <v>239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D7F61-4BC1-9E48-BE79-F34D122709FF}">
  <dimension ref="A1:G11"/>
  <sheetViews>
    <sheetView workbookViewId="0">
      <selection activeCell="F19" sqref="F19"/>
    </sheetView>
  </sheetViews>
  <sheetFormatPr baseColWidth="10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16" thickBot="1">
      <c r="A2" s="8" t="s">
        <v>219</v>
      </c>
      <c r="B2" s="9">
        <f>1/(1+F3)</f>
        <v>0.49751243781094534</v>
      </c>
      <c r="C2" s="9">
        <f>F3/(1+F3)</f>
        <v>0.50248756218905477</v>
      </c>
      <c r="D2" s="10">
        <f>SUM(B2:C2)</f>
        <v>1</v>
      </c>
      <c r="E2" s="10"/>
      <c r="F2" s="10" t="s">
        <v>561</v>
      </c>
    </row>
    <row r="3" spans="1:7" ht="16" thickBot="1">
      <c r="A3" s="8" t="s">
        <v>220</v>
      </c>
      <c r="B3" s="11">
        <f>ROUND(2000*B2,0)</f>
        <v>995</v>
      </c>
      <c r="C3" s="11">
        <f>ROUND(2000*C2,0)</f>
        <v>1005</v>
      </c>
      <c r="D3" s="11">
        <f>ROUND(2000*D2,0)</f>
        <v>2000</v>
      </c>
      <c r="E3" s="10"/>
      <c r="F3" s="10">
        <v>1.01</v>
      </c>
    </row>
    <row r="4" spans="1:7" ht="30" thickBot="1">
      <c r="A4" s="8" t="s">
        <v>221</v>
      </c>
      <c r="B4" s="11">
        <f>ROUND(2200*B2,0)</f>
        <v>1095</v>
      </c>
      <c r="C4" s="11">
        <f>ROUND(2200*C2,0)</f>
        <v>1105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6" thickBot="1">
      <c r="A8" s="8" t="s">
        <v>219</v>
      </c>
      <c r="B8" s="9">
        <v>9.7661294959996411E-2</v>
      </c>
      <c r="C8" s="9">
        <v>0.15904807790968184</v>
      </c>
      <c r="D8" s="9">
        <v>0.27449641413428144</v>
      </c>
      <c r="E8" s="9">
        <v>0.28165171586977938</v>
      </c>
      <c r="F8" s="9">
        <v>0.18714249712626085</v>
      </c>
      <c r="G8" s="10">
        <f>SUM(B8:F8)</f>
        <v>0.99999999999999989</v>
      </c>
    </row>
    <row r="9" spans="1:7" ht="16" thickBot="1">
      <c r="A9" s="8" t="s">
        <v>220</v>
      </c>
      <c r="B9" s="11">
        <f t="shared" ref="B9:G9" si="0">ROUND(2000*B8,0)</f>
        <v>195</v>
      </c>
      <c r="C9" s="11">
        <f t="shared" si="0"/>
        <v>318</v>
      </c>
      <c r="D9" s="11">
        <f t="shared" si="0"/>
        <v>549</v>
      </c>
      <c r="E9" s="11">
        <f t="shared" si="0"/>
        <v>563</v>
      </c>
      <c r="F9" s="11">
        <f t="shared" si="0"/>
        <v>374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215</v>
      </c>
      <c r="C10" s="11">
        <f t="shared" si="1"/>
        <v>350</v>
      </c>
      <c r="D10" s="11">
        <f t="shared" si="1"/>
        <v>604</v>
      </c>
      <c r="E10" s="11">
        <f t="shared" si="1"/>
        <v>620</v>
      </c>
      <c r="F10" s="11">
        <f t="shared" si="1"/>
        <v>412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Specificities</vt:lpstr>
      <vt:lpstr>quotas_US</vt:lpstr>
      <vt:lpstr>quotas_DK</vt:lpstr>
      <vt:lpstr>quotas_FR</vt:lpstr>
      <vt:lpstr>quotas_DE</vt:lpstr>
      <vt:lpstr>quotas_IT</vt:lpstr>
      <vt:lpstr>quotas_PL</vt:lpstr>
      <vt:lpstr>quotas_SP</vt:lpstr>
      <vt:lpstr>quotas_UK</vt:lpstr>
      <vt:lpstr>quotas_JP</vt:lpstr>
      <vt:lpstr>quotas_IN</vt:lpstr>
      <vt:lpstr>quotas_ID</vt:lpstr>
      <vt:lpstr>quotas_SA</vt:lpstr>
      <vt:lpstr>quotas_CH</vt:lpstr>
      <vt:lpstr>quotas_BR</vt:lpstr>
      <vt:lpstr>quotas_MX</vt:lpstr>
      <vt:lpstr>quotas_SK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Bluebery Planterose</cp:lastModifiedBy>
  <dcterms:created xsi:type="dcterms:W3CDTF">2021-05-05T09:51:24Z</dcterms:created>
  <dcterms:modified xsi:type="dcterms:W3CDTF">2021-06-07T11:16:04Z</dcterms:modified>
</cp:coreProperties>
</file>