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67CF7F3A-BB6D-8F46-9180-13076CB09A3D}" xr6:coauthVersionLast="43" xr6:coauthVersionMax="43" xr10:uidLastSave="{00000000-0000-0000-0000-000000000000}"/>
  <bookViews>
    <workbookView xWindow="5260" yWindow="-15620" windowWidth="24240" windowHeight="12980" xr2:uid="{DA6BDB4D-B9F7-AD4E-A9F5-7B4E440DE8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31" i="1" l="1"/>
  <c r="AM31" i="1"/>
  <c r="AK31" i="1"/>
  <c r="AI31" i="1"/>
  <c r="AE31" i="1"/>
  <c r="AC31" i="1"/>
  <c r="AA34" i="1"/>
  <c r="AA33" i="1"/>
  <c r="AA32" i="1"/>
  <c r="AA31" i="1"/>
  <c r="Y31" i="1"/>
  <c r="W31" i="1"/>
  <c r="U31" i="1"/>
  <c r="S31" i="1"/>
  <c r="Q31" i="1"/>
  <c r="O31" i="1"/>
  <c r="M31" i="1"/>
  <c r="K31" i="1"/>
  <c r="I31" i="1"/>
  <c r="G31" i="1"/>
  <c r="B31" i="1"/>
  <c r="D31" i="1"/>
  <c r="AI32" i="1"/>
  <c r="W26" i="1"/>
  <c r="W25" i="1"/>
  <c r="W32" i="1" s="1"/>
  <c r="M26" i="1"/>
  <c r="K27" i="1"/>
  <c r="G23" i="1"/>
  <c r="C31" i="1"/>
  <c r="E31" i="1"/>
  <c r="F31" i="1"/>
  <c r="H31" i="1"/>
  <c r="H35" i="1" s="1"/>
  <c r="J31" i="1"/>
  <c r="J35" i="1" s="1"/>
  <c r="L31" i="1"/>
  <c r="N31" i="1"/>
  <c r="P31" i="1"/>
  <c r="R31" i="1"/>
  <c r="T31" i="1"/>
  <c r="V31" i="1"/>
  <c r="X31" i="1"/>
  <c r="X35" i="1" s="1"/>
  <c r="Z31" i="1"/>
  <c r="AB31" i="1"/>
  <c r="AD31" i="1"/>
  <c r="AF31" i="1"/>
  <c r="AF35" i="1" s="1"/>
  <c r="AG31" i="1"/>
  <c r="AH31" i="1"/>
  <c r="AJ31" i="1"/>
  <c r="AL31" i="1"/>
  <c r="AN31" i="1"/>
  <c r="AN35" i="1" s="1"/>
  <c r="AP31" i="1"/>
  <c r="C32" i="1"/>
  <c r="D32" i="1"/>
  <c r="E32" i="1"/>
  <c r="F32" i="1"/>
  <c r="H32" i="1"/>
  <c r="J32" i="1"/>
  <c r="L32" i="1"/>
  <c r="N32" i="1"/>
  <c r="P32" i="1"/>
  <c r="R32" i="1"/>
  <c r="T32" i="1"/>
  <c r="T35" i="1" s="1"/>
  <c r="V32" i="1"/>
  <c r="X32" i="1"/>
  <c r="Z32" i="1"/>
  <c r="AB32" i="1"/>
  <c r="AC32" i="1"/>
  <c r="AD32" i="1"/>
  <c r="AF32" i="1"/>
  <c r="AG32" i="1"/>
  <c r="AH32" i="1"/>
  <c r="AJ32" i="1"/>
  <c r="AL32" i="1"/>
  <c r="AN32" i="1"/>
  <c r="AP32" i="1"/>
  <c r="C33" i="1"/>
  <c r="E33" i="1"/>
  <c r="F33" i="1"/>
  <c r="H33" i="1"/>
  <c r="J33" i="1"/>
  <c r="L33" i="1"/>
  <c r="N33" i="1"/>
  <c r="P33" i="1"/>
  <c r="R33" i="1"/>
  <c r="T33" i="1"/>
  <c r="V33" i="1"/>
  <c r="X33" i="1"/>
  <c r="Z33" i="1"/>
  <c r="AB33" i="1"/>
  <c r="AB35" i="1" s="1"/>
  <c r="AD33" i="1"/>
  <c r="AF33" i="1"/>
  <c r="AG33" i="1"/>
  <c r="AH33" i="1"/>
  <c r="AJ33" i="1"/>
  <c r="AL33" i="1"/>
  <c r="AN33" i="1"/>
  <c r="AP33" i="1"/>
  <c r="C34" i="1"/>
  <c r="E34" i="1"/>
  <c r="F34" i="1"/>
  <c r="H34" i="1"/>
  <c r="J34" i="1"/>
  <c r="L34" i="1"/>
  <c r="N34" i="1"/>
  <c r="P34" i="1"/>
  <c r="R34" i="1"/>
  <c r="T34" i="1"/>
  <c r="V34" i="1"/>
  <c r="X34" i="1"/>
  <c r="Z34" i="1"/>
  <c r="AB34" i="1"/>
  <c r="AD34" i="1"/>
  <c r="AF34" i="1"/>
  <c r="AG34" i="1"/>
  <c r="AH34" i="1"/>
  <c r="AJ34" i="1"/>
  <c r="AJ35" i="1" s="1"/>
  <c r="AL34" i="1"/>
  <c r="AN34" i="1"/>
  <c r="AP34" i="1"/>
  <c r="B32" i="1"/>
  <c r="AO10" i="1"/>
  <c r="AO27" i="1" s="1"/>
  <c r="AO9" i="1"/>
  <c r="AO8" i="1"/>
  <c r="AO26" i="1" s="1"/>
  <c r="AO7" i="1"/>
  <c r="AO6" i="1"/>
  <c r="AO5" i="1"/>
  <c r="AO4" i="1"/>
  <c r="AO2" i="1"/>
  <c r="AO24" i="1" s="1"/>
  <c r="AO3" i="1"/>
  <c r="AO25" i="1" s="1"/>
  <c r="AO32" i="1" s="1"/>
  <c r="AM6" i="1"/>
  <c r="AM27" i="1" s="1"/>
  <c r="AM5" i="1"/>
  <c r="AM26" i="1" s="1"/>
  <c r="AM2" i="1"/>
  <c r="AM4" i="1"/>
  <c r="AM25" i="1" s="1"/>
  <c r="AM32" i="1" s="1"/>
  <c r="AM3" i="1"/>
  <c r="AM24" i="1" s="1"/>
  <c r="AK7" i="1"/>
  <c r="AK4" i="1"/>
  <c r="AK6" i="1"/>
  <c r="AK10" i="1"/>
  <c r="AK5" i="1"/>
  <c r="AK3" i="1"/>
  <c r="AK25" i="1" s="1"/>
  <c r="AK32" i="1" s="1"/>
  <c r="AK8" i="1"/>
  <c r="AK2" i="1"/>
  <c r="AK9" i="1"/>
  <c r="AK27" i="1" s="1"/>
  <c r="AI12" i="1"/>
  <c r="AI9" i="1"/>
  <c r="AI13" i="1"/>
  <c r="AI27" i="1" s="1"/>
  <c r="AI11" i="1"/>
  <c r="AI10" i="1"/>
  <c r="AI26" i="1" s="1"/>
  <c r="AI33" i="1" s="1"/>
  <c r="AI8" i="1"/>
  <c r="AI7" i="1"/>
  <c r="AI6" i="1"/>
  <c r="AI5" i="1"/>
  <c r="AI4" i="1"/>
  <c r="AI3" i="1"/>
  <c r="AI2" i="1"/>
  <c r="AE10" i="1"/>
  <c r="AE8" i="1"/>
  <c r="AE26" i="1" s="1"/>
  <c r="AE7" i="1"/>
  <c r="AE6" i="1"/>
  <c r="AE5" i="1"/>
  <c r="AE4" i="1"/>
  <c r="AE3" i="1"/>
  <c r="AE2" i="1"/>
  <c r="AE24" i="1" s="1"/>
  <c r="AE9" i="1"/>
  <c r="AE27" i="1" s="1"/>
  <c r="AC3" i="1"/>
  <c r="AC27" i="1" s="1"/>
  <c r="AC33" i="1" s="1"/>
  <c r="AC2" i="1"/>
  <c r="AC24" i="1" s="1"/>
  <c r="O8" i="1"/>
  <c r="O26" i="1" s="1"/>
  <c r="O33" i="1" s="1"/>
  <c r="O7" i="1"/>
  <c r="O6" i="1"/>
  <c r="O5" i="1"/>
  <c r="O4" i="1"/>
  <c r="O3" i="1"/>
  <c r="O2" i="1"/>
  <c r="O23" i="1" s="1"/>
  <c r="AA5" i="1"/>
  <c r="AA25" i="1" s="1"/>
  <c r="AA4" i="1"/>
  <c r="AA3" i="1"/>
  <c r="AA2" i="1"/>
  <c r="AA7" i="1"/>
  <c r="AA27" i="1" s="1"/>
  <c r="AA6" i="1"/>
  <c r="AA26" i="1" s="1"/>
  <c r="Y9" i="1"/>
  <c r="Y8" i="1"/>
  <c r="Y7" i="1"/>
  <c r="Y27" i="1" s="1"/>
  <c r="Y6" i="1"/>
  <c r="Y26" i="1" s="1"/>
  <c r="Y5" i="1"/>
  <c r="Y25" i="1" s="1"/>
  <c r="Y32" i="1" s="1"/>
  <c r="Y4" i="1"/>
  <c r="Y3" i="1"/>
  <c r="Y24" i="1" s="1"/>
  <c r="Y2" i="1"/>
  <c r="W7" i="1"/>
  <c r="W27" i="1" s="1"/>
  <c r="W33" i="1" s="1"/>
  <c r="W6" i="1"/>
  <c r="W5" i="1"/>
  <c r="W4" i="1"/>
  <c r="W2" i="1"/>
  <c r="W23" i="1" s="1"/>
  <c r="W3" i="1"/>
  <c r="U6" i="1"/>
  <c r="U27" i="1" s="1"/>
  <c r="U5" i="1"/>
  <c r="U26" i="1" s="1"/>
  <c r="U4" i="1"/>
  <c r="U25" i="1" s="1"/>
  <c r="U32" i="1" s="1"/>
  <c r="U3" i="1"/>
  <c r="U2" i="1"/>
  <c r="S12" i="1"/>
  <c r="S11" i="1"/>
  <c r="S27" i="1" s="1"/>
  <c r="S10" i="1"/>
  <c r="S9" i="1"/>
  <c r="S8" i="1"/>
  <c r="S7" i="1"/>
  <c r="S6" i="1"/>
  <c r="S5" i="1"/>
  <c r="S4" i="1"/>
  <c r="S25" i="1" s="1"/>
  <c r="S32" i="1" s="1"/>
  <c r="S3" i="1"/>
  <c r="S2" i="1"/>
  <c r="S24" i="1" s="1"/>
  <c r="Q8" i="1"/>
  <c r="Q26" i="1" s="1"/>
  <c r="Q33" i="1" s="1"/>
  <c r="Q7" i="1"/>
  <c r="Q25" i="1" s="1"/>
  <c r="Q32" i="1" s="1"/>
  <c r="Q6" i="1"/>
  <c r="Q5" i="1"/>
  <c r="Q4" i="1"/>
  <c r="Q3" i="1"/>
  <c r="Q2" i="1"/>
  <c r="K7" i="1"/>
  <c r="K5" i="1"/>
  <c r="K25" i="1" s="1"/>
  <c r="K32" i="1" s="1"/>
  <c r="K4" i="1"/>
  <c r="K3" i="1"/>
  <c r="K2" i="1"/>
  <c r="K23" i="1" s="1"/>
  <c r="K6" i="1"/>
  <c r="K26" i="1" s="1"/>
  <c r="M7" i="1"/>
  <c r="M6" i="1"/>
  <c r="M5" i="1"/>
  <c r="M4" i="1"/>
  <c r="M25" i="1" s="1"/>
  <c r="M32" i="1" s="1"/>
  <c r="M3" i="1"/>
  <c r="M2" i="1"/>
  <c r="M24" i="1" s="1"/>
  <c r="I12" i="1"/>
  <c r="I11" i="1"/>
  <c r="I10" i="1"/>
  <c r="I9" i="1"/>
  <c r="I27" i="1" s="1"/>
  <c r="I8" i="1"/>
  <c r="I7" i="1"/>
  <c r="I26" i="1" s="1"/>
  <c r="I6" i="1"/>
  <c r="I25" i="1" s="1"/>
  <c r="I32" i="1" s="1"/>
  <c r="I5" i="1"/>
  <c r="I24" i="1" s="1"/>
  <c r="I4" i="1"/>
  <c r="I3" i="1"/>
  <c r="I2" i="1"/>
  <c r="I23" i="1" s="1"/>
  <c r="G11" i="1"/>
  <c r="G10" i="1"/>
  <c r="G27" i="1" s="1"/>
  <c r="G9" i="1"/>
  <c r="G8" i="1"/>
  <c r="G7" i="1"/>
  <c r="G26" i="1" s="1"/>
  <c r="G6" i="1"/>
  <c r="G25" i="1" s="1"/>
  <c r="G32" i="1" s="1"/>
  <c r="G5" i="1"/>
  <c r="G4" i="1"/>
  <c r="G3" i="1"/>
  <c r="G2" i="1"/>
  <c r="E7" i="1"/>
  <c r="D27" i="1" s="1"/>
  <c r="E6" i="1"/>
  <c r="D26" i="1" s="1"/>
  <c r="D33" i="1" s="1"/>
  <c r="E5" i="1"/>
  <c r="E4" i="1"/>
  <c r="E3" i="1"/>
  <c r="E2" i="1"/>
  <c r="C3" i="1"/>
  <c r="B24" i="1" s="1"/>
  <c r="C2" i="1"/>
  <c r="C4" i="1"/>
  <c r="B26" i="1" s="1"/>
  <c r="B33" i="1" s="1"/>
  <c r="G33" i="1" l="1"/>
  <c r="L35" i="1"/>
  <c r="K24" i="1"/>
  <c r="Y33" i="1"/>
  <c r="AI14" i="1"/>
  <c r="AI28" i="1" s="1"/>
  <c r="AI34" i="1" s="1"/>
  <c r="AI23" i="1"/>
  <c r="AI35" i="1" s="1"/>
  <c r="O25" i="1"/>
  <c r="O32" i="1" s="1"/>
  <c r="AK26" i="1"/>
  <c r="N35" i="1"/>
  <c r="AG35" i="1"/>
  <c r="D24" i="1"/>
  <c r="G24" i="1"/>
  <c r="M27" i="1"/>
  <c r="M33" i="1" s="1"/>
  <c r="Q24" i="1"/>
  <c r="U33" i="1"/>
  <c r="C35" i="1"/>
  <c r="AE25" i="1"/>
  <c r="AE32" i="1" s="1"/>
  <c r="AI24" i="1"/>
  <c r="AK11" i="1"/>
  <c r="AK28" i="1" s="1"/>
  <c r="AK34" i="1" s="1"/>
  <c r="AP35" i="1"/>
  <c r="E35" i="1"/>
  <c r="AO11" i="1"/>
  <c r="AO28" i="1" s="1"/>
  <c r="AO34" i="1" s="1"/>
  <c r="AL35" i="1"/>
  <c r="Z35" i="1"/>
  <c r="I33" i="1"/>
  <c r="AK33" i="1"/>
  <c r="AM33" i="1"/>
  <c r="AO33" i="1"/>
  <c r="AO35" i="1" s="1"/>
  <c r="AD35" i="1"/>
  <c r="P35" i="1"/>
  <c r="Y10" i="1"/>
  <c r="Y28" i="1" s="1"/>
  <c r="Y34" i="1" s="1"/>
  <c r="Y23" i="1"/>
  <c r="O9" i="1"/>
  <c r="O28" i="1" s="1"/>
  <c r="O34" i="1" s="1"/>
  <c r="O24" i="1"/>
  <c r="AM7" i="1"/>
  <c r="AM28" i="1" s="1"/>
  <c r="AM34" i="1" s="1"/>
  <c r="AM23" i="1"/>
  <c r="R35" i="1"/>
  <c r="S26" i="1"/>
  <c r="S33" i="1" s="1"/>
  <c r="W24" i="1"/>
  <c r="AE33" i="1"/>
  <c r="AH35" i="1"/>
  <c r="V35" i="1"/>
  <c r="F35" i="1"/>
  <c r="AK24" i="1"/>
  <c r="K33" i="1"/>
  <c r="S13" i="1"/>
  <c r="S28" i="1" s="1"/>
  <c r="S34" i="1" s="1"/>
  <c r="S35" i="1" s="1"/>
  <c r="U7" i="1"/>
  <c r="U28" i="1" s="1"/>
  <c r="U34" i="1" s="1"/>
  <c r="Q9" i="1"/>
  <c r="Q28" i="1" s="1"/>
  <c r="Q34" i="1" s="1"/>
  <c r="Q35" i="1" s="1"/>
  <c r="AA8" i="1"/>
  <c r="AA28" i="1" s="1"/>
  <c r="AE11" i="1"/>
  <c r="AE28" i="1" s="1"/>
  <c r="AE34" i="1" s="1"/>
  <c r="AA24" i="1"/>
  <c r="U24" i="1"/>
  <c r="U35" i="1" s="1"/>
  <c r="M8" i="1"/>
  <c r="M28" i="1" s="1"/>
  <c r="M34" i="1" s="1"/>
  <c r="M35" i="1" s="1"/>
  <c r="W8" i="1"/>
  <c r="W28" i="1" s="1"/>
  <c r="W34" i="1" s="1"/>
  <c r="AC4" i="1"/>
  <c r="AC28" i="1" s="1"/>
  <c r="AC34" i="1" s="1"/>
  <c r="AC35" i="1" s="1"/>
  <c r="E8" i="1"/>
  <c r="D28" i="1" s="1"/>
  <c r="D34" i="1" s="1"/>
  <c r="D35" i="1" s="1"/>
  <c r="G12" i="1"/>
  <c r="G28" i="1" s="1"/>
  <c r="G34" i="1" s="1"/>
  <c r="I13" i="1"/>
  <c r="I28" i="1" s="1"/>
  <c r="I34" i="1" s="1"/>
  <c r="C5" i="1"/>
  <c r="B28" i="1" s="1"/>
  <c r="B34" i="1" s="1"/>
  <c r="B35" i="1" s="1"/>
  <c r="K8" i="1"/>
  <c r="K28" i="1" s="1"/>
  <c r="K34" i="1" s="1"/>
  <c r="AE35" i="1" l="1"/>
  <c r="K35" i="1"/>
  <c r="W35" i="1"/>
  <c r="AA35" i="1"/>
  <c r="AK35" i="1"/>
  <c r="I35" i="1"/>
  <c r="O35" i="1"/>
  <c r="AM35" i="1"/>
  <c r="Y35" i="1"/>
  <c r="G35" i="1"/>
</calcChain>
</file>

<file path=xl/sharedStrings.xml><?xml version="1.0" encoding="utf-8"?>
<sst xmlns="http://schemas.openxmlformats.org/spreadsheetml/2006/main" count="232" uniqueCount="212">
  <si>
    <t>Country</t>
  </si>
  <si>
    <t>Australia</t>
  </si>
  <si>
    <t>Canada</t>
  </si>
  <si>
    <t>Denmark</t>
  </si>
  <si>
    <t>France</t>
  </si>
  <si>
    <t>Germany</t>
  </si>
  <si>
    <t>Italy</t>
  </si>
  <si>
    <t>Japan</t>
  </si>
  <si>
    <t>Mexico</t>
  </si>
  <si>
    <t>Poland</t>
  </si>
  <si>
    <t>South Korea</t>
  </si>
  <si>
    <t>Spain</t>
  </si>
  <si>
    <t>Turkey</t>
  </si>
  <si>
    <t>UK</t>
  </si>
  <si>
    <t>US</t>
  </si>
  <si>
    <t>Brazil</t>
  </si>
  <si>
    <t>China</t>
  </si>
  <si>
    <t>India</t>
  </si>
  <si>
    <t>Indonesia</t>
  </si>
  <si>
    <t>South Africa</t>
  </si>
  <si>
    <t>Ukraine</t>
  </si>
  <si>
    <t>Labor</t>
  </si>
  <si>
    <t>Greens</t>
  </si>
  <si>
    <t>Liberal</t>
  </si>
  <si>
    <t>Liberal / National coalition</t>
  </si>
  <si>
    <t>Other, PNR</t>
  </si>
  <si>
    <t>Bloc quebecois</t>
  </si>
  <si>
    <t>New Democratic</t>
  </si>
  <si>
    <t>Green</t>
  </si>
  <si>
    <t>Conservative</t>
  </si>
  <si>
    <t>People's Party</t>
  </si>
  <si>
    <t>Enhedslisten</t>
  </si>
  <si>
    <t>Socialdemokratiet</t>
  </si>
  <si>
    <t>Alternativet</t>
  </si>
  <si>
    <t>Socialistisk Folkeparti</t>
  </si>
  <si>
    <t>Radikale Venstre</t>
  </si>
  <si>
    <t>Det Konservative Folkeparti</t>
  </si>
  <si>
    <t>Liberal Alliance</t>
  </si>
  <si>
    <t>Venstre</t>
  </si>
  <si>
    <t>Danske Folkeparti</t>
  </si>
  <si>
    <t>Nye Borgerlige</t>
  </si>
  <si>
    <t>Melenchon</t>
  </si>
  <si>
    <t>Arthaud</t>
  </si>
  <si>
    <t>Poutou</t>
  </si>
  <si>
    <t>Hamon</t>
  </si>
  <si>
    <t>Macron</t>
  </si>
  <si>
    <t>Fillon</t>
  </si>
  <si>
    <t>Asselineau</t>
  </si>
  <si>
    <t>Le Pen</t>
  </si>
  <si>
    <t>Dupont-Aignan</t>
  </si>
  <si>
    <t>Cheminade</t>
  </si>
  <si>
    <t>Lassalle</t>
  </si>
  <si>
    <t>PNR</t>
  </si>
  <si>
    <t>Die Linke</t>
  </si>
  <si>
    <t>SPD</t>
  </si>
  <si>
    <t>Bundnis 90 / Die Grünen</t>
  </si>
  <si>
    <t>FDP</t>
  </si>
  <si>
    <t>CDU/CSU</t>
  </si>
  <si>
    <t>AfD</t>
  </si>
  <si>
    <t>Partito Democratico</t>
  </si>
  <si>
    <t>Liberi e Uguali</t>
  </si>
  <si>
    <t>Movimento 5 Stelle</t>
  </si>
  <si>
    <t>Forza Italia</t>
  </si>
  <si>
    <t>Lega</t>
  </si>
  <si>
    <t>Fratelii d'Italia</t>
  </si>
  <si>
    <t>Japanese Communist Party</t>
  </si>
  <si>
    <t>Constitutional Democratic Party of Japan</t>
  </si>
  <si>
    <t>Social Democratic Party</t>
  </si>
  <si>
    <t>Komeito</t>
  </si>
  <si>
    <t>Democratic Party for the People</t>
  </si>
  <si>
    <t>Japan Innovation Party</t>
  </si>
  <si>
    <t>Liberal Democratic Party</t>
  </si>
  <si>
    <t>Other/PNR</t>
  </si>
  <si>
    <t>PRD</t>
  </si>
  <si>
    <t>MORENA</t>
  </si>
  <si>
    <t>Movimiento Ciudadano</t>
  </si>
  <si>
    <t>PT</t>
  </si>
  <si>
    <t>VERDE</t>
  </si>
  <si>
    <t>PRI</t>
  </si>
  <si>
    <t>PAN</t>
  </si>
  <si>
    <t>Other, Otro, PNR</t>
  </si>
  <si>
    <t>Robert Biedron</t>
  </si>
  <si>
    <t>Waldemar Witkowski</t>
  </si>
  <si>
    <t>Szymon Hołownia</t>
  </si>
  <si>
    <t>Władysław Kosiniak-Kamysz</t>
  </si>
  <si>
    <t>Rafał Trzaskowski</t>
  </si>
  <si>
    <t>Stanisław Żółtek</t>
  </si>
  <si>
    <t>Marek Jakubiak</t>
  </si>
  <si>
    <t>Paweł Tanajno</t>
  </si>
  <si>
    <t>Mirosław Piotrowski</t>
  </si>
  <si>
    <t>Andrzej Duda</t>
  </si>
  <si>
    <t>Krzysztof Bosak</t>
  </si>
  <si>
    <t>Moon Jae-in</t>
  </si>
  <si>
    <t>Sim Sang-jung</t>
  </si>
  <si>
    <t>Ahn Cheol-soo</t>
  </si>
  <si>
    <t>Yoo Seong-min</t>
  </si>
  <si>
    <t>Hong Joon-pyo</t>
  </si>
  <si>
    <t>Unidas Podemos</t>
  </si>
  <si>
    <t>PSOE</t>
  </si>
  <si>
    <t>Esquerra Republicana</t>
  </si>
  <si>
    <t>Ciudadanos</t>
  </si>
  <si>
    <t>PP</t>
  </si>
  <si>
    <t>VOX</t>
  </si>
  <si>
    <t>Other, Ostro, PNR</t>
  </si>
  <si>
    <t>Vatan Partisi</t>
  </si>
  <si>
    <t>Cumhuriyet Halk Partisi</t>
  </si>
  <si>
    <t>Halkların Demokratik Partisi</t>
  </si>
  <si>
    <t>İYİ Parti</t>
  </si>
  <si>
    <t>Adalet ve Kalkınma Partisi</t>
  </si>
  <si>
    <t>Milliyetçi Hareket Partisi</t>
  </si>
  <si>
    <t>Saadet Partisi</t>
  </si>
  <si>
    <t>Hür Dava Partisi</t>
  </si>
  <si>
    <t>Labour</t>
  </si>
  <si>
    <t>SNP</t>
  </si>
  <si>
    <t>Liberal Democrats</t>
  </si>
  <si>
    <t>Brexit Party</t>
  </si>
  <si>
    <t>Biden</t>
  </si>
  <si>
    <t>Trump</t>
  </si>
  <si>
    <t>Fernando Haddad</t>
  </si>
  <si>
    <t>Marina Silva</t>
  </si>
  <si>
    <t>Ciro Gomes</t>
  </si>
  <si>
    <t>Geraldo Alckmin</t>
  </si>
  <si>
    <t>Henrique Meirelles</t>
  </si>
  <si>
    <t>Alvaro Dias</t>
  </si>
  <si>
    <t>Joao Amoedo</t>
  </si>
  <si>
    <t>Jair Bolsonaro</t>
  </si>
  <si>
    <t>Cabo Daciolo</t>
  </si>
  <si>
    <t>NA</t>
  </si>
  <si>
    <t>BSP</t>
  </si>
  <si>
    <t>BJP</t>
  </si>
  <si>
    <t>PDI-P</t>
  </si>
  <si>
    <t>PKB</t>
  </si>
  <si>
    <t>Nasdem</t>
  </si>
  <si>
    <t>Demokrat</t>
  </si>
  <si>
    <t>PPP</t>
  </si>
  <si>
    <t>Golkar</t>
  </si>
  <si>
    <t>Gerindra</t>
  </si>
  <si>
    <t>PKS</t>
  </si>
  <si>
    <t>EEF</t>
  </si>
  <si>
    <t>ANC</t>
  </si>
  <si>
    <t>DA</t>
  </si>
  <si>
    <t>IFP</t>
  </si>
  <si>
    <t>FF Plus</t>
  </si>
  <si>
    <t>Petro Poroshenko</t>
  </si>
  <si>
    <t>Volodymyr Zelensky</t>
  </si>
  <si>
    <t>Ioulia Tymochenko</t>
  </si>
  <si>
    <t>Iouri Boïko</t>
  </si>
  <si>
    <t>Anatoliy Hrytsenko</t>
  </si>
  <si>
    <t>Oleksandr Vilkul</t>
  </si>
  <si>
    <t>Ihor Smeshko</t>
  </si>
  <si>
    <t>Oleh Lyashko</t>
  </si>
  <si>
    <t>Ruslan Koshulynskyi</t>
  </si>
  <si>
    <t>Pop 18+ (thousands)</t>
  </si>
  <si>
    <t>Election</t>
  </si>
  <si>
    <t>Source</t>
  </si>
  <si>
    <t>2019 Australian federal election (House of Representatives)</t>
  </si>
  <si>
    <t>2021 Federal election</t>
  </si>
  <si>
    <t>2017 Presidential Elections</t>
  </si>
  <si>
    <t>Bundestagswahl 2017</t>
  </si>
  <si>
    <t>2018 Italian general election</t>
  </si>
  <si>
    <t>2020 Polish presidential election</t>
  </si>
  <si>
    <t>November 2019 Spanish general election</t>
  </si>
  <si>
    <t>2019 Indian general election</t>
  </si>
  <si>
    <t>2019 Indonesian general election</t>
  </si>
  <si>
    <t>2019 South African general election</t>
  </si>
  <si>
    <t>2019 Presidential elections</t>
  </si>
  <si>
    <t>2017 South Korean presidential election</t>
  </si>
  <si>
    <t>2018 Turkish general election</t>
  </si>
  <si>
    <t>2018 Brazilian general election</t>
  </si>
  <si>
    <t>2020 Presidential Election</t>
  </si>
  <si>
    <t>2019 General election</t>
  </si>
  <si>
    <t> folketingsvalg (i 2019)</t>
  </si>
  <si>
    <t>elecciones generales de junio 2021</t>
  </si>
  <si>
    <t>https://results.aec.gov.au/24310/Website/HouseStateFirstPrefsByParty-24310-NAT.htm</t>
  </si>
  <si>
    <t>https://www.elections.ca/enr/help/national_e.htm</t>
  </si>
  <si>
    <t>http://www.dst.dk/valg/Valg1684447/valgopg/valgopgHL.htm</t>
  </si>
  <si>
    <t>https://www.conseil-constitutionnel.fr/decision/2017/2017169PDR.htm</t>
  </si>
  <si>
    <t>Other, Altro, PNR</t>
  </si>
  <si>
    <t>https://elezionistorico.interno.gov.it/index.php?tpel=C&amp;dtel=04/03/2018&amp;es0=S&amp;tpa=I&amp;lev0=0&amp;levsut0=0&amp;ms=S&amp;tpe=A</t>
  </si>
  <si>
    <t>https://www.bundeswahlleiter.de/en/bundestagswahlen/2017/ergebnisse/bund-99.html</t>
  </si>
  <si>
    <t>https://computos2021.ine.mx/votos-ppyci/grafica</t>
  </si>
  <si>
    <t>https://pl.wikipedia.org/wiki/Wybory_prezydenckie_w_Polsce_w_2020_roku_(drugie)#Pierwsze_g%C5%82osowanie_(I_tura)</t>
  </si>
  <si>
    <t>https://en.wikipedia.org/wiki/2017_South_Korean_presidential_election#cite_note-36</t>
  </si>
  <si>
    <t>http://www.infoelectoral.mir.es/infoelectoral/min/busquedaAvanzadaAction.html;jsessionid=05CAFACDE40473B63152326DDD1F7519</t>
  </si>
  <si>
    <t>https://en.wikipedia.org/wiki/2018_Turkish_general_election#Results_2</t>
  </si>
  <si>
    <t>https://www.bbc.com/news/election/2019/results</t>
  </si>
  <si>
    <t>https://www.soumu.go.jp/main_content/000776531.pdf</t>
  </si>
  <si>
    <t>2021 General elections</t>
  </si>
  <si>
    <t>https://www.fec.gov/resources/cms-content/documents/2020presgeresults.pdf</t>
  </si>
  <si>
    <t>http://divulga.tse.jus.br/oficial/index.html</t>
  </si>
  <si>
    <t>INC</t>
  </si>
  <si>
    <t>AITC</t>
  </si>
  <si>
    <t>SP</t>
  </si>
  <si>
    <t>YSR Congress</t>
  </si>
  <si>
    <t>DMK</t>
  </si>
  <si>
    <t>SS</t>
  </si>
  <si>
    <t>TDP</t>
  </si>
  <si>
    <t>CPO</t>
  </si>
  <si>
    <t>Other NDA</t>
  </si>
  <si>
    <t>Other UPA</t>
  </si>
  <si>
    <t>PNR or other</t>
  </si>
  <si>
    <t>http://psephos.adam-carr.net/countries/i/india/2019/india2019.txt</t>
  </si>
  <si>
    <t>https://jakartaglobe.id/context/jokowi-wins-reelection-pdip-wins-most-seats/</t>
  </si>
  <si>
    <t>https://elections.timeslive.co.za/results?type=1091&amp;mapType=results</t>
  </si>
  <si>
    <t>https://www.cvk.gov.ua/pls/vp2019/wp300pt001f01=719.html</t>
  </si>
  <si>
    <t>Far Left</t>
  </si>
  <si>
    <t>Left</t>
  </si>
  <si>
    <t>Center</t>
  </si>
  <si>
    <t>Right</t>
  </si>
  <si>
    <t>Far right</t>
  </si>
  <si>
    <t>Vote_agg</t>
  </si>
  <si>
    <t>Vote_agg_factor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</si>
</sst>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021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2324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7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32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0A05-595A-EB4B-8BE2-8A61C904B70B}">
  <dimension ref="A1:AU35"/>
  <sheetViews>
    <sheetView tabSelected="1" topLeftCell="U1" zoomScale="75" workbookViewId="0">
      <pane ySplit="1" topLeftCell="A13" activePane="bottomLeft" state="frozen"/>
      <selection activeCell="I1" sqref="I1"/>
      <selection pane="bottomLeft" activeCell="AA31" sqref="AA31:AA34"/>
    </sheetView>
  </sheetViews>
  <sheetFormatPr baseColWidth="10" defaultRowHeight="16" x14ac:dyDescent="0.2"/>
  <cols>
    <col min="1" max="1" width="19.33203125" style="16" bestFit="1" customWidth="1"/>
  </cols>
  <sheetData>
    <row r="1" spans="1:47" x14ac:dyDescent="0.2">
      <c r="A1" s="15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  <c r="L1" s="1" t="s">
        <v>6</v>
      </c>
      <c r="M1" s="1"/>
      <c r="N1" s="1" t="s">
        <v>7</v>
      </c>
      <c r="O1" s="1"/>
      <c r="P1" s="1" t="s">
        <v>8</v>
      </c>
      <c r="Q1" s="1"/>
      <c r="R1" s="1" t="s">
        <v>9</v>
      </c>
      <c r="S1" s="1"/>
      <c r="T1" s="1" t="s">
        <v>10</v>
      </c>
      <c r="U1" s="1"/>
      <c r="V1" s="1" t="s">
        <v>11</v>
      </c>
      <c r="W1" s="1"/>
      <c r="X1" s="1" t="s">
        <v>12</v>
      </c>
      <c r="Y1" s="1"/>
      <c r="Z1" s="1" t="s">
        <v>13</v>
      </c>
      <c r="AA1" s="1"/>
      <c r="AB1" s="1" t="s">
        <v>14</v>
      </c>
      <c r="AC1" s="1"/>
      <c r="AD1" s="1" t="s">
        <v>15</v>
      </c>
      <c r="AE1" s="1"/>
      <c r="AF1" s="1" t="s">
        <v>16</v>
      </c>
      <c r="AG1" s="1"/>
      <c r="AH1" s="1" t="s">
        <v>17</v>
      </c>
      <c r="AI1" s="1"/>
      <c r="AJ1" s="1" t="s">
        <v>18</v>
      </c>
      <c r="AK1" s="1"/>
      <c r="AL1" s="1" t="s">
        <v>19</v>
      </c>
      <c r="AM1" s="1"/>
      <c r="AN1" s="1" t="s">
        <v>20</v>
      </c>
      <c r="AO1" s="1"/>
      <c r="AP1" s="2"/>
      <c r="AQ1" s="2"/>
      <c r="AR1" s="2"/>
      <c r="AS1" s="2"/>
      <c r="AT1" s="2"/>
      <c r="AU1" s="2"/>
    </row>
    <row r="2" spans="1:47" x14ac:dyDescent="0.2">
      <c r="B2" s="3" t="s">
        <v>21</v>
      </c>
      <c r="C2">
        <f>4752160/B20/1000</f>
        <v>0.24163060591969959</v>
      </c>
      <c r="D2" s="3" t="s">
        <v>23</v>
      </c>
      <c r="E2">
        <f>5556629/1000/D20</f>
        <v>0.18145874026439221</v>
      </c>
      <c r="F2" s="4" t="s">
        <v>31</v>
      </c>
      <c r="G2">
        <f>245100/1000/F20</f>
        <v>5.2730713004865405E-2</v>
      </c>
      <c r="H2" s="4" t="s">
        <v>41</v>
      </c>
      <c r="I2">
        <f>7059951/1000/H20</f>
        <v>0.13736673534402527</v>
      </c>
      <c r="J2" s="4" t="s">
        <v>53</v>
      </c>
      <c r="K2">
        <f>3966637/1000/J20</f>
        <v>5.6934038614513502E-2</v>
      </c>
      <c r="L2" s="3" t="s">
        <v>59</v>
      </c>
      <c r="M2">
        <f>6161896/1000/L20</f>
        <v>0.12109242856909846</v>
      </c>
      <c r="N2" s="4" t="s">
        <v>65</v>
      </c>
      <c r="O2">
        <f>4166076/1000/N20</f>
        <v>3.8812046238184968E-2</v>
      </c>
      <c r="P2" s="3" t="s">
        <v>73</v>
      </c>
      <c r="Q2">
        <f>1792700/1000/P20</f>
        <v>2.016975855290247E-2</v>
      </c>
      <c r="R2" s="3" t="s">
        <v>81</v>
      </c>
      <c r="S2">
        <f>432.129/R20</f>
        <v>1.3919682540439262E-2</v>
      </c>
      <c r="T2" s="3" t="s">
        <v>92</v>
      </c>
      <c r="U2">
        <f>13423800/1000/T20</f>
        <v>0.30914251721525038</v>
      </c>
      <c r="V2" s="4" t="s">
        <v>97</v>
      </c>
      <c r="W2">
        <f>2381960/1000/V20</f>
        <v>6.1609119627107023E-2</v>
      </c>
      <c r="X2" s="4" t="s">
        <v>104</v>
      </c>
      <c r="Y2">
        <f>117779/1000/X20</f>
        <v>1.9610969215195736E-3</v>
      </c>
      <c r="Z2" s="3" t="s">
        <v>112</v>
      </c>
      <c r="AA2">
        <f>10269.051/Z20</f>
        <v>0.19127730284137304</v>
      </c>
      <c r="AB2" s="3" t="s">
        <v>116</v>
      </c>
      <c r="AC2">
        <f>81268924/1000/AB20</f>
        <v>0.31559539465235376</v>
      </c>
      <c r="AD2" s="3" t="s">
        <v>118</v>
      </c>
      <c r="AE2">
        <f>31342.051/AD20</f>
        <v>0.19716683880100933</v>
      </c>
      <c r="AF2" t="s">
        <v>127</v>
      </c>
      <c r="AH2" s="4" t="s">
        <v>197</v>
      </c>
      <c r="AI2">
        <f>10744779/1000/AH20</f>
        <v>1.1393514287212572E-2</v>
      </c>
      <c r="AJ2" s="3" t="s">
        <v>130</v>
      </c>
      <c r="AK2">
        <f>27053.961/AJ20</f>
        <v>0.14345398084681388</v>
      </c>
      <c r="AL2" s="4" t="s">
        <v>138</v>
      </c>
      <c r="AM2">
        <f>1881.521/AL20</f>
        <v>4.7943039768836349E-2</v>
      </c>
      <c r="AN2" s="3" t="s">
        <v>143</v>
      </c>
      <c r="AO2">
        <f>3014.609/AN20</f>
        <v>8.4836919196973351E-2</v>
      </c>
    </row>
    <row r="3" spans="1:47" x14ac:dyDescent="0.2">
      <c r="B3" s="3" t="s">
        <v>22</v>
      </c>
      <c r="C3">
        <f>1482923/B20/1000</f>
        <v>7.5401413888054852E-2</v>
      </c>
      <c r="D3" s="3" t="s">
        <v>26</v>
      </c>
      <c r="E3">
        <f>1301615/1000/D20</f>
        <v>4.2505882291086351E-2</v>
      </c>
      <c r="F3" s="3" t="s">
        <v>32</v>
      </c>
      <c r="G3">
        <f>914.882/F20</f>
        <v>0.1968273364966025</v>
      </c>
      <c r="H3" s="4" t="s">
        <v>42</v>
      </c>
      <c r="I3">
        <f>232.384/H20</f>
        <v>4.5215372495058343E-3</v>
      </c>
      <c r="J3" s="3" t="s">
        <v>54</v>
      </c>
      <c r="K3">
        <f>11429231/1000/J20</f>
        <v>0.16404633927636805</v>
      </c>
      <c r="L3" s="3" t="s">
        <v>60</v>
      </c>
      <c r="M3">
        <f>1114799/1000/L20</f>
        <v>2.1907821598482414E-2</v>
      </c>
      <c r="N3" s="3" t="s">
        <v>66</v>
      </c>
      <c r="O3">
        <f>11492.095/N20</f>
        <v>0.10706279062446634</v>
      </c>
      <c r="P3" s="3" t="s">
        <v>74</v>
      </c>
      <c r="Q3">
        <f>16759917/1000/P20</f>
        <v>0.1885666755489962</v>
      </c>
      <c r="R3" s="3" t="s">
        <v>82</v>
      </c>
      <c r="S3">
        <f>27.29/R20</f>
        <v>8.7906189246402683E-4</v>
      </c>
      <c r="T3" s="3" t="s">
        <v>93</v>
      </c>
      <c r="U3">
        <f>2017458/1000/T20</f>
        <v>4.646091602199412E-2</v>
      </c>
      <c r="V3" s="3" t="s">
        <v>98</v>
      </c>
      <c r="W3">
        <f>6792199/1000/V20</f>
        <v>0.17567944076395769</v>
      </c>
      <c r="X3" s="3" t="s">
        <v>105</v>
      </c>
      <c r="Y3">
        <f>11348899/1000/X20</f>
        <v>0.18896654659605333</v>
      </c>
      <c r="Z3" s="3" t="s">
        <v>28</v>
      </c>
      <c r="AA3">
        <f>865.715/Z20</f>
        <v>1.6125309946295845E-2</v>
      </c>
      <c r="AB3" s="7" t="s">
        <v>117</v>
      </c>
      <c r="AC3">
        <f>74216154/1000/AB20</f>
        <v>0.28820704469041403</v>
      </c>
      <c r="AD3" s="3" t="s">
        <v>119</v>
      </c>
      <c r="AE3">
        <f>1069.578/AD20</f>
        <v>6.728510304290742E-3</v>
      </c>
      <c r="AH3" s="3" t="s">
        <v>190</v>
      </c>
      <c r="AI3">
        <f>119494885/1000/AH20</f>
        <v>0.12670960282164231</v>
      </c>
      <c r="AJ3" s="8" t="s">
        <v>131</v>
      </c>
      <c r="AK3">
        <f>13570.097/AJ20</f>
        <v>7.1955616226674041E-2</v>
      </c>
      <c r="AL3" s="3" t="s">
        <v>139</v>
      </c>
      <c r="AM3">
        <f>10026.475/AL20</f>
        <v>0.25548462635614666</v>
      </c>
      <c r="AN3" s="8" t="s">
        <v>144</v>
      </c>
      <c r="AO3">
        <f>5714.034/AN20</f>
        <v>0.16080395193763386</v>
      </c>
    </row>
    <row r="4" spans="1:47" x14ac:dyDescent="0.2">
      <c r="B4" s="5" t="s">
        <v>24</v>
      </c>
      <c r="C4" s="14">
        <f>5906875/B20/1000</f>
        <v>0.3003437984709954</v>
      </c>
      <c r="D4" s="3" t="s">
        <v>27</v>
      </c>
      <c r="E4">
        <f>3036348/1000/D20</f>
        <v>9.9155780075349059E-2</v>
      </c>
      <c r="F4" s="3" t="s">
        <v>33</v>
      </c>
      <c r="G4">
        <f>104.278/F20</f>
        <v>2.2434325951535519E-2</v>
      </c>
      <c r="H4" s="4" t="s">
        <v>43</v>
      </c>
      <c r="I4">
        <f>394.505/H20</f>
        <v>7.6759546811153061E-3</v>
      </c>
      <c r="J4" s="3" t="s">
        <v>55</v>
      </c>
      <c r="K4">
        <f>3717922/1000/J20</f>
        <v>5.3364175928815587E-2</v>
      </c>
      <c r="L4" s="8" t="s">
        <v>61</v>
      </c>
      <c r="M4">
        <f>10732066/1000/L20</f>
        <v>0.21090455527062618</v>
      </c>
      <c r="N4" s="3" t="s">
        <v>67</v>
      </c>
      <c r="O4">
        <f>1018.588/N20</f>
        <v>9.489381507601001E-3</v>
      </c>
      <c r="P4" s="3" t="s">
        <v>75</v>
      </c>
      <c r="Q4">
        <f>3449982/1000/P20</f>
        <v>3.881592232490632E-2</v>
      </c>
      <c r="R4" s="8" t="s">
        <v>83</v>
      </c>
      <c r="S4">
        <f>2693397/1000/R20</f>
        <v>8.6759350090763368E-2</v>
      </c>
      <c r="T4" s="8" t="s">
        <v>94</v>
      </c>
      <c r="U4">
        <f>6998342/1000/T20</f>
        <v>0.16116785576462772</v>
      </c>
      <c r="V4" s="3" t="s">
        <v>99</v>
      </c>
      <c r="W4">
        <f>880734/1000/V20</f>
        <v>2.2780082942476146E-2</v>
      </c>
      <c r="X4" s="3" t="s">
        <v>106</v>
      </c>
      <c r="Y4">
        <f>5866309/1000/X20</f>
        <v>9.7677858706412601E-2</v>
      </c>
      <c r="Z4" s="3" t="s">
        <v>113</v>
      </c>
      <c r="AA4">
        <f>1242.38/Z20</f>
        <v>2.3141290807112077E-2</v>
      </c>
      <c r="AB4" s="6" t="s">
        <v>25</v>
      </c>
      <c r="AC4">
        <f>1-AC2-AC3</f>
        <v>0.39619756065723222</v>
      </c>
      <c r="AD4" s="8" t="s">
        <v>120</v>
      </c>
      <c r="AE4">
        <f>13344.371/AD20</f>
        <v>8.3946881646573268E-2</v>
      </c>
      <c r="AH4" s="3" t="s">
        <v>128</v>
      </c>
      <c r="AI4">
        <f>22246455/1000/AH20</f>
        <v>2.3589624587190817E-2</v>
      </c>
      <c r="AJ4" s="8" t="s">
        <v>79</v>
      </c>
      <c r="AK4">
        <f>9572.623/AJ20</f>
        <v>5.075895823520149E-2</v>
      </c>
      <c r="AL4" s="8" t="s">
        <v>140</v>
      </c>
      <c r="AM4">
        <f>3621.188/AL20</f>
        <v>9.2271497524839194E-2</v>
      </c>
      <c r="AN4" s="8" t="s">
        <v>145</v>
      </c>
      <c r="AO4">
        <f>2532.452/AN20</f>
        <v>7.1268090055530781E-2</v>
      </c>
    </row>
    <row r="5" spans="1:47" x14ac:dyDescent="0.2">
      <c r="B5" s="6" t="s">
        <v>25</v>
      </c>
      <c r="C5">
        <f>1-C4-C3-C2</f>
        <v>0.38262418172125018</v>
      </c>
      <c r="D5" s="3" t="s">
        <v>28</v>
      </c>
      <c r="E5">
        <f>396988/1000/D20</f>
        <v>1.2964144696376263E-2</v>
      </c>
      <c r="F5" s="3" t="s">
        <v>34</v>
      </c>
      <c r="G5">
        <f>272.304/F20</f>
        <v>5.8583370355270781E-2</v>
      </c>
      <c r="H5" s="3" t="s">
        <v>44</v>
      </c>
      <c r="I5">
        <f>2291288/1000/H20</f>
        <v>4.458200238116964E-2</v>
      </c>
      <c r="J5" s="8" t="s">
        <v>56</v>
      </c>
      <c r="K5">
        <f>3249238/1000/J20</f>
        <v>4.6637048401390047E-2</v>
      </c>
      <c r="L5" s="5" t="s">
        <v>62</v>
      </c>
      <c r="M5">
        <f>4596956/1000/L20</f>
        <v>9.033852016737845E-2</v>
      </c>
      <c r="N5" s="8" t="s">
        <v>68</v>
      </c>
      <c r="O5">
        <f>7114.282/N20</f>
        <v>6.6278157656146225E-2</v>
      </c>
      <c r="P5" s="3" t="s">
        <v>76</v>
      </c>
      <c r="Q5">
        <f>1594828/1000/P20</f>
        <v>1.7943490652874625E-2</v>
      </c>
      <c r="R5" s="8" t="s">
        <v>84</v>
      </c>
      <c r="S5">
        <f>459.365/R20</f>
        <v>1.4797004992002115E-2</v>
      </c>
      <c r="T5" s="5" t="s">
        <v>95</v>
      </c>
      <c r="U5">
        <f>2208771/1000/T20</f>
        <v>5.0866746144314266E-2</v>
      </c>
      <c r="V5" s="8" t="s">
        <v>100</v>
      </c>
      <c r="W5">
        <f>1650318/1000/V20</f>
        <v>4.2685284003412323E-2</v>
      </c>
      <c r="X5" s="8" t="s">
        <v>107</v>
      </c>
      <c r="Y5">
        <f>4990710/1000/X20</f>
        <v>8.3098566104288132E-2</v>
      </c>
      <c r="Z5" s="8" t="s">
        <v>114</v>
      </c>
      <c r="AA5">
        <f>3696.419/Z20</f>
        <v>6.8851645248582879E-2</v>
      </c>
      <c r="AD5" s="8" t="s">
        <v>121</v>
      </c>
      <c r="AE5">
        <f>5096.35/AD20</f>
        <v>3.2060161567713741E-2</v>
      </c>
      <c r="AH5" s="3" t="s">
        <v>192</v>
      </c>
      <c r="AI5">
        <f>15647182/1000/AH20</f>
        <v>1.6591908653646147E-2</v>
      </c>
      <c r="AJ5" s="5" t="s">
        <v>132</v>
      </c>
      <c r="AK5">
        <f>12661.792/AJ20</f>
        <v>6.7139317124554926E-2</v>
      </c>
      <c r="AL5" s="5" t="s">
        <v>141</v>
      </c>
      <c r="AM5">
        <f>588.839/AL20</f>
        <v>1.5004207550403013E-2</v>
      </c>
      <c r="AN5" s="8" t="s">
        <v>146</v>
      </c>
      <c r="AO5">
        <f>2206.216/AN20</f>
        <v>6.2087178975140649E-2</v>
      </c>
    </row>
    <row r="6" spans="1:47" x14ac:dyDescent="0.2">
      <c r="D6" s="5" t="s">
        <v>29</v>
      </c>
      <c r="E6">
        <f>5747410/1000/D20</f>
        <v>0.18768893485294239</v>
      </c>
      <c r="F6" s="8" t="s">
        <v>35</v>
      </c>
      <c r="G6">
        <f>304.714/F20</f>
        <v>6.555604440050819E-2</v>
      </c>
      <c r="H6" s="8" t="s">
        <v>45</v>
      </c>
      <c r="I6">
        <f>8656346/1000/H20</f>
        <v>0.16842807974564011</v>
      </c>
      <c r="J6" s="5" t="s">
        <v>57</v>
      </c>
      <c r="K6">
        <f>(14030751+3255487)/1000/J20</f>
        <v>0.24811328634096608</v>
      </c>
      <c r="L6" s="7" t="s">
        <v>63</v>
      </c>
      <c r="M6">
        <f>5698687/1000/L20</f>
        <v>0.11198953187219486</v>
      </c>
      <c r="N6" s="8" t="s">
        <v>69</v>
      </c>
      <c r="O6">
        <f>2593.396/N20</f>
        <v>2.4160626322209184E-2</v>
      </c>
      <c r="P6" s="3" t="s">
        <v>77</v>
      </c>
      <c r="Q6">
        <f>2670997/1000/P20</f>
        <v>3.0051522611439077E-2</v>
      </c>
      <c r="R6" s="5" t="s">
        <v>85</v>
      </c>
      <c r="S6">
        <f>5917340/1000/R20</f>
        <v>0.19060857818809399</v>
      </c>
      <c r="T6" s="7" t="s">
        <v>96</v>
      </c>
      <c r="U6">
        <f>7852849/1000/T20</f>
        <v>0.1808466683927995</v>
      </c>
      <c r="V6" s="5" t="s">
        <v>101</v>
      </c>
      <c r="W6">
        <f>5047040/1000/V20</f>
        <v>0.13054110527582086</v>
      </c>
      <c r="X6" s="5" t="s">
        <v>108</v>
      </c>
      <c r="Y6">
        <f>21335579/1000/X20</f>
        <v>0.35525126122430711</v>
      </c>
      <c r="Z6" s="5" t="s">
        <v>29</v>
      </c>
      <c r="AA6">
        <f>13966.565/Z20</f>
        <v>0.26014934419536156</v>
      </c>
      <c r="AD6" s="8" t="s">
        <v>122</v>
      </c>
      <c r="AE6">
        <f>1288.95/AD20</f>
        <v>8.1085375322936266E-3</v>
      </c>
      <c r="AH6" s="3" t="s">
        <v>191</v>
      </c>
      <c r="AI6">
        <f>24929325/1000/AH20</f>
        <v>2.6434477671254619E-2</v>
      </c>
      <c r="AJ6" s="5" t="s">
        <v>133</v>
      </c>
      <c r="AK6">
        <f>10876.507/AJ20</f>
        <v>5.7672820141133382E-2</v>
      </c>
      <c r="AL6" s="7" t="s">
        <v>142</v>
      </c>
      <c r="AM6">
        <f>414.864/AL20</f>
        <v>1.0571150282488754E-2</v>
      </c>
      <c r="AN6" s="8" t="s">
        <v>147</v>
      </c>
      <c r="AO6">
        <f>1306.45/AN20</f>
        <v>3.6766026070009693E-2</v>
      </c>
    </row>
    <row r="7" spans="1:47" x14ac:dyDescent="0.2">
      <c r="D7" s="7" t="s">
        <v>30</v>
      </c>
      <c r="E7">
        <f>840993/1000/D20</f>
        <v>2.7463688929236053E-2</v>
      </c>
      <c r="F7" s="5" t="s">
        <v>36</v>
      </c>
      <c r="G7">
        <f>233.865/F20</f>
        <v>5.0313619734324147E-2</v>
      </c>
      <c r="H7" s="5" t="s">
        <v>46</v>
      </c>
      <c r="I7">
        <f>7212995/1000/H20</f>
        <v>0.14034453995541576</v>
      </c>
      <c r="J7" s="7" t="s">
        <v>58</v>
      </c>
      <c r="K7">
        <f>5317499/1000/J20</f>
        <v>7.6323266635852219E-2</v>
      </c>
      <c r="L7" s="7" t="s">
        <v>64</v>
      </c>
      <c r="M7">
        <f>1429550/1000/L20</f>
        <v>2.8093249425331864E-2</v>
      </c>
      <c r="N7" s="8" t="s">
        <v>70</v>
      </c>
      <c r="O7">
        <f>8050.83/N20</f>
        <v>7.5003237150682481E-2</v>
      </c>
      <c r="P7" s="8" t="s">
        <v>78</v>
      </c>
      <c r="Q7">
        <f>8715899/1000/P20</f>
        <v>9.8063021365250219E-2</v>
      </c>
      <c r="R7" s="5" t="s">
        <v>86</v>
      </c>
      <c r="S7">
        <f>45.419/R20</f>
        <v>1.4630308572306204E-3</v>
      </c>
      <c r="T7" s="6" t="s">
        <v>25</v>
      </c>
      <c r="U7">
        <f>1-SUM(U2:U6)</f>
        <v>0.25151529646101389</v>
      </c>
      <c r="V7" s="7" t="s">
        <v>102</v>
      </c>
      <c r="W7">
        <f>3656979/1000/V20</f>
        <v>9.4587338445993305E-2</v>
      </c>
      <c r="X7" s="7" t="s">
        <v>109</v>
      </c>
      <c r="Y7">
        <f>5564517/1000/X20</f>
        <v>9.2652825702742705E-2</v>
      </c>
      <c r="Z7" s="7" t="s">
        <v>115</v>
      </c>
      <c r="AA7">
        <f>644.257/Z20</f>
        <v>1.2000304730853364E-2</v>
      </c>
      <c r="AD7" s="8" t="s">
        <v>123</v>
      </c>
      <c r="AE7">
        <f>859.601/AD20</f>
        <v>5.4075852215346859E-3</v>
      </c>
      <c r="AH7" s="3" t="s">
        <v>193</v>
      </c>
      <c r="AI7">
        <f>15534558/1000/AH20</f>
        <v>1.6472484777819287E-2</v>
      </c>
      <c r="AJ7" s="5" t="s">
        <v>134</v>
      </c>
      <c r="AK7">
        <f>6323.147/AJ20</f>
        <v>3.3528569388770413E-2</v>
      </c>
      <c r="AL7" s="6" t="s">
        <v>25</v>
      </c>
      <c r="AM7">
        <f>1-SUM(AM2:AM6)</f>
        <v>0.57872547851728606</v>
      </c>
      <c r="AN7" s="8" t="s">
        <v>148</v>
      </c>
      <c r="AO7">
        <f>784.274/AN20</f>
        <v>2.2070984982227242E-2</v>
      </c>
    </row>
    <row r="8" spans="1:47" x14ac:dyDescent="0.2">
      <c r="D8" s="6" t="s">
        <v>25</v>
      </c>
      <c r="E8">
        <f>1-SUM(E2:E7)</f>
        <v>0.44876282889061769</v>
      </c>
      <c r="F8" s="5" t="s">
        <v>37</v>
      </c>
      <c r="G8">
        <f>82.27/F20</f>
        <v>1.7699533900082731E-2</v>
      </c>
      <c r="H8" s="5" t="s">
        <v>47</v>
      </c>
      <c r="I8">
        <f>332.547/H20</f>
        <v>6.470426740702531E-3</v>
      </c>
      <c r="J8" s="6" t="s">
        <v>72</v>
      </c>
      <c r="K8">
        <f>1-SUM(K2:K7)</f>
        <v>0.35458184480209454</v>
      </c>
      <c r="L8" s="6" t="s">
        <v>177</v>
      </c>
      <c r="M8">
        <f>1-SUM(M2:M7)</f>
        <v>0.41567389309688774</v>
      </c>
      <c r="N8" s="5" t="s">
        <v>71</v>
      </c>
      <c r="O8">
        <f>19914.883/N20</f>
        <v>0.18553126727021874</v>
      </c>
      <c r="P8" s="5" t="s">
        <v>79</v>
      </c>
      <c r="Q8">
        <f>8969288/1000/P20</f>
        <v>0.10091391384584453</v>
      </c>
      <c r="R8" s="5" t="s">
        <v>87</v>
      </c>
      <c r="S8">
        <f>33.562/R20</f>
        <v>1.0810947319486136E-3</v>
      </c>
      <c r="V8" s="6" t="s">
        <v>103</v>
      </c>
      <c r="W8">
        <f>1-SUM(W2:W7)</f>
        <v>0.47211762894123266</v>
      </c>
      <c r="X8" s="7" t="s">
        <v>110</v>
      </c>
      <c r="Y8">
        <f>673731/1000/X20</f>
        <v>1.1218059161924485E-2</v>
      </c>
      <c r="Z8" s="6" t="s">
        <v>25</v>
      </c>
      <c r="AA8">
        <f>1-SUM(AA2:AA7)</f>
        <v>0.42845480223042121</v>
      </c>
      <c r="AD8" s="5" t="s">
        <v>124</v>
      </c>
      <c r="AE8">
        <f>2679.745/AD20</f>
        <v>1.6857762449649857E-2</v>
      </c>
      <c r="AH8" s="3" t="s">
        <v>194</v>
      </c>
      <c r="AI8">
        <f>13877622/1000/AH20</f>
        <v>1.4715508297521567E-2</v>
      </c>
      <c r="AJ8" s="5" t="s">
        <v>135</v>
      </c>
      <c r="AK8">
        <f>17229.789/AJ20</f>
        <v>9.1361180760208993E-2</v>
      </c>
      <c r="AN8" s="5" t="s">
        <v>149</v>
      </c>
      <c r="AO8">
        <f>1141.332/AN20</f>
        <v>3.2119286667332318E-2</v>
      </c>
    </row>
    <row r="9" spans="1:47" x14ac:dyDescent="0.2">
      <c r="F9" s="5" t="s">
        <v>38</v>
      </c>
      <c r="G9">
        <f>826.161/F20</f>
        <v>0.17773993711469852</v>
      </c>
      <c r="H9" s="7" t="s">
        <v>48</v>
      </c>
      <c r="I9">
        <f>7678491/1000/H20</f>
        <v>0.14940177928125561</v>
      </c>
      <c r="J9" s="9"/>
      <c r="N9" s="6" t="s">
        <v>72</v>
      </c>
      <c r="O9">
        <f>1-SUM(O2:O8)</f>
        <v>0.49366249323049105</v>
      </c>
      <c r="P9" s="6" t="s">
        <v>80</v>
      </c>
      <c r="Q9">
        <f>1-SUM(Q2:Q8)</f>
        <v>0.50547569509778656</v>
      </c>
      <c r="R9" s="5" t="s">
        <v>88</v>
      </c>
      <c r="S9">
        <f>27.909/R20</f>
        <v>8.9900103909045523E-4</v>
      </c>
      <c r="X9" s="7" t="s">
        <v>111</v>
      </c>
      <c r="Y9">
        <f>157.612/X20</f>
        <v>2.6243422680999415E-3</v>
      </c>
      <c r="AD9" s="7" t="s">
        <v>125</v>
      </c>
      <c r="AE9">
        <f>49277.01/AD20</f>
        <v>0.30999223015959376</v>
      </c>
      <c r="AH9" s="3" t="s">
        <v>199</v>
      </c>
      <c r="AI9">
        <f>14539946/AH20/1000</f>
        <v>1.5417821295933519E-2</v>
      </c>
      <c r="AJ9" s="7" t="s">
        <v>136</v>
      </c>
      <c r="AK9">
        <f>17594.839/AJ20</f>
        <v>9.3296863143580863E-2</v>
      </c>
      <c r="AN9" s="5" t="s">
        <v>150</v>
      </c>
      <c r="AO9">
        <f>1036.003/AN20</f>
        <v>2.9155125191632474E-2</v>
      </c>
    </row>
    <row r="10" spans="1:47" x14ac:dyDescent="0.2">
      <c r="F10" s="7" t="s">
        <v>39</v>
      </c>
      <c r="G10">
        <f>308.513/F20</f>
        <v>6.6373359695104203E-2</v>
      </c>
      <c r="H10" s="7" t="s">
        <v>49</v>
      </c>
      <c r="I10">
        <f>1695000/1000/H20</f>
        <v>3.2979919606824865E-2</v>
      </c>
      <c r="J10" s="9"/>
      <c r="R10" s="5" t="s">
        <v>89</v>
      </c>
      <c r="S10">
        <f>21.065/R20</f>
        <v>6.7854301080083276E-4</v>
      </c>
      <c r="X10" s="6" t="s">
        <v>25</v>
      </c>
      <c r="Y10">
        <f>1-SUM(Y2:Y9)</f>
        <v>0.16654944331465205</v>
      </c>
      <c r="AD10" s="7" t="s">
        <v>126</v>
      </c>
      <c r="AE10">
        <f>1348.323/AD20</f>
        <v>8.4820417015048985E-3</v>
      </c>
      <c r="AH10" s="5" t="s">
        <v>129</v>
      </c>
      <c r="AI10">
        <f>229075170/1000/AH20</f>
        <v>0.24290599390091211</v>
      </c>
      <c r="AJ10" s="7" t="s">
        <v>137</v>
      </c>
      <c r="AK10">
        <f>11493.663/AJ20</f>
        <v>6.0945297875669054E-2</v>
      </c>
      <c r="AN10" s="7" t="s">
        <v>151</v>
      </c>
      <c r="AO10">
        <f>307.244/AN20</f>
        <v>8.6464395222580724E-3</v>
      </c>
    </row>
    <row r="11" spans="1:47" x14ac:dyDescent="0.2">
      <c r="F11" s="7" t="s">
        <v>40</v>
      </c>
      <c r="G11">
        <f>83.201/F20</f>
        <v>1.78998288564578E-2</v>
      </c>
      <c r="H11" s="6" t="s">
        <v>50</v>
      </c>
      <c r="I11">
        <f>65.586/H20</f>
        <v>1.2761185883971775E-3</v>
      </c>
      <c r="R11" s="7" t="s">
        <v>90</v>
      </c>
      <c r="S11">
        <f>8450513/1000/R20</f>
        <v>0.27220681385386081</v>
      </c>
      <c r="AD11" s="6" t="s">
        <v>72</v>
      </c>
      <c r="AE11">
        <f>1-SUM(AE2:AE10)</f>
        <v>0.33124945061583611</v>
      </c>
      <c r="AH11" s="5" t="s">
        <v>196</v>
      </c>
      <c r="AI11">
        <f>12513061/1000/AH20</f>
        <v>1.3268559481796919E-2</v>
      </c>
      <c r="AJ11" s="6" t="s">
        <v>25</v>
      </c>
      <c r="AK11">
        <f>1-SUM(AK2:AK10)</f>
        <v>0.32988739625739294</v>
      </c>
      <c r="AN11" s="6" t="s">
        <v>25</v>
      </c>
      <c r="AO11">
        <f>1-SUM(AO2:AO10)</f>
        <v>0.49224599740126151</v>
      </c>
    </row>
    <row r="12" spans="1:47" x14ac:dyDescent="0.2">
      <c r="F12" s="6" t="s">
        <v>25</v>
      </c>
      <c r="G12">
        <f>1-SUM(G2:G11)</f>
        <v>0.27384193049055028</v>
      </c>
      <c r="H12" s="6" t="s">
        <v>51</v>
      </c>
      <c r="I12">
        <f>435.301/H20</f>
        <v>8.4697297845253514E-3</v>
      </c>
      <c r="R12" s="7" t="s">
        <v>91</v>
      </c>
      <c r="S12">
        <f>1317380/1000/R20</f>
        <v>4.2435271377583725E-2</v>
      </c>
      <c r="AH12" s="5" t="s">
        <v>198</v>
      </c>
      <c r="AI12">
        <f>27241340/1000/AH20</f>
        <v>2.888608472010595E-2</v>
      </c>
    </row>
    <row r="13" spans="1:47" x14ac:dyDescent="0.2">
      <c r="H13" s="6" t="s">
        <v>52</v>
      </c>
      <c r="I13">
        <f>1-SUM(I2:I12)</f>
        <v>0.29848317664142254</v>
      </c>
      <c r="R13" s="6" t="s">
        <v>25</v>
      </c>
      <c r="S13">
        <f>1-SUM(S2:S12)</f>
        <v>0.37427256742572212</v>
      </c>
      <c r="AH13" s="7" t="s">
        <v>195</v>
      </c>
      <c r="AI13">
        <f>12858904/1000/AH20</f>
        <v>1.3635283372686853E-2</v>
      </c>
    </row>
    <row r="14" spans="1:47" x14ac:dyDescent="0.2">
      <c r="AH14" s="6" t="s">
        <v>200</v>
      </c>
      <c r="AI14">
        <f>1-SUM(AI2:AI13)</f>
        <v>0.44997913613227736</v>
      </c>
    </row>
    <row r="15" spans="1:47" x14ac:dyDescent="0.2">
      <c r="AH15" s="9"/>
    </row>
    <row r="18" spans="1:42" s="28" customFormat="1" x14ac:dyDescent="0.2">
      <c r="A18" s="27" t="s">
        <v>153</v>
      </c>
      <c r="B18" s="28" t="s">
        <v>155</v>
      </c>
      <c r="D18" s="28" t="s">
        <v>156</v>
      </c>
      <c r="F18" s="28" t="s">
        <v>171</v>
      </c>
      <c r="H18" s="28" t="s">
        <v>157</v>
      </c>
      <c r="J18" s="28" t="s">
        <v>158</v>
      </c>
      <c r="L18" s="28" t="s">
        <v>159</v>
      </c>
      <c r="N18" s="28" t="s">
        <v>187</v>
      </c>
      <c r="P18" s="28" t="s">
        <v>172</v>
      </c>
      <c r="R18" s="28" t="s">
        <v>160</v>
      </c>
      <c r="T18" s="28" t="s">
        <v>166</v>
      </c>
      <c r="V18" s="28" t="s">
        <v>161</v>
      </c>
      <c r="X18" s="28" t="s">
        <v>167</v>
      </c>
      <c r="Z18" s="28" t="s">
        <v>170</v>
      </c>
      <c r="AB18" s="28" t="s">
        <v>169</v>
      </c>
      <c r="AD18" s="28" t="s">
        <v>168</v>
      </c>
      <c r="AH18" s="28" t="s">
        <v>162</v>
      </c>
      <c r="AJ18" s="28" t="s">
        <v>163</v>
      </c>
      <c r="AL18" s="28" t="s">
        <v>164</v>
      </c>
      <c r="AN18" s="28" t="s">
        <v>165</v>
      </c>
    </row>
    <row r="19" spans="1:42" x14ac:dyDescent="0.2">
      <c r="A19" s="16" t="s">
        <v>154</v>
      </c>
      <c r="B19" t="s">
        <v>173</v>
      </c>
      <c r="D19" t="s">
        <v>174</v>
      </c>
      <c r="F19" t="s">
        <v>175</v>
      </c>
      <c r="H19" t="s">
        <v>176</v>
      </c>
      <c r="J19" t="s">
        <v>179</v>
      </c>
      <c r="L19" t="s">
        <v>178</v>
      </c>
      <c r="N19" t="s">
        <v>186</v>
      </c>
      <c r="P19" t="s">
        <v>180</v>
      </c>
      <c r="R19" t="s">
        <v>181</v>
      </c>
      <c r="T19" t="s">
        <v>182</v>
      </c>
      <c r="V19" t="s">
        <v>183</v>
      </c>
      <c r="X19" t="s">
        <v>184</v>
      </c>
      <c r="Z19" t="s">
        <v>185</v>
      </c>
      <c r="AB19" t="s">
        <v>188</v>
      </c>
      <c r="AD19" t="s">
        <v>189</v>
      </c>
      <c r="AH19" t="s">
        <v>201</v>
      </c>
      <c r="AJ19" t="s">
        <v>202</v>
      </c>
      <c r="AL19" t="s">
        <v>203</v>
      </c>
      <c r="AN19" t="s">
        <v>204</v>
      </c>
    </row>
    <row r="20" spans="1:42" x14ac:dyDescent="0.2">
      <c r="A20" s="16" t="s">
        <v>152</v>
      </c>
      <c r="B20">
        <v>19667.045000000006</v>
      </c>
      <c r="D20">
        <v>30621.997000000014</v>
      </c>
      <c r="F20">
        <v>4648.1449999999977</v>
      </c>
      <c r="H20">
        <v>51394.910000000018</v>
      </c>
      <c r="J20">
        <v>69670.746999999988</v>
      </c>
      <c r="L20">
        <v>50885.889999999985</v>
      </c>
      <c r="N20">
        <v>107339.76699999998</v>
      </c>
      <c r="P20">
        <v>88880.587999999974</v>
      </c>
      <c r="R20">
        <v>31044.458000000002</v>
      </c>
      <c r="T20">
        <v>43422.691000000006</v>
      </c>
      <c r="V20">
        <v>38662.457999999984</v>
      </c>
      <c r="X20">
        <v>60057.71500000004</v>
      </c>
      <c r="Z20">
        <v>53686.720000000001</v>
      </c>
      <c r="AB20">
        <v>257509.85400000002</v>
      </c>
      <c r="AD20">
        <v>158962.08100000006</v>
      </c>
      <c r="AH20">
        <v>943061.00199999975</v>
      </c>
      <c r="AJ20">
        <v>188589.82399999999</v>
      </c>
      <c r="AL20">
        <v>39244.925000000003</v>
      </c>
      <c r="AN20">
        <v>35534.164000000004</v>
      </c>
    </row>
    <row r="22" spans="1:42" s="28" customFormat="1" x14ac:dyDescent="0.2">
      <c r="A22" s="27" t="s">
        <v>210</v>
      </c>
    </row>
    <row r="23" spans="1:42" s="4" customFormat="1" x14ac:dyDescent="0.2">
      <c r="A23" s="17" t="s">
        <v>205</v>
      </c>
      <c r="G23" s="4">
        <f>G2</f>
        <v>5.2730713004865405E-2</v>
      </c>
      <c r="I23" s="4">
        <f>SUM(I2:I4)</f>
        <v>0.14956422727464641</v>
      </c>
      <c r="K23" s="4">
        <f>K2</f>
        <v>5.6934038614513502E-2</v>
      </c>
      <c r="O23" s="4">
        <f>O2</f>
        <v>3.8812046238184968E-2</v>
      </c>
      <c r="W23" s="4">
        <f>W2</f>
        <v>6.1609119627107023E-2</v>
      </c>
      <c r="Y23" s="4">
        <f>Y2</f>
        <v>1.9610969215195736E-3</v>
      </c>
      <c r="AI23" s="4">
        <f>AI2</f>
        <v>1.1393514287212572E-2</v>
      </c>
      <c r="AM23" s="4">
        <f>AM2</f>
        <v>4.7943039768836349E-2</v>
      </c>
    </row>
    <row r="24" spans="1:42" s="3" customFormat="1" x14ac:dyDescent="0.2">
      <c r="A24" s="18" t="s">
        <v>206</v>
      </c>
      <c r="B24" s="3">
        <f>C3+C2</f>
        <v>0.31703201980775442</v>
      </c>
      <c r="D24" s="3">
        <f>E2+E3+E4+E5</f>
        <v>0.33608454732720389</v>
      </c>
      <c r="G24" s="3">
        <f>SUM(G3:G5)</f>
        <v>0.27784503280340878</v>
      </c>
      <c r="I24" s="3">
        <f>I5</f>
        <v>4.458200238116964E-2</v>
      </c>
      <c r="K24" s="3">
        <f>K3+K4</f>
        <v>0.21741051520518365</v>
      </c>
      <c r="M24" s="3">
        <f>M2+M3</f>
        <v>0.14300025016758089</v>
      </c>
      <c r="O24" s="3">
        <f>O3+O4</f>
        <v>0.11655217213206734</v>
      </c>
      <c r="Q24" s="3">
        <f>SUM(Q2:Q6)</f>
        <v>0.29554736969111872</v>
      </c>
      <c r="S24" s="3">
        <f>S2+S3</f>
        <v>1.4798744432903289E-2</v>
      </c>
      <c r="U24" s="3">
        <f>U2+U3</f>
        <v>0.35560343323724453</v>
      </c>
      <c r="W24" s="3">
        <f>W3+W4</f>
        <v>0.19845952370643383</v>
      </c>
      <c r="Y24" s="3">
        <f>Y3+Y4</f>
        <v>0.28664440530246593</v>
      </c>
      <c r="AA24" s="3">
        <f>SUM(AA2:AA4)</f>
        <v>0.23054390359478097</v>
      </c>
      <c r="AC24" s="3">
        <f>AC2</f>
        <v>0.31559539465235376</v>
      </c>
      <c r="AE24" s="3">
        <f>AE2+AE3</f>
        <v>0.20389534910530008</v>
      </c>
      <c r="AI24" s="3">
        <f>SUM(AI3:AI9)</f>
        <v>0.23993142810500831</v>
      </c>
      <c r="AK24" s="3">
        <f>AK2</f>
        <v>0.14345398084681388</v>
      </c>
      <c r="AM24" s="3">
        <f>AM3</f>
        <v>0.25548462635614666</v>
      </c>
      <c r="AO24" s="3">
        <f>AO2</f>
        <v>8.4836919196973351E-2</v>
      </c>
    </row>
    <row r="25" spans="1:42" s="8" customFormat="1" x14ac:dyDescent="0.2">
      <c r="A25" s="19" t="s">
        <v>207</v>
      </c>
      <c r="G25" s="8">
        <f>G6</f>
        <v>6.555604440050819E-2</v>
      </c>
      <c r="I25" s="8">
        <f>I6</f>
        <v>0.16842807974564011</v>
      </c>
      <c r="K25" s="8">
        <f>K5</f>
        <v>4.6637048401390047E-2</v>
      </c>
      <c r="M25" s="8">
        <f>M4</f>
        <v>0.21090455527062618</v>
      </c>
      <c r="O25" s="8">
        <f>SUM(O5:O7)</f>
        <v>0.16544202112903789</v>
      </c>
      <c r="Q25" s="8">
        <f>Q7</f>
        <v>9.8063021365250219E-2</v>
      </c>
      <c r="S25" s="8">
        <f>S4+S5</f>
        <v>0.10155635508276548</v>
      </c>
      <c r="U25" s="8">
        <f>U4</f>
        <v>0.16116785576462772</v>
      </c>
      <c r="W25" s="8">
        <f>W5</f>
        <v>4.2685284003412323E-2</v>
      </c>
      <c r="Y25" s="8">
        <f>Y5</f>
        <v>8.3098566104288132E-2</v>
      </c>
      <c r="AA25" s="8">
        <f>AA5</f>
        <v>6.8851645248582879E-2</v>
      </c>
      <c r="AE25" s="8">
        <f>SUM(AE4:AE7)</f>
        <v>0.12952316596811531</v>
      </c>
      <c r="AK25" s="8">
        <f>AK3+AK4</f>
        <v>0.12271457446187553</v>
      </c>
      <c r="AM25" s="8">
        <f>AM4</f>
        <v>9.2271497524839194E-2</v>
      </c>
      <c r="AO25" s="8">
        <f>SUM(AO3:AO7)</f>
        <v>0.3529962320205422</v>
      </c>
    </row>
    <row r="26" spans="1:42" s="5" customFormat="1" x14ac:dyDescent="0.2">
      <c r="A26" s="20" t="s">
        <v>208</v>
      </c>
      <c r="B26" s="5">
        <f>C4</f>
        <v>0.3003437984709954</v>
      </c>
      <c r="D26" s="5">
        <f>E6</f>
        <v>0.18768893485294239</v>
      </c>
      <c r="G26" s="5">
        <f>SUM(G7:G9)</f>
        <v>0.2457530907491054</v>
      </c>
      <c r="I26" s="5">
        <f>SUM(I7:I8)</f>
        <v>0.14681496669611829</v>
      </c>
      <c r="K26" s="5">
        <f>K6</f>
        <v>0.24811328634096608</v>
      </c>
      <c r="M26" s="5">
        <f>M5</f>
        <v>9.033852016737845E-2</v>
      </c>
      <c r="O26" s="5">
        <f>O8</f>
        <v>0.18553126727021874</v>
      </c>
      <c r="Q26" s="5">
        <f>Q8</f>
        <v>0.10091391384584453</v>
      </c>
      <c r="S26" s="5">
        <f>SUM(S6:S10)</f>
        <v>0.19473024782716453</v>
      </c>
      <c r="U26" s="5">
        <f>U5</f>
        <v>5.0866746144314266E-2</v>
      </c>
      <c r="W26" s="5">
        <f>W6</f>
        <v>0.13054110527582086</v>
      </c>
      <c r="Y26" s="5">
        <f>Y6</f>
        <v>0.35525126122430711</v>
      </c>
      <c r="AA26" s="5">
        <f>AA6</f>
        <v>0.26014934419536156</v>
      </c>
      <c r="AE26" s="5">
        <f>AE8</f>
        <v>1.6857762449649857E-2</v>
      </c>
      <c r="AI26" s="5">
        <f>SUM(AI10:AI12)</f>
        <v>0.28506063810281496</v>
      </c>
      <c r="AK26" s="5">
        <f>SUM(AK5:AK8)</f>
        <v>0.2497018874146677</v>
      </c>
      <c r="AM26" s="5">
        <f>AM5</f>
        <v>1.5004207550403013E-2</v>
      </c>
      <c r="AO26" s="5">
        <f>AO8+AO9</f>
        <v>6.1274411858964789E-2</v>
      </c>
    </row>
    <row r="27" spans="1:42" s="7" customFormat="1" x14ac:dyDescent="0.2">
      <c r="A27" s="21" t="s">
        <v>209</v>
      </c>
      <c r="D27" s="7">
        <f>E7</f>
        <v>2.7463688929236053E-2</v>
      </c>
      <c r="G27" s="7">
        <f>SUM(G10:G11)</f>
        <v>8.4273188551562003E-2</v>
      </c>
      <c r="I27" s="7">
        <f>I9+I10</f>
        <v>0.18238169888808048</v>
      </c>
      <c r="K27" s="7">
        <f>K7</f>
        <v>7.6323266635852219E-2</v>
      </c>
      <c r="M27" s="7">
        <f>M6+M7</f>
        <v>0.14008278129752672</v>
      </c>
      <c r="S27" s="7">
        <f>S11+S12</f>
        <v>0.31464208523144455</v>
      </c>
      <c r="U27" s="7">
        <f>U6</f>
        <v>0.1808466683927995</v>
      </c>
      <c r="W27" s="7">
        <f>W7</f>
        <v>9.4587338445993305E-2</v>
      </c>
      <c r="Y27" s="7">
        <f>SUM(Y7:Y9)</f>
        <v>0.10649522713276714</v>
      </c>
      <c r="AA27" s="7">
        <f>AA7</f>
        <v>1.2000304730853364E-2</v>
      </c>
      <c r="AC27" s="7">
        <f>AC3</f>
        <v>0.28820704469041403</v>
      </c>
      <c r="AE27" s="7">
        <f>AE9+AE10</f>
        <v>0.31847427186109867</v>
      </c>
      <c r="AI27" s="7">
        <f>AI13</f>
        <v>1.3635283372686853E-2</v>
      </c>
      <c r="AK27" s="7">
        <f>AK9+AK10</f>
        <v>0.15424216101924992</v>
      </c>
      <c r="AM27" s="7">
        <f>AM6</f>
        <v>1.0571150282488754E-2</v>
      </c>
      <c r="AO27" s="7">
        <f>AO10</f>
        <v>8.6464395222580724E-3</v>
      </c>
    </row>
    <row r="28" spans="1:42" s="6" customFormat="1" x14ac:dyDescent="0.2">
      <c r="A28" s="22" t="s">
        <v>72</v>
      </c>
      <c r="B28" s="6">
        <f>C5</f>
        <v>0.38262418172125018</v>
      </c>
      <c r="D28" s="6">
        <f>E8</f>
        <v>0.44876282889061769</v>
      </c>
      <c r="G28" s="6">
        <f>G12</f>
        <v>0.27384193049055028</v>
      </c>
      <c r="I28" s="6">
        <f>SUM(I11:I13)</f>
        <v>0.30822902501434507</v>
      </c>
      <c r="K28" s="6">
        <f>K8</f>
        <v>0.35458184480209454</v>
      </c>
      <c r="M28" s="6">
        <f>M8</f>
        <v>0.41567389309688774</v>
      </c>
      <c r="O28" s="6">
        <f>O9</f>
        <v>0.49366249323049105</v>
      </c>
      <c r="Q28" s="6">
        <f>Q9</f>
        <v>0.50547569509778656</v>
      </c>
      <c r="S28" s="6">
        <f>S13</f>
        <v>0.37427256742572212</v>
      </c>
      <c r="U28" s="6">
        <f>U7</f>
        <v>0.25151529646101389</v>
      </c>
      <c r="W28" s="6">
        <f>W8</f>
        <v>0.47211762894123266</v>
      </c>
      <c r="Y28" s="6">
        <f>Y10</f>
        <v>0.16654944331465205</v>
      </c>
      <c r="AA28" s="6">
        <f>AA8</f>
        <v>0.42845480223042121</v>
      </c>
      <c r="AC28" s="6">
        <f>AC4</f>
        <v>0.39619756065723222</v>
      </c>
      <c r="AE28" s="6">
        <f>AE11</f>
        <v>0.33124945061583611</v>
      </c>
      <c r="AI28" s="6">
        <f>AI14</f>
        <v>0.44997913613227736</v>
      </c>
      <c r="AK28" s="6">
        <f>AK11</f>
        <v>0.32988739625739294</v>
      </c>
      <c r="AM28" s="6">
        <f>AM7</f>
        <v>0.57872547851728606</v>
      </c>
      <c r="AO28" s="6">
        <f>AO11</f>
        <v>0.49224599740126151</v>
      </c>
    </row>
    <row r="30" spans="1:42" s="28" customFormat="1" x14ac:dyDescent="0.2">
      <c r="A30" s="27" t="s">
        <v>211</v>
      </c>
    </row>
    <row r="31" spans="1:42" s="10" customFormat="1" x14ac:dyDescent="0.2">
      <c r="A31" s="23" t="s">
        <v>206</v>
      </c>
      <c r="B31" s="10">
        <f>B23+B24</f>
        <v>0.31703201980775442</v>
      </c>
      <c r="C31" s="10">
        <f t="shared" ref="C31:AP31" si="0">C23+C24</f>
        <v>0</v>
      </c>
      <c r="D31" s="10">
        <f>D23+D24</f>
        <v>0.33608454732720389</v>
      </c>
      <c r="E31" s="10">
        <f t="shared" si="0"/>
        <v>0</v>
      </c>
      <c r="F31" s="10">
        <f t="shared" si="0"/>
        <v>0</v>
      </c>
      <c r="G31" s="10">
        <f>G23+G24</f>
        <v>0.3305757458082742</v>
      </c>
      <c r="H31" s="10">
        <f t="shared" si="0"/>
        <v>0</v>
      </c>
      <c r="I31" s="10">
        <f>I23+I24</f>
        <v>0.19414622965581604</v>
      </c>
      <c r="J31" s="10">
        <f t="shared" si="0"/>
        <v>0</v>
      </c>
      <c r="K31" s="10">
        <f>K23+K24</f>
        <v>0.27434455381969713</v>
      </c>
      <c r="L31" s="10">
        <f t="shared" si="0"/>
        <v>0</v>
      </c>
      <c r="M31" s="10">
        <f>M23+M24</f>
        <v>0.14300025016758089</v>
      </c>
      <c r="N31" s="10">
        <f t="shared" si="0"/>
        <v>0</v>
      </c>
      <c r="O31" s="10">
        <f>O23+O24</f>
        <v>0.1553642183702523</v>
      </c>
      <c r="P31" s="10">
        <f t="shared" si="0"/>
        <v>0</v>
      </c>
      <c r="Q31" s="10">
        <f>Q23+Q24</f>
        <v>0.29554736969111872</v>
      </c>
      <c r="R31" s="10">
        <f t="shared" si="0"/>
        <v>0</v>
      </c>
      <c r="S31" s="10">
        <f>S23+S24</f>
        <v>1.4798744432903289E-2</v>
      </c>
      <c r="T31" s="10">
        <f t="shared" si="0"/>
        <v>0</v>
      </c>
      <c r="U31" s="10">
        <f>U23+U24</f>
        <v>0.35560343323724453</v>
      </c>
      <c r="V31" s="10">
        <f t="shared" si="0"/>
        <v>0</v>
      </c>
      <c r="W31" s="10">
        <f>W23+W24</f>
        <v>0.26006864333354085</v>
      </c>
      <c r="X31" s="10">
        <f t="shared" si="0"/>
        <v>0</v>
      </c>
      <c r="Y31" s="10">
        <f>Y23+Y24</f>
        <v>0.28860550222398551</v>
      </c>
      <c r="Z31" s="10">
        <f t="shared" si="0"/>
        <v>0</v>
      </c>
      <c r="AA31" s="10">
        <f>AA23+AA24</f>
        <v>0.23054390359478097</v>
      </c>
      <c r="AB31" s="10">
        <f t="shared" si="0"/>
        <v>0</v>
      </c>
      <c r="AC31" s="10">
        <f>AC23+AC24</f>
        <v>0.31559539465235376</v>
      </c>
      <c r="AD31" s="10">
        <f t="shared" si="0"/>
        <v>0</v>
      </c>
      <c r="AE31" s="10">
        <f>AE23+AE24</f>
        <v>0.20389534910530008</v>
      </c>
      <c r="AF31" s="10">
        <f t="shared" si="0"/>
        <v>0</v>
      </c>
      <c r="AG31" s="10">
        <f t="shared" si="0"/>
        <v>0</v>
      </c>
      <c r="AH31" s="10">
        <f t="shared" si="0"/>
        <v>0</v>
      </c>
      <c r="AI31" s="10">
        <f>AI23+AI24</f>
        <v>0.25132494239222086</v>
      </c>
      <c r="AJ31" s="10">
        <f t="shared" si="0"/>
        <v>0</v>
      </c>
      <c r="AK31" s="10">
        <f>AK23+AK24</f>
        <v>0.14345398084681388</v>
      </c>
      <c r="AL31" s="10">
        <f t="shared" si="0"/>
        <v>0</v>
      </c>
      <c r="AM31" s="10">
        <f>AM23+AM24</f>
        <v>0.30342766612498301</v>
      </c>
      <c r="AN31" s="10">
        <f t="shared" si="0"/>
        <v>0</v>
      </c>
      <c r="AO31" s="10">
        <f>AO23+AO24</f>
        <v>8.4836919196973351E-2</v>
      </c>
      <c r="AP31" s="10">
        <f t="shared" si="0"/>
        <v>0</v>
      </c>
    </row>
    <row r="32" spans="1:42" s="11" customFormat="1" x14ac:dyDescent="0.2">
      <c r="A32" s="24" t="s">
        <v>207</v>
      </c>
      <c r="B32" s="11">
        <f>B25</f>
        <v>0</v>
      </c>
      <c r="C32" s="11">
        <f t="shared" ref="C32:AP32" si="1">C25</f>
        <v>0</v>
      </c>
      <c r="D32" s="11">
        <f t="shared" si="1"/>
        <v>0</v>
      </c>
      <c r="E32" s="11">
        <f t="shared" si="1"/>
        <v>0</v>
      </c>
      <c r="F32" s="11">
        <f t="shared" si="1"/>
        <v>0</v>
      </c>
      <c r="G32" s="11">
        <f t="shared" si="1"/>
        <v>6.555604440050819E-2</v>
      </c>
      <c r="H32" s="11">
        <f t="shared" si="1"/>
        <v>0</v>
      </c>
      <c r="I32" s="11">
        <f t="shared" si="1"/>
        <v>0.16842807974564011</v>
      </c>
      <c r="J32" s="11">
        <f t="shared" si="1"/>
        <v>0</v>
      </c>
      <c r="K32" s="11">
        <f t="shared" si="1"/>
        <v>4.6637048401390047E-2</v>
      </c>
      <c r="L32" s="11">
        <f t="shared" si="1"/>
        <v>0</v>
      </c>
      <c r="M32" s="11">
        <f t="shared" si="1"/>
        <v>0.21090455527062618</v>
      </c>
      <c r="N32" s="11">
        <f t="shared" si="1"/>
        <v>0</v>
      </c>
      <c r="O32" s="11">
        <f t="shared" si="1"/>
        <v>0.16544202112903789</v>
      </c>
      <c r="P32" s="11">
        <f t="shared" si="1"/>
        <v>0</v>
      </c>
      <c r="Q32" s="11">
        <f>Q25</f>
        <v>9.8063021365250219E-2</v>
      </c>
      <c r="R32" s="11">
        <f t="shared" si="1"/>
        <v>0</v>
      </c>
      <c r="S32" s="11">
        <f t="shared" si="1"/>
        <v>0.10155635508276548</v>
      </c>
      <c r="T32" s="11">
        <f t="shared" si="1"/>
        <v>0</v>
      </c>
      <c r="U32" s="11">
        <f t="shared" si="1"/>
        <v>0.16116785576462772</v>
      </c>
      <c r="V32" s="11">
        <f t="shared" si="1"/>
        <v>0</v>
      </c>
      <c r="W32" s="11">
        <f t="shared" si="1"/>
        <v>4.2685284003412323E-2</v>
      </c>
      <c r="X32" s="11">
        <f t="shared" si="1"/>
        <v>0</v>
      </c>
      <c r="Y32" s="11">
        <f t="shared" si="1"/>
        <v>8.3098566104288132E-2</v>
      </c>
      <c r="Z32" s="11">
        <f t="shared" si="1"/>
        <v>0</v>
      </c>
      <c r="AA32" s="11">
        <f>AA25</f>
        <v>6.8851645248582879E-2</v>
      </c>
      <c r="AB32" s="11">
        <f t="shared" si="1"/>
        <v>0</v>
      </c>
      <c r="AC32" s="11">
        <f t="shared" si="1"/>
        <v>0</v>
      </c>
      <c r="AD32" s="11">
        <f t="shared" si="1"/>
        <v>0</v>
      </c>
      <c r="AE32" s="11">
        <f t="shared" si="1"/>
        <v>0.12952316596811531</v>
      </c>
      <c r="AF32" s="11">
        <f t="shared" si="1"/>
        <v>0</v>
      </c>
      <c r="AG32" s="11">
        <f t="shared" si="1"/>
        <v>0</v>
      </c>
      <c r="AH32" s="11">
        <f t="shared" si="1"/>
        <v>0</v>
      </c>
      <c r="AI32" s="11">
        <f>AI25</f>
        <v>0</v>
      </c>
      <c r="AJ32" s="11">
        <f t="shared" si="1"/>
        <v>0</v>
      </c>
      <c r="AK32" s="11">
        <f t="shared" si="1"/>
        <v>0.12271457446187553</v>
      </c>
      <c r="AL32" s="11">
        <f t="shared" si="1"/>
        <v>0</v>
      </c>
      <c r="AM32" s="11">
        <f t="shared" si="1"/>
        <v>9.2271497524839194E-2</v>
      </c>
      <c r="AN32" s="11">
        <f t="shared" si="1"/>
        <v>0</v>
      </c>
      <c r="AO32" s="11">
        <f t="shared" si="1"/>
        <v>0.3529962320205422</v>
      </c>
      <c r="AP32" s="11">
        <f t="shared" si="1"/>
        <v>0</v>
      </c>
    </row>
    <row r="33" spans="1:42" s="12" customFormat="1" x14ac:dyDescent="0.2">
      <c r="A33" s="25" t="s">
        <v>208</v>
      </c>
      <c r="B33" s="12">
        <f>B26+B27</f>
        <v>0.3003437984709954</v>
      </c>
      <c r="C33" s="12">
        <f t="shared" ref="C33:AP33" si="2">C26+C27</f>
        <v>0</v>
      </c>
      <c r="D33" s="12">
        <f t="shared" si="2"/>
        <v>0.21515262378217845</v>
      </c>
      <c r="E33" s="12">
        <f t="shared" si="2"/>
        <v>0</v>
      </c>
      <c r="F33" s="12">
        <f t="shared" si="2"/>
        <v>0</v>
      </c>
      <c r="G33" s="12">
        <f t="shared" si="2"/>
        <v>0.33002627930066741</v>
      </c>
      <c r="H33" s="12">
        <f t="shared" si="2"/>
        <v>0</v>
      </c>
      <c r="I33" s="12">
        <f t="shared" si="2"/>
        <v>0.3291966655841988</v>
      </c>
      <c r="J33" s="12">
        <f t="shared" si="2"/>
        <v>0</v>
      </c>
      <c r="K33" s="12">
        <f t="shared" si="2"/>
        <v>0.32443655297681828</v>
      </c>
      <c r="L33" s="12">
        <f t="shared" si="2"/>
        <v>0</v>
      </c>
      <c r="M33" s="12">
        <f t="shared" si="2"/>
        <v>0.23042130146490516</v>
      </c>
      <c r="N33" s="12">
        <f t="shared" si="2"/>
        <v>0</v>
      </c>
      <c r="O33" s="12">
        <f t="shared" si="2"/>
        <v>0.18553126727021874</v>
      </c>
      <c r="P33" s="12">
        <f t="shared" si="2"/>
        <v>0</v>
      </c>
      <c r="Q33" s="12">
        <f>Q26+Q27</f>
        <v>0.10091391384584453</v>
      </c>
      <c r="R33" s="12">
        <f t="shared" si="2"/>
        <v>0</v>
      </c>
      <c r="S33" s="12">
        <f t="shared" si="2"/>
        <v>0.50937233305860907</v>
      </c>
      <c r="T33" s="12">
        <f t="shared" si="2"/>
        <v>0</v>
      </c>
      <c r="U33" s="12">
        <f t="shared" si="2"/>
        <v>0.23171341453711378</v>
      </c>
      <c r="V33" s="12">
        <f t="shared" si="2"/>
        <v>0</v>
      </c>
      <c r="W33" s="12">
        <f t="shared" si="2"/>
        <v>0.22512844372181418</v>
      </c>
      <c r="X33" s="12">
        <f t="shared" si="2"/>
        <v>0</v>
      </c>
      <c r="Y33" s="12">
        <f t="shared" si="2"/>
        <v>0.46174648835707427</v>
      </c>
      <c r="Z33" s="12">
        <f t="shared" si="2"/>
        <v>0</v>
      </c>
      <c r="AA33" s="12">
        <f>AA26+AA27</f>
        <v>0.2721496489262149</v>
      </c>
      <c r="AB33" s="12">
        <f t="shared" si="2"/>
        <v>0</v>
      </c>
      <c r="AC33" s="12">
        <f t="shared" si="2"/>
        <v>0.28820704469041403</v>
      </c>
      <c r="AD33" s="12">
        <f t="shared" si="2"/>
        <v>0</v>
      </c>
      <c r="AE33" s="12">
        <f t="shared" si="2"/>
        <v>0.33533203431074854</v>
      </c>
      <c r="AF33" s="12">
        <f t="shared" si="2"/>
        <v>0</v>
      </c>
      <c r="AG33" s="12">
        <f t="shared" si="2"/>
        <v>0</v>
      </c>
      <c r="AH33" s="12">
        <f t="shared" si="2"/>
        <v>0</v>
      </c>
      <c r="AI33" s="12">
        <f>AI26+AI27</f>
        <v>0.29869592147550184</v>
      </c>
      <c r="AJ33" s="12">
        <f t="shared" si="2"/>
        <v>0</v>
      </c>
      <c r="AK33" s="12">
        <f t="shared" si="2"/>
        <v>0.40394404843391762</v>
      </c>
      <c r="AL33" s="12">
        <f t="shared" si="2"/>
        <v>0</v>
      </c>
      <c r="AM33" s="12">
        <f t="shared" si="2"/>
        <v>2.5575357832891769E-2</v>
      </c>
      <c r="AN33" s="12">
        <f t="shared" si="2"/>
        <v>0</v>
      </c>
      <c r="AO33" s="12">
        <f t="shared" si="2"/>
        <v>6.9920851381222865E-2</v>
      </c>
      <c r="AP33" s="12">
        <f t="shared" si="2"/>
        <v>0</v>
      </c>
    </row>
    <row r="34" spans="1:42" s="13" customFormat="1" x14ac:dyDescent="0.2">
      <c r="A34" s="26" t="s">
        <v>72</v>
      </c>
      <c r="B34" s="13">
        <f>B28</f>
        <v>0.38262418172125018</v>
      </c>
      <c r="C34" s="13">
        <f t="shared" ref="C34:AP34" si="3">C28</f>
        <v>0</v>
      </c>
      <c r="D34" s="13">
        <f t="shared" si="3"/>
        <v>0.44876282889061769</v>
      </c>
      <c r="E34" s="13">
        <f t="shared" si="3"/>
        <v>0</v>
      </c>
      <c r="F34" s="13">
        <f t="shared" si="3"/>
        <v>0</v>
      </c>
      <c r="G34" s="13">
        <f t="shared" si="3"/>
        <v>0.27384193049055028</v>
      </c>
      <c r="H34" s="13">
        <f t="shared" si="3"/>
        <v>0</v>
      </c>
      <c r="I34" s="13">
        <f t="shared" si="3"/>
        <v>0.30822902501434507</v>
      </c>
      <c r="J34" s="13">
        <f t="shared" si="3"/>
        <v>0</v>
      </c>
      <c r="K34" s="13">
        <f t="shared" si="3"/>
        <v>0.35458184480209454</v>
      </c>
      <c r="L34" s="13">
        <f t="shared" si="3"/>
        <v>0</v>
      </c>
      <c r="M34" s="13">
        <f t="shared" si="3"/>
        <v>0.41567389309688774</v>
      </c>
      <c r="N34" s="13">
        <f t="shared" si="3"/>
        <v>0</v>
      </c>
      <c r="O34" s="13">
        <f t="shared" si="3"/>
        <v>0.49366249323049105</v>
      </c>
      <c r="P34" s="13">
        <f t="shared" si="3"/>
        <v>0</v>
      </c>
      <c r="Q34" s="13">
        <f>Q28</f>
        <v>0.50547569509778656</v>
      </c>
      <c r="R34" s="13">
        <f t="shared" si="3"/>
        <v>0</v>
      </c>
      <c r="S34" s="13">
        <f t="shared" si="3"/>
        <v>0.37427256742572212</v>
      </c>
      <c r="T34" s="13">
        <f t="shared" si="3"/>
        <v>0</v>
      </c>
      <c r="U34" s="13">
        <f t="shared" si="3"/>
        <v>0.25151529646101389</v>
      </c>
      <c r="V34" s="13">
        <f t="shared" si="3"/>
        <v>0</v>
      </c>
      <c r="W34" s="13">
        <f t="shared" si="3"/>
        <v>0.47211762894123266</v>
      </c>
      <c r="X34" s="13">
        <f t="shared" si="3"/>
        <v>0</v>
      </c>
      <c r="Y34" s="13">
        <f t="shared" si="3"/>
        <v>0.16654944331465205</v>
      </c>
      <c r="Z34" s="13">
        <f t="shared" si="3"/>
        <v>0</v>
      </c>
      <c r="AA34" s="13">
        <f>AA28</f>
        <v>0.42845480223042121</v>
      </c>
      <c r="AB34" s="13">
        <f t="shared" si="3"/>
        <v>0</v>
      </c>
      <c r="AC34" s="13">
        <f t="shared" si="3"/>
        <v>0.39619756065723222</v>
      </c>
      <c r="AD34" s="13">
        <f t="shared" si="3"/>
        <v>0</v>
      </c>
      <c r="AE34" s="13">
        <f t="shared" si="3"/>
        <v>0.33124945061583611</v>
      </c>
      <c r="AF34" s="13">
        <f t="shared" si="3"/>
        <v>0</v>
      </c>
      <c r="AG34" s="13">
        <f t="shared" si="3"/>
        <v>0</v>
      </c>
      <c r="AH34" s="13">
        <f t="shared" si="3"/>
        <v>0</v>
      </c>
      <c r="AI34" s="13">
        <f>AI28</f>
        <v>0.44997913613227736</v>
      </c>
      <c r="AJ34" s="13">
        <f t="shared" si="3"/>
        <v>0</v>
      </c>
      <c r="AK34" s="13">
        <f t="shared" si="3"/>
        <v>0.32988739625739294</v>
      </c>
      <c r="AL34" s="13">
        <f t="shared" si="3"/>
        <v>0</v>
      </c>
      <c r="AM34" s="13">
        <f t="shared" si="3"/>
        <v>0.57872547851728606</v>
      </c>
      <c r="AN34" s="13">
        <f t="shared" si="3"/>
        <v>0</v>
      </c>
      <c r="AO34" s="13">
        <f t="shared" si="3"/>
        <v>0.49224599740126151</v>
      </c>
      <c r="AP34" s="13">
        <f t="shared" si="3"/>
        <v>0</v>
      </c>
    </row>
    <row r="35" spans="1:42" x14ac:dyDescent="0.2">
      <c r="B35">
        <f>SUM(B31:B34)</f>
        <v>1</v>
      </c>
      <c r="C35">
        <f t="shared" ref="C35:AP35" si="4">SUM(C31:C34)</f>
        <v>0</v>
      </c>
      <c r="D35">
        <f t="shared" si="4"/>
        <v>1</v>
      </c>
      <c r="E35">
        <f t="shared" si="4"/>
        <v>0</v>
      </c>
      <c r="F35">
        <f t="shared" si="4"/>
        <v>0</v>
      </c>
      <c r="G35">
        <f t="shared" si="4"/>
        <v>1</v>
      </c>
      <c r="H35">
        <f t="shared" si="4"/>
        <v>0</v>
      </c>
      <c r="I35">
        <f t="shared" si="4"/>
        <v>1</v>
      </c>
      <c r="J35">
        <f t="shared" si="4"/>
        <v>0</v>
      </c>
      <c r="K35">
        <f t="shared" si="4"/>
        <v>1</v>
      </c>
      <c r="L35">
        <f t="shared" si="4"/>
        <v>0</v>
      </c>
      <c r="M35">
        <f t="shared" si="4"/>
        <v>1</v>
      </c>
      <c r="N35">
        <f t="shared" si="4"/>
        <v>0</v>
      </c>
      <c r="O35">
        <f t="shared" si="4"/>
        <v>1</v>
      </c>
      <c r="P35">
        <f t="shared" si="4"/>
        <v>0</v>
      </c>
      <c r="Q35">
        <f t="shared" si="4"/>
        <v>1</v>
      </c>
      <c r="R35">
        <f t="shared" si="4"/>
        <v>0</v>
      </c>
      <c r="S35">
        <f t="shared" si="4"/>
        <v>1</v>
      </c>
      <c r="T35">
        <f t="shared" si="4"/>
        <v>0</v>
      </c>
      <c r="U35">
        <f t="shared" si="4"/>
        <v>1</v>
      </c>
      <c r="V35">
        <f t="shared" si="4"/>
        <v>0</v>
      </c>
      <c r="W35">
        <f t="shared" si="4"/>
        <v>1</v>
      </c>
      <c r="X35">
        <f t="shared" si="4"/>
        <v>0</v>
      </c>
      <c r="Y35">
        <f t="shared" si="4"/>
        <v>0.99999999999999989</v>
      </c>
      <c r="Z35">
        <f t="shared" si="4"/>
        <v>0</v>
      </c>
      <c r="AA35">
        <f t="shared" si="4"/>
        <v>0.99999999999999989</v>
      </c>
      <c r="AB35">
        <f t="shared" si="4"/>
        <v>0</v>
      </c>
      <c r="AC35">
        <f t="shared" si="4"/>
        <v>1</v>
      </c>
      <c r="AD35">
        <f t="shared" si="4"/>
        <v>0</v>
      </c>
      <c r="AE35">
        <f t="shared" si="4"/>
        <v>1</v>
      </c>
      <c r="AF35">
        <f t="shared" si="4"/>
        <v>0</v>
      </c>
      <c r="AG35">
        <f t="shared" si="4"/>
        <v>0</v>
      </c>
      <c r="AH35">
        <f t="shared" si="4"/>
        <v>0</v>
      </c>
      <c r="AI35">
        <f t="shared" si="4"/>
        <v>1</v>
      </c>
      <c r="AJ35">
        <f t="shared" si="4"/>
        <v>0</v>
      </c>
      <c r="AK35">
        <f t="shared" si="4"/>
        <v>1</v>
      </c>
      <c r="AL35">
        <f t="shared" si="4"/>
        <v>0</v>
      </c>
      <c r="AM35">
        <f t="shared" si="4"/>
        <v>1</v>
      </c>
      <c r="AN35">
        <f t="shared" si="4"/>
        <v>0</v>
      </c>
      <c r="AO35">
        <f t="shared" si="4"/>
        <v>0.99999999999999989</v>
      </c>
      <c r="AP35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Bluebery Planterose</dc:creator>
  <cp:lastModifiedBy>Bluebery Planterose</cp:lastModifiedBy>
  <dcterms:created xsi:type="dcterms:W3CDTF">2021-12-15T09:10:44Z</dcterms:created>
  <dcterms:modified xsi:type="dcterms:W3CDTF">2021-12-15T16:52:26Z</dcterms:modified>
</cp:coreProperties>
</file>