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4B655CC0-8298-8946-99BA-1F7FA6B1F490}" xr6:coauthVersionLast="43" xr6:coauthVersionMax="43" xr10:uidLastSave="{00000000-0000-0000-0000-000000000000}"/>
  <bookViews>
    <workbookView xWindow="-860" yWindow="-21140" windowWidth="38400" windowHeight="21140" activeTab="1" xr2:uid="{DA6BDB4D-B9F7-AD4E-A9F5-7B4E440DE823}"/>
  </bookViews>
  <sheets>
    <sheet name="Table" sheetId="2" r:id="rId1"/>
    <sheet name="Detailed Comput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0" i="1" l="1"/>
  <c r="J40" i="1"/>
  <c r="M40" i="1"/>
  <c r="P40" i="1"/>
  <c r="S40" i="1"/>
  <c r="V40" i="1"/>
  <c r="Y40" i="1"/>
  <c r="AB40" i="1"/>
  <c r="AE40" i="1"/>
  <c r="AH40" i="1"/>
  <c r="AK40" i="1"/>
  <c r="AN40" i="1"/>
  <c r="AQ40" i="1"/>
  <c r="AT40" i="1"/>
  <c r="AY40" i="1"/>
  <c r="BB40" i="1"/>
  <c r="BE40" i="1"/>
  <c r="BH40" i="1"/>
  <c r="D40" i="1"/>
  <c r="BG32" i="1"/>
  <c r="BG33" i="1"/>
  <c r="BG34" i="1"/>
  <c r="BG35" i="1"/>
  <c r="BD32" i="1"/>
  <c r="BD33" i="1"/>
  <c r="BD34" i="1"/>
  <c r="BD35" i="1"/>
  <c r="BA32" i="1"/>
  <c r="BA33" i="1"/>
  <c r="BA34" i="1"/>
  <c r="BA35" i="1"/>
  <c r="AX32" i="1"/>
  <c r="AX33" i="1"/>
  <c r="AX34" i="1"/>
  <c r="AX35" i="1"/>
  <c r="AS32" i="1"/>
  <c r="AS33" i="1"/>
  <c r="AS34" i="1"/>
  <c r="AS35" i="1"/>
  <c r="AP32" i="1"/>
  <c r="AP33" i="1"/>
  <c r="AP34" i="1"/>
  <c r="AP35" i="1"/>
  <c r="AM32" i="1"/>
  <c r="AM33" i="1"/>
  <c r="AM34" i="1"/>
  <c r="AM35" i="1"/>
  <c r="AJ32" i="1"/>
  <c r="AJ33" i="1"/>
  <c r="AJ34" i="1"/>
  <c r="AJ35" i="1"/>
  <c r="AG32" i="1"/>
  <c r="AG33" i="1"/>
  <c r="AG34" i="1"/>
  <c r="AG35" i="1"/>
  <c r="AD32" i="1"/>
  <c r="AD33" i="1"/>
  <c r="AD34" i="1"/>
  <c r="AD35" i="1"/>
  <c r="AA32" i="1"/>
  <c r="AA33" i="1"/>
  <c r="AA34" i="1"/>
  <c r="AA35" i="1"/>
  <c r="X32" i="1"/>
  <c r="X33" i="1"/>
  <c r="X34" i="1"/>
  <c r="X35" i="1"/>
  <c r="U32" i="1"/>
  <c r="U33" i="1"/>
  <c r="U34" i="1"/>
  <c r="U35" i="1"/>
  <c r="R32" i="1"/>
  <c r="R33" i="1"/>
  <c r="R34" i="1"/>
  <c r="R35" i="1"/>
  <c r="O32" i="1"/>
  <c r="O33" i="1"/>
  <c r="O34" i="1"/>
  <c r="O35" i="1"/>
  <c r="L32" i="1"/>
  <c r="L33" i="1"/>
  <c r="L34" i="1"/>
  <c r="L35" i="1"/>
  <c r="I32" i="1"/>
  <c r="I33" i="1"/>
  <c r="I34" i="1"/>
  <c r="I35" i="1"/>
  <c r="BG25" i="1"/>
  <c r="BG26" i="1"/>
  <c r="BG27" i="1"/>
  <c r="BG28" i="1"/>
  <c r="BG29" i="1"/>
  <c r="BD24" i="1"/>
  <c r="BD25" i="1"/>
  <c r="BD26" i="1"/>
  <c r="BD27" i="1"/>
  <c r="BD28" i="1"/>
  <c r="BD29" i="1"/>
  <c r="BA25" i="1"/>
  <c r="BA26" i="1"/>
  <c r="BA27" i="1"/>
  <c r="BA28" i="1"/>
  <c r="BA29" i="1"/>
  <c r="AX24" i="1"/>
  <c r="AX25" i="1"/>
  <c r="AX27" i="1"/>
  <c r="AX28" i="1"/>
  <c r="AX29" i="1"/>
  <c r="AS25" i="1"/>
  <c r="AS26" i="1"/>
  <c r="AS27" i="1"/>
  <c r="AS28" i="1"/>
  <c r="AS29" i="1"/>
  <c r="AP25" i="1"/>
  <c r="AP28" i="1"/>
  <c r="AP29" i="1"/>
  <c r="AM25" i="1"/>
  <c r="AM26" i="1"/>
  <c r="AM27" i="1"/>
  <c r="AM28" i="1"/>
  <c r="AM29" i="1"/>
  <c r="AJ24" i="1"/>
  <c r="AJ25" i="1"/>
  <c r="AJ26" i="1"/>
  <c r="AJ27" i="1"/>
  <c r="AJ28" i="1"/>
  <c r="AJ29" i="1"/>
  <c r="AG24" i="1"/>
  <c r="AG25" i="1"/>
  <c r="AG26" i="1"/>
  <c r="AG27" i="1"/>
  <c r="AG28" i="1"/>
  <c r="AG29" i="1"/>
  <c r="AD25" i="1"/>
  <c r="AD26" i="1"/>
  <c r="AD27" i="1"/>
  <c r="AD28" i="1"/>
  <c r="AD29" i="1"/>
  <c r="AA25" i="1"/>
  <c r="AA26" i="1"/>
  <c r="AA27" i="1"/>
  <c r="AA28" i="1"/>
  <c r="AA29" i="1"/>
  <c r="X25" i="1"/>
  <c r="X26" i="1"/>
  <c r="X27" i="1"/>
  <c r="X29" i="1"/>
  <c r="U24" i="1"/>
  <c r="U25" i="1"/>
  <c r="U26" i="1"/>
  <c r="U27" i="1"/>
  <c r="U29" i="1"/>
  <c r="R25" i="1"/>
  <c r="R26" i="1"/>
  <c r="R27" i="1"/>
  <c r="R28" i="1"/>
  <c r="R29" i="1"/>
  <c r="O24" i="1"/>
  <c r="O25" i="1"/>
  <c r="O26" i="1"/>
  <c r="O27" i="1"/>
  <c r="O28" i="1"/>
  <c r="O29" i="1"/>
  <c r="L24" i="1"/>
  <c r="L25" i="1"/>
  <c r="L26" i="1"/>
  <c r="L27" i="1"/>
  <c r="L28" i="1"/>
  <c r="L29" i="1"/>
  <c r="I25" i="1"/>
  <c r="I26" i="1"/>
  <c r="I27" i="1"/>
  <c r="I28" i="1"/>
  <c r="I29" i="1"/>
  <c r="I24" i="1"/>
  <c r="F35" i="1"/>
  <c r="F34" i="1"/>
  <c r="F32" i="1"/>
  <c r="F29" i="1"/>
  <c r="F28" i="1"/>
  <c r="F27" i="1"/>
  <c r="F25" i="1"/>
  <c r="C35" i="1"/>
  <c r="C34" i="1"/>
  <c r="C32" i="1"/>
  <c r="C29" i="1"/>
  <c r="C27" i="1"/>
  <c r="C25" i="1"/>
  <c r="BF21" i="1"/>
  <c r="BC21" i="1"/>
  <c r="AW21" i="1"/>
  <c r="AR21" i="1"/>
  <c r="AP5" i="1"/>
  <c r="AL21" i="1"/>
  <c r="AI21" i="1"/>
  <c r="AF21" i="1"/>
  <c r="AC21" i="1"/>
  <c r="Z21" i="1"/>
  <c r="W21" i="1"/>
  <c r="T21" i="1"/>
  <c r="N21" i="1"/>
  <c r="E17" i="1"/>
  <c r="F17" i="1"/>
  <c r="H17" i="1"/>
  <c r="I17" i="1"/>
  <c r="K17" i="1"/>
  <c r="L17" i="1"/>
  <c r="N17" i="1"/>
  <c r="O17" i="1"/>
  <c r="Q17" i="1"/>
  <c r="R17" i="1"/>
  <c r="T17" i="1"/>
  <c r="U17" i="1"/>
  <c r="W17" i="1"/>
  <c r="X17" i="1"/>
  <c r="Z17" i="1"/>
  <c r="AA17" i="1"/>
  <c r="AC17" i="1"/>
  <c r="AD17" i="1"/>
  <c r="AF17" i="1"/>
  <c r="AG17" i="1"/>
  <c r="AI17" i="1"/>
  <c r="AJ17" i="1"/>
  <c r="AL17" i="1"/>
  <c r="AM17" i="1"/>
  <c r="AO17" i="1"/>
  <c r="AP17" i="1"/>
  <c r="AR17" i="1"/>
  <c r="AS17" i="1"/>
  <c r="AU17" i="1"/>
  <c r="AV17" i="1"/>
  <c r="AW17" i="1"/>
  <c r="AX17" i="1"/>
  <c r="AZ17" i="1"/>
  <c r="BA17" i="1"/>
  <c r="BC17" i="1"/>
  <c r="BD17" i="1"/>
  <c r="BF17" i="1"/>
  <c r="BG17" i="1"/>
  <c r="C17" i="1"/>
  <c r="B21" i="1"/>
  <c r="AY33" i="1" l="1"/>
  <c r="G33" i="1"/>
  <c r="AQ33" i="1"/>
  <c r="D33" i="1"/>
  <c r="BH11" i="1"/>
  <c r="BH28" i="1" s="1"/>
  <c r="BH10" i="1"/>
  <c r="BH9" i="1"/>
  <c r="BH8" i="1"/>
  <c r="BH7" i="1"/>
  <c r="BH6" i="1"/>
  <c r="BH5" i="1"/>
  <c r="BH3" i="1"/>
  <c r="BH4" i="1"/>
  <c r="BE7" i="1"/>
  <c r="BE28" i="1" s="1"/>
  <c r="BE6" i="1"/>
  <c r="BE27" i="1" s="1"/>
  <c r="BE3" i="1"/>
  <c r="BE5" i="1"/>
  <c r="BE26" i="1" s="1"/>
  <c r="BE33" i="1" s="1"/>
  <c r="BE4" i="1"/>
  <c r="BE25" i="1" s="1"/>
  <c r="BB8" i="1"/>
  <c r="BB5" i="1"/>
  <c r="BB7" i="1"/>
  <c r="BB11" i="1"/>
  <c r="BB6" i="1"/>
  <c r="BB4" i="1"/>
  <c r="BB26" i="1" s="1"/>
  <c r="BB33" i="1" s="1"/>
  <c r="BB9" i="1"/>
  <c r="BB3" i="1"/>
  <c r="BB10" i="1"/>
  <c r="AY13" i="1"/>
  <c r="AY10" i="1"/>
  <c r="AY14" i="1"/>
  <c r="AY28" i="1" s="1"/>
  <c r="AY12" i="1"/>
  <c r="AY11" i="1"/>
  <c r="AY9" i="1"/>
  <c r="AY8" i="1"/>
  <c r="AY7" i="1"/>
  <c r="AY6" i="1"/>
  <c r="AY5" i="1"/>
  <c r="AY4" i="1"/>
  <c r="AY3" i="1"/>
  <c r="AT11" i="1"/>
  <c r="AT9" i="1"/>
  <c r="AT27" i="1" s="1"/>
  <c r="AT8" i="1"/>
  <c r="AT7" i="1"/>
  <c r="AT6" i="1"/>
  <c r="AT5" i="1"/>
  <c r="AT4" i="1"/>
  <c r="AT3" i="1"/>
  <c r="AT10" i="1"/>
  <c r="AT28" i="1" s="1"/>
  <c r="AQ4" i="1"/>
  <c r="AQ28" i="1" s="1"/>
  <c r="AQ34" i="1" s="1"/>
  <c r="AQ3" i="1"/>
  <c r="V9" i="1"/>
  <c r="V27" i="1" s="1"/>
  <c r="V34" i="1" s="1"/>
  <c r="V8" i="1"/>
  <c r="V7" i="1"/>
  <c r="V6" i="1"/>
  <c r="V5" i="1"/>
  <c r="V4" i="1"/>
  <c r="V3" i="1"/>
  <c r="AN6" i="1"/>
  <c r="AN26" i="1" s="1"/>
  <c r="AN33" i="1" s="1"/>
  <c r="AN5" i="1"/>
  <c r="AN4" i="1"/>
  <c r="AN3" i="1"/>
  <c r="AN8" i="1"/>
  <c r="AN28" i="1" s="1"/>
  <c r="AN7" i="1"/>
  <c r="AN27" i="1" s="1"/>
  <c r="AK10" i="1"/>
  <c r="AK9" i="1"/>
  <c r="AK8" i="1"/>
  <c r="AK7" i="1"/>
  <c r="AK27" i="1" s="1"/>
  <c r="AK6" i="1"/>
  <c r="AK26" i="1" s="1"/>
  <c r="AK33" i="1" s="1"/>
  <c r="AK5" i="1"/>
  <c r="AK4" i="1"/>
  <c r="AK3" i="1"/>
  <c r="AH8" i="1"/>
  <c r="AH28" i="1" s="1"/>
  <c r="AH7" i="1"/>
  <c r="AH27" i="1" s="1"/>
  <c r="AH6" i="1"/>
  <c r="AH26" i="1" s="1"/>
  <c r="AH33" i="1" s="1"/>
  <c r="AH5" i="1"/>
  <c r="AH3" i="1"/>
  <c r="AH4" i="1"/>
  <c r="AE7" i="1"/>
  <c r="AE28" i="1" s="1"/>
  <c r="AE6" i="1"/>
  <c r="AE27" i="1" s="1"/>
  <c r="AE5" i="1"/>
  <c r="AE26" i="1" s="1"/>
  <c r="AE33" i="1" s="1"/>
  <c r="AE4" i="1"/>
  <c r="AE3" i="1"/>
  <c r="AB13" i="1"/>
  <c r="AB12" i="1"/>
  <c r="AB11" i="1"/>
  <c r="AB10" i="1"/>
  <c r="AB9" i="1"/>
  <c r="AB8" i="1"/>
  <c r="AB7" i="1"/>
  <c r="AB6" i="1"/>
  <c r="AB5" i="1"/>
  <c r="AB4" i="1"/>
  <c r="AB3" i="1"/>
  <c r="Y9" i="1"/>
  <c r="Y27" i="1" s="1"/>
  <c r="Y34" i="1" s="1"/>
  <c r="Y8" i="1"/>
  <c r="Y26" i="1" s="1"/>
  <c r="Y33" i="1" s="1"/>
  <c r="Y7" i="1"/>
  <c r="Y6" i="1"/>
  <c r="Y5" i="1"/>
  <c r="Y4" i="1"/>
  <c r="Y3" i="1"/>
  <c r="P8" i="1"/>
  <c r="P28" i="1" s="1"/>
  <c r="P6" i="1"/>
  <c r="P26" i="1" s="1"/>
  <c r="P33" i="1" s="1"/>
  <c r="P5" i="1"/>
  <c r="P4" i="1"/>
  <c r="P3" i="1"/>
  <c r="P7" i="1"/>
  <c r="P27" i="1" s="1"/>
  <c r="S8" i="1"/>
  <c r="S7" i="1"/>
  <c r="S6" i="1"/>
  <c r="S27" i="1" s="1"/>
  <c r="S5" i="1"/>
  <c r="S26" i="1" s="1"/>
  <c r="S33" i="1" s="1"/>
  <c r="S4" i="1"/>
  <c r="S3" i="1"/>
  <c r="M13" i="1"/>
  <c r="M12" i="1"/>
  <c r="M11" i="1"/>
  <c r="M10" i="1"/>
  <c r="M9" i="1"/>
  <c r="M8" i="1"/>
  <c r="M7" i="1"/>
  <c r="M26" i="1" s="1"/>
  <c r="M33" i="1" s="1"/>
  <c r="M6" i="1"/>
  <c r="M25" i="1" s="1"/>
  <c r="M5" i="1"/>
  <c r="M4" i="1"/>
  <c r="M3" i="1"/>
  <c r="J12" i="1"/>
  <c r="J11" i="1"/>
  <c r="J10" i="1"/>
  <c r="J9" i="1"/>
  <c r="J8" i="1"/>
  <c r="J7" i="1"/>
  <c r="J26" i="1" s="1"/>
  <c r="J33" i="1" s="1"/>
  <c r="J6" i="1"/>
  <c r="J5" i="1"/>
  <c r="J4" i="1"/>
  <c r="J3" i="1"/>
  <c r="G8" i="1"/>
  <c r="G28" i="1" s="1"/>
  <c r="G7" i="1"/>
  <c r="G27" i="1" s="1"/>
  <c r="G6" i="1"/>
  <c r="G5" i="1"/>
  <c r="G4" i="1"/>
  <c r="G3" i="1"/>
  <c r="D4" i="1"/>
  <c r="D3" i="1"/>
  <c r="D5" i="1"/>
  <c r="D27" i="1" s="1"/>
  <c r="D34" i="1" s="1"/>
  <c r="M28" i="1" l="1"/>
  <c r="AB28" i="1"/>
  <c r="G17" i="1"/>
  <c r="BH25" i="1"/>
  <c r="BH32" i="1" s="1"/>
  <c r="BH26" i="1"/>
  <c r="BH33" i="1" s="1"/>
  <c r="BE17" i="1"/>
  <c r="AQ25" i="1"/>
  <c r="AQ32" i="1" s="1"/>
  <c r="AN34" i="1"/>
  <c r="AH24" i="1"/>
  <c r="AB25" i="1"/>
  <c r="AB32" i="1" s="1"/>
  <c r="V24" i="1"/>
  <c r="S25" i="1"/>
  <c r="S32" i="1" s="1"/>
  <c r="P24" i="1"/>
  <c r="J24" i="1"/>
  <c r="J28" i="1"/>
  <c r="D25" i="1"/>
  <c r="D32" i="1" s="1"/>
  <c r="J27" i="1"/>
  <c r="J34" i="1" s="1"/>
  <c r="AH34" i="1"/>
  <c r="AY27" i="1"/>
  <c r="AY34" i="1" s="1"/>
  <c r="G34" i="1"/>
  <c r="M24" i="1"/>
  <c r="M32" i="1" s="1"/>
  <c r="AB26" i="1"/>
  <c r="AB33" i="1" s="1"/>
  <c r="AT25" i="1"/>
  <c r="AT32" i="1" s="1"/>
  <c r="BB28" i="1"/>
  <c r="BH27" i="1"/>
  <c r="BH34" i="1" s="1"/>
  <c r="M27" i="1"/>
  <c r="AK25" i="1"/>
  <c r="AK28" i="1"/>
  <c r="AK34" i="1" s="1"/>
  <c r="P25" i="1"/>
  <c r="P32" i="1" s="1"/>
  <c r="AY15" i="1"/>
  <c r="AY29" i="1" s="1"/>
  <c r="AY35" i="1" s="1"/>
  <c r="AY24" i="1"/>
  <c r="V26" i="1"/>
  <c r="V33" i="1" s="1"/>
  <c r="BB27" i="1"/>
  <c r="G25" i="1"/>
  <c r="G32" i="1" s="1"/>
  <c r="J25" i="1"/>
  <c r="J32" i="1" s="1"/>
  <c r="S28" i="1"/>
  <c r="S34" i="1" s="1"/>
  <c r="Y25" i="1"/>
  <c r="Y32" i="1" s="1"/>
  <c r="AE34" i="1"/>
  <c r="AT26" i="1"/>
  <c r="AT33" i="1" s="1"/>
  <c r="AY25" i="1"/>
  <c r="BB12" i="1"/>
  <c r="BB29" i="1" s="1"/>
  <c r="BB35" i="1" s="1"/>
  <c r="BH12" i="1"/>
  <c r="BH29" i="1" s="1"/>
  <c r="BH35" i="1" s="1"/>
  <c r="M34" i="1"/>
  <c r="BE34" i="1"/>
  <c r="AK11" i="1"/>
  <c r="AK29" i="1" s="1"/>
  <c r="AK35" i="1" s="1"/>
  <c r="AK24" i="1"/>
  <c r="AK32" i="1" s="1"/>
  <c r="V10" i="1"/>
  <c r="V29" i="1" s="1"/>
  <c r="V35" i="1" s="1"/>
  <c r="V25" i="1"/>
  <c r="V32" i="1" s="1"/>
  <c r="BE8" i="1"/>
  <c r="BE29" i="1" s="1"/>
  <c r="BE35" i="1" s="1"/>
  <c r="BE24" i="1"/>
  <c r="BE32" i="1" s="1"/>
  <c r="AB27" i="1"/>
  <c r="AB34" i="1" s="1"/>
  <c r="AH25" i="1"/>
  <c r="AH32" i="1" s="1"/>
  <c r="AT34" i="1"/>
  <c r="BB25" i="1"/>
  <c r="BB32" i="1" s="1"/>
  <c r="P34" i="1"/>
  <c r="AB29" i="1"/>
  <c r="AB35" i="1" s="1"/>
  <c r="AB36" i="1" s="1"/>
  <c r="AE29" i="1"/>
  <c r="AE35" i="1" s="1"/>
  <c r="Y10" i="1"/>
  <c r="Y29" i="1" s="1"/>
  <c r="Y35" i="1" s="1"/>
  <c r="AN9" i="1"/>
  <c r="AN29" i="1" s="1"/>
  <c r="AN35" i="1" s="1"/>
  <c r="AT12" i="1"/>
  <c r="AT29" i="1" s="1"/>
  <c r="AT35" i="1" s="1"/>
  <c r="AN25" i="1"/>
  <c r="AN32" i="1" s="1"/>
  <c r="AE25" i="1"/>
  <c r="S9" i="1"/>
  <c r="S29" i="1" s="1"/>
  <c r="S35" i="1" s="1"/>
  <c r="AH9" i="1"/>
  <c r="AH29" i="1" s="1"/>
  <c r="AH35" i="1" s="1"/>
  <c r="AQ5" i="1"/>
  <c r="AQ29" i="1" s="1"/>
  <c r="AQ35" i="1" s="1"/>
  <c r="AQ36" i="1" s="1"/>
  <c r="G9" i="1"/>
  <c r="G29" i="1" s="1"/>
  <c r="G35" i="1" s="1"/>
  <c r="J13" i="1"/>
  <c r="J29" i="1" s="1"/>
  <c r="J35" i="1" s="1"/>
  <c r="M14" i="1"/>
  <c r="M29" i="1" s="1"/>
  <c r="M35" i="1" s="1"/>
  <c r="D6" i="1"/>
  <c r="D29" i="1" s="1"/>
  <c r="D35" i="1" s="1"/>
  <c r="D36" i="1" s="1"/>
  <c r="P9" i="1"/>
  <c r="P29" i="1" s="1"/>
  <c r="P35" i="1" s="1"/>
  <c r="D17" i="1" l="1"/>
  <c r="V17" i="1"/>
  <c r="G36" i="1"/>
  <c r="S36" i="1"/>
  <c r="BH36" i="1"/>
  <c r="BH17" i="1"/>
  <c r="BB34" i="1"/>
  <c r="BB17" i="1"/>
  <c r="AY17" i="1"/>
  <c r="AT17" i="1"/>
  <c r="AQ17" i="1"/>
  <c r="AN17" i="1"/>
  <c r="AK17" i="1"/>
  <c r="AH17" i="1"/>
  <c r="AE17" i="1"/>
  <c r="AB17" i="1"/>
  <c r="Y17" i="1"/>
  <c r="S17" i="1"/>
  <c r="P17" i="1"/>
  <c r="M17" i="1"/>
  <c r="J17" i="1"/>
  <c r="AY32" i="1"/>
  <c r="AY36" i="1" s="1"/>
  <c r="AE32" i="1"/>
  <c r="AE36" i="1" s="1"/>
  <c r="Y36" i="1"/>
  <c r="AT36" i="1"/>
  <c r="P36" i="1"/>
  <c r="AH36" i="1"/>
  <c r="AN36" i="1"/>
  <c r="BB36" i="1"/>
  <c r="M36" i="1"/>
  <c r="V36" i="1"/>
  <c r="BE36" i="1"/>
  <c r="AK36" i="1"/>
  <c r="J36" i="1"/>
</calcChain>
</file>

<file path=xl/sharedStrings.xml><?xml version="1.0" encoding="utf-8"?>
<sst xmlns="http://schemas.openxmlformats.org/spreadsheetml/2006/main" count="443" uniqueCount="226">
  <si>
    <t>Country</t>
  </si>
  <si>
    <t>Australia</t>
  </si>
  <si>
    <t>Canada</t>
  </si>
  <si>
    <t>Denmark</t>
  </si>
  <si>
    <t>France</t>
  </si>
  <si>
    <t>Germany</t>
  </si>
  <si>
    <t>Italy</t>
  </si>
  <si>
    <t>Japan</t>
  </si>
  <si>
    <t>Mexico</t>
  </si>
  <si>
    <t>Poland</t>
  </si>
  <si>
    <t>South Korea</t>
  </si>
  <si>
    <t>Spain</t>
  </si>
  <si>
    <t>Turkey</t>
  </si>
  <si>
    <t>UK</t>
  </si>
  <si>
    <t>US</t>
  </si>
  <si>
    <t>Brazil</t>
  </si>
  <si>
    <t>China</t>
  </si>
  <si>
    <t>India</t>
  </si>
  <si>
    <t>Indonesia</t>
  </si>
  <si>
    <t>South Africa</t>
  </si>
  <si>
    <t>Ukraine</t>
  </si>
  <si>
    <t>Labor</t>
  </si>
  <si>
    <t>Greens</t>
  </si>
  <si>
    <t>Liberal</t>
  </si>
  <si>
    <t>Liberal / National coalition</t>
  </si>
  <si>
    <t>Other, PNR</t>
  </si>
  <si>
    <t>Bloc quebecois</t>
  </si>
  <si>
    <t>New Democratic</t>
  </si>
  <si>
    <t>Green</t>
  </si>
  <si>
    <t>Conservative</t>
  </si>
  <si>
    <t>People's Party</t>
  </si>
  <si>
    <t>Enhedslisten</t>
  </si>
  <si>
    <t>Socialdemokratiet</t>
  </si>
  <si>
    <t>Alternativet</t>
  </si>
  <si>
    <t>Socialistisk Folkeparti</t>
  </si>
  <si>
    <t>Radikale Venstre</t>
  </si>
  <si>
    <t>Det Konservative Folkeparti</t>
  </si>
  <si>
    <t>Liberal Alliance</t>
  </si>
  <si>
    <t>Venstre</t>
  </si>
  <si>
    <t>Danske Folkeparti</t>
  </si>
  <si>
    <t>Nye Borgerlige</t>
  </si>
  <si>
    <t>Melenchon</t>
  </si>
  <si>
    <t>Arthaud</t>
  </si>
  <si>
    <t>Poutou</t>
  </si>
  <si>
    <t>Hamon</t>
  </si>
  <si>
    <t>Macron</t>
  </si>
  <si>
    <t>Fillon</t>
  </si>
  <si>
    <t>Asselineau</t>
  </si>
  <si>
    <t>Le Pen</t>
  </si>
  <si>
    <t>Dupont-Aignan</t>
  </si>
  <si>
    <t>Cheminade</t>
  </si>
  <si>
    <t>Lassalle</t>
  </si>
  <si>
    <t>Die Linke</t>
  </si>
  <si>
    <t>SPD</t>
  </si>
  <si>
    <t>Bundnis 90 / Die Grünen</t>
  </si>
  <si>
    <t>FDP</t>
  </si>
  <si>
    <t>CDU/CSU</t>
  </si>
  <si>
    <t>AfD</t>
  </si>
  <si>
    <t>Partito Democratico</t>
  </si>
  <si>
    <t>Liberi e Uguali</t>
  </si>
  <si>
    <t>Movimento 5 Stelle</t>
  </si>
  <si>
    <t>Forza Italia</t>
  </si>
  <si>
    <t>Lega</t>
  </si>
  <si>
    <t>Japanese Communist Party</t>
  </si>
  <si>
    <t>Constitutional Democratic Party of Japan</t>
  </si>
  <si>
    <t>Social Democratic Party</t>
  </si>
  <si>
    <t>Komeito</t>
  </si>
  <si>
    <t>Democratic Party for the People</t>
  </si>
  <si>
    <t>Japan Innovation Party</t>
  </si>
  <si>
    <t>Liberal Democratic Party</t>
  </si>
  <si>
    <t>Other/PNR</t>
  </si>
  <si>
    <t>PRD</t>
  </si>
  <si>
    <t>MORENA</t>
  </si>
  <si>
    <t>Movimiento Ciudadano</t>
  </si>
  <si>
    <t>PT</t>
  </si>
  <si>
    <t>VERDE</t>
  </si>
  <si>
    <t>PRI</t>
  </si>
  <si>
    <t>PAN</t>
  </si>
  <si>
    <t>Other, Otro, PNR</t>
  </si>
  <si>
    <t>Robert Biedron</t>
  </si>
  <si>
    <t>Waldemar Witkowski</t>
  </si>
  <si>
    <t>Szymon Hołownia</t>
  </si>
  <si>
    <t>Władysław Kosiniak-Kamysz</t>
  </si>
  <si>
    <t>Rafał Trzaskowski</t>
  </si>
  <si>
    <t>Stanisław Żółtek</t>
  </si>
  <si>
    <t>Marek Jakubiak</t>
  </si>
  <si>
    <t>Paweł Tanajno</t>
  </si>
  <si>
    <t>Mirosław Piotrowski</t>
  </si>
  <si>
    <t>Andrzej Duda</t>
  </si>
  <si>
    <t>Krzysztof Bosak</t>
  </si>
  <si>
    <t>Moon Jae-in</t>
  </si>
  <si>
    <t>Sim Sang-jung</t>
  </si>
  <si>
    <t>Ahn Cheol-soo</t>
  </si>
  <si>
    <t>Yoo Seong-min</t>
  </si>
  <si>
    <t>Hong Joon-pyo</t>
  </si>
  <si>
    <t>Unidas Podemos</t>
  </si>
  <si>
    <t>PSOE</t>
  </si>
  <si>
    <t>Esquerra Republicana</t>
  </si>
  <si>
    <t>Ciudadanos</t>
  </si>
  <si>
    <t>PP</t>
  </si>
  <si>
    <t>VOX</t>
  </si>
  <si>
    <t>Vatan Partisi</t>
  </si>
  <si>
    <t>Cumhuriyet Halk Partisi</t>
  </si>
  <si>
    <t>Halkların Demokratik Partisi</t>
  </si>
  <si>
    <t>İYİ Parti</t>
  </si>
  <si>
    <t>Adalet ve Kalkınma Partisi</t>
  </si>
  <si>
    <t>Milliyetçi Hareket Partisi</t>
  </si>
  <si>
    <t>Saadet Partisi</t>
  </si>
  <si>
    <t>Hür Dava Partisi</t>
  </si>
  <si>
    <t>Labour</t>
  </si>
  <si>
    <t>SNP</t>
  </si>
  <si>
    <t>Liberal Democrats</t>
  </si>
  <si>
    <t>Brexit Party</t>
  </si>
  <si>
    <t>Biden</t>
  </si>
  <si>
    <t>Trump</t>
  </si>
  <si>
    <t>Fernando Haddad</t>
  </si>
  <si>
    <t>Marina Silva</t>
  </si>
  <si>
    <t>Ciro Gomes</t>
  </si>
  <si>
    <t>Geraldo Alckmin</t>
  </si>
  <si>
    <t>Henrique Meirelles</t>
  </si>
  <si>
    <t>Alvaro Dias</t>
  </si>
  <si>
    <t>Joao Amoedo</t>
  </si>
  <si>
    <t>Jair Bolsonaro</t>
  </si>
  <si>
    <t>Cabo Daciolo</t>
  </si>
  <si>
    <t>NA</t>
  </si>
  <si>
    <t>BSP</t>
  </si>
  <si>
    <t>BJP</t>
  </si>
  <si>
    <t>PDI-P</t>
  </si>
  <si>
    <t>PKB</t>
  </si>
  <si>
    <t>Nasdem</t>
  </si>
  <si>
    <t>Demokrat</t>
  </si>
  <si>
    <t>PPP</t>
  </si>
  <si>
    <t>Golkar</t>
  </si>
  <si>
    <t>Gerindra</t>
  </si>
  <si>
    <t>PKS</t>
  </si>
  <si>
    <t>EEF</t>
  </si>
  <si>
    <t>ANC</t>
  </si>
  <si>
    <t>DA</t>
  </si>
  <si>
    <t>IFP</t>
  </si>
  <si>
    <t>FF Plus</t>
  </si>
  <si>
    <t>Petro Poroshenko</t>
  </si>
  <si>
    <t>Volodymyr Zelensky</t>
  </si>
  <si>
    <t>Ioulia Tymochenko</t>
  </si>
  <si>
    <t>Iouri Boïko</t>
  </si>
  <si>
    <t>Anatoliy Hrytsenko</t>
  </si>
  <si>
    <t>Oleksandr Vilkul</t>
  </si>
  <si>
    <t>Ihor Smeshko</t>
  </si>
  <si>
    <t>Oleh Lyashko</t>
  </si>
  <si>
    <t>Ruslan Koshulynskyi</t>
  </si>
  <si>
    <t>Pop 18+ (thousands)</t>
  </si>
  <si>
    <t>Election</t>
  </si>
  <si>
    <t>Source</t>
  </si>
  <si>
    <t>2019 Australian federal election (House of Representatives)</t>
  </si>
  <si>
    <t>2021 Federal election</t>
  </si>
  <si>
    <t>2017 Presidential Elections</t>
  </si>
  <si>
    <t>Bundestagswahl 2017</t>
  </si>
  <si>
    <t>2018 Italian general election</t>
  </si>
  <si>
    <t>2020 Polish presidential election</t>
  </si>
  <si>
    <t>November 2019 Spanish general election</t>
  </si>
  <si>
    <t>2019 Indian general election</t>
  </si>
  <si>
    <t>2019 Indonesian general election</t>
  </si>
  <si>
    <t>2019 South African general election</t>
  </si>
  <si>
    <t>2019 Presidential elections</t>
  </si>
  <si>
    <t>2017 South Korean presidential election</t>
  </si>
  <si>
    <t>2018 Turkish general election</t>
  </si>
  <si>
    <t>2018 Brazilian general election</t>
  </si>
  <si>
    <t>2020 Presidential Election</t>
  </si>
  <si>
    <t>2019 General election</t>
  </si>
  <si>
    <t> folketingsvalg (i 2019)</t>
  </si>
  <si>
    <t>elecciones generales de junio 2021</t>
  </si>
  <si>
    <t>https://results.aec.gov.au/24310/Website/HouseStateFirstPrefsByParty-24310-NAT.htm</t>
  </si>
  <si>
    <t>https://www.elections.ca/enr/help/national_e.htm</t>
  </si>
  <si>
    <t>http://www.dst.dk/valg/Valg1684447/valgopg/valgopgHL.htm</t>
  </si>
  <si>
    <t>https://www.conseil-constitutionnel.fr/decision/2017/2017169PDR.htm</t>
  </si>
  <si>
    <t>https://elezionistorico.interno.gov.it/index.php?tpel=C&amp;dtel=04/03/2018&amp;es0=S&amp;tpa=I&amp;lev0=0&amp;levsut0=0&amp;ms=S&amp;tpe=A</t>
  </si>
  <si>
    <t>https://www.bundeswahlleiter.de/en/bundestagswahlen/2017/ergebnisse/bund-99.html</t>
  </si>
  <si>
    <t>https://computos2021.ine.mx/votos-ppyci/grafica</t>
  </si>
  <si>
    <t>https://pl.wikipedia.org/wiki/Wybory_prezydenckie_w_Polsce_w_2020_roku_(drugie)#Pierwsze_g%C5%82osowanie_(I_tura)</t>
  </si>
  <si>
    <t>https://en.wikipedia.org/wiki/2017_South_Korean_presidential_election#cite_note-36</t>
  </si>
  <si>
    <t>http://www.infoelectoral.mir.es/infoelectoral/min/busquedaAvanzadaAction.html;jsessionid=05CAFACDE40473B63152326DDD1F7519</t>
  </si>
  <si>
    <t>https://en.wikipedia.org/wiki/2018_Turkish_general_election#Results_2</t>
  </si>
  <si>
    <t>https://www.bbc.com/news/election/2019/results</t>
  </si>
  <si>
    <t>https://www.soumu.go.jp/main_content/000776531.pdf</t>
  </si>
  <si>
    <t>2021 General elections</t>
  </si>
  <si>
    <t>https://www.fec.gov/resources/cms-content/documents/2020presgeresults.pdf</t>
  </si>
  <si>
    <t>http://divulga.tse.jus.br/oficial/index.html</t>
  </si>
  <si>
    <t>INC</t>
  </si>
  <si>
    <t>AITC</t>
  </si>
  <si>
    <t>SP</t>
  </si>
  <si>
    <t>YSR Congress</t>
  </si>
  <si>
    <t>DMK</t>
  </si>
  <si>
    <t>SS</t>
  </si>
  <si>
    <t>TDP</t>
  </si>
  <si>
    <t>CPO</t>
  </si>
  <si>
    <t>Other NDA</t>
  </si>
  <si>
    <t>Other UPA</t>
  </si>
  <si>
    <t>http://psephos.adam-carr.net/countries/i/india/2019/india2019.txt</t>
  </si>
  <si>
    <t>https://jakartaglobe.id/context/jokowi-wins-reelection-pdip-wins-most-seats/</t>
  </si>
  <si>
    <t>https://elections.timeslive.co.za/results?type=1091&amp;mapType=results</t>
  </si>
  <si>
    <t>https://www.cvk.gov.ua/pls/vp2019/wp300pt001f01=719.html</t>
  </si>
  <si>
    <t>Far Left</t>
  </si>
  <si>
    <t>Left</t>
  </si>
  <si>
    <t>Center</t>
  </si>
  <si>
    <t>Right</t>
  </si>
  <si>
    <t>Far right</t>
  </si>
  <si>
    <t>Vote_agg</t>
  </si>
  <si>
    <t>Vote_agg_factor</t>
  </si>
  <si>
    <t>Total voters (thousands)</t>
  </si>
  <si>
    <t>Other candidates</t>
  </si>
  <si>
    <t>Other parties</t>
  </si>
  <si>
    <t>Other</t>
  </si>
  <si>
    <t>Fratelli d'Italia</t>
  </si>
  <si>
    <t>Altro</t>
  </si>
  <si>
    <t>Other, Ostro</t>
  </si>
  <si>
    <t>Other,</t>
  </si>
  <si>
    <t>Sample</t>
  </si>
  <si>
    <t>Pop</t>
  </si>
  <si>
    <t>Voters (share)</t>
  </si>
  <si>
    <t>Share of voters</t>
  </si>
  <si>
    <t>Sample - Pop</t>
  </si>
  <si>
    <t>&lt; -10</t>
  </si>
  <si>
    <t>&gt; 10</t>
  </si>
  <si>
    <t>&gt; 15</t>
  </si>
  <si>
    <t>&lt; -15</t>
  </si>
  <si>
    <t>close to -10</t>
  </si>
  <si>
    <t>close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</si>
</sst>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2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324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3" xfId="0" applyBorder="1"/>
    <xf numFmtId="0" fontId="0" fillId="0" borderId="2" xfId="0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/>
    <xf numFmtId="0" fontId="3" fillId="0" borderId="4" xfId="0" applyFont="1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0" fillId="13" borderId="0" xfId="0" applyFill="1"/>
    <xf numFmtId="0" fontId="4" fillId="12" borderId="0" xfId="0" applyFont="1" applyFill="1"/>
    <xf numFmtId="0" fontId="0" fillId="14" borderId="0" xfId="0" applyFill="1"/>
    <xf numFmtId="0" fontId="0" fillId="12" borderId="8" xfId="0" applyFill="1" applyBorder="1"/>
    <xf numFmtId="0" fontId="0" fillId="15" borderId="8" xfId="0" applyFill="1" applyBorder="1"/>
    <xf numFmtId="0" fontId="0" fillId="14" borderId="8" xfId="0" applyFill="1" applyBorder="1"/>
    <xf numFmtId="0" fontId="0" fillId="9" borderId="8" xfId="0" applyFill="1" applyBorder="1"/>
    <xf numFmtId="0" fontId="0" fillId="16" borderId="8" xfId="0" applyFill="1" applyBorder="1"/>
    <xf numFmtId="0" fontId="0" fillId="17" borderId="8" xfId="0" applyFill="1" applyBorder="1"/>
    <xf numFmtId="0" fontId="4" fillId="0" borderId="0" xfId="0" applyFont="1" applyFill="1"/>
    <xf numFmtId="0" fontId="0" fillId="16" borderId="0" xfId="0" applyFill="1"/>
    <xf numFmtId="0" fontId="0" fillId="17" borderId="0" xfId="0" applyFill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32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F187-F016-E74D-9467-2F607B68B8B7}">
  <dimension ref="A1:AM27"/>
  <sheetViews>
    <sheetView workbookViewId="0">
      <pane xSplit="1" topLeftCell="F1" activePane="topRight" state="frozen"/>
      <selection pane="topRight" activeCell="AI9" sqref="AI9"/>
    </sheetView>
  </sheetViews>
  <sheetFormatPr baseColWidth="10" defaultRowHeight="16" x14ac:dyDescent="0.2"/>
  <cols>
    <col min="1" max="1" width="14.83203125" bestFit="1" customWidth="1"/>
  </cols>
  <sheetData>
    <row r="1" spans="1:39" s="31" customFormat="1" x14ac:dyDescent="0.2">
      <c r="A1" s="32"/>
      <c r="B1" s="34" t="s">
        <v>1</v>
      </c>
      <c r="C1" s="35"/>
      <c r="D1" s="34" t="s">
        <v>2</v>
      </c>
      <c r="E1" s="35"/>
      <c r="F1" s="34" t="s">
        <v>3</v>
      </c>
      <c r="G1" s="35"/>
      <c r="H1" s="34" t="s">
        <v>4</v>
      </c>
      <c r="I1" s="35"/>
      <c r="J1" s="34" t="s">
        <v>5</v>
      </c>
      <c r="K1" s="35"/>
      <c r="L1" s="34" t="s">
        <v>6</v>
      </c>
      <c r="M1" s="35"/>
      <c r="N1" s="34" t="s">
        <v>7</v>
      </c>
      <c r="O1" s="35"/>
      <c r="P1" s="34" t="s">
        <v>8</v>
      </c>
      <c r="Q1" s="35"/>
      <c r="R1" s="34" t="s">
        <v>9</v>
      </c>
      <c r="S1" s="35"/>
      <c r="T1" s="34" t="s">
        <v>10</v>
      </c>
      <c r="U1" s="35"/>
      <c r="V1" s="34" t="s">
        <v>11</v>
      </c>
      <c r="W1" s="35"/>
      <c r="X1" s="34" t="s">
        <v>12</v>
      </c>
      <c r="Y1" s="35"/>
      <c r="Z1" s="34" t="s">
        <v>13</v>
      </c>
      <c r="AA1" s="35"/>
      <c r="AB1" s="34" t="s">
        <v>14</v>
      </c>
      <c r="AC1" s="35"/>
      <c r="AD1" s="34" t="s">
        <v>15</v>
      </c>
      <c r="AE1" s="35"/>
      <c r="AF1" s="34" t="s">
        <v>17</v>
      </c>
      <c r="AG1" s="35"/>
      <c r="AH1" s="34" t="s">
        <v>18</v>
      </c>
      <c r="AI1" s="35"/>
      <c r="AJ1" s="34" t="s">
        <v>19</v>
      </c>
      <c r="AK1" s="35"/>
      <c r="AL1" s="34" t="s">
        <v>20</v>
      </c>
      <c r="AM1" s="35"/>
    </row>
    <row r="2" spans="1:39" x14ac:dyDescent="0.2">
      <c r="A2" s="36"/>
      <c r="B2" s="33" t="s">
        <v>215</v>
      </c>
      <c r="C2" s="36" t="s">
        <v>216</v>
      </c>
      <c r="D2" s="33" t="s">
        <v>215</v>
      </c>
      <c r="E2" s="36" t="s">
        <v>216</v>
      </c>
      <c r="F2" s="33" t="s">
        <v>215</v>
      </c>
      <c r="G2" s="36" t="s">
        <v>216</v>
      </c>
      <c r="H2" s="33" t="s">
        <v>215</v>
      </c>
      <c r="I2" s="36" t="s">
        <v>216</v>
      </c>
      <c r="J2" s="33" t="s">
        <v>215</v>
      </c>
      <c r="K2" s="36" t="s">
        <v>216</v>
      </c>
      <c r="L2" s="33" t="s">
        <v>215</v>
      </c>
      <c r="M2" s="36" t="s">
        <v>216</v>
      </c>
      <c r="N2" s="33" t="s">
        <v>215</v>
      </c>
      <c r="O2" s="36" t="s">
        <v>216</v>
      </c>
      <c r="P2" s="33" t="s">
        <v>215</v>
      </c>
      <c r="Q2" s="36" t="s">
        <v>216</v>
      </c>
      <c r="R2" s="33" t="s">
        <v>215</v>
      </c>
      <c r="S2" s="36" t="s">
        <v>216</v>
      </c>
      <c r="T2" s="33" t="s">
        <v>215</v>
      </c>
      <c r="U2" s="36" t="s">
        <v>216</v>
      </c>
      <c r="V2" s="33" t="s">
        <v>215</v>
      </c>
      <c r="W2" s="36" t="s">
        <v>216</v>
      </c>
      <c r="X2" s="33" t="s">
        <v>215</v>
      </c>
      <c r="Y2" s="36" t="s">
        <v>216</v>
      </c>
      <c r="Z2" s="33" t="s">
        <v>215</v>
      </c>
      <c r="AA2" s="36" t="s">
        <v>216</v>
      </c>
      <c r="AB2" s="33" t="s">
        <v>215</v>
      </c>
      <c r="AC2" s="36" t="s">
        <v>216</v>
      </c>
      <c r="AD2" s="33" t="s">
        <v>215</v>
      </c>
      <c r="AE2" s="36" t="s">
        <v>216</v>
      </c>
      <c r="AF2" s="33" t="s">
        <v>215</v>
      </c>
      <c r="AG2" s="36" t="s">
        <v>216</v>
      </c>
      <c r="AH2" s="33" t="s">
        <v>215</v>
      </c>
      <c r="AI2" s="36" t="s">
        <v>216</v>
      </c>
      <c r="AJ2" s="33" t="s">
        <v>215</v>
      </c>
      <c r="AK2" s="36" t="s">
        <v>216</v>
      </c>
      <c r="AL2" s="33" t="s">
        <v>215</v>
      </c>
      <c r="AM2" s="36" t="s">
        <v>216</v>
      </c>
    </row>
    <row r="3" spans="1:39" x14ac:dyDescent="0.2">
      <c r="A3" s="38" t="s">
        <v>218</v>
      </c>
      <c r="B3" s="42">
        <v>0.877</v>
      </c>
      <c r="C3" s="16">
        <v>0.72473485467694798</v>
      </c>
      <c r="D3" s="42">
        <v>0.79600000000000004</v>
      </c>
      <c r="E3" s="16">
        <v>0.55627472630214125</v>
      </c>
      <c r="F3" s="37">
        <v>0.82899999999999996</v>
      </c>
      <c r="G3" s="16">
        <v>0.75939089679861571</v>
      </c>
      <c r="H3" s="37">
        <v>0.71899999999999997</v>
      </c>
      <c r="I3" s="16">
        <v>0.70151682335857746</v>
      </c>
      <c r="J3" s="44">
        <v>0.80700000000000005</v>
      </c>
      <c r="K3" s="16">
        <v>0.665840643276008</v>
      </c>
      <c r="L3" s="42">
        <v>0.78200000000000003</v>
      </c>
      <c r="M3" s="16">
        <v>0.59368840753301177</v>
      </c>
      <c r="N3" s="42">
        <v>0.68700000000000006</v>
      </c>
      <c r="O3" s="16">
        <v>0.53536522955187715</v>
      </c>
      <c r="P3" s="42">
        <v>0.74399999999999999</v>
      </c>
      <c r="Q3" s="16">
        <v>0.53118142062696538</v>
      </c>
      <c r="R3" s="42">
        <v>0.83599999999999997</v>
      </c>
      <c r="S3" s="16">
        <v>0.6257303316424464</v>
      </c>
      <c r="T3" s="37">
        <v>0.81699999999999995</v>
      </c>
      <c r="U3" s="16">
        <v>0.75242170044228707</v>
      </c>
      <c r="V3" s="42">
        <v>0.79800000000000004</v>
      </c>
      <c r="W3" s="16">
        <v>0.62743625870864206</v>
      </c>
      <c r="X3" s="37">
        <v>0.76300000000000001</v>
      </c>
      <c r="Y3" s="16">
        <v>0.83470406757899407</v>
      </c>
      <c r="Z3" s="42">
        <v>0.84799999999999998</v>
      </c>
      <c r="AA3" s="16">
        <v>0.59630653539646294</v>
      </c>
      <c r="AB3" s="42">
        <v>0.79</v>
      </c>
      <c r="AC3" s="16">
        <v>0.61505763969715888</v>
      </c>
      <c r="AD3" s="42">
        <v>0.84199999999999997</v>
      </c>
      <c r="AE3" s="16">
        <v>0.6734352766808579</v>
      </c>
      <c r="AF3" s="44">
        <v>0.752</v>
      </c>
      <c r="AG3" s="16">
        <v>0.65125460781168021</v>
      </c>
      <c r="AH3" s="37">
        <v>0.79800000000000004</v>
      </c>
      <c r="AI3" s="16">
        <v>0.74219943065432847</v>
      </c>
      <c r="AJ3" s="45">
        <v>0.56200000000000006</v>
      </c>
      <c r="AK3" s="16">
        <v>0.44429041462048913</v>
      </c>
      <c r="AL3" s="42">
        <v>0.69799999999999995</v>
      </c>
      <c r="AM3" s="16">
        <v>0.52538632961788545</v>
      </c>
    </row>
    <row r="4" spans="1:39" x14ac:dyDescent="0.2">
      <c r="A4" s="38" t="s">
        <v>205</v>
      </c>
      <c r="B4" s="37"/>
      <c r="C4" s="16"/>
      <c r="D4" s="37"/>
      <c r="E4" s="16"/>
      <c r="F4" s="37"/>
      <c r="G4" s="16"/>
      <c r="H4" s="37"/>
      <c r="I4" s="16"/>
      <c r="J4" s="37"/>
      <c r="K4" s="16"/>
      <c r="L4" s="37"/>
      <c r="M4" s="16"/>
      <c r="N4" s="37"/>
      <c r="O4" s="16"/>
      <c r="P4" s="37"/>
      <c r="Q4" s="16"/>
      <c r="R4" s="37"/>
      <c r="S4" s="16"/>
      <c r="T4" s="37"/>
      <c r="U4" s="16"/>
      <c r="V4" s="37"/>
      <c r="W4" s="16"/>
      <c r="X4" s="37"/>
      <c r="Y4" s="16"/>
      <c r="Z4" s="37"/>
      <c r="AA4" s="16"/>
      <c r="AB4" s="37"/>
      <c r="AC4" s="16"/>
      <c r="AD4" s="37"/>
      <c r="AE4" s="16"/>
      <c r="AF4" s="37"/>
      <c r="AG4" s="16"/>
      <c r="AH4" s="37"/>
      <c r="AI4" s="16"/>
      <c r="AJ4" s="37"/>
      <c r="AK4" s="16"/>
      <c r="AL4" s="37"/>
      <c r="AM4" s="16"/>
    </row>
    <row r="5" spans="1:39" x14ac:dyDescent="0.2">
      <c r="A5" s="16" t="s">
        <v>200</v>
      </c>
      <c r="B5" s="37"/>
      <c r="C5" s="16"/>
      <c r="D5" s="37"/>
      <c r="E5" s="16"/>
      <c r="F5" s="37">
        <v>0.108</v>
      </c>
      <c r="G5" s="16">
        <v>6.9438168441528156E-2</v>
      </c>
      <c r="H5" s="37">
        <v>0.16700000000000001</v>
      </c>
      <c r="I5" s="16">
        <v>0.2132011981674134</v>
      </c>
      <c r="J5" s="37">
        <v>9.2999999999999999E-2</v>
      </c>
      <c r="K5" s="16">
        <v>8.5507004099947811E-2</v>
      </c>
      <c r="L5" s="37"/>
      <c r="M5" s="16"/>
      <c r="N5" s="37">
        <v>6.3E-2</v>
      </c>
      <c r="O5" s="16">
        <v>7.24963895594644E-2</v>
      </c>
      <c r="P5" s="37"/>
      <c r="Q5" s="16"/>
      <c r="R5" s="37"/>
      <c r="S5" s="16"/>
      <c r="T5" s="37"/>
      <c r="U5" s="16"/>
      <c r="V5" s="37">
        <v>0.13400000000000001</v>
      </c>
      <c r="W5" s="16">
        <v>9.8191838249685845E-2</v>
      </c>
      <c r="X5" s="37">
        <v>1E-3</v>
      </c>
      <c r="Y5" s="16">
        <v>2.3494517370780403E-3</v>
      </c>
      <c r="Z5" s="37"/>
      <c r="AA5" s="16"/>
      <c r="AB5" s="37"/>
      <c r="AC5" s="16"/>
      <c r="AD5" s="37"/>
      <c r="AE5" s="16"/>
      <c r="AF5" s="37">
        <v>1.1871508379888268E-2</v>
      </c>
      <c r="AG5" s="16">
        <v>1.7494715815518917E-2</v>
      </c>
      <c r="AH5" s="37"/>
      <c r="AI5" s="16"/>
      <c r="AJ5" s="37">
        <v>0.13600000000000001</v>
      </c>
      <c r="AK5" s="16">
        <v>0.10790923727172705</v>
      </c>
      <c r="AL5" s="37"/>
      <c r="AM5" s="16"/>
    </row>
    <row r="6" spans="1:39" x14ac:dyDescent="0.2">
      <c r="A6" s="16" t="s">
        <v>201</v>
      </c>
      <c r="B6" s="37">
        <v>0.42099999999999999</v>
      </c>
      <c r="C6" s="16">
        <v>0.43744552612841026</v>
      </c>
      <c r="D6" s="37">
        <v>0.69</v>
      </c>
      <c r="E6" s="16">
        <v>0.60417008258012994</v>
      </c>
      <c r="F6" s="37">
        <v>0.40400000000000003</v>
      </c>
      <c r="G6" s="16">
        <v>0.36587880362370345</v>
      </c>
      <c r="H6" s="37">
        <v>9.8000000000000004E-2</v>
      </c>
      <c r="I6" s="16">
        <v>6.3550867059365912E-2</v>
      </c>
      <c r="J6" s="37">
        <v>0.35899999999999999</v>
      </c>
      <c r="K6" s="16">
        <v>0.3265203429690029</v>
      </c>
      <c r="L6" s="44">
        <v>0.34299999999999997</v>
      </c>
      <c r="M6" s="16">
        <v>0.24086751291270481</v>
      </c>
      <c r="N6" s="37">
        <v>0.193</v>
      </c>
      <c r="O6" s="16">
        <v>0.21770590561069184</v>
      </c>
      <c r="P6" s="37">
        <v>0.60499999999999998</v>
      </c>
      <c r="Q6" s="16">
        <v>0.55639628611685532</v>
      </c>
      <c r="R6" s="37">
        <v>5.9000000000000004E-2</v>
      </c>
      <c r="S6" s="16">
        <v>2.3650354928550211E-2</v>
      </c>
      <c r="T6" s="42">
        <v>0.68600000000000005</v>
      </c>
      <c r="U6" s="16">
        <v>0.47261187845620928</v>
      </c>
      <c r="V6" s="37">
        <v>0.34199999999999997</v>
      </c>
      <c r="W6" s="16">
        <v>0.31630228720745801</v>
      </c>
      <c r="X6" s="37">
        <v>0.35900000000000004</v>
      </c>
      <c r="Y6" s="16">
        <v>0.34340842034454166</v>
      </c>
      <c r="Z6" s="37">
        <v>0.34699999999999998</v>
      </c>
      <c r="AA6" s="16">
        <v>0.38661978346673753</v>
      </c>
      <c r="AB6" s="46">
        <v>0.60799999999999998</v>
      </c>
      <c r="AC6" s="16">
        <v>0.51311515260219531</v>
      </c>
      <c r="AD6" s="37">
        <v>0.26300000000000001</v>
      </c>
      <c r="AE6" s="16">
        <v>0.30276903537075378</v>
      </c>
      <c r="AF6" s="37">
        <v>0.29050279329608941</v>
      </c>
      <c r="AG6" s="16">
        <v>0.36841417354606726</v>
      </c>
      <c r="AH6" s="42">
        <v>0.499</v>
      </c>
      <c r="AI6" s="16">
        <v>0.19328225665754525</v>
      </c>
      <c r="AJ6" s="43">
        <v>0.45700000000000002</v>
      </c>
      <c r="AK6" s="16">
        <v>0.57503969914448971</v>
      </c>
      <c r="AL6" s="37">
        <v>0.22700000000000001</v>
      </c>
      <c r="AM6" s="16">
        <v>0.1614753076249156</v>
      </c>
    </row>
    <row r="7" spans="1:39" x14ac:dyDescent="0.2">
      <c r="A7" s="16" t="s">
        <v>202</v>
      </c>
      <c r="B7" s="37"/>
      <c r="C7" s="16"/>
      <c r="D7" s="37"/>
      <c r="E7" s="16"/>
      <c r="F7" s="37">
        <v>6.0999999999999999E-2</v>
      </c>
      <c r="G7" s="16">
        <v>8.6327140181525139E-2</v>
      </c>
      <c r="H7" s="43">
        <v>0.13100000000000001</v>
      </c>
      <c r="I7" s="16">
        <v>0.24009129095333012</v>
      </c>
      <c r="J7" s="37">
        <v>7.8E-2</v>
      </c>
      <c r="K7" s="16">
        <v>7.0042357540583161E-2</v>
      </c>
      <c r="L7" s="43">
        <v>0.221</v>
      </c>
      <c r="M7" s="16">
        <v>0.35524452321211764</v>
      </c>
      <c r="N7" s="43">
        <v>0.16700000000000001</v>
      </c>
      <c r="O7" s="16">
        <v>0.30902645894190717</v>
      </c>
      <c r="P7" s="37">
        <v>0.123</v>
      </c>
      <c r="Q7" s="16">
        <v>0.18461304849387283</v>
      </c>
      <c r="R7" s="37">
        <v>0.14199999999999999</v>
      </c>
      <c r="S7" s="16">
        <v>0.16230051500970968</v>
      </c>
      <c r="T7" s="47">
        <v>0.129</v>
      </c>
      <c r="U7" s="16">
        <v>0.21419884045062809</v>
      </c>
      <c r="V7" s="37">
        <v>0.104</v>
      </c>
      <c r="W7" s="16">
        <v>6.803126757651054E-2</v>
      </c>
      <c r="X7" s="37">
        <v>7.8E-2</v>
      </c>
      <c r="Y7" s="16">
        <v>9.9554523970765127E-2</v>
      </c>
      <c r="Z7" s="37">
        <v>0.11600000000000001</v>
      </c>
      <c r="AA7" s="16">
        <v>0.11546350938918669</v>
      </c>
      <c r="AB7" s="37"/>
      <c r="AC7" s="16"/>
      <c r="AD7" s="47">
        <v>0.105</v>
      </c>
      <c r="AE7" s="16">
        <v>0.19233201831435473</v>
      </c>
      <c r="AF7" s="37"/>
      <c r="AG7" s="16"/>
      <c r="AH7" s="46">
        <v>6.6000000000000003E-2</v>
      </c>
      <c r="AI7" s="16">
        <v>0.16533908460922619</v>
      </c>
      <c r="AJ7" s="45">
        <v>0.32500000000000001</v>
      </c>
      <c r="AK7" s="16">
        <v>0.20768284547317342</v>
      </c>
      <c r="AL7" s="37">
        <v>0.7430000000000001</v>
      </c>
      <c r="AM7" s="16">
        <v>0.67187936213962229</v>
      </c>
    </row>
    <row r="8" spans="1:39" x14ac:dyDescent="0.2">
      <c r="A8" s="16" t="s">
        <v>203</v>
      </c>
      <c r="B8" s="37">
        <v>0.5</v>
      </c>
      <c r="C8" s="16">
        <v>0.41441886854589643</v>
      </c>
      <c r="D8" s="37">
        <v>0.27500000000000002</v>
      </c>
      <c r="E8" s="16">
        <v>0.33740331167049809</v>
      </c>
      <c r="F8" s="37">
        <v>0.27600000000000002</v>
      </c>
      <c r="G8" s="16">
        <v>0.32361869464742493</v>
      </c>
      <c r="H8" s="44">
        <v>0.32</v>
      </c>
      <c r="I8" s="16">
        <v>0.20928217514902622</v>
      </c>
      <c r="J8" s="37">
        <v>0.29699999999999999</v>
      </c>
      <c r="K8" s="16">
        <v>0.37263163317910702</v>
      </c>
      <c r="L8" s="37">
        <v>8.5000000000000006E-2</v>
      </c>
      <c r="M8" s="16">
        <v>0.15216487137211823</v>
      </c>
      <c r="N8" s="42">
        <v>0.52200000000000002</v>
      </c>
      <c r="O8" s="16">
        <v>0.34655083488615068</v>
      </c>
      <c r="P8" s="37">
        <v>0.24399999999999999</v>
      </c>
      <c r="Q8" s="16">
        <v>0.18998012717902213</v>
      </c>
      <c r="R8" s="44">
        <v>0.41500000000000004</v>
      </c>
      <c r="S8" s="16">
        <v>0.31120474424825689</v>
      </c>
      <c r="T8" s="37">
        <v>4.7E-2</v>
      </c>
      <c r="U8" s="16">
        <v>6.7604039216856551E-2</v>
      </c>
      <c r="V8" s="37">
        <v>0.17699999999999999</v>
      </c>
      <c r="W8" s="16">
        <v>0.20805476805643017</v>
      </c>
      <c r="X8" s="37">
        <v>0.47499999999999998</v>
      </c>
      <c r="Y8" s="16">
        <v>0.42560144969065589</v>
      </c>
      <c r="Z8" s="37">
        <v>0.49099999999999999</v>
      </c>
      <c r="AA8" s="16">
        <v>0.43626780649384883</v>
      </c>
      <c r="AB8" s="37"/>
      <c r="AC8" s="16"/>
      <c r="AD8" s="37">
        <v>3.4000000000000002E-2</v>
      </c>
      <c r="AE8" s="16">
        <v>2.5032490921378887E-2</v>
      </c>
      <c r="AF8" s="42">
        <v>0.65991620111731841</v>
      </c>
      <c r="AG8" s="16">
        <v>0.43770997499835645</v>
      </c>
      <c r="AH8" s="51">
        <v>0.157</v>
      </c>
      <c r="AI8" s="16">
        <v>0.33643502959107457</v>
      </c>
      <c r="AJ8" s="37">
        <v>1.2999999999999999E-2</v>
      </c>
      <c r="AK8" s="16">
        <v>3.3771170965323526E-2</v>
      </c>
      <c r="AL8" s="37">
        <v>1.7000000000000001E-2</v>
      </c>
      <c r="AM8" s="16">
        <v>0.11662734335613528</v>
      </c>
    </row>
    <row r="9" spans="1:39" x14ac:dyDescent="0.2">
      <c r="A9" s="16" t="s">
        <v>204</v>
      </c>
      <c r="B9" s="37"/>
      <c r="C9" s="16"/>
      <c r="D9" s="37">
        <v>0.03</v>
      </c>
      <c r="E9" s="16">
        <v>4.9370729300973346E-2</v>
      </c>
      <c r="F9" s="37">
        <v>0.124</v>
      </c>
      <c r="G9" s="16">
        <v>0.11097471527092925</v>
      </c>
      <c r="H9" s="37">
        <v>0.26200000000000001</v>
      </c>
      <c r="I9" s="16">
        <v>0.25998193174457462</v>
      </c>
      <c r="J9" s="37">
        <v>0.129</v>
      </c>
      <c r="K9" s="16">
        <v>0.11462692673780543</v>
      </c>
      <c r="L9" s="37">
        <v>0.26800000000000002</v>
      </c>
      <c r="M9" s="16">
        <v>0.23595337136465389</v>
      </c>
      <c r="N9" s="37"/>
      <c r="O9" s="16"/>
      <c r="P9" s="37"/>
      <c r="Q9" s="16"/>
      <c r="R9" s="43">
        <v>0.38300000000000001</v>
      </c>
      <c r="S9" s="16">
        <v>0.50283975271832704</v>
      </c>
      <c r="T9" s="43">
        <v>0.13700000000000001</v>
      </c>
      <c r="U9" s="16">
        <v>0.24035280785561416</v>
      </c>
      <c r="V9" s="37">
        <v>9.7000000000000003E-2</v>
      </c>
      <c r="W9" s="16">
        <v>0.15075210769723163</v>
      </c>
      <c r="X9" s="37">
        <v>8.8999999999999996E-2</v>
      </c>
      <c r="Y9" s="16">
        <v>0.12758441137306273</v>
      </c>
      <c r="Z9" s="37">
        <v>2.3E-2</v>
      </c>
      <c r="AA9" s="16">
        <v>2.0124389082663313E-2</v>
      </c>
      <c r="AB9" s="47">
        <v>0.373</v>
      </c>
      <c r="AC9" s="16">
        <v>0.46858542368861716</v>
      </c>
      <c r="AD9" s="37">
        <v>0.52800000000000002</v>
      </c>
      <c r="AE9" s="16">
        <v>0.47290999282181068</v>
      </c>
      <c r="AF9" s="37">
        <v>7.6815642458100556E-3</v>
      </c>
      <c r="AG9" s="16">
        <v>2.0936947254014203E-2</v>
      </c>
      <c r="AH9" s="37">
        <v>0.27900000000000003</v>
      </c>
      <c r="AI9" s="16">
        <v>0.20781767628583181</v>
      </c>
      <c r="AJ9" s="37">
        <v>2.7E-2</v>
      </c>
      <c r="AK9" s="16">
        <v>2.3793334122498642E-2</v>
      </c>
      <c r="AL9" s="37">
        <v>1.4E-2</v>
      </c>
      <c r="AM9" s="16">
        <v>1.6457298248598599E-2</v>
      </c>
    </row>
    <row r="10" spans="1:39" x14ac:dyDescent="0.2">
      <c r="A10" s="16" t="s">
        <v>210</v>
      </c>
      <c r="B10" s="37">
        <v>7.8E-2</v>
      </c>
      <c r="C10" s="16">
        <v>0.14813560532569325</v>
      </c>
      <c r="D10" s="37">
        <v>5.0000000000000001E-3</v>
      </c>
      <c r="E10" s="16">
        <v>9.0558764483986698E-3</v>
      </c>
      <c r="F10" s="37">
        <v>2.7E-2</v>
      </c>
      <c r="G10" s="16">
        <v>4.3762477834889069E-2</v>
      </c>
      <c r="H10" s="37">
        <v>2.0999999999999998E-2</v>
      </c>
      <c r="I10" s="16">
        <v>1.3892536926289761E-2</v>
      </c>
      <c r="J10" s="37">
        <v>4.4999999999999998E-2</v>
      </c>
      <c r="K10" s="16">
        <v>3.0671735473553841E-2</v>
      </c>
      <c r="L10" s="37">
        <v>8.3000000000000004E-2</v>
      </c>
      <c r="M10" s="16">
        <v>1.5769721138405468E-2</v>
      </c>
      <c r="N10" s="37">
        <v>5.6000000000000001E-2</v>
      </c>
      <c r="O10" s="16">
        <v>5.4220411001785873E-2</v>
      </c>
      <c r="P10" s="37">
        <v>2.9000000000000001E-2</v>
      </c>
      <c r="Q10" s="16">
        <v>6.9010538210249717E-2</v>
      </c>
      <c r="R10" s="37" t="s">
        <v>124</v>
      </c>
      <c r="S10" s="16" t="s">
        <v>124</v>
      </c>
      <c r="T10" s="37">
        <v>0</v>
      </c>
      <c r="U10" s="16">
        <v>0</v>
      </c>
      <c r="V10" s="37">
        <v>0.14599999999999999</v>
      </c>
      <c r="W10" s="16">
        <v>0.15866773121268385</v>
      </c>
      <c r="X10" s="37" t="s">
        <v>124</v>
      </c>
      <c r="Y10" s="16">
        <v>1.5017428838964841E-3</v>
      </c>
      <c r="Z10" s="37">
        <v>2.1999999999999999E-2</v>
      </c>
      <c r="AA10" s="16">
        <v>4.1524511567563649E-2</v>
      </c>
      <c r="AB10" s="37">
        <v>1.9000000000000003E-2</v>
      </c>
      <c r="AC10" s="16">
        <v>1.8299423709187523E-2</v>
      </c>
      <c r="AD10" s="37">
        <v>7.0999999999999994E-2</v>
      </c>
      <c r="AE10" s="16">
        <v>6.9564625717019046E-3</v>
      </c>
      <c r="AF10" s="43">
        <v>3.0027932960893854E-2</v>
      </c>
      <c r="AG10" s="16">
        <v>0.15544418838604324</v>
      </c>
      <c r="AH10" s="47" t="s">
        <v>124</v>
      </c>
      <c r="AI10" s="16">
        <v>9.7125952856322084E-2</v>
      </c>
      <c r="AJ10" s="37">
        <v>4.2000000000000003E-2</v>
      </c>
      <c r="AK10" s="16">
        <v>5.1803713022787634E-2</v>
      </c>
      <c r="AL10" s="37" t="s">
        <v>124</v>
      </c>
      <c r="AM10" s="16">
        <v>3.3560688630728031E-2</v>
      </c>
    </row>
    <row r="11" spans="1:39" x14ac:dyDescent="0.2">
      <c r="A11" s="38" t="s">
        <v>206</v>
      </c>
      <c r="B11" s="37"/>
      <c r="C11" s="16"/>
      <c r="D11" s="37"/>
      <c r="E11" s="16"/>
      <c r="F11" s="37"/>
      <c r="G11" s="16"/>
      <c r="H11" s="37"/>
      <c r="I11" s="16"/>
      <c r="J11" s="37"/>
      <c r="K11" s="16"/>
      <c r="L11" s="37"/>
      <c r="M11" s="16"/>
      <c r="N11" s="37"/>
      <c r="O11" s="16"/>
      <c r="P11" s="37"/>
      <c r="Q11" s="16"/>
      <c r="R11" s="37"/>
      <c r="S11" s="16"/>
      <c r="T11" s="37"/>
      <c r="U11" s="16"/>
      <c r="V11" s="37"/>
      <c r="W11" s="16"/>
      <c r="X11" s="37"/>
      <c r="Y11" s="16"/>
      <c r="Z11" s="37"/>
      <c r="AA11" s="16"/>
      <c r="AB11" s="37"/>
      <c r="AC11" s="16"/>
      <c r="AD11" s="37"/>
      <c r="AE11" s="16"/>
      <c r="AF11" s="37"/>
      <c r="AG11" s="16"/>
      <c r="AH11" s="37"/>
      <c r="AI11" s="16"/>
      <c r="AJ11" s="37"/>
      <c r="AK11" s="16"/>
      <c r="AL11" s="37"/>
      <c r="AM11" s="16"/>
    </row>
    <row r="12" spans="1:39" x14ac:dyDescent="0.2">
      <c r="A12" s="16" t="s">
        <v>201</v>
      </c>
      <c r="B12" s="37">
        <v>0.42099999999999999</v>
      </c>
      <c r="C12" s="16">
        <v>0.43744552612841026</v>
      </c>
      <c r="D12" s="37">
        <v>0.69</v>
      </c>
      <c r="E12" s="16">
        <v>0.60417008258012994</v>
      </c>
      <c r="F12" s="37">
        <v>0.51200000000000001</v>
      </c>
      <c r="G12" s="16">
        <v>0.43531697206523162</v>
      </c>
      <c r="H12" s="37">
        <v>0.26500000000000001</v>
      </c>
      <c r="I12" s="16">
        <v>0.27675206522677931</v>
      </c>
      <c r="J12" s="37">
        <v>0.45199999999999996</v>
      </c>
      <c r="K12" s="16">
        <v>0.41202734706895072</v>
      </c>
      <c r="L12" s="45">
        <v>0.34299999999999997</v>
      </c>
      <c r="M12" s="16">
        <v>0.24086751291270481</v>
      </c>
      <c r="N12" s="37">
        <v>0.25600000000000001</v>
      </c>
      <c r="O12" s="16">
        <v>0.29020229517015622</v>
      </c>
      <c r="P12" s="37">
        <v>0.60499999999999998</v>
      </c>
      <c r="Q12" s="16">
        <v>0.55639628611685532</v>
      </c>
      <c r="R12" s="37">
        <v>5.9000000000000004E-2</v>
      </c>
      <c r="S12" s="16">
        <v>2.3650354928550211E-2</v>
      </c>
      <c r="T12" s="42">
        <v>0.68600000000000005</v>
      </c>
      <c r="U12" s="16">
        <v>0.47261187845620928</v>
      </c>
      <c r="V12" s="37">
        <v>0.47599999999999998</v>
      </c>
      <c r="W12" s="16">
        <v>0.41449412545714387</v>
      </c>
      <c r="X12" s="37">
        <v>0.36000000000000004</v>
      </c>
      <c r="Y12" s="16">
        <v>0.34575787208161973</v>
      </c>
      <c r="Z12" s="37">
        <v>0.34699999999999998</v>
      </c>
      <c r="AA12" s="16">
        <v>0.38661978346673753</v>
      </c>
      <c r="AB12" s="46">
        <v>0.60799999999999998</v>
      </c>
      <c r="AC12" s="16">
        <v>0.51311515260219531</v>
      </c>
      <c r="AD12" s="37">
        <v>0.26300000000000001</v>
      </c>
      <c r="AE12" s="16">
        <v>0.30276903537075378</v>
      </c>
      <c r="AF12" s="37">
        <v>0.30237430167597767</v>
      </c>
      <c r="AG12" s="16">
        <v>0.38590888936158618</v>
      </c>
      <c r="AH12" s="42">
        <v>0.499</v>
      </c>
      <c r="AI12" s="16">
        <v>0.19328225665754525</v>
      </c>
      <c r="AJ12" s="37">
        <v>0.59299999999999997</v>
      </c>
      <c r="AK12" s="16">
        <v>0.68294893641621679</v>
      </c>
      <c r="AL12" s="37">
        <v>0.22700000000000001</v>
      </c>
      <c r="AM12" s="16">
        <v>0.1614753076249156</v>
      </c>
    </row>
    <row r="13" spans="1:39" x14ac:dyDescent="0.2">
      <c r="A13" s="16" t="s">
        <v>202</v>
      </c>
      <c r="B13" s="37"/>
      <c r="C13" s="16">
        <v>0</v>
      </c>
      <c r="D13" s="37"/>
      <c r="E13" s="16">
        <v>0</v>
      </c>
      <c r="F13" s="37">
        <v>6.0999999999999999E-2</v>
      </c>
      <c r="G13" s="16">
        <v>8.6327140181525139E-2</v>
      </c>
      <c r="H13" s="43">
        <v>0.13100000000000001</v>
      </c>
      <c r="I13" s="16">
        <v>0.24009129095333012</v>
      </c>
      <c r="J13" s="37">
        <v>7.8E-2</v>
      </c>
      <c r="K13" s="16">
        <v>7.0042357540583161E-2</v>
      </c>
      <c r="L13" s="43">
        <v>0.221</v>
      </c>
      <c r="M13" s="16">
        <v>0.35524452321211764</v>
      </c>
      <c r="N13" s="43">
        <v>0.16700000000000001</v>
      </c>
      <c r="O13" s="16">
        <v>0.30902645894190717</v>
      </c>
      <c r="P13" s="37">
        <v>0.123</v>
      </c>
      <c r="Q13" s="16">
        <v>0.18461304849387283</v>
      </c>
      <c r="R13" s="37">
        <v>0.14199999999999999</v>
      </c>
      <c r="S13" s="16">
        <v>0.16230051500970968</v>
      </c>
      <c r="T13" s="47">
        <v>0.129</v>
      </c>
      <c r="U13" s="16">
        <v>0.21419884045062809</v>
      </c>
      <c r="V13" s="37">
        <v>0.104</v>
      </c>
      <c r="W13" s="16">
        <v>6.803126757651054E-2</v>
      </c>
      <c r="X13" s="37">
        <v>7.8E-2</v>
      </c>
      <c r="Y13" s="16">
        <v>9.9554523970765127E-2</v>
      </c>
      <c r="Z13" s="37">
        <v>0.11600000000000001</v>
      </c>
      <c r="AA13" s="16">
        <v>0.11546350938918669</v>
      </c>
      <c r="AB13" s="37">
        <v>0</v>
      </c>
      <c r="AC13" s="16">
        <v>0</v>
      </c>
      <c r="AD13" s="47">
        <v>0.105</v>
      </c>
      <c r="AE13" s="16">
        <v>0.19233201831435473</v>
      </c>
      <c r="AF13" s="37">
        <v>0</v>
      </c>
      <c r="AG13" s="16">
        <v>0</v>
      </c>
      <c r="AH13" s="47">
        <v>6.6000000000000003E-2</v>
      </c>
      <c r="AI13" s="16">
        <v>0.16533908460922619</v>
      </c>
      <c r="AJ13" s="45">
        <v>0.32500000000000001</v>
      </c>
      <c r="AK13" s="16">
        <v>0.20768284547317342</v>
      </c>
      <c r="AL13" s="37">
        <v>0.7430000000000001</v>
      </c>
      <c r="AM13" s="16">
        <v>0.67187936213962229</v>
      </c>
    </row>
    <row r="14" spans="1:39" x14ac:dyDescent="0.2">
      <c r="A14" s="16" t="s">
        <v>203</v>
      </c>
      <c r="B14" s="37">
        <v>0.5</v>
      </c>
      <c r="C14" s="16">
        <v>0.41441886854589643</v>
      </c>
      <c r="D14" s="37">
        <v>0.30500000000000005</v>
      </c>
      <c r="E14" s="16">
        <v>0.38677404097147144</v>
      </c>
      <c r="F14" s="37">
        <v>0.4</v>
      </c>
      <c r="G14" s="16">
        <v>0.43459340991835416</v>
      </c>
      <c r="H14" s="44">
        <v>0.58200000000000007</v>
      </c>
      <c r="I14" s="16">
        <v>0.46926410689360087</v>
      </c>
      <c r="J14" s="37">
        <v>0.42599999999999999</v>
      </c>
      <c r="K14" s="16">
        <v>0.48725855991691247</v>
      </c>
      <c r="L14" s="37">
        <v>0.35300000000000004</v>
      </c>
      <c r="M14" s="16">
        <v>0.38811824273677209</v>
      </c>
      <c r="N14" s="42">
        <v>0.52200000000000002</v>
      </c>
      <c r="O14" s="16">
        <v>0.34655083488615068</v>
      </c>
      <c r="P14" s="37">
        <v>0.24399999999999999</v>
      </c>
      <c r="Q14" s="16">
        <v>0.18998012717902213</v>
      </c>
      <c r="R14" s="37">
        <v>0.79800000000000004</v>
      </c>
      <c r="S14" s="16">
        <v>0.81404449696658387</v>
      </c>
      <c r="T14" s="43">
        <v>0.184</v>
      </c>
      <c r="U14" s="16">
        <v>0.30795684707247073</v>
      </c>
      <c r="V14" s="37">
        <v>0.27400000000000002</v>
      </c>
      <c r="W14" s="16">
        <v>0.35880687575366177</v>
      </c>
      <c r="X14" s="37">
        <v>0.56399999999999995</v>
      </c>
      <c r="Y14" s="16">
        <v>0.55318586106371859</v>
      </c>
      <c r="Z14" s="37">
        <v>0.51400000000000001</v>
      </c>
      <c r="AA14" s="16">
        <v>0.45639219557651212</v>
      </c>
      <c r="AB14" s="47">
        <v>0.373</v>
      </c>
      <c r="AC14" s="16">
        <v>0.46858542368861716</v>
      </c>
      <c r="AD14" s="37">
        <v>0.56200000000000006</v>
      </c>
      <c r="AE14" s="16">
        <v>0.49794248374318956</v>
      </c>
      <c r="AF14" s="42">
        <v>0.66759776536312843</v>
      </c>
      <c r="AG14" s="16">
        <v>0.45864692225237064</v>
      </c>
      <c r="AH14" s="43">
        <v>0.43600000000000005</v>
      </c>
      <c r="AI14" s="16">
        <v>0.54425270587690644</v>
      </c>
      <c r="AJ14" s="37">
        <v>0.04</v>
      </c>
      <c r="AK14" s="16">
        <v>5.7564505087822168E-2</v>
      </c>
      <c r="AL14" s="37">
        <v>3.1E-2</v>
      </c>
      <c r="AM14" s="16">
        <v>0.13308464160473388</v>
      </c>
    </row>
    <row r="15" spans="1:39" x14ac:dyDescent="0.2">
      <c r="A15" s="16" t="s">
        <v>210</v>
      </c>
      <c r="B15" s="37">
        <v>7.8E-2</v>
      </c>
      <c r="C15" s="16">
        <v>0.14813560532569325</v>
      </c>
      <c r="D15" s="37">
        <v>5.0000000000000001E-3</v>
      </c>
      <c r="E15" s="16">
        <v>9.0558764483986698E-3</v>
      </c>
      <c r="F15" s="37">
        <v>2.7E-2</v>
      </c>
      <c r="G15" s="16">
        <v>4.3762477834889069E-2</v>
      </c>
      <c r="H15" s="37">
        <v>2.0999999999999998E-2</v>
      </c>
      <c r="I15" s="16">
        <v>1.3892536926289761E-2</v>
      </c>
      <c r="J15" s="37">
        <v>4.4999999999999998E-2</v>
      </c>
      <c r="K15" s="16">
        <v>3.0671735473553841E-2</v>
      </c>
      <c r="L15" s="37">
        <v>8.3000000000000004E-2</v>
      </c>
      <c r="M15" s="16">
        <v>1.5769721138405468E-2</v>
      </c>
      <c r="N15" s="37">
        <v>5.6000000000000001E-2</v>
      </c>
      <c r="O15" s="16">
        <v>5.4220411001785873E-2</v>
      </c>
      <c r="P15" s="37">
        <v>2.9000000000000001E-2</v>
      </c>
      <c r="Q15" s="16">
        <v>6.9010538210249717E-2</v>
      </c>
      <c r="R15" s="37" t="s">
        <v>124</v>
      </c>
      <c r="S15" s="16" t="s">
        <v>124</v>
      </c>
      <c r="T15" s="37">
        <v>0</v>
      </c>
      <c r="U15" s="16">
        <v>0</v>
      </c>
      <c r="V15" s="37">
        <v>0.14599999999999999</v>
      </c>
      <c r="W15" s="16">
        <v>0.15866773121268385</v>
      </c>
      <c r="X15" s="37" t="s">
        <v>124</v>
      </c>
      <c r="Y15" s="16">
        <v>1.5017428838964841E-3</v>
      </c>
      <c r="Z15" s="37">
        <v>2.1999999999999999E-2</v>
      </c>
      <c r="AA15" s="16">
        <v>4.1524511567563649E-2</v>
      </c>
      <c r="AB15" s="37">
        <v>1.9000000000000003E-2</v>
      </c>
      <c r="AC15" s="16">
        <v>1.8299423709187523E-2</v>
      </c>
      <c r="AD15" s="37">
        <v>7.0999999999999994E-2</v>
      </c>
      <c r="AE15" s="16">
        <v>6.9564625717019046E-3</v>
      </c>
      <c r="AF15" s="43">
        <v>3.0027932960893854E-2</v>
      </c>
      <c r="AG15" s="16">
        <v>0.15544418838604324</v>
      </c>
      <c r="AH15" s="47" t="s">
        <v>124</v>
      </c>
      <c r="AI15" s="16">
        <v>9.7125952856322084E-2</v>
      </c>
      <c r="AJ15" s="37">
        <v>4.2000000000000003E-2</v>
      </c>
      <c r="AK15" s="16">
        <v>5.1803713022787634E-2</v>
      </c>
      <c r="AL15" s="37" t="s">
        <v>124</v>
      </c>
      <c r="AM15" s="16">
        <v>3.3560688630728031E-2</v>
      </c>
    </row>
    <row r="21" spans="1:5" x14ac:dyDescent="0.2">
      <c r="A21" t="s">
        <v>219</v>
      </c>
      <c r="B21" s="9"/>
      <c r="C21" s="9"/>
      <c r="D21" s="9"/>
      <c r="E21" s="48"/>
    </row>
    <row r="22" spans="1:5" x14ac:dyDescent="0.2">
      <c r="A22" s="39" t="s">
        <v>223</v>
      </c>
    </row>
    <row r="23" spans="1:5" x14ac:dyDescent="0.2">
      <c r="A23" s="12" t="s">
        <v>220</v>
      </c>
    </row>
    <row r="24" spans="1:5" x14ac:dyDescent="0.2">
      <c r="A24" s="50" t="s">
        <v>224</v>
      </c>
    </row>
    <row r="25" spans="1:5" x14ac:dyDescent="0.2">
      <c r="A25" s="49" t="s">
        <v>225</v>
      </c>
    </row>
    <row r="26" spans="1:5" x14ac:dyDescent="0.2">
      <c r="A26" s="41" t="s">
        <v>221</v>
      </c>
    </row>
    <row r="27" spans="1:5" x14ac:dyDescent="0.2">
      <c r="A27" s="40" t="s">
        <v>222</v>
      </c>
    </row>
  </sheetData>
  <mergeCells count="19"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AD1:AE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0A05-595A-EB4B-8BE2-8A61C904B70B}">
  <dimension ref="A1:BN40"/>
  <sheetViews>
    <sheetView tabSelected="1" topLeftCell="M1" zoomScale="138" workbookViewId="0">
      <pane ySplit="1" topLeftCell="A2" activePane="bottomLeft" state="frozen"/>
      <selection activeCell="I1" sqref="I1"/>
      <selection pane="bottomLeft" activeCell="T14" sqref="T14"/>
    </sheetView>
  </sheetViews>
  <sheetFormatPr baseColWidth="10" defaultRowHeight="16" x14ac:dyDescent="0.2"/>
  <cols>
    <col min="1" max="1" width="19.33203125" style="16" bestFit="1" customWidth="1"/>
  </cols>
  <sheetData>
    <row r="1" spans="1:66" x14ac:dyDescent="0.2">
      <c r="A1" s="15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  <c r="AC1" s="1" t="s">
        <v>10</v>
      </c>
      <c r="AD1" s="1"/>
      <c r="AE1" s="1"/>
      <c r="AF1" s="1" t="s">
        <v>11</v>
      </c>
      <c r="AG1" s="1"/>
      <c r="AH1" s="1"/>
      <c r="AI1" s="1" t="s">
        <v>12</v>
      </c>
      <c r="AJ1" s="1"/>
      <c r="AK1" s="1"/>
      <c r="AL1" s="1" t="s">
        <v>13</v>
      </c>
      <c r="AM1" s="1"/>
      <c r="AN1" s="1"/>
      <c r="AO1" s="1" t="s">
        <v>14</v>
      </c>
      <c r="AP1" s="1"/>
      <c r="AQ1" s="1"/>
      <c r="AR1" s="1" t="s">
        <v>15</v>
      </c>
      <c r="AS1" s="1"/>
      <c r="AT1" s="1"/>
      <c r="AU1" s="1" t="s">
        <v>16</v>
      </c>
      <c r="AV1" s="1"/>
      <c r="AW1" s="1" t="s">
        <v>17</v>
      </c>
      <c r="AX1" s="1"/>
      <c r="AY1" s="1"/>
      <c r="AZ1" s="1" t="s">
        <v>18</v>
      </c>
      <c r="BA1" s="1"/>
      <c r="BB1" s="1"/>
      <c r="BC1" s="1" t="s">
        <v>19</v>
      </c>
      <c r="BD1" s="1"/>
      <c r="BE1" s="1"/>
      <c r="BF1" s="1" t="s">
        <v>20</v>
      </c>
      <c r="BG1" s="1"/>
      <c r="BH1" s="1"/>
      <c r="BI1" s="2"/>
      <c r="BJ1" s="2"/>
      <c r="BK1" s="2"/>
      <c r="BL1" s="2"/>
      <c r="BM1" s="2"/>
      <c r="BN1" s="2"/>
    </row>
    <row r="2" spans="1:66" x14ac:dyDescent="0.2">
      <c r="A2" s="15"/>
      <c r="B2" s="1"/>
      <c r="C2" s="1" t="s">
        <v>215</v>
      </c>
      <c r="D2" s="1" t="s">
        <v>216</v>
      </c>
      <c r="E2" s="1"/>
      <c r="F2" s="1" t="s">
        <v>215</v>
      </c>
      <c r="G2" s="1" t="s">
        <v>216</v>
      </c>
      <c r="H2" s="1"/>
      <c r="I2" s="1" t="s">
        <v>215</v>
      </c>
      <c r="J2" s="1" t="s">
        <v>216</v>
      </c>
      <c r="K2" s="1"/>
      <c r="L2" s="1" t="s">
        <v>215</v>
      </c>
      <c r="M2" s="1" t="s">
        <v>216</v>
      </c>
      <c r="N2" s="1"/>
      <c r="O2" s="1" t="s">
        <v>215</v>
      </c>
      <c r="P2" s="1" t="s">
        <v>216</v>
      </c>
      <c r="Q2" s="1"/>
      <c r="R2" s="1" t="s">
        <v>215</v>
      </c>
      <c r="S2" s="1" t="s">
        <v>216</v>
      </c>
      <c r="T2" s="1"/>
      <c r="U2" s="1" t="s">
        <v>215</v>
      </c>
      <c r="V2" s="1" t="s">
        <v>216</v>
      </c>
      <c r="W2" s="1"/>
      <c r="X2" s="1" t="s">
        <v>215</v>
      </c>
      <c r="Y2" s="1" t="s">
        <v>216</v>
      </c>
      <c r="Z2" s="1"/>
      <c r="AA2" s="1" t="s">
        <v>215</v>
      </c>
      <c r="AB2" s="1" t="s">
        <v>216</v>
      </c>
      <c r="AC2" s="1"/>
      <c r="AD2" s="1" t="s">
        <v>215</v>
      </c>
      <c r="AE2" s="1" t="s">
        <v>216</v>
      </c>
      <c r="AF2" s="1"/>
      <c r="AG2" s="1" t="s">
        <v>215</v>
      </c>
      <c r="AH2" s="1" t="s">
        <v>216</v>
      </c>
      <c r="AI2" s="1"/>
      <c r="AJ2" s="1" t="s">
        <v>215</v>
      </c>
      <c r="AK2" s="1" t="s">
        <v>216</v>
      </c>
      <c r="AL2" s="1"/>
      <c r="AM2" s="1" t="s">
        <v>215</v>
      </c>
      <c r="AN2" s="1" t="s">
        <v>216</v>
      </c>
      <c r="AO2" s="1"/>
      <c r="AP2" s="1" t="s">
        <v>215</v>
      </c>
      <c r="AQ2" s="1" t="s">
        <v>216</v>
      </c>
      <c r="AR2" s="1"/>
      <c r="AS2" s="1" t="s">
        <v>215</v>
      </c>
      <c r="AT2" s="1" t="s">
        <v>216</v>
      </c>
      <c r="AU2" s="1"/>
      <c r="AV2" s="1"/>
      <c r="AW2" s="1"/>
      <c r="AX2" s="1" t="s">
        <v>215</v>
      </c>
      <c r="AY2" s="1" t="s">
        <v>216</v>
      </c>
      <c r="AZ2" s="1"/>
      <c r="BA2" s="1" t="s">
        <v>215</v>
      </c>
      <c r="BB2" s="1" t="s">
        <v>216</v>
      </c>
      <c r="BC2" s="1"/>
      <c r="BD2" s="1" t="s">
        <v>215</v>
      </c>
      <c r="BE2" s="1" t="s">
        <v>216</v>
      </c>
      <c r="BF2" s="1"/>
      <c r="BG2" s="1" t="s">
        <v>215</v>
      </c>
      <c r="BH2" s="1" t="s">
        <v>216</v>
      </c>
      <c r="BI2" s="1"/>
      <c r="BJ2" s="1"/>
      <c r="BK2" s="1"/>
      <c r="BL2" s="2"/>
      <c r="BM2" s="2"/>
      <c r="BN2" s="2"/>
    </row>
    <row r="3" spans="1:66" x14ac:dyDescent="0.2">
      <c r="B3" s="3" t="s">
        <v>21</v>
      </c>
      <c r="C3" s="9">
        <v>0.35199999999999998</v>
      </c>
      <c r="D3">
        <f>4752160/B21/1000</f>
        <v>0.33340552667003565</v>
      </c>
      <c r="E3" s="3" t="s">
        <v>23</v>
      </c>
      <c r="F3" s="9">
        <v>0.38500000000000001</v>
      </c>
      <c r="G3">
        <f>5556629/1000/E21</f>
        <v>0.32620345970173142</v>
      </c>
      <c r="H3" s="4" t="s">
        <v>31</v>
      </c>
      <c r="I3" s="9">
        <v>0.108</v>
      </c>
      <c r="J3">
        <f>245100/1000/H21</f>
        <v>6.9438168441528156E-2</v>
      </c>
      <c r="K3" s="4" t="s">
        <v>41</v>
      </c>
      <c r="L3" s="9">
        <v>0.14899999999999999</v>
      </c>
      <c r="M3">
        <f>7059951/1000/K21</f>
        <v>0.19581388609665717</v>
      </c>
      <c r="N3" s="4" t="s">
        <v>52</v>
      </c>
      <c r="O3" s="9">
        <v>9.2999999999999999E-2</v>
      </c>
      <c r="P3">
        <f>3966637/1000/N21</f>
        <v>8.5507004099947811E-2</v>
      </c>
      <c r="Q3" s="3" t="s">
        <v>58</v>
      </c>
      <c r="R3" s="9">
        <v>0.30499999999999999</v>
      </c>
      <c r="S3">
        <f>6161896/1000/Q21</f>
        <v>0.20396630123246118</v>
      </c>
      <c r="T3" s="4" t="s">
        <v>63</v>
      </c>
      <c r="U3" s="9">
        <v>6.3E-2</v>
      </c>
      <c r="V3">
        <f>4166076/1000/T21</f>
        <v>7.24963895594644E-2</v>
      </c>
      <c r="W3" s="3" t="s">
        <v>71</v>
      </c>
      <c r="X3" s="9">
        <v>1.7999999999999999E-2</v>
      </c>
      <c r="Y3">
        <f>1792700/1000/W21</f>
        <v>3.7971506098793233E-2</v>
      </c>
      <c r="Z3" s="3" t="s">
        <v>79</v>
      </c>
      <c r="AA3" s="9">
        <v>5.6000000000000001E-2</v>
      </c>
      <c r="AB3">
        <f>432.129/Z21</f>
        <v>2.2245497519518074E-2</v>
      </c>
      <c r="AC3" s="3" t="s">
        <v>90</v>
      </c>
      <c r="AD3" s="9">
        <v>0.64200000000000002</v>
      </c>
      <c r="AE3">
        <f>13423800/1000/AC21</f>
        <v>0.41086337227319575</v>
      </c>
      <c r="AF3" s="4" t="s">
        <v>95</v>
      </c>
      <c r="AG3" s="9">
        <v>0.13400000000000001</v>
      </c>
      <c r="AH3">
        <f>2381960/1000/AF21</f>
        <v>9.8191838249685845E-2</v>
      </c>
      <c r="AI3" s="4" t="s">
        <v>101</v>
      </c>
      <c r="AJ3" s="9">
        <v>1E-3</v>
      </c>
      <c r="AK3">
        <f>117779/1000/AI21</f>
        <v>2.3494517370780403E-3</v>
      </c>
      <c r="AL3" s="3" t="s">
        <v>109</v>
      </c>
      <c r="AM3" s="9">
        <v>0.252</v>
      </c>
      <c r="AN3">
        <f>10269.051/AL21</f>
        <v>0.32077009304316878</v>
      </c>
      <c r="AO3" s="3" t="s">
        <v>113</v>
      </c>
      <c r="AP3" s="9">
        <v>0.60799999999999998</v>
      </c>
      <c r="AQ3">
        <f>81268924/1000/AO21</f>
        <v>0.51311515260219531</v>
      </c>
      <c r="AR3" s="3" t="s">
        <v>115</v>
      </c>
      <c r="AS3" s="9">
        <v>0.23899999999999999</v>
      </c>
      <c r="AT3">
        <f>31342.051/AR21</f>
        <v>0.29277771098178895</v>
      </c>
      <c r="AU3" t="s">
        <v>124</v>
      </c>
      <c r="AW3" s="4" t="s">
        <v>193</v>
      </c>
      <c r="AX3" s="9">
        <v>1.1871508379888268E-2</v>
      </c>
      <c r="AY3">
        <f>10744779/1000/AW21</f>
        <v>1.7494715815518917E-2</v>
      </c>
      <c r="AZ3" s="3" t="s">
        <v>127</v>
      </c>
      <c r="BA3" s="9">
        <v>0.499</v>
      </c>
      <c r="BB3">
        <f>27053.961/AZ21</f>
        <v>0.19328225665754525</v>
      </c>
      <c r="BC3" s="4" t="s">
        <v>135</v>
      </c>
      <c r="BD3" s="9">
        <v>0.13600000000000001</v>
      </c>
      <c r="BE3">
        <f>1881.521/BC21</f>
        <v>0.10790923727172705</v>
      </c>
      <c r="BF3" s="3" t="s">
        <v>140</v>
      </c>
      <c r="BG3" s="9">
        <v>0.22700000000000001</v>
      </c>
      <c r="BH3">
        <f>3014.609/BF21</f>
        <v>0.1614753076249156</v>
      </c>
    </row>
    <row r="4" spans="1:66" x14ac:dyDescent="0.2">
      <c r="B4" s="3" t="s">
        <v>22</v>
      </c>
      <c r="C4" s="9">
        <v>6.9000000000000006E-2</v>
      </c>
      <c r="D4">
        <f>1482923/B21/1000</f>
        <v>0.10403999945837458</v>
      </c>
      <c r="E4" s="3" t="s">
        <v>26</v>
      </c>
      <c r="F4" s="9">
        <v>9.2999999999999999E-2</v>
      </c>
      <c r="G4">
        <f>1301615/1000/E21</f>
        <v>7.6411672652550514E-2</v>
      </c>
      <c r="H4" s="3" t="s">
        <v>32</v>
      </c>
      <c r="I4" s="9">
        <v>0.30199999999999999</v>
      </c>
      <c r="J4">
        <f>914.882/H21</f>
        <v>0.25919106658556573</v>
      </c>
      <c r="K4" s="4" t="s">
        <v>42</v>
      </c>
      <c r="L4" s="9">
        <v>4.0000000000000001E-3</v>
      </c>
      <c r="M4">
        <f>232.384/K21</f>
        <v>6.4453725113227528E-3</v>
      </c>
      <c r="N4" s="3" t="s">
        <v>53</v>
      </c>
      <c r="O4" s="9">
        <v>0.21</v>
      </c>
      <c r="P4">
        <f>11429231/1000/N21</f>
        <v>0.2463747759062023</v>
      </c>
      <c r="Q4" s="3" t="s">
        <v>59</v>
      </c>
      <c r="R4" s="9">
        <v>3.7999999999999999E-2</v>
      </c>
      <c r="S4">
        <f>1114799/1000/Q21</f>
        <v>3.6901211680243629E-2</v>
      </c>
      <c r="T4" s="3" t="s">
        <v>64</v>
      </c>
      <c r="U4" s="9">
        <v>0.188</v>
      </c>
      <c r="V4">
        <f>11492.095/T21</f>
        <v>0.19998084431834007</v>
      </c>
      <c r="W4" s="3" t="s">
        <v>72</v>
      </c>
      <c r="X4" s="9">
        <v>0.48</v>
      </c>
      <c r="Y4">
        <f>16759917/1000/W21</f>
        <v>0.35499486282187115</v>
      </c>
      <c r="Z4" s="3" t="s">
        <v>80</v>
      </c>
      <c r="AA4" s="9">
        <v>3.0000000000000001E-3</v>
      </c>
      <c r="AB4">
        <f>27.29/Z21</f>
        <v>1.4048574090321367E-3</v>
      </c>
      <c r="AC4" s="3" t="s">
        <v>91</v>
      </c>
      <c r="AD4" s="9">
        <v>4.3999999999999997E-2</v>
      </c>
      <c r="AE4">
        <f>2017458/1000/AC21</f>
        <v>6.174850618301353E-2</v>
      </c>
      <c r="AF4" s="3" t="s">
        <v>96</v>
      </c>
      <c r="AG4" s="9">
        <v>0.30299999999999999</v>
      </c>
      <c r="AH4">
        <f>6792199/1000/AF21</f>
        <v>0.27999567816742427</v>
      </c>
      <c r="AI4" s="3" t="s">
        <v>102</v>
      </c>
      <c r="AJ4" s="9">
        <v>0.33400000000000002</v>
      </c>
      <c r="AK4">
        <f>11348899/1000/AI21</f>
        <v>0.22638747543682008</v>
      </c>
      <c r="AL4" s="3" t="s">
        <v>28</v>
      </c>
      <c r="AM4" s="9">
        <v>6.0999999999999999E-2</v>
      </c>
      <c r="AN4">
        <f>865.715/AL21</f>
        <v>2.7041980909323256E-2</v>
      </c>
      <c r="AO4" s="7" t="s">
        <v>114</v>
      </c>
      <c r="AP4" s="9">
        <v>0.373</v>
      </c>
      <c r="AQ4">
        <f>74216154/1000/AO21</f>
        <v>0.46858542368861716</v>
      </c>
      <c r="AR4" s="3" t="s">
        <v>116</v>
      </c>
      <c r="AS4" s="9">
        <v>2.4E-2</v>
      </c>
      <c r="AT4">
        <f>1069.578/AR21</f>
        <v>9.9913243889648406E-3</v>
      </c>
      <c r="AW4" s="3" t="s">
        <v>186</v>
      </c>
      <c r="AX4" s="9">
        <v>0.17248603351955308</v>
      </c>
      <c r="AY4">
        <f>119494885/1000/AW21</f>
        <v>0.19456231295991422</v>
      </c>
      <c r="AZ4" s="8" t="s">
        <v>128</v>
      </c>
      <c r="BA4" s="9">
        <v>2.5999999999999999E-2</v>
      </c>
      <c r="BB4">
        <f>13570.097/AZ21</f>
        <v>9.6949166564621894E-2</v>
      </c>
      <c r="BC4" s="3" t="s">
        <v>136</v>
      </c>
      <c r="BD4" s="9">
        <v>0.45700000000000002</v>
      </c>
      <c r="BE4">
        <f>10026.475/BC21</f>
        <v>0.57503969914448971</v>
      </c>
      <c r="BF4" s="8" t="s">
        <v>141</v>
      </c>
      <c r="BG4" s="9">
        <v>0.65300000000000002</v>
      </c>
      <c r="BH4">
        <f>5714.034/BF21</f>
        <v>0.30606801675747236</v>
      </c>
    </row>
    <row r="5" spans="1:66" x14ac:dyDescent="0.2">
      <c r="B5" s="5" t="s">
        <v>24</v>
      </c>
      <c r="C5" s="9">
        <v>0.5</v>
      </c>
      <c r="D5" s="14">
        <f>5906875/B21/1000</f>
        <v>0.41441886854589643</v>
      </c>
      <c r="E5" s="3" t="s">
        <v>27</v>
      </c>
      <c r="F5" s="9">
        <v>0.184</v>
      </c>
      <c r="G5">
        <f>3036348/1000/E21</f>
        <v>0.17824965864347481</v>
      </c>
      <c r="H5" s="3" t="s">
        <v>33</v>
      </c>
      <c r="I5" s="9">
        <v>2.3E-2</v>
      </c>
      <c r="J5">
        <f>104.278/H21</f>
        <v>2.9542526841067621E-2</v>
      </c>
      <c r="K5" s="4" t="s">
        <v>43</v>
      </c>
      <c r="L5" s="9">
        <v>1.4E-2</v>
      </c>
      <c r="M5">
        <f>394.505/K21</f>
        <v>1.0941939559433449E-2</v>
      </c>
      <c r="N5" s="3" t="s">
        <v>54</v>
      </c>
      <c r="O5" s="9">
        <v>0.14899999999999999</v>
      </c>
      <c r="P5">
        <f>3717922/1000/N21</f>
        <v>8.0145567062800585E-2</v>
      </c>
      <c r="Q5" s="8" t="s">
        <v>60</v>
      </c>
      <c r="R5" s="9">
        <v>0.221</v>
      </c>
      <c r="S5">
        <f>10732066/1000/Q21</f>
        <v>0.35524452321211764</v>
      </c>
      <c r="T5" s="3" t="s">
        <v>65</v>
      </c>
      <c r="U5" s="9">
        <v>5.0000000000000001E-3</v>
      </c>
      <c r="V5">
        <f>1018.588/T21</f>
        <v>1.7725061292351775E-2</v>
      </c>
      <c r="W5" s="3" t="s">
        <v>73</v>
      </c>
      <c r="X5" s="9">
        <v>7.4999999999999997E-2</v>
      </c>
      <c r="Y5">
        <f>3449982/1000/W21</f>
        <v>7.3074698808348784E-2</v>
      </c>
      <c r="Z5" s="8" t="s">
        <v>81</v>
      </c>
      <c r="AA5" s="9">
        <v>0.124</v>
      </c>
      <c r="AB5">
        <f>2693397/1000/Z21</f>
        <v>0.1386529399382532</v>
      </c>
      <c r="AC5" s="8" t="s">
        <v>92</v>
      </c>
      <c r="AD5" s="9">
        <v>0.129</v>
      </c>
      <c r="AE5">
        <f>6998342/1000/AC21</f>
        <v>0.21419884045062809</v>
      </c>
      <c r="AF5" s="3" t="s">
        <v>97</v>
      </c>
      <c r="AG5" s="9">
        <v>3.9E-2</v>
      </c>
      <c r="AH5">
        <f>880734/1000/AF21</f>
        <v>3.6306609040033758E-2</v>
      </c>
      <c r="AI5" s="3" t="s">
        <v>103</v>
      </c>
      <c r="AJ5" s="9">
        <v>2.5000000000000001E-2</v>
      </c>
      <c r="AK5">
        <f>5866309/1000/AI21</f>
        <v>0.11702094490772159</v>
      </c>
      <c r="AL5" s="3" t="s">
        <v>110</v>
      </c>
      <c r="AM5" s="9">
        <v>3.4000000000000002E-2</v>
      </c>
      <c r="AN5">
        <f>1242.38/AL21</f>
        <v>3.8807709514245482E-2</v>
      </c>
      <c r="AO5" s="6" t="s">
        <v>25</v>
      </c>
      <c r="AP5" s="9">
        <f>0.002+0.017</f>
        <v>1.9000000000000003E-2</v>
      </c>
      <c r="AQ5">
        <f>1-AQ3-AQ4</f>
        <v>1.8299423709187523E-2</v>
      </c>
      <c r="AR5" s="8" t="s">
        <v>117</v>
      </c>
      <c r="AS5" s="9">
        <v>8.8999999999999996E-2</v>
      </c>
      <c r="AT5">
        <f>13344.371/AR21</f>
        <v>0.12465471375411157</v>
      </c>
      <c r="AW5" s="3" t="s">
        <v>125</v>
      </c>
      <c r="AX5" s="9">
        <v>2.3743016759776536E-2</v>
      </c>
      <c r="AY5">
        <f>22246455/1000/AW21</f>
        <v>3.6221816021318812E-2</v>
      </c>
      <c r="AZ5" s="8" t="s">
        <v>77</v>
      </c>
      <c r="BA5" s="9">
        <v>0.04</v>
      </c>
      <c r="BB5">
        <f>9572.623/AZ21</f>
        <v>6.8389918044604286E-2</v>
      </c>
      <c r="BC5" s="8" t="s">
        <v>137</v>
      </c>
      <c r="BD5" s="9">
        <v>0.32500000000000001</v>
      </c>
      <c r="BE5">
        <f>3621.188/BC21</f>
        <v>0.20768284547317342</v>
      </c>
      <c r="BF5" s="8" t="s">
        <v>142</v>
      </c>
      <c r="BG5" s="9">
        <v>2.9000000000000001E-2</v>
      </c>
      <c r="BH5">
        <f>2532.452/BF21</f>
        <v>0.1356489235404435</v>
      </c>
    </row>
    <row r="6" spans="1:66" x14ac:dyDescent="0.2">
      <c r="B6" s="6" t="s">
        <v>208</v>
      </c>
      <c r="C6" s="9">
        <v>7.8E-2</v>
      </c>
      <c r="D6">
        <f>1-D5-D4-D3</f>
        <v>0.14813560532569325</v>
      </c>
      <c r="E6" s="3" t="s">
        <v>28</v>
      </c>
      <c r="F6" s="9">
        <v>2.8000000000000001E-2</v>
      </c>
      <c r="G6">
        <f>396988/1000/E21</f>
        <v>2.3305291582373225E-2</v>
      </c>
      <c r="H6" s="3" t="s">
        <v>34</v>
      </c>
      <c r="I6" s="9">
        <v>7.9000000000000001E-2</v>
      </c>
      <c r="J6">
        <f>272.304/H21</f>
        <v>7.7145210197070102E-2</v>
      </c>
      <c r="K6" s="3" t="s">
        <v>44</v>
      </c>
      <c r="L6" s="9">
        <v>9.8000000000000004E-2</v>
      </c>
      <c r="M6">
        <f>2291288/1000/K21</f>
        <v>6.3550867059365912E-2</v>
      </c>
      <c r="N6" s="8" t="s">
        <v>55</v>
      </c>
      <c r="O6" s="9">
        <v>7.8E-2</v>
      </c>
      <c r="P6">
        <f>3249238/1000/N21</f>
        <v>7.0042357540583161E-2</v>
      </c>
      <c r="Q6" s="5" t="s">
        <v>61</v>
      </c>
      <c r="R6" s="9">
        <v>8.5000000000000006E-2</v>
      </c>
      <c r="S6">
        <f>4596956/1000/Q21</f>
        <v>0.15216487137211823</v>
      </c>
      <c r="T6" s="8" t="s">
        <v>66</v>
      </c>
      <c r="U6" s="9">
        <v>3.5000000000000003E-2</v>
      </c>
      <c r="V6">
        <f>7114.282/T21</f>
        <v>0.12379989210659754</v>
      </c>
      <c r="W6" s="3" t="s">
        <v>74</v>
      </c>
      <c r="X6" s="9">
        <v>5.0000000000000001E-3</v>
      </c>
      <c r="Y6">
        <f>1594828/1000/W21</f>
        <v>3.3780343129651481E-2</v>
      </c>
      <c r="Z6" s="8" t="s">
        <v>82</v>
      </c>
      <c r="AA6" s="9">
        <v>1.7999999999999999E-2</v>
      </c>
      <c r="AB6">
        <f>459.365/Z21</f>
        <v>2.3647575071456487E-2</v>
      </c>
      <c r="AC6" s="5" t="s">
        <v>93</v>
      </c>
      <c r="AD6" s="9">
        <v>4.7E-2</v>
      </c>
      <c r="AE6">
        <f>2208771/1000/AC21</f>
        <v>6.7604039216856551E-2</v>
      </c>
      <c r="AF6" s="8" t="s">
        <v>98</v>
      </c>
      <c r="AG6" s="9">
        <v>0.104</v>
      </c>
      <c r="AH6">
        <f>1650318/1000/AF21</f>
        <v>6.803126757651054E-2</v>
      </c>
      <c r="AI6" s="8" t="s">
        <v>104</v>
      </c>
      <c r="AJ6" s="9">
        <v>7.8E-2</v>
      </c>
      <c r="AK6">
        <f>4990710/1000/AI21</f>
        <v>9.9554523970765127E-2</v>
      </c>
      <c r="AL6" s="8" t="s">
        <v>111</v>
      </c>
      <c r="AM6" s="9">
        <v>0.11600000000000001</v>
      </c>
      <c r="AN6">
        <f>3696.419/AL21</f>
        <v>0.11546350938918669</v>
      </c>
      <c r="AR6" s="8" t="s">
        <v>118</v>
      </c>
      <c r="AS6" s="9">
        <v>0.01</v>
      </c>
      <c r="AT6">
        <f>5096.35/AR21</f>
        <v>4.7606893606357809E-2</v>
      </c>
      <c r="AW6" s="3" t="s">
        <v>188</v>
      </c>
      <c r="AX6" s="9">
        <v>1.8854748603351956E-2</v>
      </c>
      <c r="AY6">
        <f>15647182/1000/AW21</f>
        <v>2.5476838788745952E-2</v>
      </c>
      <c r="AZ6" s="5" t="s">
        <v>129</v>
      </c>
      <c r="BA6" s="9">
        <v>1.6E-2</v>
      </c>
      <c r="BB6">
        <f>12661.792/AZ21</f>
        <v>9.0459941562289273E-2</v>
      </c>
      <c r="BC6" s="5" t="s">
        <v>138</v>
      </c>
      <c r="BD6" s="9">
        <v>1.2999999999999999E-2</v>
      </c>
      <c r="BE6">
        <f>588.839/BC21</f>
        <v>3.3771170965323526E-2</v>
      </c>
      <c r="BF6" s="8" t="s">
        <v>143</v>
      </c>
      <c r="BG6" s="9">
        <v>3.3000000000000002E-2</v>
      </c>
      <c r="BH6">
        <f>2206.216/BF21</f>
        <v>0.11817433281961634</v>
      </c>
    </row>
    <row r="7" spans="1:66" x14ac:dyDescent="0.2">
      <c r="E7" s="5" t="s">
        <v>29</v>
      </c>
      <c r="F7" s="9">
        <v>0.27500000000000002</v>
      </c>
      <c r="G7">
        <f>5747410/1000/E21</f>
        <v>0.33740331167049809</v>
      </c>
      <c r="H7" s="8" t="s">
        <v>35</v>
      </c>
      <c r="I7" s="9">
        <v>6.0999999999999999E-2</v>
      </c>
      <c r="J7">
        <f>304.714/H21</f>
        <v>8.6327140181525139E-2</v>
      </c>
      <c r="K7" s="8" t="s">
        <v>45</v>
      </c>
      <c r="L7" s="9">
        <v>0.13100000000000001</v>
      </c>
      <c r="M7">
        <f>8656346/1000/K21</f>
        <v>0.24009129095333012</v>
      </c>
      <c r="N7" s="5" t="s">
        <v>56</v>
      </c>
      <c r="O7" s="9">
        <v>0.29699999999999999</v>
      </c>
      <c r="P7">
        <f>(14030751+3255487)/1000/N21</f>
        <v>0.37263163317910702</v>
      </c>
      <c r="Q7" s="7" t="s">
        <v>62</v>
      </c>
      <c r="R7" s="9">
        <v>0.19</v>
      </c>
      <c r="S7">
        <f>5698687/1000/Q21</f>
        <v>0.18863351625400859</v>
      </c>
      <c r="T7" s="8" t="s">
        <v>67</v>
      </c>
      <c r="U7" s="9">
        <v>1.9E-2</v>
      </c>
      <c r="V7">
        <f>2593.396/T21</f>
        <v>4.5129240728675316E-2</v>
      </c>
      <c r="W7" s="3" t="s">
        <v>75</v>
      </c>
      <c r="X7" s="9">
        <v>2.7E-2</v>
      </c>
      <c r="Y7">
        <f>2670997/1000/W21</f>
        <v>5.6574875258190674E-2</v>
      </c>
      <c r="Z7" s="5" t="s">
        <v>83</v>
      </c>
      <c r="AA7" s="9">
        <v>0.40300000000000002</v>
      </c>
      <c r="AB7">
        <f>5917340/1000/Z21</f>
        <v>0.30461776990700712</v>
      </c>
      <c r="AC7" s="7" t="s">
        <v>94</v>
      </c>
      <c r="AD7" s="9">
        <v>0.13700000000000001</v>
      </c>
      <c r="AE7">
        <f>7852849/1000/AC21</f>
        <v>0.24035280785561416</v>
      </c>
      <c r="AF7" s="5" t="s">
        <v>99</v>
      </c>
      <c r="AG7" s="9">
        <v>0.17699999999999999</v>
      </c>
      <c r="AH7">
        <f>5047040/1000/AF21</f>
        <v>0.20805476805643017</v>
      </c>
      <c r="AI7" s="5" t="s">
        <v>105</v>
      </c>
      <c r="AJ7" s="9">
        <v>0.47499999999999998</v>
      </c>
      <c r="AK7">
        <f>21335579/1000/AI21</f>
        <v>0.42560144969065589</v>
      </c>
      <c r="AL7" s="5" t="s">
        <v>29</v>
      </c>
      <c r="AM7" s="9">
        <v>0.49099999999999999</v>
      </c>
      <c r="AN7">
        <f>13966.565/AL21</f>
        <v>0.43626780649384883</v>
      </c>
      <c r="AR7" s="8" t="s">
        <v>119</v>
      </c>
      <c r="AS7" s="9">
        <v>6.0000000000000001E-3</v>
      </c>
      <c r="AT7">
        <f>1288.95/AR21</f>
        <v>1.2040559520816839E-2</v>
      </c>
      <c r="AW7" s="3" t="s">
        <v>187</v>
      </c>
      <c r="AX7" s="9">
        <v>4.189944134078212E-2</v>
      </c>
      <c r="AY7">
        <f>24929325/1000/AW21</f>
        <v>4.0590081596625777E-2</v>
      </c>
      <c r="AZ7" s="5" t="s">
        <v>130</v>
      </c>
      <c r="BA7" s="9">
        <v>0.08</v>
      </c>
      <c r="BB7">
        <f>10876.507/AZ21</f>
        <v>7.7705287499733863E-2</v>
      </c>
      <c r="BC7" s="7" t="s">
        <v>139</v>
      </c>
      <c r="BD7" s="9">
        <v>2.7E-2</v>
      </c>
      <c r="BE7">
        <f>414.864/BC21</f>
        <v>2.3793334122498642E-2</v>
      </c>
      <c r="BF7" s="8" t="s">
        <v>144</v>
      </c>
      <c r="BG7" s="9">
        <v>1.4999999999999999E-2</v>
      </c>
      <c r="BH7">
        <f>1306.45/BF21</f>
        <v>6.9979030662540645E-2</v>
      </c>
    </row>
    <row r="8" spans="1:66" x14ac:dyDescent="0.2">
      <c r="E8" s="7" t="s">
        <v>30</v>
      </c>
      <c r="F8" s="9">
        <v>0.03</v>
      </c>
      <c r="G8">
        <f>840993/1000/E21</f>
        <v>4.9370729300973346E-2</v>
      </c>
      <c r="H8" s="5" t="s">
        <v>36</v>
      </c>
      <c r="I8" s="9">
        <v>7.5999999999999998E-2</v>
      </c>
      <c r="J8">
        <f>233.865/H21</f>
        <v>6.625523158946546E-2</v>
      </c>
      <c r="K8" s="5" t="s">
        <v>46</v>
      </c>
      <c r="L8" s="9">
        <v>0.313</v>
      </c>
      <c r="M8">
        <f>7212995/1000/K21</f>
        <v>0.20005869464897955</v>
      </c>
      <c r="N8" s="7" t="s">
        <v>57</v>
      </c>
      <c r="O8" s="9">
        <v>0.129</v>
      </c>
      <c r="P8">
        <f>5317499/1000/N21</f>
        <v>0.11462692673780543</v>
      </c>
      <c r="Q8" s="7" t="s">
        <v>211</v>
      </c>
      <c r="R8" s="9">
        <v>7.8E-2</v>
      </c>
      <c r="S8">
        <f>1429550/1000/Q21</f>
        <v>4.7319855110645306E-2</v>
      </c>
      <c r="T8" s="8" t="s">
        <v>68</v>
      </c>
      <c r="U8" s="9">
        <v>0.113</v>
      </c>
      <c r="V8">
        <f>8050.83/T21</f>
        <v>0.14009732610663433</v>
      </c>
      <c r="W8" s="8" t="s">
        <v>76</v>
      </c>
      <c r="X8" s="9">
        <v>0.123</v>
      </c>
      <c r="Y8">
        <f>8715899/1000/W21</f>
        <v>0.18461304849387283</v>
      </c>
      <c r="Z8" s="5" t="s">
        <v>84</v>
      </c>
      <c r="AA8" s="9">
        <v>4.0000000000000001E-3</v>
      </c>
      <c r="AB8">
        <f>45.419/Z21</f>
        <v>2.3381172099974576E-3</v>
      </c>
      <c r="AC8" s="6" t="s">
        <v>25</v>
      </c>
      <c r="AD8" s="9"/>
      <c r="AF8" s="7" t="s">
        <v>100</v>
      </c>
      <c r="AG8" s="9">
        <v>9.7000000000000003E-2</v>
      </c>
      <c r="AH8">
        <f>3656979/1000/AF21</f>
        <v>0.15075210769723163</v>
      </c>
      <c r="AI8" s="7" t="s">
        <v>106</v>
      </c>
      <c r="AJ8" s="9">
        <v>7.9000000000000001E-2</v>
      </c>
      <c r="AK8">
        <f>5564517/1000/AI21</f>
        <v>0.11100080771317709</v>
      </c>
      <c r="AL8" s="7" t="s">
        <v>112</v>
      </c>
      <c r="AM8" s="9">
        <v>2.3E-2</v>
      </c>
      <c r="AN8">
        <f>644.257/AL21</f>
        <v>2.0124389082663313E-2</v>
      </c>
      <c r="AR8" s="8" t="s">
        <v>120</v>
      </c>
      <c r="AS8" s="9" t="s">
        <v>124</v>
      </c>
      <c r="AT8">
        <f>859.601/AR21</f>
        <v>8.0298514330685248E-3</v>
      </c>
      <c r="AW8" s="3" t="s">
        <v>189</v>
      </c>
      <c r="AX8" s="9">
        <v>1.11731843575419E-2</v>
      </c>
      <c r="AY8">
        <f>15534558/1000/AW21</f>
        <v>2.5293463693361766E-2</v>
      </c>
      <c r="AZ8" s="5" t="s">
        <v>131</v>
      </c>
      <c r="BA8" s="9">
        <v>8.0000000000000002E-3</v>
      </c>
      <c r="BB8">
        <f>6323.147/AZ21</f>
        <v>4.5174609416247305E-2</v>
      </c>
      <c r="BC8" s="6" t="s">
        <v>25</v>
      </c>
      <c r="BD8" s="9">
        <v>4.2000000000000003E-2</v>
      </c>
      <c r="BE8">
        <f>1-SUM(BE3:BE7)</f>
        <v>5.1803713022787634E-2</v>
      </c>
      <c r="BF8" s="8" t="s">
        <v>145</v>
      </c>
      <c r="BG8" s="9">
        <v>1.2999999999999999E-2</v>
      </c>
      <c r="BH8">
        <f>784.274/BF21</f>
        <v>4.2009058359549468E-2</v>
      </c>
    </row>
    <row r="9" spans="1:66" x14ac:dyDescent="0.2">
      <c r="E9" s="6" t="s">
        <v>209</v>
      </c>
      <c r="F9" s="9">
        <v>5.0000000000000001E-3</v>
      </c>
      <c r="G9">
        <f>1-SUM(G3:G8)</f>
        <v>9.0558764483986698E-3</v>
      </c>
      <c r="H9" s="5" t="s">
        <v>37</v>
      </c>
      <c r="I9" s="9">
        <v>2.1000000000000001E-2</v>
      </c>
      <c r="J9">
        <f>82.27/H21</f>
        <v>2.330754025983077E-2</v>
      </c>
      <c r="K9" s="5" t="s">
        <v>47</v>
      </c>
      <c r="L9" s="9">
        <v>7.0000000000000001E-3</v>
      </c>
      <c r="M9">
        <f>332.547/K21</f>
        <v>9.2234805000466803E-3</v>
      </c>
      <c r="N9" s="6" t="s">
        <v>210</v>
      </c>
      <c r="O9" s="9">
        <v>4.4999999999999998E-2</v>
      </c>
      <c r="P9">
        <f>1-SUM(P3:P8)</f>
        <v>3.0671735473553841E-2</v>
      </c>
      <c r="Q9" s="6" t="s">
        <v>212</v>
      </c>
      <c r="R9" s="9">
        <v>8.3000000000000004E-2</v>
      </c>
      <c r="S9">
        <f>1-SUM(S3:S8)</f>
        <v>1.5769721138405468E-2</v>
      </c>
      <c r="T9" s="5" t="s">
        <v>69</v>
      </c>
      <c r="U9" s="9">
        <v>0.52200000000000002</v>
      </c>
      <c r="V9">
        <f>19914.883/T21</f>
        <v>0.34655083488615068</v>
      </c>
      <c r="W9" s="5" t="s">
        <v>77</v>
      </c>
      <c r="X9" s="9">
        <v>0.24399999999999999</v>
      </c>
      <c r="Y9">
        <f>8969288/1000/W21</f>
        <v>0.18998012717902213</v>
      </c>
      <c r="Z9" s="5" t="s">
        <v>85</v>
      </c>
      <c r="AA9" s="9">
        <v>5.0000000000000001E-3</v>
      </c>
      <c r="AB9">
        <f>33.562/Z21</f>
        <v>1.727732662584704E-3</v>
      </c>
      <c r="AF9" s="6" t="s">
        <v>213</v>
      </c>
      <c r="AG9" s="9">
        <v>0.14599999999999999</v>
      </c>
      <c r="AH9">
        <f>1-SUM(AH3:AH8)</f>
        <v>0.15866773121268385</v>
      </c>
      <c r="AI9" s="7" t="s">
        <v>107</v>
      </c>
      <c r="AJ9" s="9">
        <v>8.0000000000000002E-3</v>
      </c>
      <c r="AK9">
        <f>673731/1000/AI21</f>
        <v>1.3439564508726727E-2</v>
      </c>
      <c r="AL9" s="6" t="s">
        <v>25</v>
      </c>
      <c r="AM9" s="9">
        <v>2.1999999999999999E-2</v>
      </c>
      <c r="AN9">
        <f>1-SUM(AN3:AN8)</f>
        <v>4.1524511567563649E-2</v>
      </c>
      <c r="AR9" s="5" t="s">
        <v>121</v>
      </c>
      <c r="AS9" s="9">
        <v>3.4000000000000002E-2</v>
      </c>
      <c r="AT9">
        <f>2679.745/AR21</f>
        <v>2.5032490921378887E-2</v>
      </c>
      <c r="AW9" s="3" t="s">
        <v>190</v>
      </c>
      <c r="AX9" s="9">
        <v>2.1648044692737432E-2</v>
      </c>
      <c r="AY9">
        <f>13877622/1000/AW21</f>
        <v>2.2595630220518567E-2</v>
      </c>
      <c r="AZ9" s="5" t="s">
        <v>132</v>
      </c>
      <c r="BA9" s="9">
        <v>5.2999999999999999E-2</v>
      </c>
      <c r="BB9">
        <f>17229.789/AZ21</f>
        <v>0.12309519111280415</v>
      </c>
      <c r="BF9" s="5" t="s">
        <v>146</v>
      </c>
      <c r="BG9" s="9">
        <v>8.9999999999999993E-3</v>
      </c>
      <c r="BH9">
        <f>1141.332/BF21</f>
        <v>6.1134606777250446E-2</v>
      </c>
    </row>
    <row r="10" spans="1:66" x14ac:dyDescent="0.2">
      <c r="H10" s="5" t="s">
        <v>38</v>
      </c>
      <c r="I10" s="9">
        <v>0.17899999999999999</v>
      </c>
      <c r="J10">
        <f>826.161/H21</f>
        <v>0.2340559227981287</v>
      </c>
      <c r="K10" s="7" t="s">
        <v>48</v>
      </c>
      <c r="L10" s="9">
        <v>0.23100000000000001</v>
      </c>
      <c r="M10">
        <f>7678491/1000/K21</f>
        <v>0.21296963138528968</v>
      </c>
      <c r="N10" s="9"/>
      <c r="O10" s="9"/>
      <c r="T10" s="6" t="s">
        <v>210</v>
      </c>
      <c r="U10" s="9">
        <v>5.6000000000000001E-2</v>
      </c>
      <c r="V10">
        <f>1-SUM(V3:V9)</f>
        <v>5.4220411001785873E-2</v>
      </c>
      <c r="W10" s="6" t="s">
        <v>78</v>
      </c>
      <c r="X10" s="9">
        <v>2.9000000000000001E-2</v>
      </c>
      <c r="Y10">
        <f>1-SUM(Y3:Y9)</f>
        <v>6.9010538210249717E-2</v>
      </c>
      <c r="Z10" s="5" t="s">
        <v>86</v>
      </c>
      <c r="AA10" s="9">
        <v>2E-3</v>
      </c>
      <c r="AB10">
        <f>27.909/Z21</f>
        <v>1.4367228079398278E-3</v>
      </c>
      <c r="AI10" s="7" t="s">
        <v>108</v>
      </c>
      <c r="AJ10" s="9">
        <v>2E-3</v>
      </c>
      <c r="AK10">
        <f>157.612/AI21</f>
        <v>3.1440391511589E-3</v>
      </c>
      <c r="AR10" s="7" t="s">
        <v>122</v>
      </c>
      <c r="AS10" s="9">
        <v>0.51300000000000001</v>
      </c>
      <c r="AT10">
        <f>49277.01/AR21</f>
        <v>0.46031480810961367</v>
      </c>
      <c r="AW10" s="3" t="s">
        <v>195</v>
      </c>
      <c r="AX10" s="9">
        <v>6.9832402234636874E-4</v>
      </c>
      <c r="AY10">
        <f>14539946/AW21/1000</f>
        <v>2.3674030265582104E-2</v>
      </c>
      <c r="AZ10" s="7" t="s">
        <v>133</v>
      </c>
      <c r="BA10" s="9">
        <v>0.21299999999999999</v>
      </c>
      <c r="BB10">
        <f>17594.839/AZ21</f>
        <v>0.12570322650521257</v>
      </c>
      <c r="BF10" s="5" t="s">
        <v>147</v>
      </c>
      <c r="BG10" s="9">
        <v>8.0000000000000002E-3</v>
      </c>
      <c r="BH10">
        <f>1036.003/BF21</f>
        <v>5.5492736578884837E-2</v>
      </c>
    </row>
    <row r="11" spans="1:66" x14ac:dyDescent="0.2">
      <c r="H11" s="7" t="s">
        <v>39</v>
      </c>
      <c r="I11" s="9">
        <v>0.09</v>
      </c>
      <c r="J11">
        <f>308.513/H21</f>
        <v>8.7403417627095775E-2</v>
      </c>
      <c r="K11" s="7" t="s">
        <v>49</v>
      </c>
      <c r="L11" s="9">
        <v>3.1E-2</v>
      </c>
      <c r="M11">
        <f>1695000/1000/K21</f>
        <v>4.7012300359284921E-2</v>
      </c>
      <c r="N11" s="9"/>
      <c r="O11" s="9"/>
      <c r="Z11" s="5" t="s">
        <v>87</v>
      </c>
      <c r="AA11" s="9">
        <v>1E-3</v>
      </c>
      <c r="AB11">
        <f>21.065/Z21</f>
        <v>1.084401660727811E-3</v>
      </c>
      <c r="AI11" s="6" t="s">
        <v>214</v>
      </c>
      <c r="AJ11" s="9" t="s">
        <v>124</v>
      </c>
      <c r="AK11">
        <f>1-SUM(AK3:AK10)</f>
        <v>1.5017428838964841E-3</v>
      </c>
      <c r="AR11" s="7" t="s">
        <v>123</v>
      </c>
      <c r="AS11" s="9">
        <v>1.4999999999999999E-2</v>
      </c>
      <c r="AT11">
        <f>1348.323/AR21</f>
        <v>1.2595184712197E-2</v>
      </c>
      <c r="AW11" s="5" t="s">
        <v>126</v>
      </c>
      <c r="AX11" s="9">
        <v>0.64594972067039103</v>
      </c>
      <c r="AY11">
        <f>229075170/1000/AW21</f>
        <v>0.37298161270154412</v>
      </c>
      <c r="AZ11" s="7" t="s">
        <v>134</v>
      </c>
      <c r="BA11" s="9">
        <v>6.6000000000000003E-2</v>
      </c>
      <c r="BB11">
        <f>11493.663/AZ21</f>
        <v>8.2114449780619242E-2</v>
      </c>
      <c r="BF11" s="7" t="s">
        <v>148</v>
      </c>
      <c r="BG11" s="9">
        <v>1.4E-2</v>
      </c>
      <c r="BH11">
        <f>307.244/BF21</f>
        <v>1.6457298248598599E-2</v>
      </c>
    </row>
    <row r="12" spans="1:66" x14ac:dyDescent="0.2">
      <c r="H12" s="7" t="s">
        <v>40</v>
      </c>
      <c r="I12" s="9">
        <v>3.4000000000000002E-2</v>
      </c>
      <c r="J12">
        <f>83.201/H21</f>
        <v>2.3571297643833471E-2</v>
      </c>
      <c r="K12" s="6" t="s">
        <v>50</v>
      </c>
      <c r="L12" s="9">
        <v>2E-3</v>
      </c>
      <c r="M12">
        <f>65.586/K21</f>
        <v>1.8190847972649326E-3</v>
      </c>
      <c r="Z12" s="7" t="s">
        <v>88</v>
      </c>
      <c r="AA12" s="9">
        <v>0.32300000000000001</v>
      </c>
      <c r="AB12">
        <f>8450513/1000/Z21</f>
        <v>0.43502256497517</v>
      </c>
      <c r="AR12" s="6" t="s">
        <v>70</v>
      </c>
      <c r="AS12" s="9">
        <v>7.0999999999999994E-2</v>
      </c>
      <c r="AT12">
        <f>1-SUM(AT3:AT11)</f>
        <v>6.9564625717019046E-3</v>
      </c>
      <c r="AW12" s="5" t="s">
        <v>192</v>
      </c>
      <c r="AX12" s="9">
        <v>2.7932960893854749E-3</v>
      </c>
      <c r="AY12">
        <f>12513061/1000/AW21</f>
        <v>2.037384353621912E-2</v>
      </c>
      <c r="AZ12" s="6" t="s">
        <v>25</v>
      </c>
      <c r="BA12" s="9" t="s">
        <v>124</v>
      </c>
      <c r="BB12">
        <f>1-SUM(BB3:BB11)</f>
        <v>9.7125952856322084E-2</v>
      </c>
      <c r="BF12" s="6" t="s">
        <v>25</v>
      </c>
      <c r="BG12" s="9" t="s">
        <v>124</v>
      </c>
      <c r="BH12">
        <f>1-SUM(BH3:BH11)</f>
        <v>3.3560688630728031E-2</v>
      </c>
    </row>
    <row r="13" spans="1:66" x14ac:dyDescent="0.2">
      <c r="H13" s="6" t="s">
        <v>210</v>
      </c>
      <c r="I13" s="9">
        <v>2.7E-2</v>
      </c>
      <c r="J13">
        <f>1-SUM(J3:J12)</f>
        <v>4.3762477834889069E-2</v>
      </c>
      <c r="K13" s="6" t="s">
        <v>51</v>
      </c>
      <c r="L13" s="9">
        <v>1.9E-2</v>
      </c>
      <c r="M13">
        <f>435.301/K21</f>
        <v>1.2073452129024827E-2</v>
      </c>
      <c r="Z13" s="7" t="s">
        <v>89</v>
      </c>
      <c r="AA13" s="9">
        <v>0.06</v>
      </c>
      <c r="AB13">
        <f>1317380/1000/Z21</f>
        <v>6.7817187743157065E-2</v>
      </c>
      <c r="AW13" s="5" t="s">
        <v>194</v>
      </c>
      <c r="AX13" s="9">
        <v>1.11731843575419E-2</v>
      </c>
      <c r="AY13">
        <f>27241340/1000/AW21</f>
        <v>4.4354518760593223E-2</v>
      </c>
    </row>
    <row r="14" spans="1:66" x14ac:dyDescent="0.2">
      <c r="K14" s="6" t="s">
        <v>210</v>
      </c>
      <c r="L14" s="9">
        <v>0</v>
      </c>
      <c r="M14">
        <f>1-SUM(M3:M13)</f>
        <v>0</v>
      </c>
      <c r="Z14" s="6" t="s">
        <v>25</v>
      </c>
      <c r="AA14" s="9" t="s">
        <v>124</v>
      </c>
      <c r="AB14" t="s">
        <v>124</v>
      </c>
      <c r="AW14" s="7" t="s">
        <v>191</v>
      </c>
      <c r="AX14" s="9">
        <v>7.6815642458100556E-3</v>
      </c>
      <c r="AY14">
        <f>12858904/1000/AW21</f>
        <v>2.0936947254014203E-2</v>
      </c>
    </row>
    <row r="15" spans="1:66" x14ac:dyDescent="0.2">
      <c r="AW15" s="6" t="s">
        <v>210</v>
      </c>
      <c r="AX15" s="9">
        <v>3.0027932960893854E-2</v>
      </c>
      <c r="AY15">
        <f>1-SUM(AY3:AY14)</f>
        <v>0.15544418838604324</v>
      </c>
    </row>
    <row r="16" spans="1:66" x14ac:dyDescent="0.2">
      <c r="AW16" s="9"/>
      <c r="AX16" s="9"/>
    </row>
    <row r="17" spans="1:60" x14ac:dyDescent="0.2">
      <c r="C17">
        <f>SUM(C3:C16)</f>
        <v>0.999</v>
      </c>
      <c r="D17">
        <f t="shared" ref="D17:BH17" si="0">SUM(D3:D16)</f>
        <v>1</v>
      </c>
      <c r="E17">
        <f t="shared" si="0"/>
        <v>0</v>
      </c>
      <c r="F17">
        <f t="shared" si="0"/>
        <v>1</v>
      </c>
      <c r="G17">
        <f t="shared" si="0"/>
        <v>1</v>
      </c>
      <c r="H17">
        <f t="shared" si="0"/>
        <v>0</v>
      </c>
      <c r="I17">
        <f t="shared" si="0"/>
        <v>1</v>
      </c>
      <c r="J17">
        <f t="shared" si="0"/>
        <v>1</v>
      </c>
      <c r="K17">
        <f t="shared" si="0"/>
        <v>0</v>
      </c>
      <c r="L17">
        <f t="shared" si="0"/>
        <v>0.99900000000000011</v>
      </c>
      <c r="M17">
        <f t="shared" si="0"/>
        <v>1</v>
      </c>
      <c r="N17">
        <f t="shared" si="0"/>
        <v>0</v>
      </c>
      <c r="O17">
        <f t="shared" si="0"/>
        <v>1.0009999999999999</v>
      </c>
      <c r="P17">
        <f t="shared" si="0"/>
        <v>1</v>
      </c>
      <c r="Q17">
        <f t="shared" si="0"/>
        <v>0</v>
      </c>
      <c r="R17">
        <f t="shared" si="0"/>
        <v>0.99999999999999989</v>
      </c>
      <c r="S17">
        <f t="shared" si="0"/>
        <v>1</v>
      </c>
      <c r="T17">
        <f t="shared" si="0"/>
        <v>0</v>
      </c>
      <c r="U17">
        <f t="shared" si="0"/>
        <v>1.0010000000000001</v>
      </c>
      <c r="V17">
        <f t="shared" si="0"/>
        <v>1</v>
      </c>
      <c r="W17">
        <f t="shared" si="0"/>
        <v>0</v>
      </c>
      <c r="X17">
        <f t="shared" si="0"/>
        <v>1.0009999999999999</v>
      </c>
      <c r="Y17">
        <f t="shared" si="0"/>
        <v>1</v>
      </c>
      <c r="Z17">
        <f t="shared" si="0"/>
        <v>0</v>
      </c>
      <c r="AA17">
        <f t="shared" si="0"/>
        <v>0.99900000000000011</v>
      </c>
      <c r="AB17">
        <f t="shared" si="0"/>
        <v>0.99999536690484381</v>
      </c>
      <c r="AC17">
        <f t="shared" si="0"/>
        <v>0</v>
      </c>
      <c r="AD17">
        <f t="shared" si="0"/>
        <v>0.99900000000000011</v>
      </c>
      <c r="AE17">
        <f t="shared" si="0"/>
        <v>0.99476756597930804</v>
      </c>
      <c r="AF17">
        <f t="shared" si="0"/>
        <v>0</v>
      </c>
      <c r="AG17">
        <f t="shared" si="0"/>
        <v>0.99999999999999989</v>
      </c>
      <c r="AH17">
        <f t="shared" si="0"/>
        <v>1</v>
      </c>
      <c r="AI17">
        <f t="shared" si="0"/>
        <v>0</v>
      </c>
      <c r="AJ17">
        <f t="shared" si="0"/>
        <v>1.002</v>
      </c>
      <c r="AK17">
        <f t="shared" si="0"/>
        <v>1</v>
      </c>
      <c r="AL17">
        <f t="shared" si="0"/>
        <v>0</v>
      </c>
      <c r="AM17">
        <f t="shared" si="0"/>
        <v>0.999</v>
      </c>
      <c r="AN17">
        <f t="shared" si="0"/>
        <v>1</v>
      </c>
      <c r="AO17">
        <f t="shared" si="0"/>
        <v>0</v>
      </c>
      <c r="AP17">
        <f t="shared" si="0"/>
        <v>1</v>
      </c>
      <c r="AQ17">
        <f t="shared" si="0"/>
        <v>1</v>
      </c>
      <c r="AR17">
        <f t="shared" si="0"/>
        <v>0</v>
      </c>
      <c r="AS17">
        <f t="shared" si="0"/>
        <v>1.0010000000000001</v>
      </c>
      <c r="AT17">
        <f t="shared" si="0"/>
        <v>1</v>
      </c>
      <c r="AU17">
        <f t="shared" si="0"/>
        <v>0</v>
      </c>
      <c r="AV17">
        <f t="shared" si="0"/>
        <v>0</v>
      </c>
      <c r="AW17">
        <f t="shared" si="0"/>
        <v>0</v>
      </c>
      <c r="AX17">
        <f t="shared" si="0"/>
        <v>1</v>
      </c>
      <c r="AY17">
        <f t="shared" si="0"/>
        <v>1</v>
      </c>
      <c r="AZ17">
        <f t="shared" si="0"/>
        <v>0</v>
      </c>
      <c r="BA17">
        <f t="shared" si="0"/>
        <v>1.0010000000000001</v>
      </c>
      <c r="BB17">
        <f t="shared" si="0"/>
        <v>1</v>
      </c>
      <c r="BC17">
        <f t="shared" si="0"/>
        <v>0</v>
      </c>
      <c r="BD17">
        <f t="shared" si="0"/>
        <v>1</v>
      </c>
      <c r="BE17">
        <f t="shared" si="0"/>
        <v>1</v>
      </c>
      <c r="BF17">
        <f t="shared" si="0"/>
        <v>0</v>
      </c>
      <c r="BG17">
        <f t="shared" si="0"/>
        <v>1.0010000000000001</v>
      </c>
      <c r="BH17">
        <f t="shared" si="0"/>
        <v>1</v>
      </c>
    </row>
    <row r="19" spans="1:60" s="28" customFormat="1" x14ac:dyDescent="0.2">
      <c r="A19" s="27" t="s">
        <v>150</v>
      </c>
      <c r="B19" s="28" t="s">
        <v>152</v>
      </c>
      <c r="E19" s="28" t="s">
        <v>153</v>
      </c>
      <c r="H19" s="28" t="s">
        <v>168</v>
      </c>
      <c r="K19" s="28" t="s">
        <v>154</v>
      </c>
      <c r="N19" s="28" t="s">
        <v>155</v>
      </c>
      <c r="Q19" s="28" t="s">
        <v>156</v>
      </c>
      <c r="T19" s="28" t="s">
        <v>183</v>
      </c>
      <c r="W19" s="28" t="s">
        <v>169</v>
      </c>
      <c r="Z19" s="28" t="s">
        <v>157</v>
      </c>
      <c r="AC19" s="28" t="s">
        <v>163</v>
      </c>
      <c r="AF19" s="28" t="s">
        <v>158</v>
      </c>
      <c r="AI19" s="28" t="s">
        <v>164</v>
      </c>
      <c r="AL19" s="28" t="s">
        <v>167</v>
      </c>
      <c r="AO19" s="28" t="s">
        <v>166</v>
      </c>
      <c r="AR19" s="28" t="s">
        <v>165</v>
      </c>
      <c r="AW19" s="28" t="s">
        <v>159</v>
      </c>
      <c r="AZ19" s="28" t="s">
        <v>160</v>
      </c>
      <c r="BC19" s="28" t="s">
        <v>161</v>
      </c>
      <c r="BF19" s="28" t="s">
        <v>162</v>
      </c>
    </row>
    <row r="20" spans="1:60" x14ac:dyDescent="0.2">
      <c r="A20" s="16" t="s">
        <v>151</v>
      </c>
      <c r="B20" t="s">
        <v>170</v>
      </c>
      <c r="E20" t="s">
        <v>171</v>
      </c>
      <c r="H20" t="s">
        <v>172</v>
      </c>
      <c r="K20" t="s">
        <v>173</v>
      </c>
      <c r="N20" t="s">
        <v>175</v>
      </c>
      <c r="Q20" t="s">
        <v>174</v>
      </c>
      <c r="T20" t="s">
        <v>182</v>
      </c>
      <c r="W20" t="s">
        <v>176</v>
      </c>
      <c r="Z20" t="s">
        <v>177</v>
      </c>
      <c r="AC20" t="s">
        <v>178</v>
      </c>
      <c r="AF20" t="s">
        <v>179</v>
      </c>
      <c r="AI20" t="s">
        <v>180</v>
      </c>
      <c r="AL20" t="s">
        <v>181</v>
      </c>
      <c r="AO20" t="s">
        <v>184</v>
      </c>
      <c r="AR20" t="s">
        <v>185</v>
      </c>
      <c r="AW20" t="s">
        <v>196</v>
      </c>
      <c r="AZ20" t="s">
        <v>197</v>
      </c>
      <c r="BC20" t="s">
        <v>198</v>
      </c>
      <c r="BF20" t="s">
        <v>199</v>
      </c>
    </row>
    <row r="21" spans="1:60" x14ac:dyDescent="0.2">
      <c r="A21" s="16" t="s">
        <v>207</v>
      </c>
      <c r="B21">
        <f>14253.393</f>
        <v>14253.393</v>
      </c>
      <c r="E21">
        <v>17034.242999999999</v>
      </c>
      <c r="H21">
        <v>3529.759</v>
      </c>
      <c r="K21">
        <v>36054.394</v>
      </c>
      <c r="N21">
        <f>46389.615</f>
        <v>46389.614999999998</v>
      </c>
      <c r="Q21">
        <v>30210.363000000001</v>
      </c>
      <c r="T21">
        <f>57465.979</f>
        <v>57465.978999999999</v>
      </c>
      <c r="W21">
        <f>47211.717</f>
        <v>47211.716999999997</v>
      </c>
      <c r="Z21">
        <f>19425.459</f>
        <v>19425.458999999999</v>
      </c>
      <c r="AC21">
        <f>32672.175</f>
        <v>32672.174999999999</v>
      </c>
      <c r="AF21">
        <f>24258.228</f>
        <v>24258.227999999999</v>
      </c>
      <c r="AI21">
        <f>50130.419</f>
        <v>50130.419000000002</v>
      </c>
      <c r="AL21">
        <f>32013.742</f>
        <v>32013.741999999998</v>
      </c>
      <c r="AO21">
        <v>158383.40299999999</v>
      </c>
      <c r="AR21">
        <f>107050.673</f>
        <v>107050.673</v>
      </c>
      <c r="AW21">
        <f>614172.823</f>
        <v>614172.82299999997</v>
      </c>
      <c r="AZ21">
        <v>139971.26</v>
      </c>
      <c r="BC21">
        <f>17436.144</f>
        <v>17436.144</v>
      </c>
      <c r="BF21">
        <f>18669.164</f>
        <v>18669.164000000001</v>
      </c>
    </row>
    <row r="22" spans="1:60" x14ac:dyDescent="0.2">
      <c r="A22" s="16" t="s">
        <v>149</v>
      </c>
      <c r="B22">
        <v>19667.045000000006</v>
      </c>
      <c r="E22">
        <v>30621.997000000014</v>
      </c>
      <c r="H22">
        <v>4648.1449999999977</v>
      </c>
      <c r="K22">
        <v>51394.910000000018</v>
      </c>
      <c r="N22">
        <v>69670.746999999988</v>
      </c>
      <c r="Q22">
        <v>50885.889999999985</v>
      </c>
      <c r="T22">
        <v>107339.76699999998</v>
      </c>
      <c r="W22">
        <v>88880.587999999974</v>
      </c>
      <c r="Z22">
        <v>31044.458000000002</v>
      </c>
      <c r="AC22">
        <v>43422.691000000006</v>
      </c>
      <c r="AF22">
        <v>38662.457999999984</v>
      </c>
      <c r="AI22">
        <v>60057.71500000004</v>
      </c>
      <c r="AL22">
        <v>53686.720000000001</v>
      </c>
      <c r="AO22">
        <v>257509.85400000002</v>
      </c>
      <c r="AR22">
        <v>158962.08100000006</v>
      </c>
      <c r="AW22">
        <v>943061.00199999975</v>
      </c>
      <c r="AZ22">
        <v>188589.82399999999</v>
      </c>
      <c r="BC22">
        <v>39244.925000000003</v>
      </c>
      <c r="BF22">
        <v>35534.164000000004</v>
      </c>
    </row>
    <row r="23" spans="1:60" s="30" customFormat="1" x14ac:dyDescent="0.2">
      <c r="A23" s="29" t="s">
        <v>205</v>
      </c>
      <c r="C23" s="30" t="s">
        <v>215</v>
      </c>
      <c r="D23" s="30" t="s">
        <v>216</v>
      </c>
      <c r="F23" s="30" t="s">
        <v>215</v>
      </c>
      <c r="G23" s="30" t="s">
        <v>216</v>
      </c>
      <c r="I23" s="30" t="s">
        <v>215</v>
      </c>
      <c r="J23" s="30" t="s">
        <v>216</v>
      </c>
      <c r="L23" s="30" t="s">
        <v>215</v>
      </c>
      <c r="M23" s="30" t="s">
        <v>216</v>
      </c>
      <c r="O23" s="30" t="s">
        <v>215</v>
      </c>
      <c r="P23" s="30" t="s">
        <v>216</v>
      </c>
      <c r="R23" s="30" t="s">
        <v>215</v>
      </c>
      <c r="S23" s="30" t="s">
        <v>216</v>
      </c>
      <c r="U23" s="30" t="s">
        <v>215</v>
      </c>
      <c r="V23" s="30" t="s">
        <v>216</v>
      </c>
      <c r="X23" s="30" t="s">
        <v>215</v>
      </c>
      <c r="Y23" s="30" t="s">
        <v>216</v>
      </c>
      <c r="AA23" s="30" t="s">
        <v>215</v>
      </c>
      <c r="AB23" s="30" t="s">
        <v>216</v>
      </c>
      <c r="AD23" s="30" t="s">
        <v>215</v>
      </c>
      <c r="AE23" s="30" t="s">
        <v>216</v>
      </c>
      <c r="AG23" s="30" t="s">
        <v>215</v>
      </c>
      <c r="AH23" s="30" t="s">
        <v>216</v>
      </c>
      <c r="AJ23" s="30" t="s">
        <v>215</v>
      </c>
      <c r="AK23" s="30" t="s">
        <v>216</v>
      </c>
      <c r="AM23" s="30" t="s">
        <v>215</v>
      </c>
      <c r="AN23" s="30" t="s">
        <v>216</v>
      </c>
      <c r="AP23" s="30" t="s">
        <v>215</v>
      </c>
      <c r="AQ23" s="30" t="s">
        <v>216</v>
      </c>
      <c r="AS23" s="30" t="s">
        <v>215</v>
      </c>
      <c r="AT23" s="30" t="s">
        <v>216</v>
      </c>
      <c r="AX23" s="30" t="s">
        <v>215</v>
      </c>
      <c r="AY23" s="30" t="s">
        <v>216</v>
      </c>
      <c r="BA23" s="30" t="s">
        <v>215</v>
      </c>
      <c r="BB23" s="30" t="s">
        <v>216</v>
      </c>
      <c r="BD23" s="30" t="s">
        <v>215</v>
      </c>
      <c r="BE23" s="30" t="s">
        <v>216</v>
      </c>
      <c r="BG23" s="30" t="s">
        <v>215</v>
      </c>
      <c r="BH23" s="30" t="s">
        <v>216</v>
      </c>
    </row>
    <row r="24" spans="1:60" s="4" customFormat="1" x14ac:dyDescent="0.2">
      <c r="A24" s="17" t="s">
        <v>200</v>
      </c>
      <c r="I24" s="4">
        <f>I3</f>
        <v>0.108</v>
      </c>
      <c r="J24" s="4">
        <f>J3</f>
        <v>6.9438168441528156E-2</v>
      </c>
      <c r="L24" s="4">
        <f>SUM(L3:L5)</f>
        <v>0.16700000000000001</v>
      </c>
      <c r="M24" s="4">
        <f>SUM(M3:M5)</f>
        <v>0.2132011981674134</v>
      </c>
      <c r="O24" s="4">
        <f>O3</f>
        <v>9.2999999999999999E-2</v>
      </c>
      <c r="P24" s="4">
        <f>P3</f>
        <v>8.5507004099947811E-2</v>
      </c>
      <c r="U24" s="4">
        <f>U3</f>
        <v>6.3E-2</v>
      </c>
      <c r="V24" s="4">
        <f>V3</f>
        <v>7.24963895594644E-2</v>
      </c>
      <c r="AG24" s="4">
        <f>AG3</f>
        <v>0.13400000000000001</v>
      </c>
      <c r="AH24" s="4">
        <f>AH3</f>
        <v>9.8191838249685845E-2</v>
      </c>
      <c r="AJ24" s="4">
        <f>AJ3</f>
        <v>1E-3</v>
      </c>
      <c r="AK24" s="4">
        <f>AK3</f>
        <v>2.3494517370780403E-3</v>
      </c>
      <c r="AX24" s="4">
        <f>AX3</f>
        <v>1.1871508379888268E-2</v>
      </c>
      <c r="AY24" s="4">
        <f>AY3</f>
        <v>1.7494715815518917E-2</v>
      </c>
      <c r="BD24" s="4">
        <f t="shared" ref="BD24:BE29" si="1">BD3</f>
        <v>0.13600000000000001</v>
      </c>
      <c r="BE24" s="4">
        <f t="shared" si="1"/>
        <v>0.10790923727172705</v>
      </c>
    </row>
    <row r="25" spans="1:60" s="3" customFormat="1" x14ac:dyDescent="0.2">
      <c r="A25" s="18" t="s">
        <v>201</v>
      </c>
      <c r="C25" s="3">
        <f>SUM(C3:C4)</f>
        <v>0.42099999999999999</v>
      </c>
      <c r="D25" s="3">
        <f>D4+D3</f>
        <v>0.43744552612841026</v>
      </c>
      <c r="F25" s="3">
        <f>SUM(F3:F6)</f>
        <v>0.69</v>
      </c>
      <c r="G25" s="3">
        <f>G3+G4+G5+G6</f>
        <v>0.60417008258012994</v>
      </c>
      <c r="I25" s="3">
        <f>SUM(I4:I6)</f>
        <v>0.40400000000000003</v>
      </c>
      <c r="J25" s="3">
        <f>SUM(J4:J6)</f>
        <v>0.36587880362370345</v>
      </c>
      <c r="L25" s="3">
        <f>L6</f>
        <v>9.8000000000000004E-2</v>
      </c>
      <c r="M25" s="3">
        <f>M6</f>
        <v>6.3550867059365912E-2</v>
      </c>
      <c r="O25" s="3">
        <f>O4+O5</f>
        <v>0.35899999999999999</v>
      </c>
      <c r="P25" s="3">
        <f>P4+P5</f>
        <v>0.3265203429690029</v>
      </c>
      <c r="R25" s="3">
        <f>R3+R4</f>
        <v>0.34299999999999997</v>
      </c>
      <c r="S25" s="3">
        <f>S3+S4</f>
        <v>0.24086751291270481</v>
      </c>
      <c r="U25" s="3">
        <f>U4+U5</f>
        <v>0.193</v>
      </c>
      <c r="V25" s="3">
        <f>V4+V5</f>
        <v>0.21770590561069184</v>
      </c>
      <c r="X25" s="3">
        <f>SUM(X3:X7)</f>
        <v>0.60499999999999998</v>
      </c>
      <c r="Y25" s="3">
        <f>SUM(Y3:Y7)</f>
        <v>0.55639628611685532</v>
      </c>
      <c r="AA25" s="3">
        <f>AA3+AA4</f>
        <v>5.9000000000000004E-2</v>
      </c>
      <c r="AB25" s="3">
        <f>AB3+AB4</f>
        <v>2.3650354928550211E-2</v>
      </c>
      <c r="AD25" s="3">
        <f>AD3+AD4</f>
        <v>0.68600000000000005</v>
      </c>
      <c r="AE25" s="3">
        <f>AE3+AE4</f>
        <v>0.47261187845620928</v>
      </c>
      <c r="AG25" s="3">
        <f>AG4+AG5</f>
        <v>0.34199999999999997</v>
      </c>
      <c r="AH25" s="3">
        <f>AH4+AH5</f>
        <v>0.31630228720745801</v>
      </c>
      <c r="AJ25" s="3">
        <f>AJ4+AJ5</f>
        <v>0.35900000000000004</v>
      </c>
      <c r="AK25" s="3">
        <f>AK4+AK5</f>
        <v>0.34340842034454166</v>
      </c>
      <c r="AM25" s="3">
        <f>SUM(AM3:AM5)</f>
        <v>0.34699999999999998</v>
      </c>
      <c r="AN25" s="3">
        <f>SUM(AN3:AN5)</f>
        <v>0.38661978346673753</v>
      </c>
      <c r="AP25" s="3">
        <f>AP3</f>
        <v>0.60799999999999998</v>
      </c>
      <c r="AQ25" s="3">
        <f>AQ3</f>
        <v>0.51311515260219531</v>
      </c>
      <c r="AS25" s="3">
        <f>AS3+AS4</f>
        <v>0.26300000000000001</v>
      </c>
      <c r="AT25" s="3">
        <f>AT3+AT4</f>
        <v>0.30276903537075378</v>
      </c>
      <c r="AX25" s="3">
        <f>SUM(AX4:AX10)</f>
        <v>0.29050279329608941</v>
      </c>
      <c r="AY25" s="3">
        <f>SUM(AY4:AY10)</f>
        <v>0.36841417354606726</v>
      </c>
      <c r="BA25" s="3">
        <f>BA3</f>
        <v>0.499</v>
      </c>
      <c r="BB25" s="3">
        <f>BB3</f>
        <v>0.19328225665754525</v>
      </c>
      <c r="BD25" s="3">
        <f t="shared" si="1"/>
        <v>0.45700000000000002</v>
      </c>
      <c r="BE25" s="3">
        <f t="shared" si="1"/>
        <v>0.57503969914448971</v>
      </c>
      <c r="BG25" s="3">
        <f>BG3</f>
        <v>0.22700000000000001</v>
      </c>
      <c r="BH25" s="3">
        <f>BH3</f>
        <v>0.1614753076249156</v>
      </c>
    </row>
    <row r="26" spans="1:60" s="8" customFormat="1" x14ac:dyDescent="0.2">
      <c r="A26" s="19" t="s">
        <v>202</v>
      </c>
      <c r="I26" s="8">
        <f>I7</f>
        <v>6.0999999999999999E-2</v>
      </c>
      <c r="J26" s="8">
        <f>J7</f>
        <v>8.6327140181525139E-2</v>
      </c>
      <c r="L26" s="8">
        <f>L7</f>
        <v>0.13100000000000001</v>
      </c>
      <c r="M26" s="8">
        <f>M7</f>
        <v>0.24009129095333012</v>
      </c>
      <c r="O26" s="8">
        <f>O6</f>
        <v>7.8E-2</v>
      </c>
      <c r="P26" s="8">
        <f>P6</f>
        <v>7.0042357540583161E-2</v>
      </c>
      <c r="R26" s="8">
        <f>R5</f>
        <v>0.221</v>
      </c>
      <c r="S26" s="8">
        <f>S5</f>
        <v>0.35524452321211764</v>
      </c>
      <c r="U26" s="8">
        <f>SUM(U6:U8)</f>
        <v>0.16700000000000001</v>
      </c>
      <c r="V26" s="8">
        <f>SUM(V6:V8)</f>
        <v>0.30902645894190717</v>
      </c>
      <c r="X26" s="8">
        <f>X8</f>
        <v>0.123</v>
      </c>
      <c r="Y26" s="8">
        <f>Y8</f>
        <v>0.18461304849387283</v>
      </c>
      <c r="AA26" s="8">
        <f>AA5+AA6</f>
        <v>0.14199999999999999</v>
      </c>
      <c r="AB26" s="8">
        <f>AB5+AB6</f>
        <v>0.16230051500970968</v>
      </c>
      <c r="AD26" s="8">
        <f>AD5</f>
        <v>0.129</v>
      </c>
      <c r="AE26" s="8">
        <f>AE5</f>
        <v>0.21419884045062809</v>
      </c>
      <c r="AG26" s="8">
        <f>AG6</f>
        <v>0.104</v>
      </c>
      <c r="AH26" s="8">
        <f>AH6</f>
        <v>6.803126757651054E-2</v>
      </c>
      <c r="AJ26" s="8">
        <f>AJ6</f>
        <v>7.8E-2</v>
      </c>
      <c r="AK26" s="8">
        <f>AK6</f>
        <v>9.9554523970765127E-2</v>
      </c>
      <c r="AM26" s="8">
        <f>AM6</f>
        <v>0.11600000000000001</v>
      </c>
      <c r="AN26" s="8">
        <f>AN6</f>
        <v>0.11546350938918669</v>
      </c>
      <c r="AS26" s="8">
        <f>SUM(AS5:AS8)</f>
        <v>0.105</v>
      </c>
      <c r="AT26" s="8">
        <f>SUM(AT5:AT8)</f>
        <v>0.19233201831435473</v>
      </c>
      <c r="BA26" s="8">
        <f>BA4+BA5</f>
        <v>6.6000000000000003E-2</v>
      </c>
      <c r="BB26" s="8">
        <f>BB4+BB5</f>
        <v>0.16533908460922619</v>
      </c>
      <c r="BD26" s="8">
        <f t="shared" si="1"/>
        <v>0.32500000000000001</v>
      </c>
      <c r="BE26" s="8">
        <f t="shared" si="1"/>
        <v>0.20768284547317342</v>
      </c>
      <c r="BG26" s="8">
        <f>SUM(BG4:BG8)</f>
        <v>0.7430000000000001</v>
      </c>
      <c r="BH26" s="8">
        <f>SUM(BH4:BH8)</f>
        <v>0.67187936213962229</v>
      </c>
    </row>
    <row r="27" spans="1:60" s="5" customFormat="1" x14ac:dyDescent="0.2">
      <c r="A27" s="20" t="s">
        <v>203</v>
      </c>
      <c r="C27" s="5">
        <f>C5</f>
        <v>0.5</v>
      </c>
      <c r="D27" s="5">
        <f>D5</f>
        <v>0.41441886854589643</v>
      </c>
      <c r="F27" s="5">
        <f>F7</f>
        <v>0.27500000000000002</v>
      </c>
      <c r="G27" s="5">
        <f>G7</f>
        <v>0.33740331167049809</v>
      </c>
      <c r="I27" s="5">
        <f>SUM(I8:I10)</f>
        <v>0.27600000000000002</v>
      </c>
      <c r="J27" s="5">
        <f>SUM(J8:J10)</f>
        <v>0.32361869464742493</v>
      </c>
      <c r="L27" s="5">
        <f>SUM(L8:L9)</f>
        <v>0.32</v>
      </c>
      <c r="M27" s="5">
        <f>SUM(M8:M9)</f>
        <v>0.20928217514902622</v>
      </c>
      <c r="O27" s="5">
        <f>O7</f>
        <v>0.29699999999999999</v>
      </c>
      <c r="P27" s="5">
        <f>P7</f>
        <v>0.37263163317910702</v>
      </c>
      <c r="R27" s="5">
        <f>R6</f>
        <v>8.5000000000000006E-2</v>
      </c>
      <c r="S27" s="5">
        <f>S6</f>
        <v>0.15216487137211823</v>
      </c>
      <c r="U27" s="5">
        <f>U9</f>
        <v>0.52200000000000002</v>
      </c>
      <c r="V27" s="5">
        <f>V9</f>
        <v>0.34655083488615068</v>
      </c>
      <c r="X27" s="5">
        <f>X9</f>
        <v>0.24399999999999999</v>
      </c>
      <c r="Y27" s="5">
        <f>Y9</f>
        <v>0.18998012717902213</v>
      </c>
      <c r="AA27" s="5">
        <f>SUM(AA7:AA11)</f>
        <v>0.41500000000000004</v>
      </c>
      <c r="AB27" s="5">
        <f>SUM(AB7:AB11)</f>
        <v>0.31120474424825689</v>
      </c>
      <c r="AD27" s="5">
        <f>AD6</f>
        <v>4.7E-2</v>
      </c>
      <c r="AE27" s="5">
        <f>AE6</f>
        <v>6.7604039216856551E-2</v>
      </c>
      <c r="AG27" s="5">
        <f>AG7</f>
        <v>0.17699999999999999</v>
      </c>
      <c r="AH27" s="5">
        <f>AH7</f>
        <v>0.20805476805643017</v>
      </c>
      <c r="AJ27" s="5">
        <f>AJ7</f>
        <v>0.47499999999999998</v>
      </c>
      <c r="AK27" s="5">
        <f>AK7</f>
        <v>0.42560144969065589</v>
      </c>
      <c r="AM27" s="5">
        <f>AM7</f>
        <v>0.49099999999999999</v>
      </c>
      <c r="AN27" s="5">
        <f>AN7</f>
        <v>0.43626780649384883</v>
      </c>
      <c r="AS27" s="5">
        <f>AS9</f>
        <v>3.4000000000000002E-2</v>
      </c>
      <c r="AT27" s="5">
        <f>AT9</f>
        <v>2.5032490921378887E-2</v>
      </c>
      <c r="AX27" s="5">
        <f>SUM(AX11:AX13)</f>
        <v>0.65991620111731841</v>
      </c>
      <c r="AY27" s="5">
        <f>SUM(AY11:AY13)</f>
        <v>0.43770997499835645</v>
      </c>
      <c r="BA27" s="5">
        <f>SUM(BA6:BA9)</f>
        <v>0.157</v>
      </c>
      <c r="BB27" s="5">
        <f>SUM(BB6:BB9)</f>
        <v>0.33643502959107457</v>
      </c>
      <c r="BD27" s="5">
        <f t="shared" si="1"/>
        <v>1.2999999999999999E-2</v>
      </c>
      <c r="BE27" s="5">
        <f t="shared" si="1"/>
        <v>3.3771170965323526E-2</v>
      </c>
      <c r="BG27" s="5">
        <f>BG9+BG10</f>
        <v>1.7000000000000001E-2</v>
      </c>
      <c r="BH27" s="5">
        <f>BH9+BH10</f>
        <v>0.11662734335613528</v>
      </c>
    </row>
    <row r="28" spans="1:60" s="7" customFormat="1" x14ac:dyDescent="0.2">
      <c r="A28" s="21" t="s">
        <v>204</v>
      </c>
      <c r="F28" s="7">
        <f>F8</f>
        <v>0.03</v>
      </c>
      <c r="G28" s="7">
        <f>G8</f>
        <v>4.9370729300973346E-2</v>
      </c>
      <c r="I28" s="7">
        <f>SUM(I11:I12)</f>
        <v>0.124</v>
      </c>
      <c r="J28" s="7">
        <f>SUM(J11:J12)</f>
        <v>0.11097471527092925</v>
      </c>
      <c r="L28" s="7">
        <f>L10+L11</f>
        <v>0.26200000000000001</v>
      </c>
      <c r="M28" s="7">
        <f>M10+M11</f>
        <v>0.25998193174457462</v>
      </c>
      <c r="O28" s="7">
        <f>O8</f>
        <v>0.129</v>
      </c>
      <c r="P28" s="7">
        <f>P8</f>
        <v>0.11462692673780543</v>
      </c>
      <c r="R28" s="7">
        <f>R7+R8</f>
        <v>0.26800000000000002</v>
      </c>
      <c r="S28" s="7">
        <f>S7+S8</f>
        <v>0.23595337136465389</v>
      </c>
      <c r="AA28" s="7">
        <f>AA12+AA13</f>
        <v>0.38300000000000001</v>
      </c>
      <c r="AB28" s="7">
        <f>AB12+AB13</f>
        <v>0.50283975271832704</v>
      </c>
      <c r="AD28" s="7">
        <f>AD7</f>
        <v>0.13700000000000001</v>
      </c>
      <c r="AE28" s="7">
        <f>AE7</f>
        <v>0.24035280785561416</v>
      </c>
      <c r="AG28" s="7">
        <f>AG8</f>
        <v>9.7000000000000003E-2</v>
      </c>
      <c r="AH28" s="7">
        <f>AH8</f>
        <v>0.15075210769723163</v>
      </c>
      <c r="AJ28" s="7">
        <f>SUM(AJ8:AJ10)</f>
        <v>8.8999999999999996E-2</v>
      </c>
      <c r="AK28" s="7">
        <f>SUM(AK8:AK10)</f>
        <v>0.12758441137306273</v>
      </c>
      <c r="AM28" s="7">
        <f>AM8</f>
        <v>2.3E-2</v>
      </c>
      <c r="AN28" s="7">
        <f>AN8</f>
        <v>2.0124389082663313E-2</v>
      </c>
      <c r="AP28" s="7">
        <f>AP4</f>
        <v>0.373</v>
      </c>
      <c r="AQ28" s="7">
        <f>AQ4</f>
        <v>0.46858542368861716</v>
      </c>
      <c r="AS28" s="7">
        <f>AS10+AS11</f>
        <v>0.52800000000000002</v>
      </c>
      <c r="AT28" s="7">
        <f>AT10+AT11</f>
        <v>0.47290999282181068</v>
      </c>
      <c r="AX28" s="7">
        <f>AX14</f>
        <v>7.6815642458100556E-3</v>
      </c>
      <c r="AY28" s="7">
        <f>AY14</f>
        <v>2.0936947254014203E-2</v>
      </c>
      <c r="BA28" s="7">
        <f>BA10+BA11</f>
        <v>0.27900000000000003</v>
      </c>
      <c r="BB28" s="7">
        <f>BB10+BB11</f>
        <v>0.20781767628583181</v>
      </c>
      <c r="BD28" s="7">
        <f t="shared" si="1"/>
        <v>2.7E-2</v>
      </c>
      <c r="BE28" s="7">
        <f t="shared" si="1"/>
        <v>2.3793334122498642E-2</v>
      </c>
      <c r="BG28" s="7">
        <f>BG11</f>
        <v>1.4E-2</v>
      </c>
      <c r="BH28" s="7">
        <f>BH11</f>
        <v>1.6457298248598599E-2</v>
      </c>
    </row>
    <row r="29" spans="1:60" s="6" customFormat="1" x14ac:dyDescent="0.2">
      <c r="A29" s="22" t="s">
        <v>70</v>
      </c>
      <c r="C29" s="6">
        <f>C6</f>
        <v>7.8E-2</v>
      </c>
      <c r="D29" s="6">
        <f>D6</f>
        <v>0.14813560532569325</v>
      </c>
      <c r="F29" s="6">
        <f>F9</f>
        <v>5.0000000000000001E-3</v>
      </c>
      <c r="G29" s="6">
        <f>G9</f>
        <v>9.0558764483986698E-3</v>
      </c>
      <c r="I29" s="6">
        <f>I13</f>
        <v>2.7E-2</v>
      </c>
      <c r="J29" s="6">
        <f>J13</f>
        <v>4.3762477834889069E-2</v>
      </c>
      <c r="L29" s="6">
        <f>SUM(L12:L14)</f>
        <v>2.0999999999999998E-2</v>
      </c>
      <c r="M29" s="6">
        <f>SUM(M12:M14)</f>
        <v>1.3892536926289761E-2</v>
      </c>
      <c r="O29" s="6">
        <f>O9</f>
        <v>4.4999999999999998E-2</v>
      </c>
      <c r="P29" s="6">
        <f>P9</f>
        <v>3.0671735473553841E-2</v>
      </c>
      <c r="R29" s="6">
        <f>R9</f>
        <v>8.3000000000000004E-2</v>
      </c>
      <c r="S29" s="6">
        <f>S9</f>
        <v>1.5769721138405468E-2</v>
      </c>
      <c r="U29" s="6">
        <f>U10</f>
        <v>5.6000000000000001E-2</v>
      </c>
      <c r="V29" s="6">
        <f>V10</f>
        <v>5.4220411001785873E-2</v>
      </c>
      <c r="X29" s="6">
        <f>X10</f>
        <v>2.9000000000000001E-2</v>
      </c>
      <c r="Y29" s="6">
        <f>Y10</f>
        <v>6.9010538210249717E-2</v>
      </c>
      <c r="AA29" s="6" t="str">
        <f>AA14</f>
        <v>NA</v>
      </c>
      <c r="AB29" s="6" t="str">
        <f>AB14</f>
        <v>NA</v>
      </c>
      <c r="AD29" s="6">
        <f>AD8</f>
        <v>0</v>
      </c>
      <c r="AE29" s="6">
        <f>AE8</f>
        <v>0</v>
      </c>
      <c r="AG29" s="6">
        <f>AG9</f>
        <v>0.14599999999999999</v>
      </c>
      <c r="AH29" s="6">
        <f>AH9</f>
        <v>0.15866773121268385</v>
      </c>
      <c r="AJ29" s="6" t="str">
        <f>AJ11</f>
        <v>NA</v>
      </c>
      <c r="AK29" s="6">
        <f>AK11</f>
        <v>1.5017428838964841E-3</v>
      </c>
      <c r="AM29" s="6">
        <f>AM9</f>
        <v>2.1999999999999999E-2</v>
      </c>
      <c r="AN29" s="6">
        <f>AN9</f>
        <v>4.1524511567563649E-2</v>
      </c>
      <c r="AP29" s="6">
        <f>AP5</f>
        <v>1.9000000000000003E-2</v>
      </c>
      <c r="AQ29" s="6">
        <f>AQ5</f>
        <v>1.8299423709187523E-2</v>
      </c>
      <c r="AS29" s="6">
        <f>AS12</f>
        <v>7.0999999999999994E-2</v>
      </c>
      <c r="AT29" s="6">
        <f>AT12</f>
        <v>6.9564625717019046E-3</v>
      </c>
      <c r="AX29" s="6">
        <f>AX15</f>
        <v>3.0027932960893854E-2</v>
      </c>
      <c r="AY29" s="6">
        <f>AY15</f>
        <v>0.15544418838604324</v>
      </c>
      <c r="BA29" s="6" t="str">
        <f>BA12</f>
        <v>NA</v>
      </c>
      <c r="BB29" s="6">
        <f>BB12</f>
        <v>9.7125952856322084E-2</v>
      </c>
      <c r="BD29" s="6">
        <f t="shared" si="1"/>
        <v>4.2000000000000003E-2</v>
      </c>
      <c r="BE29" s="6">
        <f t="shared" si="1"/>
        <v>5.1803713022787634E-2</v>
      </c>
      <c r="BG29" s="6" t="str">
        <f>BG12</f>
        <v>NA</v>
      </c>
      <c r="BH29" s="6">
        <f>BH12</f>
        <v>3.3560688630728031E-2</v>
      </c>
    </row>
    <row r="31" spans="1:60" s="30" customFormat="1" x14ac:dyDescent="0.2">
      <c r="A31" s="29" t="s">
        <v>206</v>
      </c>
      <c r="C31" s="30" t="s">
        <v>215</v>
      </c>
      <c r="D31" s="30" t="s">
        <v>216</v>
      </c>
      <c r="F31" s="30" t="s">
        <v>215</v>
      </c>
      <c r="G31" s="30" t="s">
        <v>216</v>
      </c>
      <c r="I31" s="30" t="s">
        <v>215</v>
      </c>
      <c r="J31" s="30" t="s">
        <v>216</v>
      </c>
      <c r="L31" s="30" t="s">
        <v>215</v>
      </c>
      <c r="M31" s="30" t="s">
        <v>216</v>
      </c>
      <c r="O31" s="30" t="s">
        <v>215</v>
      </c>
      <c r="P31" s="30" t="s">
        <v>216</v>
      </c>
      <c r="R31" s="30" t="s">
        <v>215</v>
      </c>
      <c r="S31" s="30" t="s">
        <v>216</v>
      </c>
      <c r="U31" s="30" t="s">
        <v>215</v>
      </c>
      <c r="V31" s="30" t="s">
        <v>216</v>
      </c>
      <c r="X31" s="30" t="s">
        <v>215</v>
      </c>
      <c r="Y31" s="30" t="s">
        <v>216</v>
      </c>
      <c r="AA31" s="30" t="s">
        <v>215</v>
      </c>
      <c r="AB31" s="30" t="s">
        <v>216</v>
      </c>
      <c r="AD31" s="30" t="s">
        <v>215</v>
      </c>
      <c r="AE31" s="30" t="s">
        <v>216</v>
      </c>
      <c r="AG31" s="30" t="s">
        <v>215</v>
      </c>
      <c r="AH31" s="30" t="s">
        <v>216</v>
      </c>
      <c r="AJ31" s="30" t="s">
        <v>215</v>
      </c>
      <c r="AK31" s="30" t="s">
        <v>216</v>
      </c>
      <c r="AM31" s="30" t="s">
        <v>215</v>
      </c>
      <c r="AN31" s="30" t="s">
        <v>216</v>
      </c>
      <c r="AP31" s="30" t="s">
        <v>215</v>
      </c>
      <c r="AQ31" s="30" t="s">
        <v>216</v>
      </c>
      <c r="AS31" s="30" t="s">
        <v>215</v>
      </c>
      <c r="AT31" s="30" t="s">
        <v>216</v>
      </c>
      <c r="AX31" s="30" t="s">
        <v>215</v>
      </c>
      <c r="AY31" s="30" t="s">
        <v>216</v>
      </c>
      <c r="BA31" s="30" t="s">
        <v>215</v>
      </c>
      <c r="BB31" s="30" t="s">
        <v>216</v>
      </c>
      <c r="BD31" s="30" t="s">
        <v>215</v>
      </c>
      <c r="BE31" s="30" t="s">
        <v>216</v>
      </c>
      <c r="BG31" s="30" t="s">
        <v>215</v>
      </c>
      <c r="BH31" s="30" t="s">
        <v>216</v>
      </c>
    </row>
    <row r="32" spans="1:60" s="10" customFormat="1" x14ac:dyDescent="0.2">
      <c r="A32" s="23" t="s">
        <v>201</v>
      </c>
      <c r="C32" s="10">
        <f>C25</f>
        <v>0.42099999999999999</v>
      </c>
      <c r="D32" s="10">
        <f>B24+D25</f>
        <v>0.43744552612841026</v>
      </c>
      <c r="F32" s="10">
        <f>F25</f>
        <v>0.69</v>
      </c>
      <c r="G32" s="10">
        <f>E24+G25</f>
        <v>0.60417008258012994</v>
      </c>
      <c r="I32" s="10">
        <f>I24+I25</f>
        <v>0.51200000000000001</v>
      </c>
      <c r="J32" s="10">
        <f>J24+J25</f>
        <v>0.43531697206523162</v>
      </c>
      <c r="L32" s="10">
        <f>L24+L25</f>
        <v>0.26500000000000001</v>
      </c>
      <c r="M32" s="10">
        <f>M24+M25</f>
        <v>0.27675206522677931</v>
      </c>
      <c r="O32" s="10">
        <f>O24+O25</f>
        <v>0.45199999999999996</v>
      </c>
      <c r="P32" s="10">
        <f>P24+P25</f>
        <v>0.41202734706895072</v>
      </c>
      <c r="R32" s="10">
        <f>R24+R25</f>
        <v>0.34299999999999997</v>
      </c>
      <c r="S32" s="10">
        <f>S24+S25</f>
        <v>0.24086751291270481</v>
      </c>
      <c r="U32" s="10">
        <f>U24+U25</f>
        <v>0.25600000000000001</v>
      </c>
      <c r="V32" s="10">
        <f>V24+V25</f>
        <v>0.29020229517015622</v>
      </c>
      <c r="X32" s="10">
        <f>X24+X25</f>
        <v>0.60499999999999998</v>
      </c>
      <c r="Y32" s="10">
        <f>Y24+Y25</f>
        <v>0.55639628611685532</v>
      </c>
      <c r="AA32" s="10">
        <f>AA24+AA25</f>
        <v>5.9000000000000004E-2</v>
      </c>
      <c r="AB32" s="10">
        <f>AB24+AB25</f>
        <v>2.3650354928550211E-2</v>
      </c>
      <c r="AD32" s="10">
        <f>AD24+AD25</f>
        <v>0.68600000000000005</v>
      </c>
      <c r="AE32" s="10">
        <f>AE24+AE25</f>
        <v>0.47261187845620928</v>
      </c>
      <c r="AG32" s="10">
        <f>AG24+AG25</f>
        <v>0.47599999999999998</v>
      </c>
      <c r="AH32" s="10">
        <f>AH24+AH25</f>
        <v>0.41449412545714387</v>
      </c>
      <c r="AJ32" s="10">
        <f>AJ24+AJ25</f>
        <v>0.36000000000000004</v>
      </c>
      <c r="AK32" s="10">
        <f>AK24+AK25</f>
        <v>0.34575787208161973</v>
      </c>
      <c r="AM32" s="10">
        <f>AM24+AM25</f>
        <v>0.34699999999999998</v>
      </c>
      <c r="AN32" s="10">
        <f>AN24+AN25</f>
        <v>0.38661978346673753</v>
      </c>
      <c r="AP32" s="10">
        <f>AP24+AP25</f>
        <v>0.60799999999999998</v>
      </c>
      <c r="AQ32" s="10">
        <f>AQ24+AQ25</f>
        <v>0.51311515260219531</v>
      </c>
      <c r="AS32" s="10">
        <f>AS24+AS25</f>
        <v>0.26300000000000001</v>
      </c>
      <c r="AT32" s="10">
        <f>AT24+AT25</f>
        <v>0.30276903537075378</v>
      </c>
      <c r="AX32" s="10">
        <f>AX24+AX25</f>
        <v>0.30237430167597767</v>
      </c>
      <c r="AY32" s="10">
        <f>AY24+AY25</f>
        <v>0.38590888936158618</v>
      </c>
      <c r="BA32" s="10">
        <f>BA24+BA25</f>
        <v>0.499</v>
      </c>
      <c r="BB32" s="10">
        <f>BB24+BB25</f>
        <v>0.19328225665754525</v>
      </c>
      <c r="BD32" s="10">
        <f>BD24+BD25</f>
        <v>0.59299999999999997</v>
      </c>
      <c r="BE32" s="10">
        <f>BE24+BE25</f>
        <v>0.68294893641621679</v>
      </c>
      <c r="BG32" s="10">
        <f>BG24+BG25</f>
        <v>0.22700000000000001</v>
      </c>
      <c r="BH32" s="10">
        <f>BH24+BH25</f>
        <v>0.1614753076249156</v>
      </c>
    </row>
    <row r="33" spans="1:60" s="11" customFormat="1" x14ac:dyDescent="0.2">
      <c r="A33" s="24" t="s">
        <v>202</v>
      </c>
      <c r="D33" s="11">
        <f>D26</f>
        <v>0</v>
      </c>
      <c r="G33" s="11">
        <f>G26</f>
        <v>0</v>
      </c>
      <c r="I33" s="11">
        <f t="shared" ref="I33" si="2">I26</f>
        <v>6.0999999999999999E-2</v>
      </c>
      <c r="J33" s="11">
        <f t="shared" ref="H33:BI33" si="3">J26</f>
        <v>8.6327140181525139E-2</v>
      </c>
      <c r="L33" s="11">
        <f t="shared" ref="L33" si="4">L26</f>
        <v>0.13100000000000001</v>
      </c>
      <c r="M33" s="11">
        <f t="shared" si="3"/>
        <v>0.24009129095333012</v>
      </c>
      <c r="O33" s="11">
        <f t="shared" ref="O33" si="5">O26</f>
        <v>7.8E-2</v>
      </c>
      <c r="P33" s="11">
        <f t="shared" si="3"/>
        <v>7.0042357540583161E-2</v>
      </c>
      <c r="R33" s="11">
        <f t="shared" ref="R33" si="6">R26</f>
        <v>0.221</v>
      </c>
      <c r="S33" s="11">
        <f t="shared" si="3"/>
        <v>0.35524452321211764</v>
      </c>
      <c r="U33" s="11">
        <f t="shared" ref="U33" si="7">U26</f>
        <v>0.16700000000000001</v>
      </c>
      <c r="V33" s="11">
        <f t="shared" si="3"/>
        <v>0.30902645894190717</v>
      </c>
      <c r="X33" s="11">
        <f>X26</f>
        <v>0.123</v>
      </c>
      <c r="Y33" s="11">
        <f>Y26</f>
        <v>0.18461304849387283</v>
      </c>
      <c r="AA33" s="11">
        <f t="shared" ref="AA33" si="8">AA26</f>
        <v>0.14199999999999999</v>
      </c>
      <c r="AB33" s="11">
        <f t="shared" si="3"/>
        <v>0.16230051500970968</v>
      </c>
      <c r="AD33" s="11">
        <f t="shared" ref="AD33" si="9">AD26</f>
        <v>0.129</v>
      </c>
      <c r="AE33" s="11">
        <f t="shared" si="3"/>
        <v>0.21419884045062809</v>
      </c>
      <c r="AG33" s="11">
        <f t="shared" ref="AG33" si="10">AG26</f>
        <v>0.104</v>
      </c>
      <c r="AH33" s="11">
        <f t="shared" si="3"/>
        <v>6.803126757651054E-2</v>
      </c>
      <c r="AJ33" s="11">
        <f t="shared" ref="AJ33" si="11">AJ26</f>
        <v>7.8E-2</v>
      </c>
      <c r="AK33" s="11">
        <f t="shared" si="3"/>
        <v>9.9554523970765127E-2</v>
      </c>
      <c r="AM33" s="11">
        <f>AM26</f>
        <v>0.11600000000000001</v>
      </c>
      <c r="AN33" s="11">
        <f>AN26</f>
        <v>0.11546350938918669</v>
      </c>
      <c r="AP33" s="11">
        <f t="shared" ref="AP33" si="12">AP26</f>
        <v>0</v>
      </c>
      <c r="AQ33" s="11">
        <f t="shared" si="3"/>
        <v>0</v>
      </c>
      <c r="AS33" s="11">
        <f t="shared" ref="AS33" si="13">AS26</f>
        <v>0.105</v>
      </c>
      <c r="AT33" s="11">
        <f t="shared" si="3"/>
        <v>0.19233201831435473</v>
      </c>
      <c r="AX33" s="11">
        <f>AX26</f>
        <v>0</v>
      </c>
      <c r="AY33" s="11">
        <f>AY26</f>
        <v>0</v>
      </c>
      <c r="BA33" s="11">
        <f t="shared" ref="BA33" si="14">BA26</f>
        <v>6.6000000000000003E-2</v>
      </c>
      <c r="BB33" s="11">
        <f t="shared" si="3"/>
        <v>0.16533908460922619</v>
      </c>
      <c r="BD33" s="11">
        <f t="shared" ref="BD33" si="15">BD26</f>
        <v>0.32500000000000001</v>
      </c>
      <c r="BE33" s="11">
        <f t="shared" si="3"/>
        <v>0.20768284547317342</v>
      </c>
      <c r="BG33" s="11">
        <f t="shared" ref="BG33" si="16">BG26</f>
        <v>0.7430000000000001</v>
      </c>
      <c r="BH33" s="11">
        <f t="shared" si="3"/>
        <v>0.67187936213962229</v>
      </c>
    </row>
    <row r="34" spans="1:60" s="12" customFormat="1" x14ac:dyDescent="0.2">
      <c r="A34" s="25" t="s">
        <v>203</v>
      </c>
      <c r="C34" s="12">
        <f>C27</f>
        <v>0.5</v>
      </c>
      <c r="D34" s="12">
        <f>D27+D28</f>
        <v>0.41441886854589643</v>
      </c>
      <c r="F34" s="12">
        <f>F27+F28</f>
        <v>0.30500000000000005</v>
      </c>
      <c r="G34" s="12">
        <f>G27+G28</f>
        <v>0.38677404097147144</v>
      </c>
      <c r="I34" s="12">
        <f t="shared" ref="I34" si="17">I27+I28</f>
        <v>0.4</v>
      </c>
      <c r="J34" s="12">
        <f t="shared" ref="H34:BI34" si="18">J27+J28</f>
        <v>0.43459340991835416</v>
      </c>
      <c r="L34" s="12">
        <f t="shared" ref="L34" si="19">L27+L28</f>
        <v>0.58200000000000007</v>
      </c>
      <c r="M34" s="12">
        <f t="shared" si="18"/>
        <v>0.46926410689360087</v>
      </c>
      <c r="O34" s="12">
        <f t="shared" ref="O34" si="20">O27+O28</f>
        <v>0.42599999999999999</v>
      </c>
      <c r="P34" s="12">
        <f t="shared" si="18"/>
        <v>0.48725855991691247</v>
      </c>
      <c r="R34" s="12">
        <f t="shared" ref="R34" si="21">R27+R28</f>
        <v>0.35300000000000004</v>
      </c>
      <c r="S34" s="12">
        <f t="shared" si="18"/>
        <v>0.38811824273677209</v>
      </c>
      <c r="U34" s="12">
        <f t="shared" ref="U34" si="22">U27+U28</f>
        <v>0.52200000000000002</v>
      </c>
      <c r="V34" s="12">
        <f t="shared" si="18"/>
        <v>0.34655083488615068</v>
      </c>
      <c r="X34" s="12">
        <f>X27+X28</f>
        <v>0.24399999999999999</v>
      </c>
      <c r="Y34" s="12">
        <f>Y27+Y28</f>
        <v>0.18998012717902213</v>
      </c>
      <c r="AA34" s="12">
        <f t="shared" ref="AA34" si="23">AA27+AA28</f>
        <v>0.79800000000000004</v>
      </c>
      <c r="AB34" s="12">
        <f t="shared" si="18"/>
        <v>0.81404449696658387</v>
      </c>
      <c r="AD34" s="12">
        <f t="shared" ref="AD34" si="24">AD27+AD28</f>
        <v>0.184</v>
      </c>
      <c r="AE34" s="12">
        <f t="shared" si="18"/>
        <v>0.30795684707247073</v>
      </c>
      <c r="AG34" s="12">
        <f t="shared" ref="AG34" si="25">AG27+AG28</f>
        <v>0.27400000000000002</v>
      </c>
      <c r="AH34" s="12">
        <f t="shared" si="18"/>
        <v>0.35880687575366177</v>
      </c>
      <c r="AJ34" s="12">
        <f t="shared" ref="AJ34" si="26">AJ27+AJ28</f>
        <v>0.56399999999999995</v>
      </c>
      <c r="AK34" s="12">
        <f t="shared" si="18"/>
        <v>0.55318586106371859</v>
      </c>
      <c r="AM34" s="12">
        <f>AM27+AM28</f>
        <v>0.51400000000000001</v>
      </c>
      <c r="AN34" s="12">
        <f>AN27+AN28</f>
        <v>0.45639219557651212</v>
      </c>
      <c r="AP34" s="12">
        <f t="shared" ref="AP34" si="27">AP27+AP28</f>
        <v>0.373</v>
      </c>
      <c r="AQ34" s="12">
        <f t="shared" si="18"/>
        <v>0.46858542368861716</v>
      </c>
      <c r="AS34" s="12">
        <f t="shared" ref="AS34" si="28">AS27+AS28</f>
        <v>0.56200000000000006</v>
      </c>
      <c r="AT34" s="12">
        <f t="shared" si="18"/>
        <v>0.49794248374318956</v>
      </c>
      <c r="AX34" s="12">
        <f>AX27+AX28</f>
        <v>0.66759776536312843</v>
      </c>
      <c r="AY34" s="12">
        <f>AY27+AY28</f>
        <v>0.45864692225237064</v>
      </c>
      <c r="BA34" s="12">
        <f t="shared" ref="BA34" si="29">BA27+BA28</f>
        <v>0.43600000000000005</v>
      </c>
      <c r="BB34" s="12">
        <f t="shared" si="18"/>
        <v>0.54425270587690644</v>
      </c>
      <c r="BD34" s="12">
        <f t="shared" ref="BD34" si="30">BD27+BD28</f>
        <v>0.04</v>
      </c>
      <c r="BE34" s="12">
        <f t="shared" si="18"/>
        <v>5.7564505087822168E-2</v>
      </c>
      <c r="BG34" s="12">
        <f t="shared" ref="BG34" si="31">BG27+BG28</f>
        <v>3.1E-2</v>
      </c>
      <c r="BH34" s="12">
        <f t="shared" si="18"/>
        <v>0.13308464160473388</v>
      </c>
    </row>
    <row r="35" spans="1:60" s="13" customFormat="1" x14ac:dyDescent="0.2">
      <c r="A35" s="26" t="s">
        <v>70</v>
      </c>
      <c r="C35" s="13">
        <f>C29</f>
        <v>7.8E-2</v>
      </c>
      <c r="D35" s="13">
        <f>D29</f>
        <v>0.14813560532569325</v>
      </c>
      <c r="F35" s="13">
        <f>F29</f>
        <v>5.0000000000000001E-3</v>
      </c>
      <c r="G35" s="13">
        <f>G29</f>
        <v>9.0558764483986698E-3</v>
      </c>
      <c r="I35" s="13">
        <f t="shared" ref="I35" si="32">I29</f>
        <v>2.7E-2</v>
      </c>
      <c r="J35" s="13">
        <f t="shared" ref="H35:BI35" si="33">J29</f>
        <v>4.3762477834889069E-2</v>
      </c>
      <c r="L35" s="13">
        <f t="shared" ref="L35" si="34">L29</f>
        <v>2.0999999999999998E-2</v>
      </c>
      <c r="M35" s="13">
        <f t="shared" si="33"/>
        <v>1.3892536926289761E-2</v>
      </c>
      <c r="O35" s="13">
        <f t="shared" ref="O35" si="35">O29</f>
        <v>4.4999999999999998E-2</v>
      </c>
      <c r="P35" s="13">
        <f t="shared" si="33"/>
        <v>3.0671735473553841E-2</v>
      </c>
      <c r="R35" s="13">
        <f t="shared" ref="R35" si="36">R29</f>
        <v>8.3000000000000004E-2</v>
      </c>
      <c r="S35" s="13">
        <f t="shared" si="33"/>
        <v>1.5769721138405468E-2</v>
      </c>
      <c r="U35" s="13">
        <f t="shared" ref="U35" si="37">U29</f>
        <v>5.6000000000000001E-2</v>
      </c>
      <c r="V35" s="13">
        <f t="shared" si="33"/>
        <v>5.4220411001785873E-2</v>
      </c>
      <c r="X35" s="13">
        <f>X29</f>
        <v>2.9000000000000001E-2</v>
      </c>
      <c r="Y35" s="13">
        <f>Y29</f>
        <v>6.9010538210249717E-2</v>
      </c>
      <c r="AA35" s="13" t="str">
        <f t="shared" ref="AA35" si="38">AA29</f>
        <v>NA</v>
      </c>
      <c r="AB35" s="13" t="str">
        <f t="shared" si="33"/>
        <v>NA</v>
      </c>
      <c r="AD35" s="13">
        <f t="shared" ref="AD35" si="39">AD29</f>
        <v>0</v>
      </c>
      <c r="AE35" s="13">
        <f t="shared" si="33"/>
        <v>0</v>
      </c>
      <c r="AG35" s="13">
        <f t="shared" ref="AG35" si="40">AG29</f>
        <v>0.14599999999999999</v>
      </c>
      <c r="AH35" s="13">
        <f t="shared" si="33"/>
        <v>0.15866773121268385</v>
      </c>
      <c r="AJ35" s="13" t="str">
        <f t="shared" ref="AJ35" si="41">AJ29</f>
        <v>NA</v>
      </c>
      <c r="AK35" s="13">
        <f t="shared" si="33"/>
        <v>1.5017428838964841E-3</v>
      </c>
      <c r="AM35" s="13">
        <f>AM29</f>
        <v>2.1999999999999999E-2</v>
      </c>
      <c r="AN35" s="13">
        <f>AN29</f>
        <v>4.1524511567563649E-2</v>
      </c>
      <c r="AP35" s="13">
        <f t="shared" ref="AP35" si="42">AP29</f>
        <v>1.9000000000000003E-2</v>
      </c>
      <c r="AQ35" s="13">
        <f t="shared" si="33"/>
        <v>1.8299423709187523E-2</v>
      </c>
      <c r="AS35" s="13">
        <f t="shared" ref="AS35" si="43">AS29</f>
        <v>7.0999999999999994E-2</v>
      </c>
      <c r="AT35" s="13">
        <f t="shared" si="33"/>
        <v>6.9564625717019046E-3</v>
      </c>
      <c r="AX35" s="13">
        <f>AX29</f>
        <v>3.0027932960893854E-2</v>
      </c>
      <c r="AY35" s="13">
        <f>AY29</f>
        <v>0.15544418838604324</v>
      </c>
      <c r="BA35" s="13" t="str">
        <f t="shared" ref="BA35" si="44">BA29</f>
        <v>NA</v>
      </c>
      <c r="BB35" s="13">
        <f t="shared" si="33"/>
        <v>9.7125952856322084E-2</v>
      </c>
      <c r="BD35" s="13">
        <f t="shared" ref="BD35" si="45">BD29</f>
        <v>4.2000000000000003E-2</v>
      </c>
      <c r="BE35" s="13">
        <f t="shared" si="33"/>
        <v>5.1803713022787634E-2</v>
      </c>
      <c r="BG35" s="13" t="str">
        <f t="shared" ref="BG35" si="46">BG29</f>
        <v>NA</v>
      </c>
      <c r="BH35" s="13">
        <f t="shared" si="33"/>
        <v>3.3560688630728031E-2</v>
      </c>
    </row>
    <row r="36" spans="1:60" x14ac:dyDescent="0.2">
      <c r="D36">
        <f>SUM(D32:D35)</f>
        <v>1</v>
      </c>
      <c r="G36">
        <f>SUM(G32:G35)</f>
        <v>1</v>
      </c>
      <c r="J36">
        <f t="shared" ref="D36:BI36" si="47">SUM(J32:J35)</f>
        <v>1</v>
      </c>
      <c r="M36">
        <f t="shared" si="47"/>
        <v>1</v>
      </c>
      <c r="P36">
        <f t="shared" si="47"/>
        <v>1.0000000000000002</v>
      </c>
      <c r="S36">
        <f t="shared" si="47"/>
        <v>1</v>
      </c>
      <c r="V36">
        <f t="shared" si="47"/>
        <v>0.99999999999999989</v>
      </c>
      <c r="Y36">
        <f t="shared" si="47"/>
        <v>1</v>
      </c>
      <c r="AB36">
        <f t="shared" si="47"/>
        <v>0.99999536690484381</v>
      </c>
      <c r="AE36">
        <f t="shared" si="47"/>
        <v>0.99476756597930804</v>
      </c>
      <c r="AH36">
        <f t="shared" si="47"/>
        <v>1</v>
      </c>
      <c r="AK36">
        <f t="shared" si="47"/>
        <v>0.99999999999999989</v>
      </c>
      <c r="AN36">
        <f t="shared" si="47"/>
        <v>1</v>
      </c>
      <c r="AQ36">
        <f t="shared" si="47"/>
        <v>1</v>
      </c>
      <c r="AT36">
        <f t="shared" si="47"/>
        <v>0.99999999999999989</v>
      </c>
      <c r="AY36">
        <f t="shared" si="47"/>
        <v>1</v>
      </c>
      <c r="BB36">
        <f t="shared" si="47"/>
        <v>1</v>
      </c>
      <c r="BE36">
        <f t="shared" si="47"/>
        <v>1</v>
      </c>
      <c r="BH36">
        <f t="shared" si="47"/>
        <v>0.99999999999999978</v>
      </c>
    </row>
    <row r="39" spans="1:60" x14ac:dyDescent="0.2">
      <c r="C39" t="s">
        <v>215</v>
      </c>
      <c r="D39" t="s">
        <v>216</v>
      </c>
    </row>
    <row r="40" spans="1:60" x14ac:dyDescent="0.2">
      <c r="A40" s="16" t="s">
        <v>217</v>
      </c>
      <c r="C40">
        <v>0.877</v>
      </c>
      <c r="D40">
        <f>B21/B22</f>
        <v>0.72473485467694798</v>
      </c>
      <c r="F40">
        <v>0.79600000000000004</v>
      </c>
      <c r="G40">
        <f t="shared" ref="E40:BH40" si="48">E21/E22</f>
        <v>0.55627472630214125</v>
      </c>
      <c r="I40">
        <v>0.82899999999999996</v>
      </c>
      <c r="J40">
        <f t="shared" si="48"/>
        <v>0.75939089679861571</v>
      </c>
      <c r="L40">
        <v>0.71899999999999997</v>
      </c>
      <c r="M40">
        <f t="shared" si="48"/>
        <v>0.70151682335857746</v>
      </c>
      <c r="O40">
        <v>0.80700000000000005</v>
      </c>
      <c r="P40">
        <f t="shared" si="48"/>
        <v>0.665840643276008</v>
      </c>
      <c r="R40">
        <v>0.78200000000000003</v>
      </c>
      <c r="S40">
        <f t="shared" si="48"/>
        <v>0.59368840753301177</v>
      </c>
      <c r="U40">
        <v>0.68700000000000006</v>
      </c>
      <c r="V40">
        <f t="shared" si="48"/>
        <v>0.53536522955187715</v>
      </c>
      <c r="X40">
        <v>0.74399999999999999</v>
      </c>
      <c r="Y40">
        <f t="shared" si="48"/>
        <v>0.53118142062696538</v>
      </c>
      <c r="AA40">
        <v>0.83599999999999997</v>
      </c>
      <c r="AB40">
        <f t="shared" si="48"/>
        <v>0.6257303316424464</v>
      </c>
      <c r="AD40">
        <v>0.81699999999999995</v>
      </c>
      <c r="AE40">
        <f t="shared" si="48"/>
        <v>0.75242170044228707</v>
      </c>
      <c r="AG40">
        <v>0.79800000000000004</v>
      </c>
      <c r="AH40">
        <f t="shared" si="48"/>
        <v>0.62743625870864206</v>
      </c>
      <c r="AJ40">
        <v>0.76300000000000001</v>
      </c>
      <c r="AK40">
        <f t="shared" si="48"/>
        <v>0.83470406757899407</v>
      </c>
      <c r="AM40">
        <v>0.84799999999999998</v>
      </c>
      <c r="AN40">
        <f t="shared" si="48"/>
        <v>0.59630653539646294</v>
      </c>
      <c r="AP40">
        <v>0.79</v>
      </c>
      <c r="AQ40">
        <f t="shared" si="48"/>
        <v>0.61505763969715888</v>
      </c>
      <c r="AS40">
        <v>0.84199999999999997</v>
      </c>
      <c r="AT40">
        <f t="shared" si="48"/>
        <v>0.6734352766808579</v>
      </c>
      <c r="AX40">
        <v>0.752</v>
      </c>
      <c r="AY40">
        <f t="shared" si="48"/>
        <v>0.65125460781168021</v>
      </c>
      <c r="BA40">
        <v>0.79800000000000004</v>
      </c>
      <c r="BB40">
        <f t="shared" si="48"/>
        <v>0.74219943065432847</v>
      </c>
      <c r="BD40">
        <v>0.56200000000000006</v>
      </c>
      <c r="BE40">
        <f t="shared" si="48"/>
        <v>0.44429041462048913</v>
      </c>
      <c r="BG40">
        <v>0.69799999999999995</v>
      </c>
      <c r="BH40">
        <f t="shared" si="48"/>
        <v>0.52538632961788545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Detailed Computations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Bluebery Planterose</cp:lastModifiedBy>
  <dcterms:created xsi:type="dcterms:W3CDTF">2021-12-15T09:10:44Z</dcterms:created>
  <dcterms:modified xsi:type="dcterms:W3CDTF">2021-12-16T17:14:56Z</dcterms:modified>
</cp:coreProperties>
</file>