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haco-my.sharepoint.com/personal/nguyentamquang_thaco_com_vn/Documents/1. CNTT VP HCM/01. QUAN TRI CNTT/0. DU AN CNTT/02. DU AN NHAN SU/HO SO DU AN/Mẫu bảng công - bảng lương/"/>
    </mc:Choice>
  </mc:AlternateContent>
  <xr:revisionPtr revIDLastSave="27" documentId="8_{0D628512-A9B9-42C5-AE0D-ACA16C9EB9BA}" xr6:coauthVersionLast="47" xr6:coauthVersionMax="47" xr10:uidLastSave="{8568A248-C4B9-4591-953E-36C883037907}"/>
  <bookViews>
    <workbookView xWindow="-120" yWindow="-120" windowWidth="29040" windowHeight="15720" xr2:uid="{A7244186-CF2E-49F6-8B31-FCA03CF8CF4A}"/>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"SQRT"</definedName>
    <definedName name="_.._mik">#REF!</definedName>
    <definedName name="_?">#REF!</definedName>
    <definedName name="_??">#N/A</definedName>
    <definedName name="_??????">#REF!</definedName>
    <definedName name="_?1">#N/A</definedName>
    <definedName name="_?271">#N/A</definedName>
    <definedName name="_?춑_TOTAL">#N/A</definedName>
    <definedName name="_?춮t2">#N/A</definedName>
    <definedName name="__?">#N/A</definedName>
    <definedName name="__??">#N/A</definedName>
    <definedName name="__??????">#REF!</definedName>
    <definedName name="__?1">#N/A</definedName>
    <definedName name="__?271">#N/A</definedName>
    <definedName name="___?">#REF!</definedName>
    <definedName name="___??????">#REF!</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xlnm._FilterDatabase" localSheetId="0" hidden="1">Bangluong!$A$12:$FQ$19</definedName>
    <definedName name="_xlnm._FilterDatabase"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#N/A</definedName>
    <definedName name="√">"SQRT"</definedName>
    <definedName name="※_추후_NAVA__PROJECT는__부품_">#REF!</definedName>
    <definedName name="②도입임차금_기타">#REF!</definedName>
    <definedName name="③단자인건비_인건비">#REF!</definedName>
    <definedName name="⑤이자리스료_일반">#REF!</definedName>
    <definedName name="A">"?A*"</definedName>
    <definedName name="á">#N/A</definedName>
    <definedName name="â">#REF!</definedName>
    <definedName name="ấ">#N/A</definedName>
    <definedName name="Ằ">#N/A</definedName>
    <definedName name="A.">#REF!</definedName>
    <definedName name="a_">#REF!</definedName>
    <definedName name="a___May">#REF!</definedName>
    <definedName name="a___Nhan_cong">#REF!</definedName>
    <definedName name="a___vat_lieu">#REF!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BB">#REF!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4">#REF!</definedName>
    <definedName name="B.5">#REF!</definedName>
    <definedName name="B.6">#REF!</definedName>
    <definedName name="B.7">#REF!</definedName>
    <definedName name="b.8">#REF!</definedName>
    <definedName name="b.9">#REF!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ãn">#REF!</definedName>
    <definedName name="CÖÏ_LY_VAÄN_CHUYEÅ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d">#REF!</definedName>
    <definedName name="d.d1">#REF!</definedName>
    <definedName name="d.d2">#REF!</definedName>
    <definedName name="d.Xáy_âaï_häüc">#N/A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âdaw" hidden="1">{"'Sheet1'!$L$16"}</definedName>
    <definedName name="DĂDAW">#REF!</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Be_ton_dÀ">#N/A</definedName>
    <definedName name="G_C">#N/A</definedName>
    <definedName name="G_ME">#REF!</definedName>
    <definedName name="g_탩Y">#REF!</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_ng_mòc_cáng_trÖnh">#REF!</definedName>
    <definedName name="H_THUCHTHH">#REF!</definedName>
    <definedName name="H_THUCTT">#REF!</definedName>
    <definedName name="h_xoa" hidden="1">{"'Sheet1'!$L$16"}</definedName>
    <definedName name="h_xoa2" hidden="1">{"'Sheet1'!$L$16"}</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KÕt_cÊu_gæ__cõa__thÏp">#N/A</definedName>
    <definedName name="I_A">#REF!</definedName>
    <definedName name="I_B">#REF!</definedName>
    <definedName name="I_c">#REF!</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TrÀt">#N/A</definedName>
    <definedName name="l_1">#REF!</definedName>
    <definedName name="L_mong">#REF!</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TrÀt__câ_lìp_bÀm_dÛnh_bÂng_XM">#N/A</definedName>
    <definedName name="O_N">#REF!</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Bangluong!$A$1:$CG$19</definedName>
    <definedName name="_xlnm.Print_Area">#REF!</definedName>
    <definedName name="PRINT_AREA_MI">#REF!</definedName>
    <definedName name="PRINT_AREA_MI1">#REF!</definedName>
    <definedName name="Print_CEM_cc5">#REF!</definedName>
    <definedName name="_xlnm.Print_Titles">#N/A</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çp_tg__tró">#N/A</definedName>
    <definedName name="Q_So">#REF!</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LÀng_nÒn_san">#N/A</definedName>
    <definedName name="R_COVER">#REF!</definedName>
    <definedName name="R_F">#REF!</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LÀt">#N/A</definedName>
    <definedName name="S_2_Bï_v_nh">#REF!</definedName>
    <definedName name="S_Ⅱ">#REF!</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TrÇn">#N/A</definedName>
    <definedName name="T.T.THOẠI">#REF!</definedName>
    <definedName name="T_Ⅲ">#REF!</definedName>
    <definedName name="T_P">#REF!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18">#REF!</definedName>
    <definedName name="TB_CTO">#REF!</definedName>
    <definedName name="TB_Data">#REF!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#N/A</definedName>
    <definedName name="V_2">#N/A</definedName>
    <definedName name="V_3">#N/A</definedName>
    <definedName name="V_4">#N/A</definedName>
    <definedName name="V_i_ni_l_ng">#REF!</definedName>
    <definedName name="V_t_tõ">#REF!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ㄹ">#REF!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ㄻㄴㅇㄻㄴ">#REF!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ㄻ" hidden="1">#REF!</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 l="1"/>
  <c r="A15" i="1" s="1"/>
  <c r="A16" i="1" s="1"/>
  <c r="A17" i="1" s="1"/>
  <c r="A18" i="1" s="1"/>
  <c r="A19" i="1" s="1"/>
  <c r="FB19" i="1"/>
  <c r="EW19" i="1"/>
  <c r="DT19" i="1" s="1"/>
  <c r="DU19" i="1" s="1"/>
  <c r="AQ19" i="1" s="1"/>
  <c r="EP19" i="1"/>
  <c r="DJ19" i="1"/>
  <c r="DI19" i="1"/>
  <c r="DH19" i="1"/>
  <c r="DG19" i="1"/>
  <c r="CY19" i="1"/>
  <c r="DA19" i="1" s="1"/>
  <c r="CQ19" i="1"/>
  <c r="CM19" i="1"/>
  <c r="AN19" i="1" s="1"/>
  <c r="BY19" i="1"/>
  <c r="BS19" i="1"/>
  <c r="BP19" i="1"/>
  <c r="BO19" i="1"/>
  <c r="BN19" i="1"/>
  <c r="BG19" i="1"/>
  <c r="AL19" i="1"/>
  <c r="E19" i="1"/>
  <c r="F19" i="1" s="1"/>
  <c r="FB18" i="1"/>
  <c r="EW18" i="1"/>
  <c r="DT18" i="1" s="1"/>
  <c r="DU18" i="1" s="1"/>
  <c r="AQ18" i="1" s="1"/>
  <c r="EP18" i="1"/>
  <c r="DJ18" i="1"/>
  <c r="DI18" i="1"/>
  <c r="DH18" i="1"/>
  <c r="DG18" i="1"/>
  <c r="CY18" i="1"/>
  <c r="DA18" i="1" s="1"/>
  <c r="CQ18" i="1"/>
  <c r="CM18" i="1"/>
  <c r="BY18" i="1"/>
  <c r="BS18" i="1"/>
  <c r="BP18" i="1"/>
  <c r="BO18" i="1"/>
  <c r="BN18" i="1"/>
  <c r="BG18" i="1"/>
  <c r="AL18" i="1"/>
  <c r="E18" i="1"/>
  <c r="F18" i="1" s="1"/>
  <c r="AW18" i="1" s="1"/>
  <c r="FB17" i="1"/>
  <c r="I17" i="1" s="1"/>
  <c r="EW17" i="1"/>
  <c r="DT17" i="1" s="1"/>
  <c r="DU17" i="1" s="1"/>
  <c r="AQ17" i="1" s="1"/>
  <c r="EP17" i="1"/>
  <c r="DJ17" i="1"/>
  <c r="DI17" i="1"/>
  <c r="DH17" i="1"/>
  <c r="DG17" i="1"/>
  <c r="CY17" i="1"/>
  <c r="DA17" i="1" s="1"/>
  <c r="CQ17" i="1"/>
  <c r="CM17" i="1"/>
  <c r="AF17" i="1" s="1"/>
  <c r="BY17" i="1"/>
  <c r="BS17" i="1"/>
  <c r="BP17" i="1"/>
  <c r="BO17" i="1"/>
  <c r="BN17" i="1"/>
  <c r="BG17" i="1"/>
  <c r="AL17" i="1"/>
  <c r="E17" i="1"/>
  <c r="FB16" i="1"/>
  <c r="FC16" i="1" s="1"/>
  <c r="EW16" i="1"/>
  <c r="DT16" i="1" s="1"/>
  <c r="DU16" i="1" s="1"/>
  <c r="AQ16" i="1" s="1"/>
  <c r="EP16" i="1"/>
  <c r="DJ16" i="1"/>
  <c r="DI16" i="1"/>
  <c r="DH16" i="1"/>
  <c r="DG16" i="1"/>
  <c r="CY16" i="1"/>
  <c r="DA16" i="1" s="1"/>
  <c r="CQ16" i="1"/>
  <c r="CM16" i="1"/>
  <c r="BY16" i="1"/>
  <c r="BS16" i="1"/>
  <c r="BP16" i="1"/>
  <c r="BO16" i="1"/>
  <c r="BN16" i="1"/>
  <c r="BG16" i="1"/>
  <c r="AL16" i="1"/>
  <c r="E16" i="1"/>
  <c r="F16" i="1" s="1"/>
  <c r="AW16" i="1" s="1"/>
  <c r="FB15" i="1"/>
  <c r="EW15" i="1"/>
  <c r="DT15" i="1" s="1"/>
  <c r="DU15" i="1" s="1"/>
  <c r="AQ15" i="1" s="1"/>
  <c r="EP15" i="1"/>
  <c r="DJ15" i="1"/>
  <c r="DI15" i="1"/>
  <c r="DH15" i="1"/>
  <c r="DG15" i="1"/>
  <c r="CY15" i="1"/>
  <c r="DA15" i="1" s="1"/>
  <c r="CQ15" i="1"/>
  <c r="CM15" i="1"/>
  <c r="BY15" i="1"/>
  <c r="BS15" i="1"/>
  <c r="BP15" i="1"/>
  <c r="BO15" i="1"/>
  <c r="BN15" i="1"/>
  <c r="BQ15" i="1" s="1"/>
  <c r="BG15" i="1"/>
  <c r="AL15" i="1"/>
  <c r="E15" i="1"/>
  <c r="F15" i="1" s="1"/>
  <c r="FB14" i="1"/>
  <c r="I14" i="1" s="1"/>
  <c r="EW14" i="1"/>
  <c r="DT14" i="1" s="1"/>
  <c r="DU14" i="1" s="1"/>
  <c r="AQ14" i="1" s="1"/>
  <c r="EP14" i="1"/>
  <c r="DJ14" i="1"/>
  <c r="DI14" i="1"/>
  <c r="DH14" i="1"/>
  <c r="DG14" i="1"/>
  <c r="CY14" i="1"/>
  <c r="DA14" i="1" s="1"/>
  <c r="CQ14" i="1"/>
  <c r="CM14" i="1"/>
  <c r="AI14" i="1" s="1"/>
  <c r="BY14" i="1"/>
  <c r="BS14" i="1"/>
  <c r="BP14" i="1"/>
  <c r="BO14" i="1"/>
  <c r="BN14" i="1"/>
  <c r="BG14" i="1"/>
  <c r="AL14" i="1"/>
  <c r="E14" i="1"/>
  <c r="F14" i="1" s="1"/>
  <c r="FQ13" i="1"/>
  <c r="FB13" i="1"/>
  <c r="FC13" i="1" s="1"/>
  <c r="EW13" i="1"/>
  <c r="DT13" i="1" s="1"/>
  <c r="DU13" i="1" s="1"/>
  <c r="AQ13" i="1" s="1"/>
  <c r="EP13" i="1"/>
  <c r="DJ13" i="1"/>
  <c r="DI13" i="1"/>
  <c r="DH13" i="1"/>
  <c r="DG13" i="1"/>
  <c r="CY13" i="1"/>
  <c r="DA13" i="1" s="1"/>
  <c r="CQ13" i="1"/>
  <c r="CM13" i="1"/>
  <c r="AN13" i="1" s="1"/>
  <c r="BY13" i="1"/>
  <c r="BS13" i="1"/>
  <c r="BP13" i="1"/>
  <c r="BO13" i="1"/>
  <c r="BN13" i="1"/>
  <c r="BG13" i="1"/>
  <c r="AU13" i="1"/>
  <c r="AL13" i="1"/>
  <c r="AF13" i="1"/>
  <c r="E13" i="1"/>
  <c r="F13" i="1" s="1"/>
  <c r="A3" i="1"/>
  <c r="AF14" i="1" l="1"/>
  <c r="BQ18" i="1"/>
  <c r="EO18" i="1" s="1"/>
  <c r="FC14" i="1"/>
  <c r="DS18" i="1"/>
  <c r="AP18" i="1" s="1"/>
  <c r="AS15" i="1"/>
  <c r="DS19" i="1"/>
  <c r="AP19" i="1" s="1"/>
  <c r="BQ19" i="1"/>
  <c r="EO19" i="1" s="1"/>
  <c r="AW19" i="1"/>
  <c r="H14" i="1"/>
  <c r="J14" i="1" s="1"/>
  <c r="BJ14" i="1" s="1"/>
  <c r="FC15" i="1"/>
  <c r="I15" i="1"/>
  <c r="AV16" i="1"/>
  <c r="DS13" i="1"/>
  <c r="AP13" i="1" s="1"/>
  <c r="H16" i="1"/>
  <c r="AM16" i="1" s="1"/>
  <c r="AF16" i="1"/>
  <c r="AS18" i="1"/>
  <c r="CN13" i="1"/>
  <c r="DS14" i="1"/>
  <c r="AP14" i="1" s="1"/>
  <c r="AS16" i="1"/>
  <c r="I19" i="1"/>
  <c r="FC19" i="1"/>
  <c r="DS15" i="1"/>
  <c r="AP15" i="1" s="1"/>
  <c r="BQ16" i="1"/>
  <c r="EO16" i="1" s="1"/>
  <c r="I13" i="1"/>
  <c r="AU16" i="1"/>
  <c r="AV17" i="1"/>
  <c r="BQ17" i="1"/>
  <c r="EO17" i="1" s="1"/>
  <c r="DS16" i="1"/>
  <c r="AP16" i="1" s="1"/>
  <c r="AU17" i="1"/>
  <c r="AU19" i="1"/>
  <c r="AU14" i="1"/>
  <c r="FC17" i="1"/>
  <c r="AW15" i="1"/>
  <c r="H15" i="1"/>
  <c r="CN18" i="1"/>
  <c r="AU18" i="1"/>
  <c r="AN18" i="1"/>
  <c r="AV18" i="1"/>
  <c r="AN15" i="1"/>
  <c r="AV15" i="1"/>
  <c r="AU15" i="1"/>
  <c r="AF15" i="1"/>
  <c r="CN15" i="1"/>
  <c r="H13" i="1"/>
  <c r="AW13" i="1"/>
  <c r="AS17" i="1"/>
  <c r="H18" i="1"/>
  <c r="AM18" i="1" s="1"/>
  <c r="AF19" i="1"/>
  <c r="AS19" i="1"/>
  <c r="F17" i="1"/>
  <c r="DS17" i="1"/>
  <c r="AP17" i="1" s="1"/>
  <c r="EO15" i="1"/>
  <c r="FC18" i="1"/>
  <c r="I18" i="1"/>
  <c r="BQ13" i="1"/>
  <c r="AW14" i="1"/>
  <c r="AV14" i="1"/>
  <c r="AV19" i="1"/>
  <c r="CN14" i="1"/>
  <c r="AN16" i="1"/>
  <c r="CN16" i="1"/>
  <c r="CN19" i="1"/>
  <c r="AS14" i="1"/>
  <c r="AV13" i="1"/>
  <c r="I16" i="1"/>
  <c r="H19" i="1"/>
  <c r="AX19" i="1" s="1"/>
  <c r="AN17" i="1"/>
  <c r="CN17" i="1"/>
  <c r="AS13" i="1"/>
  <c r="BQ14" i="1"/>
  <c r="AF18" i="1"/>
  <c r="DV13" i="1" l="1"/>
  <c r="AH13" i="1" s="1"/>
  <c r="AY14" i="1"/>
  <c r="DV14" i="1"/>
  <c r="AH14" i="1" s="1"/>
  <c r="J16" i="1"/>
  <c r="K16" i="1" s="1"/>
  <c r="AO16" i="1" s="1"/>
  <c r="AX16" i="1"/>
  <c r="AY16" i="1"/>
  <c r="AG16" i="1"/>
  <c r="AN14" i="1"/>
  <c r="AI16" i="1"/>
  <c r="AX13" i="1"/>
  <c r="J15" i="1"/>
  <c r="K15" i="1" s="1"/>
  <c r="AX15" i="1"/>
  <c r="DV19" i="1"/>
  <c r="AH19" i="1" s="1"/>
  <c r="AY18" i="1"/>
  <c r="AO15" i="1"/>
  <c r="AX18" i="1"/>
  <c r="AM13" i="1"/>
  <c r="AY13" i="1"/>
  <c r="DV16" i="1"/>
  <c r="AH16" i="1" s="1"/>
  <c r="AX14" i="1"/>
  <c r="K14" i="1"/>
  <c r="AI19" i="1"/>
  <c r="AG18" i="1"/>
  <c r="DV18" i="1"/>
  <c r="AH18" i="1" s="1"/>
  <c r="DV15" i="1"/>
  <c r="AH15" i="1" s="1"/>
  <c r="AG14" i="1"/>
  <c r="AI15" i="1"/>
  <c r="EO13" i="1"/>
  <c r="BJ15" i="1"/>
  <c r="AM15" i="1"/>
  <c r="EO14" i="1"/>
  <c r="J19" i="1"/>
  <c r="AM19" i="1"/>
  <c r="AG19" i="1"/>
  <c r="AW17" i="1"/>
  <c r="H17" i="1"/>
  <c r="J17" i="1" s="1"/>
  <c r="BJ17" i="1" s="1"/>
  <c r="AG17" i="1"/>
  <c r="AY15" i="1"/>
  <c r="AY19" i="1"/>
  <c r="J18" i="1"/>
  <c r="AI18" i="1"/>
  <c r="J13" i="1"/>
  <c r="AI13" i="1"/>
  <c r="AG13" i="1"/>
  <c r="AG15" i="1"/>
  <c r="BJ16" i="1" l="1"/>
  <c r="AX17" i="1"/>
  <c r="DV17" i="1"/>
  <c r="AH17" i="1" s="1"/>
  <c r="AY17" i="1"/>
  <c r="BK16" i="1"/>
  <c r="BM16" i="1" s="1"/>
  <c r="BK15" i="1"/>
  <c r="CW15" i="1" s="1"/>
  <c r="DB15" i="1" s="1"/>
  <c r="DC15" i="1" s="1"/>
  <c r="BT15" i="1" s="1"/>
  <c r="AO14" i="1"/>
  <c r="AM14" i="1"/>
  <c r="K17" i="1"/>
  <c r="AO17" i="1" s="1"/>
  <c r="AI17" i="1"/>
  <c r="AM17" i="1"/>
  <c r="BJ13" i="1"/>
  <c r="K13" i="1"/>
  <c r="AO13" i="1" s="1"/>
  <c r="BK13" i="1" s="1"/>
  <c r="K19" i="1"/>
  <c r="AO19" i="1" s="1"/>
  <c r="BJ19" i="1"/>
  <c r="K18" i="1"/>
  <c r="AO18" i="1" s="1"/>
  <c r="BJ18" i="1"/>
  <c r="BK18" i="1" s="1"/>
  <c r="CW16" i="1" l="1"/>
  <c r="DB16" i="1" s="1"/>
  <c r="DC16" i="1" s="1"/>
  <c r="BT16" i="1" s="1"/>
  <c r="BK17" i="1"/>
  <c r="CW17" i="1" s="1"/>
  <c r="DB17" i="1" s="1"/>
  <c r="DC17" i="1" s="1"/>
  <c r="BT17" i="1" s="1"/>
  <c r="BK14" i="1"/>
  <c r="BM14" i="1" s="1"/>
  <c r="BM15" i="1"/>
  <c r="CW18" i="1"/>
  <c r="DB18" i="1" s="1"/>
  <c r="DC18" i="1" s="1"/>
  <c r="BT18" i="1" s="1"/>
  <c r="BM18" i="1"/>
  <c r="BV15" i="1"/>
  <c r="CF15" i="1" s="1"/>
  <c r="EQ15" i="1" s="1"/>
  <c r="BV16" i="1"/>
  <c r="CF16" i="1" s="1"/>
  <c r="BK19" i="1"/>
  <c r="BM13" i="1"/>
  <c r="CW13" i="1"/>
  <c r="DB13" i="1" s="1"/>
  <c r="DC13" i="1" s="1"/>
  <c r="BT13" i="1" s="1"/>
  <c r="BM17" i="1" l="1"/>
  <c r="CG15" i="1"/>
  <c r="ES15" i="1" s="1"/>
  <c r="CW14" i="1"/>
  <c r="DB14" i="1" s="1"/>
  <c r="DC14" i="1" s="1"/>
  <c r="BT14" i="1" s="1"/>
  <c r="BV14" i="1" s="1"/>
  <c r="CF14" i="1" s="1"/>
  <c r="EQ14" i="1"/>
  <c r="CG14" i="1"/>
  <c r="ES14" i="1" s="1"/>
  <c r="EQ16" i="1"/>
  <c r="CG16" i="1"/>
  <c r="ES16" i="1" s="1"/>
  <c r="BV18" i="1"/>
  <c r="CF18" i="1" s="1"/>
  <c r="BM19" i="1"/>
  <c r="CW19" i="1"/>
  <c r="DB19" i="1" s="1"/>
  <c r="DC19" i="1" s="1"/>
  <c r="BT19" i="1" s="1"/>
  <c r="BV17" i="1"/>
  <c r="CF17" i="1" s="1"/>
  <c r="BV13" i="1"/>
  <c r="CF13" i="1" s="1"/>
  <c r="EQ18" i="1" l="1"/>
  <c r="CG18" i="1"/>
  <c r="ES18" i="1" s="1"/>
  <c r="EQ13" i="1"/>
  <c r="CG13" i="1"/>
  <c r="ES13" i="1" s="1"/>
  <c r="EQ17" i="1"/>
  <c r="CG17" i="1"/>
  <c r="ES17" i="1" s="1"/>
  <c r="BV19" i="1"/>
  <c r="CF19" i="1" s="1"/>
  <c r="EQ19" i="1" l="1"/>
  <c r="CG19" i="1"/>
  <c r="ES19" i="1" s="1"/>
  <c r="CW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8" authorId="0" shapeId="0" xr:uid="{EC9214E7-1EF5-49C6-AFD1-54F63B97EEA3}">
      <text>
        <r>
          <rPr>
            <b/>
            <sz val="8"/>
            <color indexed="81"/>
            <rFont val="Tahoma"/>
            <family val="2"/>
          </rPr>
          <t>Administrator:</t>
        </r>
        <r>
          <rPr>
            <sz val="8"/>
            <color indexed="81"/>
            <rFont val="Tahoma"/>
            <family val="2"/>
          </rPr>
          <t xml:space="preserve">
CỘT NÀY THÊM VÀO ĐỂ TÍNH LƯƠNG NGHỈ LỄ ĐỐI VỚI NHÂN SỰ CHƯA CÓ LCB
</t>
        </r>
      </text>
    </comment>
    <comment ref="L8" authorId="1" shapeId="0" xr:uid="{EB478A3F-F88E-49F1-B80B-60EAE88E224A}">
      <text>
        <r>
          <rPr>
            <b/>
            <sz val="9"/>
            <color indexed="81"/>
            <rFont val="Tahoma"/>
            <family val="2"/>
          </rPr>
          <t>ADMIN:</t>
        </r>
        <r>
          <rPr>
            <sz val="9"/>
            <color indexed="81"/>
            <rFont val="Tahoma"/>
            <family val="2"/>
          </rPr>
          <t xml:space="preserve">
Cập nhật các nhân sự được duyệt điều chỉnh</t>
        </r>
      </text>
    </comment>
    <comment ref="BN8" authorId="2" shapeId="0" xr:uid="{F84B9D0E-D7B6-461A-8864-2052799B3456}">
      <text>
        <r>
          <rPr>
            <b/>
            <sz val="8"/>
            <color indexed="81"/>
            <rFont val="Tahoma"/>
            <family val="2"/>
          </rPr>
          <t>Thuy:</t>
        </r>
        <r>
          <rPr>
            <sz val="8"/>
            <color indexed="81"/>
            <rFont val="Tahoma"/>
            <family val="2"/>
          </rPr>
          <t xml:space="preserve">
không được vượt 30% một tháng</t>
        </r>
      </text>
    </comment>
    <comment ref="CT8" authorId="3" shapeId="0" xr:uid="{B76907B9-690B-487F-B896-0DCD3805011C}">
      <text>
        <r>
          <rPr>
            <sz val="8"/>
            <color indexed="81"/>
            <rFont val="Tahoma"/>
            <family val="2"/>
          </rPr>
          <t>lĐưa cột bảo hiểm trong bảng đóng BHXH</t>
        </r>
      </text>
    </comment>
    <comment ref="P9" authorId="4" shapeId="0" xr:uid="{6E1E0F38-0B32-4AE8-BD91-4E019FFFD97E}">
      <text>
        <r>
          <rPr>
            <b/>
            <sz val="14"/>
            <color indexed="81"/>
            <rFont val="Tahoma"/>
            <family val="2"/>
          </rPr>
          <t>Cột sử dụng cho Cơ điện</t>
        </r>
      </text>
    </comment>
    <comment ref="U9" authorId="0" shapeId="0" xr:uid="{1AB6972B-F845-4FE8-983B-74C403846A1C}">
      <text>
        <r>
          <rPr>
            <b/>
            <sz val="8"/>
            <color indexed="81"/>
            <rFont val="Tahoma"/>
            <family val="2"/>
          </rPr>
          <t>Administrator:</t>
        </r>
        <r>
          <rPr>
            <sz val="8"/>
            <color indexed="81"/>
            <rFont val="Tahoma"/>
            <family val="2"/>
          </rPr>
          <t xml:space="preserve">
có những trường hợp làm tăng ca </t>
        </r>
      </text>
    </comment>
    <comment ref="Z9" authorId="5" shapeId="0" xr:uid="{E277B68D-CCE5-4EA2-AF50-55BAC2825C90}">
      <text>
        <r>
          <rPr>
            <b/>
            <sz val="9"/>
            <color indexed="81"/>
            <rFont val="Tahoma"/>
            <family val="2"/>
          </rPr>
          <t>Nguyen Thi Hoa:</t>
        </r>
        <r>
          <rPr>
            <sz val="9"/>
            <color indexed="81"/>
            <rFont val="Tahoma"/>
            <family val="2"/>
          </rPr>
          <t xml:space="preserve">
NV do KH SXKD</t>
        </r>
      </text>
    </comment>
    <comment ref="AU9" authorId="5" shapeId="0" xr:uid="{F2475F31-48AB-4040-8A9B-F65F20B46BAB}">
      <text>
        <r>
          <rPr>
            <b/>
            <sz val="9"/>
            <color indexed="81"/>
            <rFont val="Tahoma"/>
            <family val="2"/>
          </rPr>
          <t>Nguyen Thi Hoa:</t>
        </r>
        <r>
          <rPr>
            <sz val="9"/>
            <color indexed="81"/>
            <rFont val="Tahoma"/>
            <family val="2"/>
          </rPr>
          <t xml:space="preserve">
= Lương HĐLĐ/26 * thời gian người lao động không nghỉ khi hành kinh, khi nuôi con dưới 12 tháng tuổi.</t>
        </r>
      </text>
    </comment>
    <comment ref="AY9" authorId="3" shapeId="0" xr:uid="{777B929A-B4FE-4B70-AD22-859CA25214CD}">
      <text>
        <r>
          <rPr>
            <b/>
            <sz val="8"/>
            <color indexed="81"/>
            <rFont val="Tahoma"/>
            <family val="2"/>
          </rPr>
          <t>Dự trừ phát sinh</t>
        </r>
      </text>
    </comment>
    <comment ref="CT9" authorId="3" shapeId="0" xr:uid="{767AFDD3-D459-43CA-8C0D-778C716A5720}">
      <text>
        <r>
          <rPr>
            <sz val="8"/>
            <color indexed="81"/>
            <rFont val="Tahoma"/>
            <family val="2"/>
          </rPr>
          <t>lĐưa cột bảo hiểm trong bảng đóng BHXH</t>
        </r>
      </text>
    </comment>
    <comment ref="CU9" authorId="0" shapeId="0" xr:uid="{469C17CD-F509-4DDD-90BA-E280DFC7A977}">
      <text>
        <r>
          <rPr>
            <b/>
            <sz val="8"/>
            <color indexed="81"/>
            <rFont val="Tahoma"/>
            <family val="2"/>
          </rPr>
          <t>Administrator:</t>
        </r>
        <r>
          <rPr>
            <sz val="8"/>
            <color indexed="81"/>
            <rFont val="Tahoma"/>
            <family val="2"/>
          </rPr>
          <t xml:space="preserve">
các khoản thu nhập khác chưa tính thuế
</t>
        </r>
      </text>
    </comment>
    <comment ref="DX9" authorId="5" shapeId="0" xr:uid="{6E5FD026-8808-4D6D-868E-06120DDD2803}">
      <text>
        <r>
          <rPr>
            <b/>
            <sz val="9"/>
            <color indexed="81"/>
            <rFont val="Tahoma"/>
            <family val="2"/>
          </rPr>
          <t>Nguyen Thi Hoa:</t>
        </r>
        <r>
          <rPr>
            <sz val="9"/>
            <color indexed="81"/>
            <rFont val="Tahoma"/>
            <family val="2"/>
          </rPr>
          <t xml:space="preserve">
Tổng số ngày NV tháng 1/2023</t>
        </r>
      </text>
    </comment>
    <comment ref="DY9" authorId="5" shapeId="0" xr:uid="{C736CFD8-9304-4179-8622-F99DA12EEB37}">
      <text>
        <r>
          <rPr>
            <b/>
            <sz val="9"/>
            <color indexed="81"/>
            <rFont val="Tahoma"/>
            <family val="2"/>
          </rPr>
          <t>Nguyen Thi Hoa:</t>
        </r>
        <r>
          <rPr>
            <sz val="9"/>
            <color indexed="81"/>
            <rFont val="Tahoma"/>
            <family val="2"/>
          </rPr>
          <t xml:space="preserve">
Tổng số ngày NV tháng 2/2023</t>
        </r>
      </text>
    </comment>
    <comment ref="X10" authorId="1" shapeId="0" xr:uid="{0AA619ED-65CC-4F95-9388-CCEB8C35A0CF}">
      <text>
        <r>
          <rPr>
            <b/>
            <sz val="9"/>
            <color indexed="81"/>
            <rFont val="Tahoma"/>
            <family val="2"/>
          </rPr>
          <t>ADMIN:</t>
        </r>
        <r>
          <rPr>
            <sz val="9"/>
            <color indexed="81"/>
            <rFont val="Tahoma"/>
            <family val="2"/>
          </rPr>
          <t xml:space="preserve">
Đây là công tăng ca được tính thêm
(Phần đi làm đã cộng vào công chính)</t>
        </r>
      </text>
    </comment>
    <comment ref="BA13" authorId="4" shapeId="0" xr:uid="{A0FB0630-1AB9-475D-A9B8-7CA197A69579}">
      <text>
        <r>
          <rPr>
            <b/>
            <sz val="9"/>
            <color indexed="81"/>
            <rFont val="Tahoma"/>
            <family val="2"/>
          </rPr>
          <t xml:space="preserve">THEO BẢNG TÍNH BHXH THÁNG 10
</t>
        </r>
      </text>
    </comment>
    <comment ref="BA14" authorId="4" shapeId="0" xr:uid="{18FA7F4B-E73B-469C-8781-BE958CB17931}">
      <text>
        <r>
          <rPr>
            <b/>
            <sz val="9"/>
            <color indexed="81"/>
            <rFont val="Tahoma"/>
            <family val="2"/>
          </rPr>
          <t xml:space="preserve">THEO BẢNG TÍNH BHXH THÁNG 10
</t>
        </r>
      </text>
    </comment>
    <comment ref="BA15" authorId="4" shapeId="0" xr:uid="{150626A5-9672-466A-A497-0478A2FB4280}">
      <text>
        <r>
          <rPr>
            <b/>
            <sz val="9"/>
            <color indexed="81"/>
            <rFont val="Tahoma"/>
            <family val="2"/>
          </rPr>
          <t xml:space="preserve">THEO BẢNG TÍNH BHXH THÁNG 10
</t>
        </r>
      </text>
    </comment>
    <comment ref="BA16" authorId="4" shapeId="0" xr:uid="{BA4C39AD-625B-40FF-9EE9-8DFB8DE5772F}">
      <text>
        <r>
          <rPr>
            <b/>
            <sz val="9"/>
            <color indexed="81"/>
            <rFont val="Tahoma"/>
            <family val="2"/>
          </rPr>
          <t xml:space="preserve">THEO BẢNG TÍNH BHXH THÁNG 10
</t>
        </r>
      </text>
    </comment>
    <comment ref="BA17" authorId="4" shapeId="0" xr:uid="{914E97A8-2D84-4E44-8770-AEA9AC453476}">
      <text>
        <r>
          <rPr>
            <b/>
            <sz val="9"/>
            <color indexed="81"/>
            <rFont val="Tahoma"/>
            <family val="2"/>
          </rPr>
          <t xml:space="preserve">THEO BẢNG TÍNH BHXH THÁNG 10
</t>
        </r>
      </text>
    </comment>
    <comment ref="BA18" authorId="4" shapeId="0" xr:uid="{7B329359-8C0F-4AAA-AFFA-83F95A479321}">
      <text>
        <r>
          <rPr>
            <b/>
            <sz val="9"/>
            <color indexed="81"/>
            <rFont val="Tahoma"/>
            <family val="2"/>
          </rPr>
          <t xml:space="preserve">THEO BẢNG TÍNH BHXH THÁNG 10
</t>
        </r>
      </text>
    </comment>
    <comment ref="BA19" authorId="4" shapeId="0" xr:uid="{D747FB1F-8DA2-4BF6-BA34-28A3818DD1B3}">
      <text>
        <r>
          <rPr>
            <b/>
            <sz val="9"/>
            <color indexed="81"/>
            <rFont val="Tahoma"/>
            <family val="2"/>
          </rPr>
          <t xml:space="preserve">THEO BẢNG TÍNH BHXH THÁNG 10
</t>
        </r>
      </text>
    </comment>
  </commentList>
</comments>
</file>

<file path=xl/sharedStrings.xml><?xml version="1.0" encoding="utf-8"?>
<sst xmlns="http://schemas.openxmlformats.org/spreadsheetml/2006/main" count="331" uniqueCount="226">
  <si>
    <t>CÔNG TY TNHH SẢN XUẤT KEO VÀ DUNG DỊCH CHUYÊN DỤNG Ô TÔ CHU LAI</t>
  </si>
  <si>
    <t>MST: 4001113268</t>
  </si>
  <si>
    <t>Địa chỉ: KCN Ô tô Chu Lai Trường Hải - Tam Hiệp - Núi Thành - Quảng Nam</t>
  </si>
  <si>
    <t>THÊM</t>
  </si>
  <si>
    <t>CHỈNH</t>
  </si>
  <si>
    <t>KEO</t>
  </si>
  <si>
    <t>THỐNG KÊ LƯƠNG KỲ 1</t>
  </si>
  <si>
    <t>Tháng 11</t>
  </si>
  <si>
    <t>(in)</t>
  </si>
  <si>
    <t>TT</t>
  </si>
  <si>
    <t>MSNV</t>
  </si>
  <si>
    <t>Họ và tên</t>
  </si>
  <si>
    <t>Mức lương HĐLĐ</t>
  </si>
  <si>
    <t>Phụ cấp (PCCC, ATVSV)</t>
  </si>
  <si>
    <t>Mức Lương HĐLĐ + Phụ cấp</t>
  </si>
  <si>
    <t>Mức lương HĐTV</t>
  </si>
  <si>
    <t>Định mức thưởng HQCV</t>
  </si>
  <si>
    <t>Định mức thưởng HQCV Bổ sung</t>
  </si>
  <si>
    <t>Tổng Định mức thưởng HQCV</t>
  </si>
  <si>
    <t>ML HĐLĐ+ PC + Định mức thưởng HQCV</t>
  </si>
  <si>
    <t>Tỷ lệ % tạm ứng thưởng HQCV</t>
  </si>
  <si>
    <t>Ngày công trong tháng</t>
  </si>
  <si>
    <t>Các khoản được hưởng trong tháng</t>
  </si>
  <si>
    <t>Tổng thu nhập</t>
  </si>
  <si>
    <t>Tổng thu nhập đã tạm ứng kỳ I</t>
  </si>
  <si>
    <t>Tổng thu nhập còn lại kỳ II</t>
  </si>
  <si>
    <t>Các khoản khấu trừ lương</t>
  </si>
  <si>
    <t>Các khoản thu hộ/thu khác</t>
  </si>
  <si>
    <t>Tổng giảm trừ kỳ II</t>
  </si>
  <si>
    <t>Thực nhận kỳ II</t>
  </si>
  <si>
    <t>PHỤ</t>
  </si>
  <si>
    <t>VÙNG DỮ LIỆU PHỤ ĐỂ TÍNH LƯƠNG</t>
  </si>
  <si>
    <t>TAX</t>
  </si>
  <si>
    <t>VÙNG TÍNH THUẾ TNCN</t>
  </si>
  <si>
    <t>BP</t>
  </si>
  <si>
    <t>VÙNG TÍNH PHỤ CẤP NHÂN SỰ BIỆT PHÁI</t>
  </si>
  <si>
    <t>TNV</t>
  </si>
  <si>
    <t>VÙNG THEO DÕI LƯƠNG NGỪNG VIỆC</t>
  </si>
  <si>
    <t>MAIL</t>
  </si>
  <si>
    <t>VÙNG EMAIL LƯƠNG</t>
  </si>
  <si>
    <t>HRM</t>
  </si>
  <si>
    <t>VÙNG LƯƠNG THỰC TẾ TỪ HRM</t>
  </si>
  <si>
    <t>TTNS</t>
  </si>
  <si>
    <t>VÙNG THÔNG TIN NHÂN SỰ</t>
  </si>
  <si>
    <t>Công đi làm ngày thường</t>
  </si>
  <si>
    <t>Tăng ca ngày thường</t>
  </si>
  <si>
    <t>Chủ nhật (Chu Lai)</t>
  </si>
  <si>
    <t>Tổng công Chủ nhật
(BP)</t>
  </si>
  <si>
    <t>Công phụ cấp ban đêm</t>
  </si>
  <si>
    <t>Hiếu, hỉ</t>
  </si>
  <si>
    <t xml:space="preserve">Làm việc ngày Lễ Tết </t>
  </si>
  <si>
    <t xml:space="preserve">Nghỉ Lễ, Tết </t>
  </si>
  <si>
    <t>Ngày nghỉ Thứ 7</t>
  </si>
  <si>
    <t>Ngày ngừng việc trong tháng</t>
  </si>
  <si>
    <t>Phép năm tồn 2024</t>
  </si>
  <si>
    <t>Ngày ngừng BKK (do cúp điện, thiên tai..)</t>
  </si>
  <si>
    <t>Ngày phép năm nghỉ việc</t>
  </si>
  <si>
    <t xml:space="preserve">Ngày phép năm đã nghĩ </t>
  </si>
  <si>
    <t>Lương
Ngày thường</t>
  </si>
  <si>
    <t>Lương Tăng ca</t>
  </si>
  <si>
    <t>Lương chủ nhật</t>
  </si>
  <si>
    <t>Lương P/c ca đêm</t>
  </si>
  <si>
    <t>Để trống</t>
  </si>
  <si>
    <t>Lương Hiếu, Hỉ</t>
  </si>
  <si>
    <t>Lương làm việc ngày Lễ Tết</t>
  </si>
  <si>
    <t>Lương nghỉ Lễ/tết</t>
  </si>
  <si>
    <t>Chế độ thứ T7</t>
  </si>
  <si>
    <t>Phụ cấp công tác</t>
  </si>
  <si>
    <t>Tiền cơm</t>
  </si>
  <si>
    <t>Bồi dưỡng PHSK</t>
  </si>
  <si>
    <t>Truy lĩnh Bồi dưỡng PHSK</t>
  </si>
  <si>
    <t>Lương trả thêm cho LĐ nữ cho thời gian không nghỉ khi hành kinh)</t>
  </si>
  <si>
    <t>Phụ cấp PCCC (ĐT, ĐP), Phụ cấp AT-VSV</t>
  </si>
  <si>
    <t>Tiền lương ngừng việc</t>
  </si>
  <si>
    <t>Phép năm đã nghỉ</t>
  </si>
  <si>
    <t>Tiền phép năm tồn 2024</t>
  </si>
  <si>
    <t>Thưởng Nhân sự hỗ trợ</t>
  </si>
  <si>
    <t>Trả tiền bảo hiểm xã hội</t>
  </si>
  <si>
    <t>Trả tiền công đoàn thu dư</t>
  </si>
  <si>
    <t>Truy lĩnh lương/ Phép năm</t>
  </si>
  <si>
    <t>Tiền lương TNLĐ</t>
  </si>
  <si>
    <t>Trợ cấp TNLĐ</t>
  </si>
  <si>
    <t>Trợ cấp thôi việc/ mất việc làm</t>
  </si>
  <si>
    <t>Thanh toán Phép năm nghỉ việc</t>
  </si>
  <si>
    <t>Hỗ trợ Công ty</t>
  </si>
  <si>
    <t>….</t>
  </si>
  <si>
    <t>Tạm ứng thưởng HQCV</t>
  </si>
  <si>
    <t>BHXH</t>
  </si>
  <si>
    <t>BHYT</t>
  </si>
  <si>
    <t>BHTN</t>
  </si>
  <si>
    <t>BHXH, BHYT, BHTN (LCB*10,5%)</t>
  </si>
  <si>
    <t>Thu bổ sung BHXH</t>
  </si>
  <si>
    <t>Thu bổ sung phí công đoàn (0.5%)</t>
  </si>
  <si>
    <t>Thuế TNCN</t>
  </si>
  <si>
    <t>Thu bổ sung công đoàn</t>
  </si>
  <si>
    <t>Thu tiền điện thoại vượt mức</t>
  </si>
  <si>
    <t>Truy thu tiền lương/Phép năm</t>
  </si>
  <si>
    <t>Truy thu BD PHSK</t>
  </si>
  <si>
    <t>Tiền phúng điếu</t>
  </si>
  <si>
    <t>Thu bổ sung thuế TNCN</t>
  </si>
  <si>
    <t>Khấu trừ tiền mua xe ưu đãi</t>
  </si>
  <si>
    <t>Thu tiền nhà ở KBT</t>
  </si>
  <si>
    <t>Thu hộ tiền Bảo hiểm Công ty AEC</t>
  </si>
  <si>
    <t>Thu hộ …..</t>
  </si>
  <si>
    <t>Là Nữ (không bao gồm Nhân sự đang mang thai)</t>
  </si>
  <si>
    <t>MÃ ATVSV</t>
  </si>
  <si>
    <t>MA BH</t>
  </si>
  <si>
    <t>Ma KPCD</t>
  </si>
  <si>
    <t>Kiểm tra đối tượng hưởng lương</t>
  </si>
  <si>
    <t>Kiểm tra đối tượng hưởng tăng ca</t>
  </si>
  <si>
    <t>Thuộc đối tượng hưởng Tăng ca Cơ điện</t>
  </si>
  <si>
    <t>BD PHSK</t>
  </si>
  <si>
    <t>MỨC TIỀN</t>
  </si>
  <si>
    <t>Trừ tiền tang chế</t>
  </si>
  <si>
    <t>BHXH, BHYT, BHTN (NLĐ đóng 10.5%) - Thu ky I</t>
  </si>
  <si>
    <t>Thưởng khác</t>
  </si>
  <si>
    <t>Lương tháng 13 (Thưởng 2024)</t>
  </si>
  <si>
    <t>THU 
NHẬP CHỊU  THUẾ TNCN</t>
  </si>
  <si>
    <t>SỐ NGƯỜI PHỤ THUỘC</t>
  </si>
  <si>
    <t>GIẢM TRỪ GIA CẢNH</t>
  </si>
  <si>
    <t>GIẢM TRỪ BẢN THÂN</t>
  </si>
  <si>
    <t>TỔNG GIẢM TRỪ</t>
  </si>
  <si>
    <t>TỔNG THU 
NHẬP TÍNH
 THUẾ TNCN</t>
  </si>
  <si>
    <t>Thuế TNCN tháng</t>
  </si>
  <si>
    <t>Thuế TNCN đã trừ kỳ 1</t>
  </si>
  <si>
    <t>ĐỐI TƯỢNG BIỆT PHÁI</t>
  </si>
  <si>
    <t>Mức P/c Biệt phái Lào/ Cam</t>
  </si>
  <si>
    <t>Mức P/c Biệt phái Myanmar</t>
  </si>
  <si>
    <t>Mức P/c Biệt phái trong Nước</t>
  </si>
  <si>
    <t>Mức P/c Biệt phái Hàn Quốc</t>
  </si>
  <si>
    <t>Công chính Biệt phái</t>
  </si>
  <si>
    <t>Công Chủ nhật Biệt phái</t>
  </si>
  <si>
    <t>Phụ cấp Biệt phái</t>
  </si>
  <si>
    <t>Định mức điện thoại</t>
  </si>
  <si>
    <t>Phụ cấp Điện thoại</t>
  </si>
  <si>
    <t>Tiền lương Chủ nhật</t>
  </si>
  <si>
    <t>Tháng 01</t>
  </si>
  <si>
    <t>Tháng 02</t>
  </si>
  <si>
    <t>Tháng 03</t>
  </si>
  <si>
    <t>Tháng 04</t>
  </si>
  <si>
    <t>Tháng 05</t>
  </si>
  <si>
    <t>Tháng 06</t>
  </si>
  <si>
    <t>Tháng 07</t>
  </si>
  <si>
    <t>Tháng 08</t>
  </si>
  <si>
    <t>Tháng 09</t>
  </si>
  <si>
    <t>Tháng 10</t>
  </si>
  <si>
    <t>Tháng 12</t>
  </si>
  <si>
    <t>Số ngày TNV 14 ngày đầu</t>
  </si>
  <si>
    <t>Số ngày TNV từ ngày 15 trở đi</t>
  </si>
  <si>
    <t>Công đoàn thu kỳ 1</t>
  </si>
  <si>
    <t>Tang chế kỳ 1 (22 tin)</t>
  </si>
  <si>
    <t>Tổng giảm trừ kỳ 1</t>
  </si>
  <si>
    <t>Tổng giảm trừ cả tháng</t>
  </si>
  <si>
    <t>Thực nhận kỳ 1</t>
  </si>
  <si>
    <t>Thực nhận cả tháng</t>
  </si>
  <si>
    <t>MAIL LƯƠNG</t>
  </si>
  <si>
    <t>Ngày hiệu lực lương</t>
  </si>
  <si>
    <t>Ngạch</t>
  </si>
  <si>
    <t>Mức lương</t>
  </si>
  <si>
    <t>Các khoản phụ cấp được hưởng</t>
  </si>
  <si>
    <t>Tổng lương và các khoản PC khác</t>
  </si>
  <si>
    <t>Tình trạng</t>
  </si>
  <si>
    <t>Từ ngày</t>
  </si>
  <si>
    <t>Đến ngày</t>
  </si>
  <si>
    <t>Giới tính</t>
  </si>
  <si>
    <t>Chức vụ</t>
  </si>
  <si>
    <t>Bộ phận</t>
  </si>
  <si>
    <t>Đơn vị</t>
  </si>
  <si>
    <t>Pháp nhân chi lương</t>
  </si>
  <si>
    <t>Ngân hàng</t>
  </si>
  <si>
    <t>Số tài khoản</t>
  </si>
  <si>
    <t>Ngày thường</t>
  </si>
  <si>
    <t>Ngày Chủ nhật</t>
  </si>
  <si>
    <t>Lễ tết</t>
  </si>
  <si>
    <t>Chính</t>
  </si>
  <si>
    <t>Tăng ca</t>
  </si>
  <si>
    <t>Đi làm</t>
  </si>
  <si>
    <t>Nghỉ</t>
  </si>
  <si>
    <t>14 ngày đầu</t>
  </si>
  <si>
    <t>Từ ngày 15 trở đi</t>
  </si>
  <si>
    <t>Lương</t>
  </si>
  <si>
    <t>Tiền ĐT</t>
  </si>
  <si>
    <t>8%</t>
  </si>
  <si>
    <t>1,5%</t>
  </si>
  <si>
    <t>1%</t>
  </si>
  <si>
    <t>Lào/ Cam</t>
  </si>
  <si>
    <t>Myanmar</t>
  </si>
  <si>
    <t>Trong nước</t>
  </si>
  <si>
    <t>Hàn quốc</t>
  </si>
  <si>
    <t>PC chức danh</t>
  </si>
  <si>
    <t>PC kiêm nhiệm</t>
  </si>
  <si>
    <t>PC thâm niên</t>
  </si>
  <si>
    <t>Tổng PC</t>
  </si>
  <si>
    <t>X</t>
  </si>
  <si>
    <t>ATVSV</t>
  </si>
  <si>
    <t>1X</t>
  </si>
  <si>
    <t>CT</t>
  </si>
  <si>
    <t>TC CĐ</t>
  </si>
  <si>
    <t>Trừ tiền</t>
  </si>
  <si>
    <t>NHẬP</t>
  </si>
  <si>
    <t>CÔNG TY TNHH SẢN XUẤT NỘI THẤT Ô TÔ THACO</t>
  </si>
  <si>
    <t>BANK</t>
  </si>
  <si>
    <t>STK</t>
  </si>
  <si>
    <t>SỐ PHÉP</t>
  </si>
  <si>
    <t>SỐ TIỀN</t>
  </si>
  <si>
    <t>Nam</t>
  </si>
  <si>
    <t>Công ty Nội thất ô tô Tải, Bus</t>
  </si>
  <si>
    <t>Công ty TNHH Sản xuất Nội thất Ô tô THACO</t>
  </si>
  <si>
    <t>Nữ</t>
  </si>
  <si>
    <t>Phòng kỹ thuật</t>
  </si>
  <si>
    <t>M2</t>
  </si>
  <si>
    <t>Công nhân Lắp ráp</t>
  </si>
  <si>
    <t>Công nhân Cấp phát vật tư</t>
  </si>
  <si>
    <t>M4</t>
  </si>
  <si>
    <t>Công nhân Sản xuất Nệm</t>
  </si>
  <si>
    <t>Chuyền sản xuất nội thất dân dụng</t>
  </si>
  <si>
    <t>Công nhân Lắp ráp dây điện</t>
  </si>
  <si>
    <t>Chuyền sản xuất Dây điện Tải Bus</t>
  </si>
  <si>
    <t>Phó Quản đốc Xưởng Lắp ráp</t>
  </si>
  <si>
    <t>Nguyễn Thanh Kiều</t>
  </si>
  <si>
    <t>Trần Thị Ngọc Giàu</t>
  </si>
  <si>
    <t>Lê Thị Hà</t>
  </si>
  <si>
    <t>Ong Thị Đông</t>
  </si>
  <si>
    <t>Âu Thị Thanh Nguyệt</t>
  </si>
  <si>
    <t>Nguyễn Thị Phương Anh</t>
  </si>
  <si>
    <t>Võ Thị Lài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</si>
</sst>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_(* #,##0_);_(* \(#,##0\);_(* &quot;-&quot;??_);_(@_)"/>
    <numFmt numFmtId="167" formatCode="_-* #,##0.0_-;\-* #,##0.0_-;_-* &quot;-&quot;_-;_-@_-"/>
    <numFmt numFmtId="168" formatCode="_-* #,##0.00_-;\-* #,##0.00_-;_-* &quot;-&quot;_-;_-@_-"/>
    <numFmt numFmtId="169" formatCode="dd\.mm\.yyyy;@"/>
  </numFmts>
  <fonts count="21">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28"/>
      <name val="Times New Roman"/>
      <family val="1"/>
    </font>
    <font>
      <b/>
      <u/>
      <sz val="19"/>
      <name val="Times New Roman"/>
      <family val="1"/>
    </font>
    <font>
      <b/>
      <sz val="50"/>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b/>
      <sz val="8"/>
      <color indexed="81"/>
      <name val="Tahoma"/>
      <family val="2"/>
    </font>
    <font>
      <sz val="8"/>
      <color indexed="81"/>
      <name val="Tahoma"/>
      <family val="2"/>
    </font>
    <font>
      <b/>
      <sz val="9"/>
      <color indexed="81"/>
      <name val="Tahoma"/>
      <family val="2"/>
    </font>
    <font>
      <sz val="9"/>
      <color indexed="81"/>
      <name val="Tahoma"/>
      <family val="2"/>
    </font>
    <font>
      <b/>
      <sz val="14"/>
      <color indexed="81"/>
      <name val="Tahoma"/>
      <family val="2"/>
    </font>
  </fonts>
  <fills count="11">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1" fillId="0" borderId="0"/>
    <xf numFmtId="165" fontId="15" fillId="0" borderId="0" applyFont="0" applyFill="0" applyBorder="0" applyAlignment="0" applyProtection="0"/>
  </cellStyleXfs>
  <cellXfs count="193">
    <xf numFmtId="0" fontId="0" fillId="0" borderId="0" xfId="0"/>
    <xf numFmtId="0" fontId="2" fillId="0" borderId="0" xfId="4" applyFont="1" applyAlignment="1">
      <alignment vertical="center"/>
    </xf>
    <xf numFmtId="166" fontId="4" fillId="0" borderId="0" xfId="1" applyNumberFormat="1" applyFont="1" applyFill="1" applyBorder="1" applyAlignment="1">
      <alignment horizontal="center" vertical="center"/>
    </xf>
    <xf numFmtId="166" fontId="4" fillId="0" borderId="0" xfId="1" applyNumberFormat="1" applyFont="1" applyFill="1" applyBorder="1" applyAlignment="1">
      <alignment horizontal="left" vertical="center"/>
    </xf>
    <xf numFmtId="0" fontId="5" fillId="0" borderId="0" xfId="4" applyFont="1" applyAlignment="1">
      <alignment vertical="center"/>
    </xf>
    <xf numFmtId="166" fontId="4" fillId="0" borderId="0" xfId="1" applyNumberFormat="1" applyFont="1" applyFill="1" applyBorder="1" applyAlignment="1">
      <alignment vertical="center"/>
    </xf>
    <xf numFmtId="167" fontId="4" fillId="0" borderId="0" xfId="2" applyNumberFormat="1" applyFont="1" applyFill="1" applyBorder="1" applyAlignment="1">
      <alignment vertical="center"/>
    </xf>
    <xf numFmtId="167" fontId="4" fillId="0" borderId="0" xfId="2" applyNumberFormat="1" applyFont="1" applyFill="1" applyBorder="1" applyAlignment="1">
      <alignment horizontal="center" vertical="center"/>
    </xf>
    <xf numFmtId="166" fontId="4" fillId="0" borderId="0" xfId="1" applyNumberFormat="1" applyFont="1" applyFill="1" applyBorder="1" applyAlignment="1">
      <alignment horizontal="right" vertical="center"/>
    </xf>
    <xf numFmtId="0" fontId="5" fillId="0" borderId="0" xfId="4" applyFont="1" applyAlignment="1">
      <alignment horizontal="center" vertical="center"/>
    </xf>
    <xf numFmtId="1" fontId="4" fillId="0" borderId="0" xfId="1" applyNumberFormat="1" applyFont="1" applyFill="1" applyBorder="1" applyAlignment="1">
      <alignment vertical="center"/>
    </xf>
    <xf numFmtId="166" fontId="5" fillId="0" borderId="0" xfId="1" applyNumberFormat="1" applyFont="1" applyFill="1" applyBorder="1" applyAlignment="1">
      <alignment horizontal="center" vertical="center"/>
    </xf>
    <xf numFmtId="43" fontId="5" fillId="0" borderId="0" xfId="1" applyFont="1" applyFill="1" applyBorder="1" applyAlignment="1">
      <alignment horizontal="center" vertical="center"/>
    </xf>
    <xf numFmtId="164" fontId="5" fillId="0" borderId="0" xfId="2" applyFont="1" applyFill="1" applyBorder="1" applyAlignment="1">
      <alignment horizontal="center" vertical="center"/>
    </xf>
    <xf numFmtId="9" fontId="5" fillId="0" borderId="0" xfId="3" applyFont="1" applyFill="1" applyBorder="1" applyAlignment="1">
      <alignment horizontal="center" vertical="center"/>
    </xf>
    <xf numFmtId="167" fontId="5" fillId="0" borderId="0" xfId="2" applyNumberFormat="1" applyFont="1" applyFill="1" applyBorder="1" applyAlignment="1">
      <alignment horizontal="center" vertical="center"/>
    </xf>
    <xf numFmtId="167" fontId="5" fillId="0" borderId="0" xfId="2" applyNumberFormat="1" applyFont="1" applyFill="1" applyBorder="1" applyAlignment="1">
      <alignment vertical="center"/>
    </xf>
    <xf numFmtId="164" fontId="5" fillId="0" borderId="0" xfId="2" applyFont="1" applyFill="1" applyBorder="1" applyAlignment="1">
      <alignment vertical="center"/>
    </xf>
    <xf numFmtId="166" fontId="5" fillId="0" borderId="0" xfId="1" applyNumberFormat="1" applyFont="1" applyFill="1" applyBorder="1" applyAlignment="1">
      <alignment vertical="center"/>
    </xf>
    <xf numFmtId="0" fontId="4" fillId="0" borderId="0" xfId="4" applyFont="1" applyAlignment="1">
      <alignment horizontal="center" vertical="center"/>
    </xf>
    <xf numFmtId="9" fontId="4" fillId="0" borderId="0" xfId="3" applyFont="1" applyFill="1" applyBorder="1" applyAlignment="1">
      <alignment horizontal="center" vertical="center"/>
    </xf>
    <xf numFmtId="0" fontId="5" fillId="0" borderId="0" xfId="1" applyNumberFormat="1" applyFont="1" applyFill="1" applyBorder="1" applyAlignment="1">
      <alignment vertical="center"/>
    </xf>
    <xf numFmtId="14" fontId="5" fillId="0" borderId="0" xfId="1" applyNumberFormat="1" applyFont="1" applyFill="1" applyBorder="1" applyAlignment="1">
      <alignment horizontal="center" vertical="center"/>
    </xf>
    <xf numFmtId="49" fontId="5" fillId="0" borderId="0" xfId="2" applyNumberFormat="1" applyFont="1" applyFill="1" applyBorder="1" applyAlignment="1">
      <alignment horizontal="left" vertical="center"/>
    </xf>
    <xf numFmtId="0" fontId="5" fillId="0" borderId="0" xfId="1" applyNumberFormat="1" applyFont="1" applyFill="1" applyBorder="1" applyAlignment="1">
      <alignment horizontal="left" vertical="center"/>
    </xf>
    <xf numFmtId="0" fontId="6" fillId="0" borderId="0" xfId="4" applyFont="1" applyAlignment="1">
      <alignment vertical="center"/>
    </xf>
    <xf numFmtId="166" fontId="7" fillId="0" borderId="0" xfId="1" applyNumberFormat="1" applyFont="1" applyFill="1" applyBorder="1" applyAlignment="1">
      <alignment horizontal="center" vertical="center"/>
    </xf>
    <xf numFmtId="43" fontId="4" fillId="0" borderId="0" xfId="1" applyFont="1" applyFill="1" applyBorder="1" applyAlignment="1">
      <alignment vertical="center"/>
    </xf>
    <xf numFmtId="0" fontId="7" fillId="0" borderId="0" xfId="4"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5" fillId="0" borderId="0" xfId="4" applyFont="1" applyAlignment="1">
      <alignment horizontal="left" vertical="center"/>
    </xf>
    <xf numFmtId="168" fontId="4" fillId="0" borderId="0" xfId="2" applyNumberFormat="1" applyFont="1" applyFill="1" applyBorder="1" applyAlignment="1">
      <alignment horizontal="left" vertical="center"/>
    </xf>
    <xf numFmtId="167" fontId="4" fillId="0" borderId="0" xfId="2" applyNumberFormat="1" applyFont="1" applyFill="1" applyBorder="1" applyAlignment="1">
      <alignment horizontal="left" vertical="center"/>
    </xf>
    <xf numFmtId="168" fontId="4" fillId="2" borderId="0" xfId="2" applyNumberFormat="1" applyFont="1" applyFill="1" applyBorder="1" applyAlignment="1">
      <alignment horizontal="left" vertical="center"/>
    </xf>
    <xf numFmtId="43" fontId="4" fillId="2" borderId="0" xfId="1" applyFont="1" applyFill="1" applyBorder="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left" vertical="center"/>
    </xf>
    <xf numFmtId="166"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4" fillId="2" borderId="0" xfId="0" applyFont="1" applyFill="1" applyAlignment="1">
      <alignment horizontal="center" vertical="center"/>
    </xf>
    <xf numFmtId="164" fontId="5" fillId="0" borderId="0" xfId="2" applyFont="1" applyFill="1" applyBorder="1" applyAlignment="1">
      <alignment horizontal="left" vertical="center"/>
    </xf>
    <xf numFmtId="9" fontId="5" fillId="0" borderId="0" xfId="3" applyFont="1" applyFill="1" applyBorder="1" applyAlignment="1">
      <alignment horizontal="left" vertical="center"/>
    </xf>
    <xf numFmtId="167" fontId="5" fillId="0" borderId="0" xfId="2" applyNumberFormat="1" applyFont="1" applyFill="1" applyBorder="1" applyAlignment="1">
      <alignment horizontal="left" vertical="center"/>
    </xf>
    <xf numFmtId="0" fontId="4" fillId="0" borderId="0" xfId="0" applyFont="1" applyAlignment="1">
      <alignment vertical="center"/>
    </xf>
    <xf numFmtId="9" fontId="4" fillId="0" borderId="0" xfId="3" applyFont="1" applyFill="1" applyBorder="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166" fontId="5" fillId="0" borderId="0" xfId="4" applyNumberFormat="1" applyFont="1" applyAlignment="1">
      <alignment horizontal="center" vertical="center"/>
    </xf>
    <xf numFmtId="166" fontId="9" fillId="3" borderId="0" xfId="1" applyNumberFormat="1" applyFont="1" applyFill="1" applyBorder="1" applyAlignment="1">
      <alignment horizontal="center" vertical="center" shrinkToFit="1"/>
    </xf>
    <xf numFmtId="166" fontId="10" fillId="3" borderId="0" xfId="1" applyNumberFormat="1" applyFont="1" applyFill="1" applyBorder="1" applyAlignment="1">
      <alignment horizontal="center" vertical="center"/>
    </xf>
    <xf numFmtId="165" fontId="5" fillId="0" borderId="0" xfId="4" applyNumberFormat="1" applyFont="1" applyAlignment="1">
      <alignment horizontal="center" vertical="center"/>
    </xf>
    <xf numFmtId="166" fontId="4" fillId="0" borderId="0" xfId="0" applyNumberFormat="1" applyFont="1" applyAlignment="1">
      <alignment vertical="center"/>
    </xf>
    <xf numFmtId="1" fontId="5" fillId="0" borderId="0" xfId="1" applyNumberFormat="1" applyFont="1" applyFill="1" applyBorder="1" applyAlignment="1">
      <alignment vertical="center" shrinkToFit="1"/>
    </xf>
    <xf numFmtId="1" fontId="4" fillId="0" borderId="0" xfId="0" applyNumberFormat="1" applyFont="1" applyAlignment="1">
      <alignment vertical="center"/>
    </xf>
    <xf numFmtId="1" fontId="4" fillId="0" borderId="0" xfId="1" applyNumberFormat="1" applyFont="1" applyFill="1" applyBorder="1" applyAlignment="1">
      <alignment horizontal="center" vertical="center"/>
    </xf>
    <xf numFmtId="166" fontId="5" fillId="0" borderId="0" xfId="1" applyNumberFormat="1" applyFont="1" applyFill="1" applyBorder="1" applyAlignment="1">
      <alignment horizontal="center" vertical="center" wrapText="1"/>
    </xf>
    <xf numFmtId="167" fontId="5" fillId="0" borderId="0" xfId="2" applyNumberFormat="1" applyFont="1" applyFill="1" applyBorder="1" applyAlignment="1">
      <alignment horizontal="center" vertical="center" wrapText="1"/>
    </xf>
    <xf numFmtId="0" fontId="5" fillId="0" borderId="0" xfId="4" applyFont="1" applyAlignment="1">
      <alignment horizontal="right" vertical="center"/>
    </xf>
    <xf numFmtId="1" fontId="5" fillId="0" borderId="0" xfId="4" applyNumberFormat="1" applyFont="1" applyAlignment="1">
      <alignment vertical="center"/>
    </xf>
    <xf numFmtId="1" fontId="5" fillId="0" borderId="0" xfId="4" applyNumberFormat="1" applyFont="1" applyAlignment="1">
      <alignment horizontal="center" vertical="center"/>
    </xf>
    <xf numFmtId="164" fontId="4" fillId="0" borderId="0" xfId="2" applyFont="1" applyFill="1" applyBorder="1" applyAlignment="1">
      <alignment horizontal="center" vertical="center"/>
    </xf>
    <xf numFmtId="43" fontId="5" fillId="0" borderId="0" xfId="1" applyFont="1" applyFill="1" applyBorder="1" applyAlignment="1">
      <alignment horizontal="center" vertical="center" wrapText="1"/>
    </xf>
    <xf numFmtId="9" fontId="5" fillId="0" borderId="0" xfId="3" applyFont="1" applyFill="1" applyBorder="1" applyAlignment="1">
      <alignment horizontal="center" vertical="center" wrapText="1"/>
    </xf>
    <xf numFmtId="166" fontId="11" fillId="4"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shrinkToFit="1"/>
    </xf>
    <xf numFmtId="0" fontId="11" fillId="0" borderId="0" xfId="0" applyFont="1" applyAlignment="1">
      <alignment horizontal="center" vertical="center"/>
    </xf>
    <xf numFmtId="166" fontId="11" fillId="7" borderId="1" xfId="1" applyNumberFormat="1" applyFont="1" applyFill="1" applyBorder="1" applyAlignment="1">
      <alignment horizontal="center" vertical="center" wrapText="1"/>
    </xf>
    <xf numFmtId="166" fontId="12" fillId="0" borderId="0" xfId="1" applyNumberFormat="1" applyFont="1" applyFill="1" applyBorder="1" applyAlignment="1">
      <alignment horizontal="center" vertical="center"/>
    </xf>
    <xf numFmtId="43" fontId="11" fillId="4" borderId="1" xfId="1" applyFont="1" applyFill="1" applyBorder="1" applyAlignment="1">
      <alignment horizontal="center" vertical="center" wrapText="1"/>
    </xf>
    <xf numFmtId="168" fontId="12" fillId="4" borderId="1" xfId="2" applyNumberFormat="1" applyFont="1" applyFill="1" applyBorder="1" applyAlignment="1">
      <alignment horizontal="center" vertical="center" wrapText="1"/>
    </xf>
    <xf numFmtId="49" fontId="11" fillId="4" borderId="1" xfId="1" applyNumberFormat="1" applyFont="1" applyFill="1" applyBorder="1" applyAlignment="1">
      <alignment horizontal="center" vertical="center" wrapText="1"/>
    </xf>
    <xf numFmtId="166" fontId="11" fillId="4" borderId="1" xfId="1" applyNumberFormat="1" applyFont="1" applyFill="1" applyBorder="1" applyAlignment="1">
      <alignment vertical="center" wrapText="1"/>
    </xf>
    <xf numFmtId="164" fontId="13" fillId="0" borderId="1" xfId="2" applyFont="1" applyFill="1" applyBorder="1" applyAlignment="1">
      <alignment horizontal="center" vertical="center" shrinkToFit="1"/>
    </xf>
    <xf numFmtId="167" fontId="13" fillId="0" borderId="1" xfId="2" applyNumberFormat="1" applyFont="1" applyFill="1" applyBorder="1" applyAlignment="1">
      <alignment horizontal="center" vertical="center" shrinkToFit="1"/>
    </xf>
    <xf numFmtId="164" fontId="12" fillId="0" borderId="0" xfId="2" applyFont="1" applyFill="1" applyBorder="1" applyAlignment="1">
      <alignment horizontal="center" vertical="center"/>
    </xf>
    <xf numFmtId="164" fontId="14" fillId="0" borderId="1" xfId="2" applyFont="1" applyFill="1" applyBorder="1" applyAlignment="1">
      <alignment horizontal="center" vertical="center" shrinkToFit="1"/>
    </xf>
    <xf numFmtId="164" fontId="13" fillId="0" borderId="0" xfId="2" applyFont="1" applyFill="1" applyBorder="1" applyAlignment="1">
      <alignment horizontal="center" vertical="center"/>
    </xf>
    <xf numFmtId="164" fontId="13" fillId="0" borderId="0" xfId="2" applyFont="1" applyFill="1" applyBorder="1" applyAlignment="1">
      <alignment horizontal="center" vertical="center" shrinkToFit="1"/>
    </xf>
    <xf numFmtId="164" fontId="13" fillId="0" borderId="2" xfId="2" applyFont="1" applyFill="1" applyBorder="1" applyAlignment="1">
      <alignment horizontal="center" vertical="center" shrinkToFit="1"/>
    </xf>
    <xf numFmtId="164" fontId="13" fillId="0" borderId="3" xfId="2" applyFont="1" applyFill="1" applyBorder="1" applyAlignment="1">
      <alignment horizontal="center" vertical="center" shrinkToFit="1"/>
    </xf>
    <xf numFmtId="164" fontId="11" fillId="9" borderId="1" xfId="2" applyFont="1" applyFill="1" applyBorder="1" applyAlignment="1">
      <alignment vertical="center"/>
    </xf>
    <xf numFmtId="0" fontId="11" fillId="9" borderId="1" xfId="2" applyNumberFormat="1" applyFont="1" applyFill="1" applyBorder="1" applyAlignment="1">
      <alignment vertical="center"/>
    </xf>
    <xf numFmtId="164" fontId="11" fillId="9" borderId="1" xfId="2" applyFont="1" applyFill="1" applyBorder="1" applyAlignment="1">
      <alignment horizontal="center" vertical="center"/>
    </xf>
    <xf numFmtId="167" fontId="11" fillId="9" borderId="1" xfId="2" applyNumberFormat="1" applyFont="1" applyFill="1" applyBorder="1" applyAlignment="1">
      <alignment vertical="center"/>
    </xf>
    <xf numFmtId="164" fontId="12" fillId="9" borderId="1" xfId="2" applyFont="1" applyFill="1" applyBorder="1" applyAlignment="1">
      <alignment horizontal="center" vertical="center"/>
    </xf>
    <xf numFmtId="9" fontId="12" fillId="9" borderId="1" xfId="3" applyFont="1" applyFill="1" applyBorder="1" applyAlignment="1">
      <alignment horizontal="center" vertical="center"/>
    </xf>
    <xf numFmtId="164" fontId="12" fillId="9" borderId="1" xfId="2" applyFont="1" applyFill="1" applyBorder="1" applyAlignment="1">
      <alignment vertical="center"/>
    </xf>
    <xf numFmtId="164" fontId="12" fillId="9" borderId="1" xfId="2" applyFont="1" applyFill="1" applyBorder="1" applyAlignment="1">
      <alignment vertical="center" wrapText="1"/>
    </xf>
    <xf numFmtId="0" fontId="12" fillId="9" borderId="1" xfId="2" applyNumberFormat="1" applyFont="1" applyFill="1" applyBorder="1" applyAlignment="1">
      <alignment vertical="center"/>
    </xf>
    <xf numFmtId="164" fontId="12" fillId="9" borderId="1" xfId="2" applyFont="1" applyFill="1" applyBorder="1" applyAlignment="1">
      <alignment vertical="center" shrinkToFit="1"/>
    </xf>
    <xf numFmtId="164" fontId="12" fillId="0" borderId="0" xfId="2" applyFont="1" applyFill="1" applyBorder="1" applyAlignment="1">
      <alignment vertical="center"/>
    </xf>
    <xf numFmtId="164" fontId="12" fillId="9" borderId="2" xfId="2" applyFont="1" applyFill="1" applyBorder="1" applyAlignment="1">
      <alignment vertical="center"/>
    </xf>
    <xf numFmtId="164" fontId="12" fillId="9" borderId="3" xfId="2" applyFont="1" applyFill="1" applyBorder="1" applyAlignment="1">
      <alignment vertical="center"/>
    </xf>
    <xf numFmtId="167" fontId="12" fillId="9" borderId="1" xfId="2" applyNumberFormat="1" applyFont="1" applyFill="1" applyBorder="1" applyAlignment="1">
      <alignment vertical="center"/>
    </xf>
    <xf numFmtId="0" fontId="12" fillId="9" borderId="2" xfId="2" applyNumberFormat="1" applyFont="1" applyFill="1" applyBorder="1" applyAlignment="1">
      <alignment vertical="center"/>
    </xf>
    <xf numFmtId="14" fontId="12" fillId="9" borderId="1" xfId="2" applyNumberFormat="1" applyFont="1" applyFill="1" applyBorder="1" applyAlignment="1">
      <alignment horizontal="center" vertical="center"/>
    </xf>
    <xf numFmtId="3" fontId="10" fillId="0" borderId="1" xfId="5" applyNumberFormat="1" applyFont="1" applyFill="1" applyBorder="1" applyAlignment="1">
      <alignment horizontal="center" vertical="center"/>
    </xf>
    <xf numFmtId="0" fontId="10" fillId="0" borderId="1" xfId="0" applyFont="1" applyBorder="1" applyAlignment="1">
      <alignment horizontal="left" vertical="center" shrinkToFit="1"/>
    </xf>
    <xf numFmtId="166" fontId="10" fillId="0" borderId="1" xfId="1" applyNumberFormat="1" applyFont="1" applyFill="1" applyBorder="1" applyAlignment="1">
      <alignment horizontal="center" vertical="center" shrinkToFit="1"/>
    </xf>
    <xf numFmtId="164" fontId="10" fillId="4" borderId="1" xfId="2" applyFont="1" applyFill="1" applyBorder="1" applyAlignment="1">
      <alignment horizontal="left" vertical="center" shrinkToFit="1"/>
    </xf>
    <xf numFmtId="166" fontId="10" fillId="4" borderId="1" xfId="1" applyNumberFormat="1" applyFont="1" applyFill="1" applyBorder="1" applyAlignment="1">
      <alignment horizontal="left" vertical="center" shrinkToFit="1"/>
    </xf>
    <xf numFmtId="166" fontId="10" fillId="0" borderId="1" xfId="1" applyNumberFormat="1" applyFont="1" applyFill="1" applyBorder="1" applyAlignment="1">
      <alignment horizontal="left" vertical="center" shrinkToFit="1"/>
    </xf>
    <xf numFmtId="9" fontId="10" fillId="4" borderId="1" xfId="3" applyFont="1" applyFill="1" applyBorder="1" applyAlignment="1">
      <alignment horizontal="center" vertical="center" shrinkToFit="1"/>
    </xf>
    <xf numFmtId="167" fontId="10" fillId="0" borderId="1" xfId="2" applyNumberFormat="1" applyFont="1" applyFill="1" applyBorder="1" applyAlignment="1">
      <alignment horizontal="center" vertical="center" shrinkToFit="1"/>
    </xf>
    <xf numFmtId="167" fontId="10" fillId="0" borderId="1" xfId="2" applyNumberFormat="1" applyFont="1" applyFill="1" applyBorder="1" applyAlignment="1">
      <alignment horizontal="left" vertical="center" shrinkToFit="1"/>
    </xf>
    <xf numFmtId="166" fontId="10" fillId="4" borderId="1" xfId="1" applyNumberFormat="1" applyFont="1" applyFill="1" applyBorder="1" applyAlignment="1">
      <alignment horizontal="center" vertical="center" shrinkToFit="1"/>
    </xf>
    <xf numFmtId="166" fontId="10" fillId="4" borderId="1" xfId="1" applyNumberFormat="1" applyFont="1" applyFill="1" applyBorder="1" applyAlignment="1">
      <alignment vertical="center" shrinkToFit="1"/>
    </xf>
    <xf numFmtId="166" fontId="10" fillId="0" borderId="1" xfId="1" applyNumberFormat="1" applyFont="1" applyFill="1" applyBorder="1" applyAlignment="1">
      <alignment vertical="center" shrinkToFit="1"/>
    </xf>
    <xf numFmtId="166" fontId="10" fillId="4" borderId="1" xfId="1" quotePrefix="1" applyNumberFormat="1" applyFont="1" applyFill="1" applyBorder="1" applyAlignment="1">
      <alignment horizontal="left" vertical="center" shrinkToFit="1"/>
    </xf>
    <xf numFmtId="166" fontId="10" fillId="4" borderId="1" xfId="1" quotePrefix="1" applyNumberFormat="1" applyFont="1" applyFill="1" applyBorder="1" applyAlignment="1">
      <alignment horizontal="center" vertical="center" shrinkToFit="1"/>
    </xf>
    <xf numFmtId="43" fontId="10" fillId="0" borderId="1" xfId="1" applyFont="1" applyFill="1" applyBorder="1" applyAlignment="1">
      <alignment horizontal="left" vertical="center" shrinkToFit="1"/>
    </xf>
    <xf numFmtId="166" fontId="10" fillId="4" borderId="1" xfId="1" applyNumberFormat="1" applyFont="1" applyFill="1" applyBorder="1" applyAlignment="1">
      <alignment horizontal="right" vertical="center" shrinkToFit="1"/>
    </xf>
    <xf numFmtId="164" fontId="10" fillId="4" borderId="1" xfId="2" applyFont="1" applyFill="1" applyBorder="1" applyAlignment="1">
      <alignment horizontal="center" vertical="center" shrinkToFit="1"/>
    </xf>
    <xf numFmtId="43" fontId="10" fillId="4" borderId="1" xfId="1" applyFont="1" applyFill="1" applyBorder="1" applyAlignment="1">
      <alignment vertical="center" shrinkToFit="1"/>
    </xf>
    <xf numFmtId="43" fontId="10" fillId="0" borderId="1" xfId="1" applyFont="1" applyFill="1" applyBorder="1" applyAlignment="1">
      <alignment horizontal="center" vertical="center" shrinkToFit="1"/>
    </xf>
    <xf numFmtId="164" fontId="10" fillId="0" borderId="1" xfId="2" applyFont="1" applyFill="1" applyBorder="1" applyAlignment="1">
      <alignment horizontal="center" vertical="center" shrinkToFit="1"/>
    </xf>
    <xf numFmtId="43" fontId="10" fillId="0" borderId="1" xfId="2" applyNumberFormat="1" applyFont="1" applyFill="1" applyBorder="1" applyAlignment="1">
      <alignment horizontal="center" vertical="center" shrinkToFit="1"/>
    </xf>
    <xf numFmtId="166" fontId="10" fillId="0" borderId="1" xfId="2" applyNumberFormat="1" applyFont="1" applyFill="1" applyBorder="1" applyAlignment="1">
      <alignment horizontal="center" vertical="center" shrinkToFit="1"/>
    </xf>
    <xf numFmtId="43" fontId="10" fillId="0" borderId="1" xfId="2" applyNumberFormat="1" applyFont="1" applyFill="1" applyBorder="1" applyAlignment="1">
      <alignment vertical="center" shrinkToFit="1"/>
    </xf>
    <xf numFmtId="166" fontId="10" fillId="0" borderId="1" xfId="2" applyNumberFormat="1" applyFont="1" applyFill="1" applyBorder="1" applyAlignment="1">
      <alignment vertical="center" shrinkToFit="1"/>
    </xf>
    <xf numFmtId="167" fontId="10" fillId="0" borderId="1" xfId="2" applyNumberFormat="1" applyFont="1" applyFill="1" applyBorder="1" applyAlignment="1">
      <alignment vertical="center" shrinkToFit="1"/>
    </xf>
    <xf numFmtId="164" fontId="10" fillId="4" borderId="1" xfId="2" applyFont="1" applyFill="1" applyBorder="1" applyAlignment="1">
      <alignment vertical="center" shrinkToFit="1"/>
    </xf>
    <xf numFmtId="166" fontId="10" fillId="0" borderId="2" xfId="1" applyNumberFormat="1" applyFont="1" applyFill="1" applyBorder="1" applyAlignment="1">
      <alignment vertical="center" shrinkToFit="1"/>
    </xf>
    <xf numFmtId="43" fontId="10" fillId="0" borderId="1" xfId="1" applyFont="1" applyFill="1" applyBorder="1" applyAlignment="1">
      <alignment vertical="center" shrinkToFit="1"/>
    </xf>
    <xf numFmtId="14" fontId="10" fillId="0" borderId="1" xfId="0" applyNumberFormat="1" applyFont="1" applyBorder="1" applyAlignment="1">
      <alignment vertical="center" shrinkToFit="1"/>
    </xf>
    <xf numFmtId="0" fontId="10" fillId="0" borderId="3" xfId="0" applyFont="1" applyBorder="1" applyAlignment="1">
      <alignment vertical="center" shrinkToFit="1"/>
    </xf>
    <xf numFmtId="166" fontId="10" fillId="10" borderId="1" xfId="1" applyNumberFormat="1" applyFont="1" applyFill="1" applyBorder="1" applyAlignment="1">
      <alignment vertical="center" shrinkToFit="1"/>
    </xf>
    <xf numFmtId="166" fontId="10" fillId="0" borderId="1" xfId="0" applyNumberFormat="1" applyFont="1" applyBorder="1" applyAlignment="1">
      <alignment vertical="center" shrinkToFit="1"/>
    </xf>
    <xf numFmtId="169" fontId="10" fillId="0" borderId="1" xfId="1" applyNumberFormat="1" applyFont="1" applyFill="1" applyBorder="1" applyAlignment="1">
      <alignment horizontal="center" vertical="center" shrinkToFit="1"/>
    </xf>
    <xf numFmtId="166" fontId="9" fillId="4" borderId="1" xfId="1" applyNumberFormat="1" applyFont="1" applyFill="1" applyBorder="1" applyAlignment="1">
      <alignment horizontal="center" vertical="center" shrinkToFit="1"/>
    </xf>
    <xf numFmtId="0" fontId="10" fillId="0" borderId="2" xfId="1" applyNumberFormat="1" applyFont="1" applyFill="1" applyBorder="1" applyAlignment="1">
      <alignment vertical="center" shrinkToFit="1"/>
    </xf>
    <xf numFmtId="14" fontId="10" fillId="0" borderId="1" xfId="1" applyNumberFormat="1" applyFont="1" applyFill="1" applyBorder="1" applyAlignment="1">
      <alignment horizontal="center" vertical="center" shrinkToFit="1"/>
    </xf>
    <xf numFmtId="0" fontId="10" fillId="0" borderId="1" xfId="1" applyNumberFormat="1" applyFont="1" applyFill="1" applyBorder="1" applyAlignment="1">
      <alignment vertical="center" shrinkToFit="1"/>
    </xf>
    <xf numFmtId="0" fontId="10" fillId="0" borderId="1" xfId="0" applyFont="1" applyBorder="1" applyAlignment="1">
      <alignment vertical="center" shrinkToFit="1"/>
    </xf>
    <xf numFmtId="0" fontId="10" fillId="0" borderId="1" xfId="1" applyNumberFormat="1" applyFont="1" applyFill="1" applyBorder="1" applyAlignment="1">
      <alignment horizontal="left" vertical="center" shrinkToFit="1"/>
    </xf>
    <xf numFmtId="167" fontId="10" fillId="0" borderId="0" xfId="2" applyNumberFormat="1" applyFont="1" applyFill="1" applyBorder="1" applyAlignment="1">
      <alignment vertical="center"/>
    </xf>
    <xf numFmtId="164" fontId="10" fillId="0" borderId="0" xfId="2" applyFont="1" applyFill="1" applyBorder="1" applyAlignment="1">
      <alignment vertical="center"/>
    </xf>
    <xf numFmtId="0" fontId="10" fillId="0" borderId="0" xfId="0" applyFont="1" applyAlignment="1">
      <alignment vertical="center"/>
    </xf>
    <xf numFmtId="0" fontId="10" fillId="0" borderId="1" xfId="0" applyFont="1" applyBorder="1" applyAlignment="1">
      <alignment horizontal="center" vertical="center" shrinkToFit="1"/>
    </xf>
    <xf numFmtId="49" fontId="10" fillId="0" borderId="1" xfId="2" quotePrefix="1" applyNumberFormat="1" applyFont="1" applyFill="1" applyBorder="1" applyAlignment="1">
      <alignment vertical="center"/>
    </xf>
    <xf numFmtId="167" fontId="12" fillId="0" borderId="0" xfId="2" applyNumberFormat="1" applyFont="1" applyFill="1" applyBorder="1" applyAlignment="1">
      <alignment horizontal="center" vertical="center"/>
    </xf>
    <xf numFmtId="9" fontId="12" fillId="0" borderId="0" xfId="3" applyFont="1" applyFill="1" applyBorder="1" applyAlignment="1">
      <alignment horizontal="center" vertical="center"/>
    </xf>
    <xf numFmtId="0" fontId="12" fillId="0" borderId="0" xfId="0" applyFont="1" applyAlignment="1">
      <alignment horizontal="center" vertical="center"/>
    </xf>
    <xf numFmtId="166" fontId="12" fillId="0" borderId="0" xfId="1" applyNumberFormat="1" applyFont="1" applyFill="1" applyBorder="1" applyAlignment="1">
      <alignment vertical="center" wrapText="1"/>
    </xf>
    <xf numFmtId="166" fontId="12" fillId="0" borderId="0" xfId="1" applyNumberFormat="1" applyFont="1" applyFill="1" applyBorder="1" applyAlignment="1">
      <alignment vertical="center"/>
    </xf>
    <xf numFmtId="0" fontId="12" fillId="0" borderId="0" xfId="0" applyFont="1" applyAlignment="1">
      <alignment vertical="center"/>
    </xf>
    <xf numFmtId="168" fontId="12" fillId="0" borderId="0" xfId="2" applyNumberFormat="1" applyFont="1" applyFill="1" applyBorder="1" applyAlignment="1">
      <alignment horizontal="center" vertical="center"/>
    </xf>
    <xf numFmtId="166" fontId="12" fillId="0" borderId="0" xfId="1" applyNumberFormat="1" applyFont="1" applyFill="1" applyBorder="1" applyAlignment="1">
      <alignment horizontal="right" vertical="center"/>
    </xf>
    <xf numFmtId="1" fontId="12" fillId="0" borderId="0" xfId="1" applyNumberFormat="1" applyFont="1" applyFill="1" applyBorder="1" applyAlignment="1">
      <alignment vertical="center"/>
    </xf>
    <xf numFmtId="1" fontId="12" fillId="0" borderId="0" xfId="1" applyNumberFormat="1" applyFont="1" applyFill="1" applyBorder="1" applyAlignment="1">
      <alignment horizontal="center" vertical="center"/>
    </xf>
    <xf numFmtId="14" fontId="12" fillId="0" borderId="0" xfId="1" applyNumberFormat="1" applyFont="1" applyFill="1" applyBorder="1" applyAlignment="1">
      <alignment horizontal="center" vertical="center"/>
    </xf>
    <xf numFmtId="43" fontId="12" fillId="0" borderId="0" xfId="1" applyFont="1" applyFill="1" applyBorder="1" applyAlignment="1">
      <alignment horizontal="center" vertical="center"/>
    </xf>
    <xf numFmtId="167" fontId="12" fillId="0" borderId="0" xfId="2" applyNumberFormat="1" applyFont="1" applyFill="1" applyBorder="1" applyAlignment="1">
      <alignment vertical="center"/>
    </xf>
    <xf numFmtId="43" fontId="12" fillId="0" borderId="0" xfId="1" applyFont="1" applyFill="1" applyBorder="1" applyAlignment="1">
      <alignment vertical="center"/>
    </xf>
    <xf numFmtId="14" fontId="12" fillId="0" borderId="0" xfId="0" applyNumberFormat="1" applyFont="1" applyAlignment="1">
      <alignment vertical="center"/>
    </xf>
    <xf numFmtId="0" fontId="12" fillId="0" borderId="0" xfId="1" applyNumberFormat="1" applyFont="1" applyFill="1" applyBorder="1" applyAlignment="1">
      <alignment vertical="center"/>
    </xf>
    <xf numFmtId="49" fontId="12" fillId="0" borderId="0" xfId="2" applyNumberFormat="1" applyFont="1" applyFill="1" applyBorder="1" applyAlignment="1">
      <alignment horizontal="left" vertical="center"/>
    </xf>
    <xf numFmtId="0" fontId="12" fillId="0" borderId="0" xfId="1" applyNumberFormat="1" applyFont="1" applyFill="1" applyBorder="1" applyAlignment="1">
      <alignment horizontal="left" vertical="center"/>
    </xf>
    <xf numFmtId="0" fontId="11" fillId="4" borderId="1" xfId="1"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49" fontId="11" fillId="4" borderId="1" xfId="2" applyNumberFormat="1" applyFont="1" applyFill="1" applyBorder="1" applyAlignment="1">
      <alignment horizontal="center" vertical="center" wrapText="1"/>
    </xf>
    <xf numFmtId="0" fontId="11" fillId="2" borderId="2" xfId="2" applyNumberFormat="1" applyFont="1" applyFill="1" applyBorder="1" applyAlignment="1">
      <alignment horizontal="center" vertical="center" wrapText="1"/>
    </xf>
    <xf numFmtId="14" fontId="11" fillId="2" borderId="1" xfId="2" applyNumberFormat="1" applyFont="1" applyFill="1" applyBorder="1" applyAlignment="1">
      <alignment horizontal="center" vertical="center" wrapText="1"/>
    </xf>
    <xf numFmtId="166" fontId="11" fillId="4" borderId="1" xfId="1" applyNumberFormat="1" applyFont="1" applyFill="1" applyBorder="1" applyAlignment="1">
      <alignment horizontal="center" vertical="center" wrapText="1"/>
    </xf>
    <xf numFmtId="43" fontId="11" fillId="4" borderId="1" xfId="1" applyFont="1" applyFill="1" applyBorder="1" applyAlignment="1">
      <alignment horizontal="center" vertical="center"/>
    </xf>
    <xf numFmtId="43" fontId="11" fillId="4" borderId="1" xfId="1" applyFont="1" applyFill="1" applyBorder="1" applyAlignment="1">
      <alignment horizontal="center" vertical="center" wrapText="1"/>
    </xf>
    <xf numFmtId="0" fontId="11" fillId="4" borderId="3" xfId="0" applyFont="1" applyFill="1" applyBorder="1" applyAlignment="1">
      <alignment horizontal="center" vertical="center" wrapText="1"/>
    </xf>
    <xf numFmtId="166" fontId="11" fillId="4"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9" fontId="11" fillId="4" borderId="1" xfId="3"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4" fontId="11" fillId="8" borderId="1" xfId="2" applyFont="1" applyFill="1" applyBorder="1" applyAlignment="1">
      <alignment horizontal="center" vertical="center" wrapText="1"/>
    </xf>
    <xf numFmtId="164" fontId="11" fillId="4" borderId="1" xfId="2" applyFont="1" applyFill="1" applyBorder="1" applyAlignment="1">
      <alignment horizontal="center" vertical="center" wrapText="1"/>
    </xf>
    <xf numFmtId="166" fontId="11" fillId="7" borderId="1" xfId="1" applyNumberFormat="1" applyFont="1" applyFill="1" applyBorder="1" applyAlignment="1">
      <alignment horizontal="center" vertical="center" wrapText="1"/>
    </xf>
    <xf numFmtId="1" fontId="11" fillId="4" borderId="1" xfId="1" applyNumberFormat="1" applyFont="1" applyFill="1" applyBorder="1" applyAlignment="1">
      <alignment horizontal="center" vertical="center" wrapText="1"/>
    </xf>
    <xf numFmtId="166" fontId="11" fillId="2" borderId="1" xfId="1" applyNumberFormat="1" applyFont="1" applyFill="1" applyBorder="1" applyAlignment="1">
      <alignment horizontal="center" vertical="center" wrapText="1"/>
    </xf>
    <xf numFmtId="168" fontId="11" fillId="4" borderId="1" xfId="2" applyNumberFormat="1" applyFont="1" applyFill="1" applyBorder="1" applyAlignment="1">
      <alignment horizontal="center" vertical="center" wrapText="1"/>
    </xf>
    <xf numFmtId="43" fontId="11" fillId="5" borderId="1" xfId="1" applyFont="1" applyFill="1" applyBorder="1" applyAlignment="1">
      <alignment horizontal="center" vertical="center"/>
    </xf>
    <xf numFmtId="0" fontId="11" fillId="6" borderId="1" xfId="1" applyNumberFormat="1" applyFont="1" applyFill="1" applyBorder="1" applyAlignment="1">
      <alignment horizontal="center" vertical="center" wrapText="1"/>
    </xf>
    <xf numFmtId="166" fontId="11" fillId="6" borderId="1" xfId="1" applyNumberFormat="1" applyFont="1" applyFill="1" applyBorder="1" applyAlignment="1">
      <alignment horizontal="center" vertical="center" wrapText="1"/>
    </xf>
    <xf numFmtId="1" fontId="11" fillId="5" borderId="1" xfId="1" applyNumberFormat="1" applyFont="1" applyFill="1" applyBorder="1" applyAlignment="1">
      <alignment horizontal="center" vertical="center"/>
    </xf>
    <xf numFmtId="166" fontId="11" fillId="5" borderId="1" xfId="1" applyNumberFormat="1"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166" fontId="4" fillId="0" borderId="0" xfId="1" applyNumberFormat="1" applyFont="1" applyFill="1" applyBorder="1" applyAlignment="1">
      <alignment horizontal="center" vertical="center"/>
    </xf>
    <xf numFmtId="9" fontId="4" fillId="0" borderId="0" xfId="3" applyFont="1" applyFill="1" applyBorder="1" applyAlignment="1">
      <alignment horizontal="center" vertical="center"/>
    </xf>
    <xf numFmtId="0" fontId="4" fillId="0" borderId="0" xfId="0" applyFont="1" applyAlignment="1">
      <alignment horizontal="center" vertical="center"/>
    </xf>
    <xf numFmtId="43" fontId="4" fillId="0" borderId="0" xfId="1" applyFont="1" applyFill="1" applyBorder="1" applyAlignment="1">
      <alignment horizontal="center" vertical="center"/>
    </xf>
    <xf numFmtId="0" fontId="11" fillId="4" borderId="1" xfId="4" applyFont="1" applyFill="1" applyBorder="1" applyAlignment="1">
      <alignment horizontal="center" vertical="center"/>
    </xf>
  </cellXfs>
  <cellStyles count="6">
    <cellStyle name="1991-" xfId="4" xr:uid="{0E3213EE-79DE-4A0F-B0D4-1C6D818C1C84}"/>
    <cellStyle name="Comma" xfId="1" builtinId="3"/>
    <cellStyle name="Comma [0]" xfId="2" builtinId="6"/>
    <cellStyle name="Comma 2 87" xfId="5" xr:uid="{58433425-6889-41B7-836A-39BC5E1F0C93}"/>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Bang tinh truy linh OK"/>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HC cbnv"/>
      <sheetName val="LŨY KẾ"/>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Ds"/>
      <sheetName val="THƯ VIỆN"/>
      <sheetName val="Data"/>
      <sheetName val="INNOVA"/>
      <sheetName val="CK2_6"/>
      <sheetName val="CK_HDQT6"/>
      <sheetName val="GUI_NGAN_HANG_KY_2_THANG_0621"/>
      <sheetName val="Danh_sach6"/>
      <sheetName val="HSXL"/>
      <sheetName val="CP suamaybom"/>
      <sheetName val="Giá TB"/>
      <sheetName val="CAUDIT"/>
      <sheetName val="CK2_7"/>
      <sheetName val="CK_HDQT7"/>
      <sheetName val="GUI_NGAN_HANG_KY_2_THANG_0622"/>
      <sheetName val="Danh_sach7"/>
      <sheetName val="THƯ_VIỆN"/>
      <sheetName val="CP_suamaybom"/>
      <sheetName val="Giá_TB"/>
      <sheetName val="BGD"/>
      <sheetName val="KCS"/>
      <sheetName val="KD"/>
      <sheetName val="KH"/>
      <sheetName val="KT"/>
      <sheetName val="KTNL"/>
      <sheetName val="PX-SX"/>
      <sheetName val="TC"/>
      <sheetName val="Lcau - Lxuc"/>
      <sheetName val="CK2_8"/>
      <sheetName val="CK_HDQT8"/>
      <sheetName val="GUI_NGAN_HANG_KY_2_THANG_0623"/>
      <sheetName val="Danh_sach8"/>
      <sheetName val="THƯ_VIỆN1"/>
      <sheetName val="CP_suamaybom1"/>
      <sheetName val="Giá_TB1"/>
      <sheetName val="Lcau_-_Lxuc"/>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ow r="20">
          <cell r="D20">
            <v>522000000</v>
          </cell>
        </row>
      </sheetData>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sheetData sheetId="19"/>
      <sheetData sheetId="20">
        <row r="20">
          <cell r="D20">
            <v>522000000</v>
          </cell>
        </row>
      </sheetData>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ow r="20">
          <cell r="D20">
            <v>522000000</v>
          </cell>
        </row>
      </sheetData>
      <sheetData sheetId="48">
        <row r="20">
          <cell r="D20">
            <v>522000000</v>
          </cell>
        </row>
      </sheetData>
      <sheetData sheetId="49">
        <row r="20">
          <cell r="D20">
            <v>522000000</v>
          </cell>
        </row>
      </sheetData>
      <sheetData sheetId="50" refreshError="1"/>
      <sheetData sheetId="51" refreshError="1"/>
      <sheetData sheetId="52" refreshError="1"/>
      <sheetData sheetId="53" refreshError="1"/>
      <sheetData sheetId="54" refreshError="1"/>
      <sheetData sheetId="55"/>
      <sheetData sheetId="56">
        <row r="20">
          <cell r="D20">
            <v>522000000</v>
          </cell>
        </row>
      </sheetData>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ow r="20">
          <cell r="D20">
            <v>522000000</v>
          </cell>
        </row>
      </sheetData>
      <sheetData sheetId="73"/>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3FBF0-DBC6-4137-A56A-4C8D20A71814}">
  <sheetPr>
    <tabColor rgb="FFCC3300"/>
    <pageSetUpPr fitToPage="1"/>
  </sheetPr>
  <dimension ref="A1:FQ19"/>
  <sheetViews>
    <sheetView tabSelected="1" zoomScale="40" zoomScaleNormal="40" zoomScaleSheetLayoutView="40" workbookViewId="0">
      <pane xSplit="3" ySplit="10" topLeftCell="D11" activePane="bottomRight" state="frozen"/>
      <selection pane="topRight" activeCell="D1" sqref="D1"/>
      <selection pane="bottomLeft" activeCell="A11" sqref="A11"/>
      <selection pane="bottomRight" activeCell="C19" sqref="C19"/>
    </sheetView>
  </sheetViews>
  <sheetFormatPr defaultColWidth="9.140625" defaultRowHeight="26.25" outlineLevelRow="1" outlineLevelCol="2"/>
  <cols>
    <col min="1" max="1" width="14.5703125" style="145" customWidth="1"/>
    <col min="2" max="2" width="17.85546875" style="70" customWidth="1"/>
    <col min="3" max="3" width="49.85546875" style="146" bestFit="1" customWidth="1"/>
    <col min="4" max="4" width="23.5703125" style="147" customWidth="1" outlineLevel="1"/>
    <col min="5" max="5" width="21.85546875" style="147" customWidth="1" outlineLevel="1"/>
    <col min="6" max="6" width="22.85546875" style="147" customWidth="1"/>
    <col min="7" max="7" width="19.28515625" style="147" customWidth="1"/>
    <col min="8" max="8" width="25.28515625" style="147" customWidth="1" outlineLevel="1"/>
    <col min="9" max="9" width="19.28515625" style="147" customWidth="1" outlineLevel="1"/>
    <col min="10" max="10" width="20.5703125" style="148" customWidth="1"/>
    <col min="11" max="11" width="23.5703125" style="148" customWidth="1"/>
    <col min="12" max="12" width="15.7109375" style="148" customWidth="1" outlineLevel="1"/>
    <col min="13" max="15" width="15.85546875" style="149" customWidth="1"/>
    <col min="16" max="16" width="15.85546875" style="143" customWidth="1"/>
    <col min="17" max="17" width="19.85546875" style="143" customWidth="1"/>
    <col min="18" max="18" width="19.42578125" style="143" customWidth="1" outlineLevel="1"/>
    <col min="19" max="19" width="15.5703125" style="143" customWidth="1" outlineLevel="1"/>
    <col min="20" max="20" width="15.85546875" style="143" customWidth="1"/>
    <col min="21" max="22" width="13.85546875" style="143" customWidth="1" outlineLevel="1"/>
    <col min="23" max="23" width="15.85546875" style="143" customWidth="1" outlineLevel="1"/>
    <col min="24" max="25" width="14.85546875" style="149" customWidth="1"/>
    <col min="26" max="28" width="15.85546875" style="149" customWidth="1" outlineLevel="1"/>
    <col min="29" max="29" width="18.85546875" style="149" customWidth="1"/>
    <col min="30" max="30" width="15.85546875" style="149" customWidth="1" outlineLevel="1"/>
    <col min="31" max="31" width="15.85546875" style="149" customWidth="1"/>
    <col min="32" max="34" width="24.140625" style="147" customWidth="1"/>
    <col min="35" max="35" width="19.5703125" style="70" customWidth="1"/>
    <col min="36" max="37" width="19.140625" style="70" customWidth="1" outlineLevel="1"/>
    <col min="38" max="38" width="19.42578125" style="147" customWidth="1"/>
    <col min="39" max="40" width="19.42578125" style="147" customWidth="1" outlineLevel="1"/>
    <col min="41" max="41" width="23.5703125" style="147" customWidth="1"/>
    <col min="42" max="42" width="24.7109375" style="147" customWidth="1" outlineLevel="1"/>
    <col min="43" max="43" width="21.140625" style="147" customWidth="1" outlineLevel="1"/>
    <col min="44" max="44" width="19.42578125" style="147" customWidth="1" outlineLevel="1"/>
    <col min="45" max="45" width="19.42578125" style="147" customWidth="1"/>
    <col min="46" max="46" width="19.140625" style="147" customWidth="1"/>
    <col min="47" max="47" width="30.140625" style="147" customWidth="1"/>
    <col min="48" max="51" width="18.140625" style="147" customWidth="1"/>
    <col min="52" max="52" width="16.140625" style="147" customWidth="1" outlineLevel="1"/>
    <col min="53" max="53" width="17.140625" style="147" customWidth="1"/>
    <col min="54" max="54" width="19.140625" style="147" customWidth="1" outlineLevel="1"/>
    <col min="55" max="55" width="19.42578125" style="147" customWidth="1"/>
    <col min="56" max="56" width="19.85546875" style="147" customWidth="1" outlineLevel="1"/>
    <col min="57" max="57" width="19.140625" style="147" customWidth="1" outlineLevel="1"/>
    <col min="58" max="58" width="21.42578125" style="147" customWidth="1" outlineLevel="1"/>
    <col min="59" max="59" width="19.85546875" style="147" customWidth="1" outlineLevel="1"/>
    <col min="60" max="61" width="19.140625" style="147" customWidth="1" outlineLevel="1"/>
    <col min="62" max="63" width="25.85546875" style="147" customWidth="1"/>
    <col min="64" max="64" width="26.85546875" style="147" customWidth="1"/>
    <col min="65" max="65" width="23.42578125" style="147" customWidth="1"/>
    <col min="66" max="69" width="19.85546875" style="147" customWidth="1" outlineLevel="1"/>
    <col min="70" max="70" width="19.5703125" style="147" customWidth="1"/>
    <col min="71" max="71" width="20.42578125" style="70" customWidth="1" outlineLevel="1"/>
    <col min="72" max="72" width="22.7109375" style="150" customWidth="1"/>
    <col min="73" max="73" width="17.85546875" style="147" customWidth="1" outlineLevel="1"/>
    <col min="74" max="74" width="17.85546875" style="147" customWidth="1"/>
    <col min="75" max="75" width="21.42578125" style="147" customWidth="1"/>
    <col min="76" max="76" width="17.85546875" style="147" customWidth="1" outlineLevel="1"/>
    <col min="77" max="77" width="20.28515625" style="147" customWidth="1"/>
    <col min="78" max="83" width="17.85546875" style="147" customWidth="1" outlineLevel="1"/>
    <col min="84" max="84" width="24.140625" style="70" customWidth="1"/>
    <col min="85" max="85" width="24.28515625" style="143" customWidth="1"/>
    <col min="86" max="86" width="18.5703125" style="70" customWidth="1"/>
    <col min="87" max="87" width="20.85546875" style="70" customWidth="1" outlineLevel="1"/>
    <col min="88" max="88" width="19" style="70" customWidth="1" outlineLevel="1"/>
    <col min="89" max="90" width="19" style="151" customWidth="1" outlineLevel="1"/>
    <col min="91" max="91" width="24.140625" style="147" customWidth="1" outlineLevel="1"/>
    <col min="92" max="92" width="16.7109375" style="147" customWidth="1" outlineLevel="1"/>
    <col min="93" max="93" width="20.5703125" style="147" customWidth="1" outlineLevel="1"/>
    <col min="94" max="94" width="17.42578125" style="152" customWidth="1" outlineLevel="1"/>
    <col min="95" max="95" width="18.5703125" style="147" customWidth="1" outlineLevel="1"/>
    <col min="96" max="96" width="19" style="153" customWidth="1" outlineLevel="1"/>
    <col min="97" max="97" width="10.85546875" style="147" customWidth="1"/>
    <col min="98" max="98" width="26.140625" style="70" customWidth="1" outlineLevel="1"/>
    <col min="99" max="99" width="22.28515625" style="154" customWidth="1" outlineLevel="1"/>
    <col min="100" max="100" width="24.140625" style="70" customWidth="1" outlineLevel="1"/>
    <col min="101" max="101" width="23.85546875" style="70" customWidth="1" outlineLevel="1"/>
    <col min="102" max="102" width="24.140625" style="77" customWidth="1" outlineLevel="1"/>
    <col min="103" max="107" width="24.85546875" style="70" customWidth="1" outlineLevel="1"/>
    <col min="108" max="108" width="24.140625" style="70" customWidth="1" outlineLevel="1"/>
    <col min="109" max="109" width="11.5703125" style="147" customWidth="1"/>
    <col min="110" max="110" width="18.85546875" style="70" customWidth="1" outlineLevel="1"/>
    <col min="111" max="114" width="18.85546875" style="144" customWidth="1" outlineLevel="1"/>
    <col min="115" max="118" width="18.85546875" style="143" customWidth="1" outlineLevel="1"/>
    <col min="119" max="122" width="18.85546875" style="155" customWidth="1" outlineLevel="1"/>
    <col min="123" max="123" width="23.42578125" style="93" customWidth="1" outlineLevel="1"/>
    <col min="124" max="125" width="18.85546875" style="147" customWidth="1" outlineLevel="1"/>
    <col min="126" max="126" width="24.5703125" style="147" customWidth="1" outlineLevel="1"/>
    <col min="127" max="127" width="8.5703125" style="147" customWidth="1"/>
    <col min="128" max="139" width="15.42578125" style="156" customWidth="1" outlineLevel="1"/>
    <col min="140" max="140" width="15.42578125" style="157" customWidth="1" outlineLevel="1"/>
    <col min="141" max="141" width="15.42578125" style="148" customWidth="1" outlineLevel="1"/>
    <col min="142" max="142" width="8.5703125" style="147" customWidth="1"/>
    <col min="143" max="149" width="22.42578125" style="147" customWidth="1" outlineLevel="1"/>
    <col min="150" max="150" width="58.42578125" style="148" customWidth="1" outlineLevel="1"/>
    <col min="151" max="151" width="8.5703125" style="147" customWidth="1"/>
    <col min="152" max="152" width="24.140625" style="70" customWidth="1" outlineLevel="1"/>
    <col min="153" max="153" width="17.5703125" style="147" customWidth="1" outlineLevel="1"/>
    <col min="154" max="154" width="25.28515625" style="147" customWidth="1" outlineLevel="2"/>
    <col min="155" max="156" width="16.7109375" style="154" customWidth="1" outlineLevel="2"/>
    <col min="157" max="157" width="16.7109375" style="155" customWidth="1" outlineLevel="2"/>
    <col min="158" max="158" width="26" style="147" customWidth="1" outlineLevel="2"/>
    <col min="159" max="159" width="24.5703125" style="156" customWidth="1" outlineLevel="2"/>
    <col min="160" max="160" width="8.5703125" style="147" customWidth="1"/>
    <col min="161" max="161" width="18.5703125" style="158" customWidth="1" outlineLevel="1"/>
    <col min="162" max="163" width="18.5703125" style="153" customWidth="1" outlineLevel="1"/>
    <col min="164" max="164" width="18.5703125" style="147" customWidth="1" outlineLevel="1"/>
    <col min="165" max="167" width="18.5703125" style="158" customWidth="1" outlineLevel="1"/>
    <col min="168" max="168" width="18.5703125" style="148" customWidth="1" outlineLevel="1"/>
    <col min="169" max="169" width="73.5703125" style="158" customWidth="1" outlineLevel="1"/>
    <col min="170" max="170" width="30.5703125" style="159" customWidth="1" outlineLevel="1"/>
    <col min="171" max="171" width="76" style="160" customWidth="1" outlineLevel="1"/>
    <col min="172" max="172" width="17.140625" style="148" customWidth="1"/>
    <col min="173" max="173" width="27.140625" style="148" bestFit="1" customWidth="1"/>
    <col min="174" max="174" width="17.140625" style="148" customWidth="1"/>
    <col min="175" max="16384" width="9.140625" style="148"/>
  </cols>
  <sheetData>
    <row r="1" spans="1:173" s="4" customFormat="1" ht="45.95" hidden="1" customHeight="1" outlineLevel="1">
      <c r="A1" s="1" t="s">
        <v>0</v>
      </c>
      <c r="B1" s="2"/>
      <c r="C1" s="3"/>
      <c r="G1" s="5"/>
      <c r="H1" s="5"/>
      <c r="I1" s="5"/>
      <c r="M1" s="6"/>
      <c r="N1" s="6"/>
      <c r="O1" s="6"/>
      <c r="P1" s="6"/>
      <c r="Q1" s="7"/>
      <c r="R1" s="7"/>
      <c r="S1" s="7"/>
      <c r="T1" s="6"/>
      <c r="U1" s="6"/>
      <c r="V1" s="6"/>
      <c r="W1" s="6"/>
      <c r="X1" s="6"/>
      <c r="Y1" s="6"/>
      <c r="Z1" s="6"/>
      <c r="AA1" s="6"/>
      <c r="AB1" s="6"/>
      <c r="AC1" s="6"/>
      <c r="AD1" s="6"/>
      <c r="AE1" s="6"/>
      <c r="AF1" s="5"/>
      <c r="AG1" s="5"/>
      <c r="AH1" s="5"/>
      <c r="AI1" s="2"/>
      <c r="AJ1" s="2"/>
      <c r="AK1" s="2"/>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2"/>
      <c r="BT1" s="8"/>
      <c r="BU1" s="5"/>
      <c r="BV1" s="5"/>
      <c r="BW1" s="5"/>
      <c r="BX1" s="5"/>
      <c r="BY1" s="5"/>
      <c r="BZ1" s="5"/>
      <c r="CA1" s="5"/>
      <c r="CB1" s="5"/>
      <c r="CC1" s="5"/>
      <c r="CD1" s="5"/>
      <c r="CE1" s="5"/>
      <c r="CF1" s="9"/>
      <c r="CG1" s="7" t="s">
        <v>1</v>
      </c>
      <c r="CH1" s="2"/>
      <c r="CI1" s="2"/>
      <c r="CJ1" s="2"/>
      <c r="CK1" s="10"/>
      <c r="CL1" s="10"/>
      <c r="CM1" s="5"/>
      <c r="CN1" s="5"/>
      <c r="CO1" s="5"/>
      <c r="CP1" s="10"/>
      <c r="CQ1" s="5"/>
      <c r="CR1" s="5"/>
      <c r="CS1" s="8"/>
      <c r="CT1" s="11"/>
      <c r="CU1" s="12"/>
      <c r="CV1" s="11"/>
      <c r="CW1" s="11"/>
      <c r="CX1" s="13"/>
      <c r="CY1" s="11"/>
      <c r="CZ1" s="11"/>
      <c r="DA1" s="11"/>
      <c r="DB1" s="11"/>
      <c r="DC1" s="11"/>
      <c r="DD1" s="11"/>
      <c r="DE1" s="8"/>
      <c r="DF1" s="11"/>
      <c r="DG1" s="14"/>
      <c r="DH1" s="14"/>
      <c r="DI1" s="14"/>
      <c r="DJ1" s="14"/>
      <c r="DK1" s="15"/>
      <c r="DL1" s="15"/>
      <c r="DM1" s="15"/>
      <c r="DN1" s="15"/>
      <c r="DO1" s="16"/>
      <c r="DP1" s="16"/>
      <c r="DQ1" s="16"/>
      <c r="DR1" s="16"/>
      <c r="DS1" s="17"/>
      <c r="DT1" s="18"/>
      <c r="DU1" s="18"/>
      <c r="DV1" s="18"/>
      <c r="DW1" s="8"/>
      <c r="DX1" s="19"/>
      <c r="DY1" s="19"/>
      <c r="DZ1" s="19"/>
      <c r="EA1" s="19"/>
      <c r="EB1" s="19"/>
      <c r="EC1" s="19"/>
      <c r="ED1" s="19"/>
      <c r="EE1" s="19"/>
      <c r="EF1" s="19"/>
      <c r="EG1" s="19"/>
      <c r="EH1" s="19"/>
      <c r="EI1" s="19"/>
      <c r="EL1" s="8"/>
      <c r="EM1" s="18"/>
      <c r="EN1" s="18"/>
      <c r="EO1" s="18"/>
      <c r="EP1" s="18"/>
      <c r="EQ1" s="18"/>
      <c r="ER1" s="18"/>
      <c r="ES1" s="18"/>
      <c r="EU1" s="8"/>
      <c r="EV1" s="2"/>
      <c r="EW1" s="8"/>
      <c r="EX1" s="5"/>
      <c r="EY1" s="20"/>
      <c r="EZ1" s="20"/>
      <c r="FA1" s="6"/>
      <c r="FB1" s="5"/>
      <c r="FC1" s="19"/>
      <c r="FD1" s="8"/>
      <c r="FE1" s="21"/>
      <c r="FF1" s="22"/>
      <c r="FG1" s="22"/>
      <c r="FH1" s="18"/>
      <c r="FI1" s="21"/>
      <c r="FJ1" s="21"/>
      <c r="FK1" s="21"/>
      <c r="FM1" s="18"/>
      <c r="FN1" s="23"/>
      <c r="FO1" s="24"/>
    </row>
    <row r="2" spans="1:173" s="4" customFormat="1" ht="45.95" hidden="1" customHeight="1" outlineLevel="1">
      <c r="A2" s="25" t="s">
        <v>2</v>
      </c>
      <c r="B2" s="2"/>
      <c r="C2" s="26"/>
      <c r="G2" s="5"/>
      <c r="H2" s="5"/>
      <c r="I2" s="5"/>
      <c r="M2" s="6"/>
      <c r="N2" s="6"/>
      <c r="O2" s="6"/>
      <c r="P2" s="6"/>
      <c r="Q2" s="7"/>
      <c r="R2" s="7"/>
      <c r="S2" s="7"/>
      <c r="T2" s="6"/>
      <c r="U2" s="6"/>
      <c r="V2" s="6"/>
      <c r="W2" s="6"/>
      <c r="X2" s="6"/>
      <c r="Y2" s="6"/>
      <c r="Z2" s="6"/>
      <c r="AA2" s="6"/>
      <c r="AB2" s="6"/>
      <c r="AC2" s="6"/>
      <c r="AD2" s="6"/>
      <c r="AE2" s="6"/>
      <c r="AF2" s="5"/>
      <c r="AG2" s="5"/>
      <c r="AH2" s="5"/>
      <c r="AI2" s="2"/>
      <c r="AJ2" s="2"/>
      <c r="AK2" s="2"/>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2"/>
      <c r="BT2" s="8"/>
      <c r="BU2" s="5"/>
      <c r="BV2" s="5"/>
      <c r="BW2" s="27"/>
      <c r="BX2" s="5"/>
      <c r="BY2" s="5"/>
      <c r="BZ2" s="5"/>
      <c r="CA2" s="5"/>
      <c r="CB2" s="5"/>
      <c r="CC2" s="5"/>
      <c r="CD2" s="5"/>
      <c r="CE2" s="5"/>
      <c r="CF2" s="2"/>
      <c r="CG2" s="7"/>
      <c r="CH2" s="2"/>
      <c r="CI2" s="2"/>
      <c r="CJ2" s="2"/>
      <c r="CK2" s="2"/>
      <c r="CL2" s="5"/>
      <c r="CM2" s="5"/>
      <c r="CN2" s="5"/>
      <c r="CO2" s="5"/>
      <c r="CP2" s="5"/>
      <c r="CQ2" s="5"/>
      <c r="CR2" s="5"/>
      <c r="CS2" s="5"/>
      <c r="CT2" s="11"/>
      <c r="CU2" s="11"/>
      <c r="CV2" s="11"/>
      <c r="CW2" s="11"/>
      <c r="CX2" s="13"/>
      <c r="CY2" s="11"/>
      <c r="CZ2" s="11"/>
      <c r="DA2" s="11"/>
      <c r="DB2" s="11"/>
      <c r="DC2" s="11"/>
      <c r="DD2" s="11"/>
      <c r="DE2" s="5"/>
      <c r="DF2" s="11"/>
      <c r="DG2" s="14"/>
      <c r="DH2" s="14"/>
      <c r="DI2" s="14"/>
      <c r="DJ2" s="14"/>
      <c r="DK2" s="15"/>
      <c r="DL2" s="15"/>
      <c r="DM2" s="15"/>
      <c r="DN2" s="15"/>
      <c r="DO2" s="16"/>
      <c r="DP2" s="16"/>
      <c r="DQ2" s="16"/>
      <c r="DR2" s="16"/>
      <c r="DS2" s="17"/>
      <c r="DT2" s="18"/>
      <c r="DU2" s="18"/>
      <c r="DV2" s="18"/>
      <c r="DW2" s="5"/>
      <c r="DX2" s="28"/>
      <c r="DY2" s="28"/>
      <c r="DZ2" s="28"/>
      <c r="EA2" s="28"/>
      <c r="EB2" s="28"/>
      <c r="EC2" s="28"/>
      <c r="ED2" s="28"/>
      <c r="EE2" s="28"/>
      <c r="EF2" s="28"/>
      <c r="EG2" s="28"/>
      <c r="EH2" s="28"/>
      <c r="EI2" s="28"/>
      <c r="EL2" s="5"/>
      <c r="EM2" s="18"/>
      <c r="EN2" s="18"/>
      <c r="EO2" s="18"/>
      <c r="EP2" s="18"/>
      <c r="EQ2" s="18"/>
      <c r="ER2" s="18"/>
      <c r="ES2" s="18"/>
      <c r="EU2" s="5"/>
      <c r="EV2" s="2"/>
      <c r="EW2" s="5"/>
      <c r="EX2" s="5"/>
      <c r="EY2" s="5"/>
      <c r="EZ2" s="5"/>
      <c r="FA2" s="6"/>
      <c r="FB2" s="5"/>
      <c r="FC2" s="28"/>
      <c r="FD2" s="5"/>
      <c r="FE2" s="21"/>
      <c r="FF2" s="22"/>
      <c r="FG2" s="22"/>
      <c r="FH2" s="18"/>
      <c r="FI2" s="21"/>
      <c r="FJ2" s="21"/>
      <c r="FK2" s="21"/>
      <c r="FM2" s="18"/>
      <c r="FN2" s="23"/>
      <c r="FO2" s="24"/>
    </row>
    <row r="3" spans="1:173" s="31" customFormat="1" ht="87" customHeight="1" collapsed="1">
      <c r="A3" s="29" t="str">
        <f>"BẢNG THANH TOÁN TIỀN LƯƠNG "&amp;UPPER(B6)&amp;" NĂM 2025"</f>
        <v>BẢNG THANH TOÁN TIỀN LƯƠNG THÁNG 11 NĂM 2025</v>
      </c>
      <c r="B3" s="30"/>
      <c r="C3" s="3"/>
      <c r="D3" s="30"/>
      <c r="E3" s="30"/>
      <c r="F3" s="30"/>
      <c r="G3" s="30"/>
      <c r="H3" s="30"/>
      <c r="I3" s="30"/>
      <c r="M3" s="32"/>
      <c r="N3" s="32"/>
      <c r="O3" s="32"/>
      <c r="P3" s="33"/>
      <c r="Q3" s="33"/>
      <c r="R3" s="33"/>
      <c r="S3" s="33"/>
      <c r="T3" s="33"/>
      <c r="U3" s="33"/>
      <c r="V3" s="33"/>
      <c r="W3" s="33"/>
      <c r="X3" s="32"/>
      <c r="Y3" s="32"/>
      <c r="Z3" s="32"/>
      <c r="AA3" s="32"/>
      <c r="AB3" s="32"/>
      <c r="AC3" s="32"/>
      <c r="AD3" s="34" t="s">
        <v>3</v>
      </c>
      <c r="AE3" s="32"/>
      <c r="AF3" s="30"/>
      <c r="AG3" s="30"/>
      <c r="AH3" s="30"/>
      <c r="AI3" s="30"/>
      <c r="AJ3" s="30"/>
      <c r="AK3" s="30"/>
      <c r="AL3" s="30"/>
      <c r="AM3" s="30"/>
      <c r="AN3" s="30"/>
      <c r="AO3" s="30"/>
      <c r="AP3" s="30"/>
      <c r="AQ3" s="30"/>
      <c r="AR3" s="30"/>
      <c r="AS3" s="30" t="s">
        <v>4</v>
      </c>
      <c r="AT3" s="30"/>
      <c r="AU3" s="30"/>
      <c r="AV3" s="30"/>
      <c r="AW3" s="30"/>
      <c r="AX3" s="30"/>
      <c r="AY3" s="30"/>
      <c r="AZ3" s="30"/>
      <c r="BA3" s="30"/>
      <c r="BB3" s="30"/>
      <c r="BC3" s="30"/>
      <c r="BD3" s="30"/>
      <c r="BE3" s="30"/>
      <c r="BF3" s="30"/>
      <c r="BG3" s="35" t="s">
        <v>3</v>
      </c>
      <c r="BH3" s="30"/>
      <c r="BI3" s="30"/>
      <c r="BJ3" s="30"/>
      <c r="BK3" s="30"/>
      <c r="BL3" s="30"/>
      <c r="BM3" s="30"/>
      <c r="BN3" s="30"/>
      <c r="BO3" s="30"/>
      <c r="BP3" s="30"/>
      <c r="BQ3" s="30"/>
      <c r="BR3" s="30"/>
      <c r="BS3" s="36" t="s">
        <v>4</v>
      </c>
      <c r="BT3" s="30"/>
      <c r="BU3" s="30"/>
      <c r="BV3" s="30"/>
      <c r="BW3" s="30"/>
      <c r="BX3" s="30"/>
      <c r="BY3" s="30"/>
      <c r="BZ3" s="30"/>
      <c r="CA3" s="30"/>
      <c r="CB3" s="30"/>
      <c r="CC3" s="30"/>
      <c r="CD3" s="30"/>
      <c r="CE3" s="30"/>
      <c r="CF3" s="30"/>
      <c r="CG3" s="33"/>
      <c r="CH3" s="36" t="s">
        <v>5</v>
      </c>
      <c r="CI3" s="30"/>
      <c r="CJ3" s="30"/>
      <c r="CK3" s="37"/>
      <c r="CL3" s="37"/>
      <c r="CM3" s="30"/>
      <c r="CN3" s="30"/>
      <c r="CO3" s="30"/>
      <c r="CP3" s="37"/>
      <c r="CQ3" s="30"/>
      <c r="CR3" s="30"/>
      <c r="CS3" s="30"/>
      <c r="CT3" s="38"/>
      <c r="CU3" s="39"/>
      <c r="CV3" s="38"/>
      <c r="CW3" s="40" t="s">
        <v>4</v>
      </c>
      <c r="CX3" s="41"/>
      <c r="CY3" s="38"/>
      <c r="CZ3" s="38"/>
      <c r="DA3" s="38"/>
      <c r="DB3" s="38"/>
      <c r="DC3" s="38"/>
      <c r="DD3" s="38"/>
      <c r="DE3" s="30"/>
      <c r="DF3" s="38"/>
      <c r="DG3" s="42"/>
      <c r="DH3" s="42"/>
      <c r="DI3" s="42"/>
      <c r="DJ3" s="42"/>
      <c r="DK3" s="43"/>
      <c r="DL3" s="43"/>
      <c r="DM3" s="43"/>
      <c r="DN3" s="43"/>
      <c r="DO3" s="43"/>
      <c r="DP3" s="43"/>
      <c r="DQ3" s="43"/>
      <c r="DR3" s="43"/>
      <c r="DS3" s="41"/>
      <c r="DT3" s="38"/>
      <c r="DU3" s="38"/>
      <c r="DV3" s="38"/>
      <c r="DW3" s="30"/>
      <c r="DX3" s="30"/>
      <c r="DY3" s="30"/>
      <c r="DZ3" s="30"/>
      <c r="EA3" s="30"/>
      <c r="EB3" s="30"/>
      <c r="EC3" s="30"/>
      <c r="ED3" s="30"/>
      <c r="EE3" s="30"/>
      <c r="EF3" s="30"/>
      <c r="EG3" s="30"/>
      <c r="EH3" s="30"/>
      <c r="EI3" s="30"/>
      <c r="EL3" s="30"/>
      <c r="EM3" s="38"/>
      <c r="EN3" s="38"/>
      <c r="EO3" s="38"/>
      <c r="EP3" s="38"/>
      <c r="EQ3" s="38"/>
      <c r="ER3" s="38"/>
      <c r="ES3" s="38"/>
      <c r="EU3" s="30"/>
      <c r="EV3" s="36"/>
      <c r="EW3" s="30"/>
      <c r="EX3" s="188" t="s">
        <v>6</v>
      </c>
      <c r="EY3" s="189"/>
      <c r="EZ3" s="189"/>
      <c r="FA3" s="190"/>
      <c r="FB3" s="190"/>
      <c r="FC3" s="190"/>
      <c r="FD3" s="30"/>
      <c r="FE3" s="24"/>
      <c r="FF3" s="22"/>
      <c r="FG3" s="22"/>
      <c r="FH3" s="38"/>
      <c r="FI3" s="24"/>
      <c r="FJ3" s="24"/>
      <c r="FK3" s="24"/>
      <c r="FM3" s="24"/>
      <c r="FN3" s="23"/>
      <c r="FO3" s="24"/>
    </row>
    <row r="4" spans="1:173" s="9" customFormat="1" ht="26.45" hidden="1" customHeight="1" outlineLevel="1">
      <c r="A4" s="44"/>
      <c r="B4" s="44"/>
      <c r="C4" s="5"/>
      <c r="D4" s="44"/>
      <c r="E4" s="44"/>
      <c r="F4" s="44"/>
      <c r="G4" s="44"/>
      <c r="H4" s="44"/>
      <c r="I4" s="44"/>
      <c r="M4" s="6"/>
      <c r="N4" s="6"/>
      <c r="O4" s="6"/>
      <c r="P4" s="6"/>
      <c r="Q4" s="7"/>
      <c r="R4" s="7"/>
      <c r="S4" s="7"/>
      <c r="T4" s="6"/>
      <c r="U4" s="6"/>
      <c r="V4" s="6"/>
      <c r="W4" s="6"/>
      <c r="X4" s="6"/>
      <c r="Y4" s="6"/>
      <c r="Z4" s="6"/>
      <c r="AA4" s="6"/>
      <c r="AB4" s="6"/>
      <c r="AC4" s="6"/>
      <c r="AD4" s="6"/>
      <c r="AE4" s="6"/>
      <c r="AF4" s="44"/>
      <c r="AG4" s="44"/>
      <c r="AH4" s="44"/>
      <c r="AI4" s="36"/>
      <c r="AJ4" s="36"/>
      <c r="AK4" s="36"/>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5"/>
      <c r="BL4" s="44"/>
      <c r="BM4" s="44"/>
      <c r="BN4" s="44"/>
      <c r="BO4" s="44"/>
      <c r="BP4" s="44"/>
      <c r="BQ4" s="44"/>
      <c r="BR4" s="44"/>
      <c r="BS4" s="36"/>
      <c r="BT4" s="46"/>
      <c r="BU4" s="44"/>
      <c r="BV4" s="44"/>
      <c r="BW4" s="44"/>
      <c r="BX4" s="44"/>
      <c r="BY4" s="44"/>
      <c r="BZ4" s="44"/>
      <c r="CA4" s="44"/>
      <c r="CB4" s="44"/>
      <c r="CC4" s="44"/>
      <c r="CD4" s="44"/>
      <c r="CE4" s="44"/>
      <c r="CF4" s="36"/>
      <c r="CG4" s="7"/>
      <c r="CH4" s="36"/>
      <c r="CI4" s="36"/>
      <c r="CJ4" s="36"/>
      <c r="CK4" s="44"/>
      <c r="CL4" s="44"/>
      <c r="CM4" s="44"/>
      <c r="CN4" s="44"/>
      <c r="CO4" s="44"/>
      <c r="CP4" s="44"/>
      <c r="CQ4" s="44"/>
      <c r="CR4" s="44"/>
      <c r="CS4" s="44"/>
      <c r="CT4" s="11"/>
      <c r="CU4" s="11"/>
      <c r="CV4" s="11"/>
      <c r="CW4" s="2"/>
      <c r="CX4" s="13"/>
      <c r="CY4" s="2"/>
      <c r="CZ4" s="11"/>
      <c r="DA4" s="2"/>
      <c r="DB4" s="11"/>
      <c r="DC4" s="11"/>
      <c r="DD4" s="11"/>
      <c r="DE4" s="44"/>
      <c r="DF4" s="11"/>
      <c r="DG4" s="14"/>
      <c r="DH4" s="14"/>
      <c r="DI4" s="14"/>
      <c r="DJ4" s="14"/>
      <c r="DK4" s="15"/>
      <c r="DL4" s="15"/>
      <c r="DM4" s="15"/>
      <c r="DN4" s="15"/>
      <c r="DO4" s="15"/>
      <c r="DP4" s="15"/>
      <c r="DQ4" s="15"/>
      <c r="DR4" s="15"/>
      <c r="DS4" s="13"/>
      <c r="DT4" s="11"/>
      <c r="DU4" s="11"/>
      <c r="DV4" s="11"/>
      <c r="DW4" s="44"/>
      <c r="DX4" s="36"/>
      <c r="DY4" s="36"/>
      <c r="DZ4" s="36"/>
      <c r="EA4" s="36"/>
      <c r="EB4" s="36"/>
      <c r="EC4" s="36"/>
      <c r="ED4" s="36"/>
      <c r="EE4" s="36"/>
      <c r="EF4" s="36"/>
      <c r="EG4" s="36"/>
      <c r="EH4" s="36"/>
      <c r="EI4" s="36"/>
      <c r="EL4" s="44"/>
      <c r="EU4" s="44"/>
      <c r="EV4" s="36"/>
      <c r="EW4" s="44"/>
      <c r="EX4" s="190"/>
      <c r="EY4" s="190"/>
      <c r="EZ4" s="190"/>
      <c r="FA4" s="190"/>
      <c r="FB4" s="190"/>
      <c r="FC4" s="190"/>
      <c r="FD4" s="44"/>
      <c r="FF4" s="47"/>
      <c r="FG4" s="47"/>
      <c r="FN4" s="23"/>
      <c r="FO4" s="31"/>
    </row>
    <row r="5" spans="1:173" s="9" customFormat="1" ht="26.45" hidden="1" customHeight="1" outlineLevel="1">
      <c r="A5" s="44"/>
      <c r="B5" s="44"/>
      <c r="C5" s="5"/>
      <c r="D5" s="44"/>
      <c r="E5" s="44"/>
      <c r="F5" s="44"/>
      <c r="G5" s="44"/>
      <c r="H5" s="44"/>
      <c r="I5" s="44"/>
      <c r="K5" s="48"/>
      <c r="M5" s="6"/>
      <c r="N5" s="6"/>
      <c r="O5" s="6"/>
      <c r="P5" s="6"/>
      <c r="Q5" s="7"/>
      <c r="R5" s="7"/>
      <c r="S5" s="7"/>
      <c r="T5" s="6"/>
      <c r="U5" s="6"/>
      <c r="V5" s="6"/>
      <c r="W5" s="6"/>
      <c r="X5" s="6"/>
      <c r="Y5" s="6"/>
      <c r="Z5" s="6"/>
      <c r="AA5" s="6"/>
      <c r="AB5" s="6"/>
      <c r="AC5" s="6"/>
      <c r="AD5" s="6"/>
      <c r="AE5" s="6"/>
      <c r="AF5" s="44"/>
      <c r="AG5" s="44"/>
      <c r="AH5" s="44"/>
      <c r="AI5" s="36"/>
      <c r="AJ5" s="36"/>
      <c r="AK5" s="36"/>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36"/>
      <c r="BT5" s="46"/>
      <c r="BU5" s="44"/>
      <c r="BV5" s="44"/>
      <c r="BW5" s="44"/>
      <c r="BX5" s="44"/>
      <c r="BY5" s="44"/>
      <c r="BZ5" s="44"/>
      <c r="CA5" s="44"/>
      <c r="CB5" s="44"/>
      <c r="CC5" s="44"/>
      <c r="CD5" s="44"/>
      <c r="CE5" s="44"/>
      <c r="CF5" s="36"/>
      <c r="CG5" s="7"/>
      <c r="CH5" s="36"/>
      <c r="CI5" s="36"/>
      <c r="CJ5" s="36"/>
      <c r="CK5" s="44"/>
      <c r="CL5" s="44"/>
      <c r="CM5" s="44"/>
      <c r="CN5" s="44"/>
      <c r="CO5" s="44"/>
      <c r="CP5" s="44"/>
      <c r="CQ5" s="44"/>
      <c r="CR5" s="44"/>
      <c r="CS5" s="44"/>
      <c r="CT5" s="11"/>
      <c r="CU5" s="11"/>
      <c r="CV5" s="11"/>
      <c r="CW5" s="2"/>
      <c r="CX5" s="13"/>
      <c r="CY5" s="2"/>
      <c r="CZ5" s="11"/>
      <c r="DA5" s="2"/>
      <c r="DB5" s="11"/>
      <c r="DC5" s="11"/>
      <c r="DD5" s="11"/>
      <c r="DE5" s="44"/>
      <c r="DF5" s="11"/>
      <c r="DG5" s="14"/>
      <c r="DH5" s="14"/>
      <c r="DI5" s="14"/>
      <c r="DJ5" s="14"/>
      <c r="DK5" s="15"/>
      <c r="DL5" s="15"/>
      <c r="DM5" s="15"/>
      <c r="DN5" s="15"/>
      <c r="DO5" s="15"/>
      <c r="DP5" s="15"/>
      <c r="DQ5" s="15"/>
      <c r="DR5" s="15"/>
      <c r="DS5" s="13"/>
      <c r="DT5" s="11"/>
      <c r="DU5" s="11"/>
      <c r="DV5" s="11"/>
      <c r="DW5" s="44"/>
      <c r="DX5" s="36"/>
      <c r="DY5" s="36"/>
      <c r="DZ5" s="36"/>
      <c r="EA5" s="36"/>
      <c r="EB5" s="36"/>
      <c r="EC5" s="36"/>
      <c r="ED5" s="36"/>
      <c r="EE5" s="36"/>
      <c r="EF5" s="36"/>
      <c r="EG5" s="36"/>
      <c r="EH5" s="36"/>
      <c r="EI5" s="36"/>
      <c r="EL5" s="44"/>
      <c r="EU5" s="44"/>
      <c r="EV5" s="36"/>
      <c r="EW5" s="44"/>
      <c r="EX5" s="190"/>
      <c r="EY5" s="190"/>
      <c r="EZ5" s="190"/>
      <c r="FA5" s="190"/>
      <c r="FB5" s="190"/>
      <c r="FC5" s="190"/>
      <c r="FD5" s="44"/>
      <c r="FF5" s="47"/>
      <c r="FG5" s="47"/>
      <c r="FN5" s="23"/>
      <c r="FO5" s="31"/>
    </row>
    <row r="6" spans="1:173" s="9" customFormat="1" ht="39" hidden="1" customHeight="1" outlineLevel="1">
      <c r="A6" s="44"/>
      <c r="B6" s="49" t="s">
        <v>7</v>
      </c>
      <c r="C6" s="50">
        <v>25</v>
      </c>
      <c r="D6" s="44"/>
      <c r="E6" s="44"/>
      <c r="F6" s="44"/>
      <c r="G6" s="44"/>
      <c r="H6" s="44"/>
      <c r="I6" s="44"/>
      <c r="K6" s="51"/>
      <c r="M6" s="6"/>
      <c r="N6" s="6"/>
      <c r="O6" s="6"/>
      <c r="P6" s="6"/>
      <c r="Q6" s="7"/>
      <c r="R6" s="7"/>
      <c r="S6" s="7"/>
      <c r="T6" s="6"/>
      <c r="U6" s="6"/>
      <c r="V6" s="6"/>
      <c r="W6" s="6"/>
      <c r="X6" s="6"/>
      <c r="Y6" s="6"/>
      <c r="Z6" s="6"/>
      <c r="AA6" s="6"/>
      <c r="AB6" s="6"/>
      <c r="AC6" s="6"/>
      <c r="AD6" s="6"/>
      <c r="AE6" s="6"/>
      <c r="AF6" s="52"/>
      <c r="AG6" s="44"/>
      <c r="AH6" s="44"/>
      <c r="AI6" s="36"/>
      <c r="AJ6" s="36"/>
      <c r="AK6" s="36"/>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36"/>
      <c r="BT6" s="46"/>
      <c r="BU6" s="44"/>
      <c r="BV6" s="44"/>
      <c r="BW6" s="44"/>
      <c r="BX6" s="44"/>
      <c r="BY6" s="44"/>
      <c r="BZ6" s="44"/>
      <c r="CA6" s="44"/>
      <c r="CB6" s="44"/>
      <c r="CC6" s="44"/>
      <c r="CD6" s="44"/>
      <c r="CE6" s="44"/>
      <c r="CF6" s="36"/>
      <c r="CG6" s="7"/>
      <c r="CH6" s="36"/>
      <c r="CI6" s="11"/>
      <c r="CJ6" s="11"/>
      <c r="CK6" s="53"/>
      <c r="CL6" s="54"/>
      <c r="CM6" s="44"/>
      <c r="CN6" s="44"/>
      <c r="CO6" s="44"/>
      <c r="CP6" s="55"/>
      <c r="CQ6" s="11"/>
      <c r="CR6" s="2"/>
      <c r="CS6" s="44"/>
      <c r="CT6" s="11"/>
      <c r="CU6" s="12"/>
      <c r="CW6" s="11"/>
      <c r="CX6" s="13"/>
      <c r="CY6" s="11"/>
      <c r="CZ6" s="11"/>
      <c r="DA6" s="11"/>
      <c r="DB6" s="11"/>
      <c r="DC6" s="11"/>
      <c r="DD6" s="11"/>
      <c r="DE6" s="44"/>
      <c r="DF6" s="11"/>
      <c r="DG6" s="14"/>
      <c r="DH6" s="14"/>
      <c r="DI6" s="14"/>
      <c r="DJ6" s="14"/>
      <c r="DK6" s="15"/>
      <c r="DL6" s="15"/>
      <c r="DM6" s="15"/>
      <c r="DN6" s="15"/>
      <c r="DO6" s="16"/>
      <c r="DP6" s="16"/>
      <c r="DQ6" s="16"/>
      <c r="DR6" s="16"/>
      <c r="DS6" s="17"/>
      <c r="DT6" s="18"/>
      <c r="DU6" s="18"/>
      <c r="DV6" s="18"/>
      <c r="DW6" s="44"/>
      <c r="DX6" s="36"/>
      <c r="DY6" s="36"/>
      <c r="DZ6" s="36"/>
      <c r="EA6" s="36"/>
      <c r="EB6" s="36"/>
      <c r="EC6" s="36"/>
      <c r="ED6" s="36"/>
      <c r="EE6" s="36"/>
      <c r="EF6" s="36"/>
      <c r="EG6" s="36"/>
      <c r="EH6" s="36"/>
      <c r="EI6" s="36"/>
      <c r="EL6" s="44"/>
      <c r="EU6" s="44"/>
      <c r="EV6" s="36"/>
      <c r="EW6" s="44"/>
      <c r="EX6" s="188"/>
      <c r="EY6" s="189"/>
      <c r="EZ6" s="189"/>
      <c r="FA6" s="190"/>
      <c r="FB6" s="190"/>
      <c r="FC6" s="190"/>
      <c r="FD6" s="44"/>
      <c r="FF6" s="47"/>
      <c r="FG6" s="47"/>
      <c r="FN6" s="23"/>
      <c r="FO6" s="31"/>
    </row>
    <row r="7" spans="1:173" s="9" customFormat="1" ht="50.45" hidden="1" customHeight="1" outlineLevel="1">
      <c r="A7" s="56" t="s">
        <v>8</v>
      </c>
      <c r="B7" s="56" t="s">
        <v>8</v>
      </c>
      <c r="C7" s="56" t="s">
        <v>8</v>
      </c>
      <c r="D7" s="56"/>
      <c r="E7" s="56"/>
      <c r="F7" s="56" t="s">
        <v>8</v>
      </c>
      <c r="G7" s="56" t="s">
        <v>8</v>
      </c>
      <c r="J7" s="56" t="s">
        <v>8</v>
      </c>
      <c r="K7" s="56" t="s">
        <v>8</v>
      </c>
      <c r="L7" s="56"/>
      <c r="M7" s="57" t="s">
        <v>8</v>
      </c>
      <c r="N7" s="57" t="s">
        <v>8</v>
      </c>
      <c r="O7" s="57" t="s">
        <v>8</v>
      </c>
      <c r="P7" s="57"/>
      <c r="Q7" s="57" t="s">
        <v>8</v>
      </c>
      <c r="R7" s="57" t="s">
        <v>8</v>
      </c>
      <c r="S7" s="57" t="s">
        <v>8</v>
      </c>
      <c r="T7" s="57" t="s">
        <v>8</v>
      </c>
      <c r="U7" s="57" t="s">
        <v>8</v>
      </c>
      <c r="V7" s="57" t="s">
        <v>8</v>
      </c>
      <c r="W7" s="57" t="s">
        <v>8</v>
      </c>
      <c r="X7" s="57" t="s">
        <v>8</v>
      </c>
      <c r="Y7" s="57" t="s">
        <v>8</v>
      </c>
      <c r="Z7" s="57" t="s">
        <v>8</v>
      </c>
      <c r="AA7" s="57" t="s">
        <v>8</v>
      </c>
      <c r="AB7" s="57" t="s">
        <v>8</v>
      </c>
      <c r="AC7" s="57" t="s">
        <v>8</v>
      </c>
      <c r="AD7" s="57"/>
      <c r="AE7" s="57" t="s">
        <v>8</v>
      </c>
      <c r="AF7" s="56" t="s">
        <v>8</v>
      </c>
      <c r="AG7" s="56" t="s">
        <v>8</v>
      </c>
      <c r="AH7" s="56" t="s">
        <v>8</v>
      </c>
      <c r="AI7" s="56" t="s">
        <v>8</v>
      </c>
      <c r="AJ7" s="56"/>
      <c r="AK7" s="56"/>
      <c r="AL7" s="56" t="s">
        <v>8</v>
      </c>
      <c r="AM7" s="56" t="s">
        <v>8</v>
      </c>
      <c r="AN7" s="56" t="s">
        <v>8</v>
      </c>
      <c r="AO7" s="56" t="s">
        <v>8</v>
      </c>
      <c r="AP7" s="56" t="s">
        <v>8</v>
      </c>
      <c r="AQ7" s="56" t="s">
        <v>8</v>
      </c>
      <c r="AR7" s="56" t="s">
        <v>8</v>
      </c>
      <c r="AS7" s="56" t="s">
        <v>8</v>
      </c>
      <c r="AT7" s="56"/>
      <c r="AU7" s="56" t="s">
        <v>8</v>
      </c>
      <c r="AV7" s="56" t="s">
        <v>8</v>
      </c>
      <c r="AW7" s="56" t="s">
        <v>8</v>
      </c>
      <c r="AX7" s="56" t="s">
        <v>8</v>
      </c>
      <c r="AY7" s="56" t="s">
        <v>8</v>
      </c>
      <c r="AZ7" s="56"/>
      <c r="BA7" s="56"/>
      <c r="BB7" s="56"/>
      <c r="BC7" s="56"/>
      <c r="BD7" s="56"/>
      <c r="BE7" s="56"/>
      <c r="BF7" s="56"/>
      <c r="BG7" s="56"/>
      <c r="BH7" s="56"/>
      <c r="BI7" s="56"/>
      <c r="BJ7" s="56" t="s">
        <v>8</v>
      </c>
      <c r="BN7" s="56"/>
      <c r="BP7" s="56"/>
      <c r="BQ7" s="56"/>
      <c r="BS7" s="56"/>
      <c r="BT7" s="58"/>
      <c r="BU7" s="56"/>
      <c r="BW7" s="56"/>
      <c r="BX7" s="56"/>
      <c r="BY7" s="56"/>
      <c r="CF7" s="56"/>
      <c r="CG7" s="15"/>
      <c r="CI7" s="56"/>
      <c r="CJ7" s="56"/>
      <c r="CK7" s="59"/>
      <c r="CL7" s="54"/>
      <c r="CM7" s="44"/>
      <c r="CN7" s="44"/>
      <c r="CO7" s="44"/>
      <c r="CP7" s="60"/>
      <c r="CQ7" s="56"/>
      <c r="CT7" s="56"/>
      <c r="CU7" s="191"/>
      <c r="CV7" s="188"/>
      <c r="CW7" s="188"/>
      <c r="CX7" s="188"/>
      <c r="CY7" s="188"/>
      <c r="CZ7" s="188"/>
      <c r="DA7" s="188"/>
      <c r="DB7" s="188"/>
      <c r="DC7" s="188"/>
      <c r="DD7" s="188"/>
      <c r="DF7" s="2"/>
      <c r="DG7" s="20"/>
      <c r="DH7" s="20"/>
      <c r="DI7" s="20"/>
      <c r="DJ7" s="20"/>
      <c r="DK7" s="7"/>
      <c r="DL7" s="7"/>
      <c r="DM7" s="7"/>
      <c r="DN7" s="7"/>
      <c r="DO7" s="7"/>
      <c r="DP7" s="7"/>
      <c r="DQ7" s="7"/>
      <c r="DR7" s="7"/>
      <c r="DS7" s="61"/>
      <c r="DT7" s="2"/>
      <c r="DU7" s="2"/>
      <c r="DV7" s="2"/>
      <c r="DX7" s="62"/>
      <c r="DY7" s="62"/>
      <c r="DZ7" s="62"/>
      <c r="EA7" s="62"/>
      <c r="EB7" s="62"/>
      <c r="EC7" s="62"/>
      <c r="ED7" s="62"/>
      <c r="EE7" s="62"/>
      <c r="EF7" s="62"/>
      <c r="EG7" s="62"/>
      <c r="EH7" s="62"/>
      <c r="EI7" s="62"/>
      <c r="EX7" s="11"/>
      <c r="EY7" s="63"/>
      <c r="EZ7" s="14"/>
      <c r="FA7" s="57"/>
      <c r="FC7" s="62"/>
      <c r="FF7" s="47"/>
      <c r="FG7" s="47"/>
      <c r="FN7" s="23"/>
      <c r="FO7" s="31"/>
    </row>
    <row r="8" spans="1:173" s="68" customFormat="1" ht="60" customHeight="1" collapsed="1">
      <c r="A8" s="192" t="s">
        <v>9</v>
      </c>
      <c r="B8" s="166" t="s">
        <v>10</v>
      </c>
      <c r="C8" s="166" t="s">
        <v>11</v>
      </c>
      <c r="D8" s="166" t="s">
        <v>12</v>
      </c>
      <c r="E8" s="166" t="s">
        <v>13</v>
      </c>
      <c r="F8" s="166" t="s">
        <v>14</v>
      </c>
      <c r="G8" s="166" t="s">
        <v>15</v>
      </c>
      <c r="H8" s="166" t="s">
        <v>16</v>
      </c>
      <c r="I8" s="166" t="s">
        <v>17</v>
      </c>
      <c r="J8" s="166" t="s">
        <v>18</v>
      </c>
      <c r="K8" s="166" t="s">
        <v>19</v>
      </c>
      <c r="L8" s="166" t="s">
        <v>20</v>
      </c>
      <c r="M8" s="180" t="s">
        <v>21</v>
      </c>
      <c r="N8" s="180"/>
      <c r="O8" s="180"/>
      <c r="P8" s="180"/>
      <c r="Q8" s="180"/>
      <c r="R8" s="180"/>
      <c r="S8" s="180"/>
      <c r="T8" s="180"/>
      <c r="U8" s="180"/>
      <c r="V8" s="180"/>
      <c r="W8" s="180"/>
      <c r="X8" s="180"/>
      <c r="Y8" s="180"/>
      <c r="Z8" s="180"/>
      <c r="AA8" s="180"/>
      <c r="AB8" s="180"/>
      <c r="AC8" s="180"/>
      <c r="AD8" s="180"/>
      <c r="AE8" s="180"/>
      <c r="AF8" s="166" t="s">
        <v>22</v>
      </c>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t="s">
        <v>23</v>
      </c>
      <c r="BL8" s="166" t="s">
        <v>24</v>
      </c>
      <c r="BM8" s="166" t="s">
        <v>25</v>
      </c>
      <c r="BN8" s="166" t="s">
        <v>26</v>
      </c>
      <c r="BO8" s="166"/>
      <c r="BP8" s="166"/>
      <c r="BQ8" s="166"/>
      <c r="BR8" s="166"/>
      <c r="BS8" s="166"/>
      <c r="BT8" s="166"/>
      <c r="BU8" s="166"/>
      <c r="BV8" s="166" t="s">
        <v>27</v>
      </c>
      <c r="BW8" s="166"/>
      <c r="BX8" s="166"/>
      <c r="BY8" s="166"/>
      <c r="BZ8" s="166"/>
      <c r="CA8" s="166"/>
      <c r="CB8" s="166"/>
      <c r="CC8" s="166"/>
      <c r="CD8" s="166"/>
      <c r="CE8" s="166"/>
      <c r="CF8" s="166" t="s">
        <v>28</v>
      </c>
      <c r="CG8" s="174" t="s">
        <v>29</v>
      </c>
      <c r="CH8" s="67" t="s">
        <v>30</v>
      </c>
      <c r="CI8" s="184" t="s">
        <v>31</v>
      </c>
      <c r="CJ8" s="184"/>
      <c r="CK8" s="184"/>
      <c r="CL8" s="184"/>
      <c r="CM8" s="184"/>
      <c r="CN8" s="184"/>
      <c r="CO8" s="184"/>
      <c r="CP8" s="184"/>
      <c r="CQ8" s="184"/>
      <c r="CR8" s="184"/>
      <c r="CS8" s="67" t="s">
        <v>32</v>
      </c>
      <c r="CT8" s="185" t="s">
        <v>33</v>
      </c>
      <c r="CU8" s="185"/>
      <c r="CV8" s="185"/>
      <c r="CW8" s="185"/>
      <c r="CX8" s="185"/>
      <c r="CY8" s="185"/>
      <c r="CZ8" s="185"/>
      <c r="DA8" s="185"/>
      <c r="DB8" s="185"/>
      <c r="DC8" s="185"/>
      <c r="DD8" s="185"/>
      <c r="DE8" s="67" t="s">
        <v>34</v>
      </c>
      <c r="DF8" s="186" t="s">
        <v>35</v>
      </c>
      <c r="DG8" s="186"/>
      <c r="DH8" s="186"/>
      <c r="DI8" s="186"/>
      <c r="DJ8" s="186"/>
      <c r="DK8" s="186"/>
      <c r="DL8" s="186"/>
      <c r="DM8" s="186"/>
      <c r="DN8" s="186"/>
      <c r="DO8" s="186"/>
      <c r="DP8" s="186"/>
      <c r="DQ8" s="186"/>
      <c r="DR8" s="186"/>
      <c r="DS8" s="186"/>
      <c r="DT8" s="186"/>
      <c r="DU8" s="186"/>
      <c r="DV8" s="186"/>
      <c r="DW8" s="67" t="s">
        <v>36</v>
      </c>
      <c r="DX8" s="187" t="s">
        <v>37</v>
      </c>
      <c r="DY8" s="187"/>
      <c r="DZ8" s="187"/>
      <c r="EA8" s="187"/>
      <c r="EB8" s="187"/>
      <c r="EC8" s="187"/>
      <c r="ED8" s="187"/>
      <c r="EE8" s="187"/>
      <c r="EF8" s="187"/>
      <c r="EG8" s="187"/>
      <c r="EH8" s="187"/>
      <c r="EI8" s="187"/>
      <c r="EJ8" s="187"/>
      <c r="EK8" s="187"/>
      <c r="EL8" s="67" t="s">
        <v>38</v>
      </c>
      <c r="EM8" s="183" t="s">
        <v>39</v>
      </c>
      <c r="EN8" s="183"/>
      <c r="EO8" s="183"/>
      <c r="EP8" s="183"/>
      <c r="EQ8" s="183"/>
      <c r="ER8" s="183"/>
      <c r="ES8" s="183"/>
      <c r="ET8" s="183"/>
      <c r="EU8" s="67" t="s">
        <v>40</v>
      </c>
      <c r="EV8" s="181" t="s">
        <v>41</v>
      </c>
      <c r="EW8" s="181"/>
      <c r="EX8" s="181"/>
      <c r="EY8" s="181"/>
      <c r="EZ8" s="181"/>
      <c r="FA8" s="181"/>
      <c r="FB8" s="181"/>
      <c r="FC8" s="181"/>
      <c r="FD8" s="67" t="s">
        <v>42</v>
      </c>
      <c r="FE8" s="182" t="s">
        <v>43</v>
      </c>
      <c r="FF8" s="183"/>
      <c r="FG8" s="183"/>
      <c r="FH8" s="183"/>
      <c r="FI8" s="183"/>
      <c r="FJ8" s="183"/>
      <c r="FK8" s="183"/>
      <c r="FL8" s="183"/>
      <c r="FM8" s="182"/>
      <c r="FN8" s="183"/>
      <c r="FO8" s="182"/>
    </row>
    <row r="9" spans="1:173" s="68" customFormat="1" ht="66.95" customHeight="1">
      <c r="A9" s="192"/>
      <c r="B9" s="166"/>
      <c r="C9" s="166"/>
      <c r="D9" s="166"/>
      <c r="E9" s="166"/>
      <c r="F9" s="166"/>
      <c r="G9" s="166"/>
      <c r="H9" s="166"/>
      <c r="I9" s="166"/>
      <c r="J9" s="166"/>
      <c r="K9" s="166"/>
      <c r="L9" s="166"/>
      <c r="M9" s="180" t="s">
        <v>44</v>
      </c>
      <c r="N9" s="180" t="s">
        <v>45</v>
      </c>
      <c r="O9" s="180" t="s">
        <v>46</v>
      </c>
      <c r="P9" s="174" t="s">
        <v>47</v>
      </c>
      <c r="Q9" s="174" t="s">
        <v>48</v>
      </c>
      <c r="R9" s="174"/>
      <c r="S9" s="174"/>
      <c r="T9" s="174" t="s">
        <v>49</v>
      </c>
      <c r="U9" s="174" t="s">
        <v>50</v>
      </c>
      <c r="V9" s="174"/>
      <c r="W9" s="174" t="s">
        <v>51</v>
      </c>
      <c r="X9" s="180" t="s">
        <v>52</v>
      </c>
      <c r="Y9" s="180"/>
      <c r="Z9" s="180" t="s">
        <v>53</v>
      </c>
      <c r="AA9" s="180"/>
      <c r="AB9" s="180" t="s">
        <v>54</v>
      </c>
      <c r="AC9" s="180" t="s">
        <v>55</v>
      </c>
      <c r="AD9" s="180" t="s">
        <v>56</v>
      </c>
      <c r="AE9" s="180" t="s">
        <v>57</v>
      </c>
      <c r="AF9" s="166" t="s">
        <v>58</v>
      </c>
      <c r="AG9" s="166" t="s">
        <v>59</v>
      </c>
      <c r="AH9" s="166" t="s">
        <v>60</v>
      </c>
      <c r="AI9" s="166" t="s">
        <v>61</v>
      </c>
      <c r="AJ9" s="166" t="s">
        <v>62</v>
      </c>
      <c r="AK9" s="166"/>
      <c r="AL9" s="166" t="s">
        <v>63</v>
      </c>
      <c r="AM9" s="166" t="s">
        <v>64</v>
      </c>
      <c r="AN9" s="166" t="s">
        <v>65</v>
      </c>
      <c r="AO9" s="166" t="s">
        <v>66</v>
      </c>
      <c r="AP9" s="177" t="s">
        <v>67</v>
      </c>
      <c r="AQ9" s="177"/>
      <c r="AR9" s="177" t="s">
        <v>68</v>
      </c>
      <c r="AS9" s="166" t="s">
        <v>69</v>
      </c>
      <c r="AT9" s="166" t="s">
        <v>70</v>
      </c>
      <c r="AU9" s="166" t="s">
        <v>71</v>
      </c>
      <c r="AV9" s="166" t="s">
        <v>72</v>
      </c>
      <c r="AW9" s="166" t="s">
        <v>73</v>
      </c>
      <c r="AX9" s="166" t="s">
        <v>74</v>
      </c>
      <c r="AY9" s="166" t="s">
        <v>75</v>
      </c>
      <c r="AZ9" s="166" t="s">
        <v>76</v>
      </c>
      <c r="BA9" s="166" t="s">
        <v>77</v>
      </c>
      <c r="BB9" s="166" t="s">
        <v>78</v>
      </c>
      <c r="BC9" s="166" t="s">
        <v>79</v>
      </c>
      <c r="BD9" s="166" t="s">
        <v>80</v>
      </c>
      <c r="BE9" s="166" t="s">
        <v>81</v>
      </c>
      <c r="BF9" s="166" t="s">
        <v>82</v>
      </c>
      <c r="BG9" s="179" t="s">
        <v>83</v>
      </c>
      <c r="BH9" s="166" t="s">
        <v>84</v>
      </c>
      <c r="BI9" s="166" t="s">
        <v>85</v>
      </c>
      <c r="BJ9" s="166" t="s">
        <v>86</v>
      </c>
      <c r="BK9" s="166"/>
      <c r="BL9" s="166"/>
      <c r="BM9" s="166"/>
      <c r="BN9" s="64" t="s">
        <v>87</v>
      </c>
      <c r="BO9" s="64" t="s">
        <v>88</v>
      </c>
      <c r="BP9" s="64" t="s">
        <v>89</v>
      </c>
      <c r="BQ9" s="166" t="s">
        <v>90</v>
      </c>
      <c r="BR9" s="161" t="s">
        <v>91</v>
      </c>
      <c r="BS9" s="161" t="s">
        <v>92</v>
      </c>
      <c r="BT9" s="161" t="s">
        <v>93</v>
      </c>
      <c r="BU9" s="166" t="s">
        <v>94</v>
      </c>
      <c r="BV9" s="161" t="s">
        <v>95</v>
      </c>
      <c r="BW9" s="161" t="s">
        <v>96</v>
      </c>
      <c r="BX9" s="161" t="s">
        <v>97</v>
      </c>
      <c r="BY9" s="64" t="s">
        <v>98</v>
      </c>
      <c r="BZ9" s="166" t="s">
        <v>99</v>
      </c>
      <c r="CA9" s="166" t="s">
        <v>100</v>
      </c>
      <c r="CB9" s="166" t="s">
        <v>101</v>
      </c>
      <c r="CC9" s="166" t="s">
        <v>102</v>
      </c>
      <c r="CD9" s="166" t="s">
        <v>103</v>
      </c>
      <c r="CE9" s="166" t="s">
        <v>103</v>
      </c>
      <c r="CF9" s="166"/>
      <c r="CG9" s="174"/>
      <c r="CH9" s="70"/>
      <c r="CI9" s="166" t="s">
        <v>104</v>
      </c>
      <c r="CJ9" s="166" t="s">
        <v>105</v>
      </c>
      <c r="CK9" s="166" t="s">
        <v>106</v>
      </c>
      <c r="CL9" s="166" t="s">
        <v>107</v>
      </c>
      <c r="CM9" s="166" t="s">
        <v>108</v>
      </c>
      <c r="CN9" s="177" t="s">
        <v>109</v>
      </c>
      <c r="CO9" s="177" t="s">
        <v>110</v>
      </c>
      <c r="CP9" s="178" t="s">
        <v>111</v>
      </c>
      <c r="CQ9" s="166" t="s">
        <v>112</v>
      </c>
      <c r="CR9" s="166" t="s">
        <v>113</v>
      </c>
      <c r="CS9" s="70"/>
      <c r="CT9" s="166" t="s">
        <v>114</v>
      </c>
      <c r="CU9" s="166" t="s">
        <v>115</v>
      </c>
      <c r="CV9" s="166" t="s">
        <v>116</v>
      </c>
      <c r="CW9" s="166" t="s">
        <v>117</v>
      </c>
      <c r="CX9" s="176" t="s">
        <v>118</v>
      </c>
      <c r="CY9" s="166" t="s">
        <v>119</v>
      </c>
      <c r="CZ9" s="166" t="s">
        <v>120</v>
      </c>
      <c r="DA9" s="166" t="s">
        <v>121</v>
      </c>
      <c r="DB9" s="166" t="s">
        <v>122</v>
      </c>
      <c r="DC9" s="166" t="s">
        <v>123</v>
      </c>
      <c r="DD9" s="166" t="s">
        <v>124</v>
      </c>
      <c r="DE9" s="70"/>
      <c r="DF9" s="162" t="s">
        <v>125</v>
      </c>
      <c r="DG9" s="173" t="s">
        <v>126</v>
      </c>
      <c r="DH9" s="173" t="s">
        <v>127</v>
      </c>
      <c r="DI9" s="173" t="s">
        <v>128</v>
      </c>
      <c r="DJ9" s="162" t="s">
        <v>129</v>
      </c>
      <c r="DK9" s="174" t="s">
        <v>130</v>
      </c>
      <c r="DL9" s="174"/>
      <c r="DM9" s="174"/>
      <c r="DN9" s="174"/>
      <c r="DO9" s="174" t="s">
        <v>131</v>
      </c>
      <c r="DP9" s="174"/>
      <c r="DQ9" s="174"/>
      <c r="DR9" s="174"/>
      <c r="DS9" s="175" t="s">
        <v>132</v>
      </c>
      <c r="DT9" s="170" t="s">
        <v>133</v>
      </c>
      <c r="DU9" s="171" t="s">
        <v>134</v>
      </c>
      <c r="DV9" s="171" t="s">
        <v>135</v>
      </c>
      <c r="DW9" s="70"/>
      <c r="DX9" s="172" t="s">
        <v>136</v>
      </c>
      <c r="DY9" s="162" t="s">
        <v>137</v>
      </c>
      <c r="DZ9" s="162" t="s">
        <v>138</v>
      </c>
      <c r="EA9" s="162" t="s">
        <v>139</v>
      </c>
      <c r="EB9" s="162" t="s">
        <v>140</v>
      </c>
      <c r="EC9" s="162" t="s">
        <v>141</v>
      </c>
      <c r="ED9" s="162" t="s">
        <v>142</v>
      </c>
      <c r="EE9" s="162" t="s">
        <v>143</v>
      </c>
      <c r="EF9" s="162" t="s">
        <v>144</v>
      </c>
      <c r="EG9" s="162" t="s">
        <v>145</v>
      </c>
      <c r="EH9" s="162" t="s">
        <v>7</v>
      </c>
      <c r="EI9" s="162" t="s">
        <v>146</v>
      </c>
      <c r="EJ9" s="162" t="s">
        <v>147</v>
      </c>
      <c r="EK9" s="169" t="s">
        <v>148</v>
      </c>
      <c r="EL9" s="70"/>
      <c r="EM9" s="166" t="s">
        <v>149</v>
      </c>
      <c r="EN9" s="166" t="s">
        <v>150</v>
      </c>
      <c r="EO9" s="166" t="s">
        <v>87</v>
      </c>
      <c r="EP9" s="166" t="s">
        <v>151</v>
      </c>
      <c r="EQ9" s="166" t="s">
        <v>152</v>
      </c>
      <c r="ER9" s="166" t="s">
        <v>153</v>
      </c>
      <c r="ES9" s="166" t="s">
        <v>154</v>
      </c>
      <c r="ET9" s="162" t="s">
        <v>155</v>
      </c>
      <c r="EU9" s="70"/>
      <c r="EV9" s="166" t="s">
        <v>156</v>
      </c>
      <c r="EW9" s="166" t="s">
        <v>157</v>
      </c>
      <c r="EX9" s="166" t="s">
        <v>158</v>
      </c>
      <c r="EY9" s="167" t="s">
        <v>159</v>
      </c>
      <c r="EZ9" s="167"/>
      <c r="FA9" s="167"/>
      <c r="FB9" s="167"/>
      <c r="FC9" s="168" t="s">
        <v>160</v>
      </c>
      <c r="FD9" s="70"/>
      <c r="FE9" s="164" t="s">
        <v>161</v>
      </c>
      <c r="FF9" s="165" t="s">
        <v>162</v>
      </c>
      <c r="FG9" s="165" t="s">
        <v>163</v>
      </c>
      <c r="FH9" s="162" t="s">
        <v>164</v>
      </c>
      <c r="FI9" s="162" t="s">
        <v>165</v>
      </c>
      <c r="FJ9" s="162" t="s">
        <v>166</v>
      </c>
      <c r="FK9" s="161" t="s">
        <v>167</v>
      </c>
      <c r="FL9" s="162" t="s">
        <v>168</v>
      </c>
      <c r="FM9" s="161" t="s">
        <v>169</v>
      </c>
      <c r="FN9" s="163" t="s">
        <v>170</v>
      </c>
      <c r="FO9" s="161" t="s">
        <v>155</v>
      </c>
    </row>
    <row r="10" spans="1:173" s="68" customFormat="1" ht="78" customHeight="1">
      <c r="A10" s="192"/>
      <c r="B10" s="166"/>
      <c r="C10" s="166"/>
      <c r="D10" s="166"/>
      <c r="E10" s="166"/>
      <c r="F10" s="166"/>
      <c r="G10" s="166"/>
      <c r="H10" s="166"/>
      <c r="I10" s="166"/>
      <c r="J10" s="166"/>
      <c r="K10" s="166"/>
      <c r="L10" s="166"/>
      <c r="M10" s="180"/>
      <c r="N10" s="180"/>
      <c r="O10" s="180"/>
      <c r="P10" s="174"/>
      <c r="Q10" s="66" t="s">
        <v>171</v>
      </c>
      <c r="R10" s="66" t="s">
        <v>172</v>
      </c>
      <c r="S10" s="66" t="s">
        <v>173</v>
      </c>
      <c r="T10" s="174"/>
      <c r="U10" s="66" t="s">
        <v>174</v>
      </c>
      <c r="V10" s="66" t="s">
        <v>175</v>
      </c>
      <c r="W10" s="174"/>
      <c r="X10" s="65" t="s">
        <v>176</v>
      </c>
      <c r="Y10" s="65" t="s">
        <v>177</v>
      </c>
      <c r="Z10" s="72" t="s">
        <v>178</v>
      </c>
      <c r="AA10" s="72" t="s">
        <v>179</v>
      </c>
      <c r="AB10" s="180"/>
      <c r="AC10" s="180"/>
      <c r="AD10" s="180"/>
      <c r="AE10" s="180"/>
      <c r="AF10" s="166"/>
      <c r="AG10" s="166"/>
      <c r="AH10" s="166"/>
      <c r="AI10" s="166"/>
      <c r="AJ10" s="69"/>
      <c r="AK10" s="69"/>
      <c r="AL10" s="166"/>
      <c r="AM10" s="166"/>
      <c r="AN10" s="166"/>
      <c r="AO10" s="166"/>
      <c r="AP10" s="69" t="s">
        <v>180</v>
      </c>
      <c r="AQ10" s="69" t="s">
        <v>181</v>
      </c>
      <c r="AR10" s="177"/>
      <c r="AS10" s="166"/>
      <c r="AT10" s="166"/>
      <c r="AU10" s="166"/>
      <c r="AV10" s="166"/>
      <c r="AW10" s="166"/>
      <c r="AX10" s="166"/>
      <c r="AY10" s="166"/>
      <c r="AZ10" s="166"/>
      <c r="BA10" s="166"/>
      <c r="BB10" s="166"/>
      <c r="BC10" s="166"/>
      <c r="BD10" s="166"/>
      <c r="BE10" s="166"/>
      <c r="BF10" s="166"/>
      <c r="BG10" s="179"/>
      <c r="BH10" s="166"/>
      <c r="BI10" s="166"/>
      <c r="BJ10" s="166"/>
      <c r="BK10" s="166"/>
      <c r="BL10" s="166"/>
      <c r="BM10" s="166"/>
      <c r="BN10" s="73" t="s">
        <v>182</v>
      </c>
      <c r="BO10" s="73" t="s">
        <v>183</v>
      </c>
      <c r="BP10" s="73" t="s">
        <v>184</v>
      </c>
      <c r="BQ10" s="166"/>
      <c r="BR10" s="161"/>
      <c r="BS10" s="161"/>
      <c r="BT10" s="161"/>
      <c r="BU10" s="166"/>
      <c r="BV10" s="161"/>
      <c r="BW10" s="161"/>
      <c r="BX10" s="161"/>
      <c r="BY10" s="64">
        <v>23</v>
      </c>
      <c r="BZ10" s="166"/>
      <c r="CA10" s="166"/>
      <c r="CB10" s="166"/>
      <c r="CC10" s="166"/>
      <c r="CD10" s="166"/>
      <c r="CE10" s="166"/>
      <c r="CF10" s="166"/>
      <c r="CG10" s="174"/>
      <c r="CH10" s="70"/>
      <c r="CI10" s="166"/>
      <c r="CJ10" s="166"/>
      <c r="CK10" s="166"/>
      <c r="CL10" s="166"/>
      <c r="CM10" s="166"/>
      <c r="CN10" s="177"/>
      <c r="CO10" s="177"/>
      <c r="CP10" s="178"/>
      <c r="CQ10" s="166"/>
      <c r="CR10" s="166"/>
      <c r="CS10" s="70"/>
      <c r="CT10" s="166"/>
      <c r="CU10" s="166"/>
      <c r="CV10" s="166"/>
      <c r="CW10" s="166"/>
      <c r="CX10" s="176"/>
      <c r="CY10" s="166"/>
      <c r="CZ10" s="166"/>
      <c r="DA10" s="166"/>
      <c r="DB10" s="166"/>
      <c r="DC10" s="166"/>
      <c r="DD10" s="166"/>
      <c r="DE10" s="70"/>
      <c r="DF10" s="162"/>
      <c r="DG10" s="173"/>
      <c r="DH10" s="173"/>
      <c r="DI10" s="173"/>
      <c r="DJ10" s="162"/>
      <c r="DK10" s="66" t="s">
        <v>185</v>
      </c>
      <c r="DL10" s="66" t="s">
        <v>186</v>
      </c>
      <c r="DM10" s="66" t="s">
        <v>187</v>
      </c>
      <c r="DN10" s="66" t="s">
        <v>188</v>
      </c>
      <c r="DO10" s="66" t="s">
        <v>185</v>
      </c>
      <c r="DP10" s="66" t="s">
        <v>186</v>
      </c>
      <c r="DQ10" s="66" t="s">
        <v>187</v>
      </c>
      <c r="DR10" s="66" t="s">
        <v>188</v>
      </c>
      <c r="DS10" s="175"/>
      <c r="DT10" s="170"/>
      <c r="DU10" s="171"/>
      <c r="DV10" s="171"/>
      <c r="DW10" s="70"/>
      <c r="DX10" s="172"/>
      <c r="DY10" s="162"/>
      <c r="DZ10" s="162"/>
      <c r="EA10" s="162"/>
      <c r="EB10" s="162"/>
      <c r="EC10" s="162"/>
      <c r="ED10" s="162"/>
      <c r="EE10" s="162"/>
      <c r="EF10" s="162"/>
      <c r="EG10" s="162"/>
      <c r="EH10" s="162"/>
      <c r="EI10" s="162"/>
      <c r="EJ10" s="162"/>
      <c r="EK10" s="169"/>
      <c r="EL10" s="70"/>
      <c r="EM10" s="166"/>
      <c r="EN10" s="166"/>
      <c r="EO10" s="166"/>
      <c r="EP10" s="166"/>
      <c r="EQ10" s="166"/>
      <c r="ER10" s="166"/>
      <c r="ES10" s="166"/>
      <c r="ET10" s="162"/>
      <c r="EU10" s="70"/>
      <c r="EV10" s="166"/>
      <c r="EW10" s="166"/>
      <c r="EX10" s="166"/>
      <c r="EY10" s="71" t="s">
        <v>189</v>
      </c>
      <c r="EZ10" s="71" t="s">
        <v>190</v>
      </c>
      <c r="FA10" s="66" t="s">
        <v>191</v>
      </c>
      <c r="FB10" s="74" t="s">
        <v>192</v>
      </c>
      <c r="FC10" s="168"/>
      <c r="FD10" s="70"/>
      <c r="FE10" s="164"/>
      <c r="FF10" s="165"/>
      <c r="FG10" s="165"/>
      <c r="FH10" s="162"/>
      <c r="FI10" s="162"/>
      <c r="FJ10" s="162"/>
      <c r="FK10" s="161"/>
      <c r="FL10" s="162"/>
      <c r="FM10" s="161"/>
      <c r="FN10" s="163"/>
      <c r="FO10" s="161"/>
    </row>
    <row r="11" spans="1:173" s="80" customFormat="1" ht="32.450000000000003" customHeight="1" outlineLevel="1">
      <c r="A11" s="75"/>
      <c r="B11" s="75">
        <v>1</v>
      </c>
      <c r="C11" s="75">
        <v>2</v>
      </c>
      <c r="D11" s="75">
        <v>3</v>
      </c>
      <c r="E11" s="75">
        <v>4</v>
      </c>
      <c r="F11" s="75">
        <v>5</v>
      </c>
      <c r="G11" s="75">
        <v>6</v>
      </c>
      <c r="H11" s="75">
        <v>7</v>
      </c>
      <c r="I11" s="75">
        <v>8</v>
      </c>
      <c r="J11" s="75">
        <v>9</v>
      </c>
      <c r="K11" s="75">
        <v>10</v>
      </c>
      <c r="L11" s="75">
        <v>11</v>
      </c>
      <c r="M11" s="75">
        <v>12</v>
      </c>
      <c r="N11" s="75">
        <v>13</v>
      </c>
      <c r="O11" s="75">
        <v>14</v>
      </c>
      <c r="P11" s="76">
        <v>15</v>
      </c>
      <c r="Q11" s="76">
        <v>16</v>
      </c>
      <c r="R11" s="76">
        <v>17</v>
      </c>
      <c r="S11" s="76">
        <v>18</v>
      </c>
      <c r="T11" s="76">
        <v>19</v>
      </c>
      <c r="U11" s="76">
        <v>20</v>
      </c>
      <c r="V11" s="76">
        <v>21</v>
      </c>
      <c r="W11" s="76">
        <v>22</v>
      </c>
      <c r="X11" s="75">
        <v>23</v>
      </c>
      <c r="Y11" s="75">
        <v>24</v>
      </c>
      <c r="Z11" s="75">
        <v>25</v>
      </c>
      <c r="AA11" s="75">
        <v>26</v>
      </c>
      <c r="AB11" s="75">
        <v>27</v>
      </c>
      <c r="AC11" s="75">
        <v>28</v>
      </c>
      <c r="AD11" s="75">
        <v>29</v>
      </c>
      <c r="AE11" s="75">
        <v>30</v>
      </c>
      <c r="AF11" s="75">
        <v>31</v>
      </c>
      <c r="AG11" s="75">
        <v>32</v>
      </c>
      <c r="AH11" s="75">
        <v>33</v>
      </c>
      <c r="AI11" s="75">
        <v>34</v>
      </c>
      <c r="AJ11" s="75">
        <v>35</v>
      </c>
      <c r="AK11" s="75">
        <v>36</v>
      </c>
      <c r="AL11" s="75">
        <v>37</v>
      </c>
      <c r="AM11" s="75">
        <v>38</v>
      </c>
      <c r="AN11" s="75">
        <v>39</v>
      </c>
      <c r="AO11" s="75">
        <v>40</v>
      </c>
      <c r="AP11" s="75">
        <v>41</v>
      </c>
      <c r="AQ11" s="75">
        <v>42</v>
      </c>
      <c r="AR11" s="75">
        <v>43</v>
      </c>
      <c r="AS11" s="75">
        <v>44</v>
      </c>
      <c r="AT11" s="75">
        <v>45</v>
      </c>
      <c r="AU11" s="75">
        <v>46</v>
      </c>
      <c r="AV11" s="75">
        <v>47</v>
      </c>
      <c r="AW11" s="75">
        <v>48</v>
      </c>
      <c r="AX11" s="75">
        <v>49</v>
      </c>
      <c r="AY11" s="75">
        <v>50</v>
      </c>
      <c r="AZ11" s="75">
        <v>51</v>
      </c>
      <c r="BA11" s="75">
        <v>52</v>
      </c>
      <c r="BB11" s="75">
        <v>53</v>
      </c>
      <c r="BC11" s="75">
        <v>54</v>
      </c>
      <c r="BD11" s="75">
        <v>55</v>
      </c>
      <c r="BE11" s="75">
        <v>56</v>
      </c>
      <c r="BF11" s="75">
        <v>57</v>
      </c>
      <c r="BG11" s="75">
        <v>58</v>
      </c>
      <c r="BH11" s="75">
        <v>59</v>
      </c>
      <c r="BI11" s="75">
        <v>60</v>
      </c>
      <c r="BJ11" s="75">
        <v>61</v>
      </c>
      <c r="BK11" s="75">
        <v>62</v>
      </c>
      <c r="BL11" s="75">
        <v>63</v>
      </c>
      <c r="BM11" s="75">
        <v>64</v>
      </c>
      <c r="BN11" s="75">
        <v>65</v>
      </c>
      <c r="BO11" s="75">
        <v>66</v>
      </c>
      <c r="BP11" s="75">
        <v>67</v>
      </c>
      <c r="BQ11" s="75">
        <v>68</v>
      </c>
      <c r="BR11" s="75">
        <v>69</v>
      </c>
      <c r="BS11" s="75">
        <v>70</v>
      </c>
      <c r="BT11" s="75">
        <v>71</v>
      </c>
      <c r="BU11" s="75">
        <v>72</v>
      </c>
      <c r="BV11" s="75">
        <v>73</v>
      </c>
      <c r="BW11" s="75">
        <v>74</v>
      </c>
      <c r="BX11" s="75">
        <v>75</v>
      </c>
      <c r="BY11" s="75">
        <v>76</v>
      </c>
      <c r="BZ11" s="75">
        <v>77</v>
      </c>
      <c r="CA11" s="75">
        <v>78</v>
      </c>
      <c r="CB11" s="75">
        <v>79</v>
      </c>
      <c r="CC11" s="75">
        <v>80</v>
      </c>
      <c r="CD11" s="75">
        <v>81</v>
      </c>
      <c r="CE11" s="75">
        <v>82</v>
      </c>
      <c r="CF11" s="75">
        <v>83</v>
      </c>
      <c r="CG11" s="75">
        <v>84</v>
      </c>
      <c r="CH11" s="77"/>
      <c r="CI11" s="75" t="s">
        <v>193</v>
      </c>
      <c r="CJ11" s="78" t="s">
        <v>194</v>
      </c>
      <c r="CK11" s="75">
        <v>1</v>
      </c>
      <c r="CL11" s="75" t="s">
        <v>195</v>
      </c>
      <c r="CM11" s="75" t="s">
        <v>196</v>
      </c>
      <c r="CN11" s="75"/>
      <c r="CO11" s="75" t="s">
        <v>197</v>
      </c>
      <c r="CP11" s="75"/>
      <c r="CQ11" s="75" t="s">
        <v>196</v>
      </c>
      <c r="CR11" s="75" t="s">
        <v>198</v>
      </c>
      <c r="CS11" s="77"/>
      <c r="CT11" s="75"/>
      <c r="CU11" s="75"/>
      <c r="CV11" s="75"/>
      <c r="CW11" s="75"/>
      <c r="CX11" s="75"/>
      <c r="CY11" s="75"/>
      <c r="CZ11" s="75"/>
      <c r="DA11" s="75"/>
      <c r="DB11" s="75"/>
      <c r="DC11" s="75"/>
      <c r="DD11" s="75"/>
      <c r="DE11" s="79"/>
      <c r="DF11" s="75"/>
      <c r="DG11" s="75" t="s">
        <v>196</v>
      </c>
      <c r="DH11" s="75" t="s">
        <v>196</v>
      </c>
      <c r="DI11" s="75" t="s">
        <v>196</v>
      </c>
      <c r="DJ11" s="75" t="s">
        <v>196</v>
      </c>
      <c r="DK11" s="75" t="s">
        <v>199</v>
      </c>
      <c r="DL11" s="75" t="s">
        <v>199</v>
      </c>
      <c r="DM11" s="75" t="s">
        <v>199</v>
      </c>
      <c r="DN11" s="75" t="s">
        <v>199</v>
      </c>
      <c r="DO11" s="75" t="s">
        <v>199</v>
      </c>
      <c r="DP11" s="75" t="s">
        <v>199</v>
      </c>
      <c r="DQ11" s="75" t="s">
        <v>199</v>
      </c>
      <c r="DR11" s="75" t="s">
        <v>199</v>
      </c>
      <c r="DS11" s="75" t="s">
        <v>196</v>
      </c>
      <c r="DT11" s="75" t="s">
        <v>196</v>
      </c>
      <c r="DU11" s="75" t="s">
        <v>196</v>
      </c>
      <c r="DV11" s="75" t="s">
        <v>196</v>
      </c>
      <c r="DX11" s="81"/>
      <c r="DY11" s="75"/>
      <c r="DZ11" s="75"/>
      <c r="EA11" s="75"/>
      <c r="EB11" s="75"/>
      <c r="EC11" s="75"/>
      <c r="ED11" s="75"/>
      <c r="EE11" s="75"/>
      <c r="EF11" s="75"/>
      <c r="EG11" s="75"/>
      <c r="EH11" s="75"/>
      <c r="EI11" s="75"/>
      <c r="EJ11" s="75"/>
      <c r="EK11" s="82"/>
      <c r="EM11" s="75"/>
      <c r="EN11" s="75"/>
      <c r="EO11" s="75"/>
      <c r="EP11" s="75"/>
      <c r="EQ11" s="75"/>
      <c r="ER11" s="75"/>
      <c r="ES11" s="75"/>
      <c r="ET11" s="75"/>
      <c r="EU11" s="79"/>
      <c r="EV11" s="75"/>
      <c r="EW11" s="75"/>
      <c r="EX11" s="75"/>
      <c r="EY11" s="75"/>
      <c r="EZ11" s="75"/>
      <c r="FA11" s="75"/>
      <c r="FB11" s="75"/>
      <c r="FC11" s="75"/>
      <c r="FE11" s="81"/>
      <c r="FF11" s="75"/>
      <c r="FG11" s="75"/>
      <c r="FH11" s="75"/>
      <c r="FI11" s="75"/>
      <c r="FJ11" s="75"/>
      <c r="FK11" s="75"/>
      <c r="FL11" s="75"/>
      <c r="FM11" s="75"/>
      <c r="FN11" s="75"/>
      <c r="FO11" s="75"/>
    </row>
    <row r="12" spans="1:173" s="93" customFormat="1" ht="45" customHeight="1">
      <c r="A12" s="83" t="s">
        <v>200</v>
      </c>
      <c r="B12" s="83"/>
      <c r="C12" s="84"/>
      <c r="D12" s="83"/>
      <c r="E12" s="83"/>
      <c r="F12" s="83"/>
      <c r="G12" s="83"/>
      <c r="H12" s="83"/>
      <c r="I12" s="83"/>
      <c r="J12" s="85"/>
      <c r="K12" s="86"/>
      <c r="L12" s="86"/>
      <c r="M12" s="86"/>
      <c r="N12" s="86"/>
      <c r="O12" s="86"/>
      <c r="P12" s="86"/>
      <c r="Q12" s="86"/>
      <c r="R12" s="86"/>
      <c r="S12" s="86"/>
      <c r="T12" s="86"/>
      <c r="U12" s="86"/>
      <c r="V12" s="86"/>
      <c r="W12" s="86"/>
      <c r="X12" s="86"/>
      <c r="Y12" s="86"/>
      <c r="Z12" s="86"/>
      <c r="AA12" s="86"/>
      <c r="AB12" s="86"/>
      <c r="AC12" s="86"/>
      <c r="AD12" s="86"/>
      <c r="AE12" s="86"/>
      <c r="AF12" s="83"/>
      <c r="AG12" s="83"/>
      <c r="AH12" s="83"/>
      <c r="AI12" s="83"/>
      <c r="AJ12" s="83"/>
      <c r="AK12" s="83"/>
      <c r="AL12" s="83"/>
      <c r="AM12" s="83"/>
      <c r="AN12" s="83"/>
      <c r="AO12" s="83"/>
      <c r="AP12" s="83"/>
      <c r="AQ12" s="83"/>
      <c r="AR12" s="85"/>
      <c r="AS12" s="85"/>
      <c r="AT12" s="87"/>
      <c r="AU12" s="87"/>
      <c r="AV12" s="87"/>
      <c r="AW12" s="87"/>
      <c r="AX12" s="87"/>
      <c r="AY12" s="87"/>
      <c r="AZ12" s="87"/>
      <c r="BA12" s="87"/>
      <c r="BB12" s="87"/>
      <c r="BC12" s="87"/>
      <c r="BD12" s="87"/>
      <c r="BE12" s="87"/>
      <c r="BF12" s="87"/>
      <c r="BG12" s="87"/>
      <c r="BH12" s="87"/>
      <c r="BI12" s="87"/>
      <c r="BJ12" s="87"/>
      <c r="BK12" s="88"/>
      <c r="BL12" s="87"/>
      <c r="BM12" s="87"/>
      <c r="BN12" s="87"/>
      <c r="BO12" s="87"/>
      <c r="BP12" s="87"/>
      <c r="BQ12" s="87"/>
      <c r="BR12" s="87"/>
      <c r="BS12" s="87"/>
      <c r="BT12" s="89"/>
      <c r="BU12" s="89"/>
      <c r="BV12" s="89"/>
      <c r="BW12" s="89"/>
      <c r="BX12" s="89"/>
      <c r="BY12" s="89"/>
      <c r="BZ12" s="89"/>
      <c r="CA12" s="89"/>
      <c r="CB12" s="89"/>
      <c r="CC12" s="89"/>
      <c r="CD12" s="89"/>
      <c r="CE12" s="90"/>
      <c r="CF12" s="89"/>
      <c r="CG12" s="89"/>
      <c r="CH12" s="70"/>
      <c r="CI12" s="87"/>
      <c r="CJ12" s="89"/>
      <c r="CK12" s="89"/>
      <c r="CL12" s="91"/>
      <c r="CM12" s="91"/>
      <c r="CN12" s="91"/>
      <c r="CO12" s="91"/>
      <c r="CP12" s="91"/>
      <c r="CQ12" s="91"/>
      <c r="CR12" s="91"/>
      <c r="CS12" s="70"/>
      <c r="CT12" s="89"/>
      <c r="CU12" s="89"/>
      <c r="CV12" s="89"/>
      <c r="CW12" s="92">
        <f>SUBTOTAL(9,CW13:CW19)</f>
        <v>100590229</v>
      </c>
      <c r="CX12" s="89"/>
      <c r="CY12" s="89"/>
      <c r="CZ12" s="89"/>
      <c r="DA12" s="89"/>
      <c r="DB12" s="89"/>
      <c r="DC12" s="89"/>
      <c r="DD12" s="89"/>
      <c r="DF12" s="89"/>
      <c r="DG12" s="89"/>
      <c r="DH12" s="89"/>
      <c r="DI12" s="89"/>
      <c r="DJ12" s="89"/>
      <c r="DK12" s="89"/>
      <c r="DL12" s="89"/>
      <c r="DM12" s="89"/>
      <c r="DN12" s="89"/>
      <c r="DO12" s="89"/>
      <c r="DP12" s="89"/>
      <c r="DQ12" s="89"/>
      <c r="DR12" s="89"/>
      <c r="DS12" s="89"/>
      <c r="DT12" s="89"/>
      <c r="DU12" s="89"/>
      <c r="DV12" s="89"/>
      <c r="DX12" s="94"/>
      <c r="DY12" s="89"/>
      <c r="DZ12" s="89"/>
      <c r="EA12" s="89"/>
      <c r="EB12" s="89"/>
      <c r="EC12" s="89"/>
      <c r="ED12" s="89"/>
      <c r="EE12" s="89"/>
      <c r="EF12" s="89"/>
      <c r="EG12" s="89"/>
      <c r="EH12" s="89"/>
      <c r="EI12" s="89"/>
      <c r="EJ12" s="89"/>
      <c r="EK12" s="95"/>
      <c r="EM12" s="89"/>
      <c r="EN12" s="89"/>
      <c r="EO12" s="89"/>
      <c r="EP12" s="89"/>
      <c r="EQ12" s="89"/>
      <c r="ER12" s="89"/>
      <c r="ES12" s="89"/>
      <c r="ET12" s="89"/>
      <c r="EV12" s="87"/>
      <c r="EW12" s="89"/>
      <c r="EX12" s="89"/>
      <c r="EY12" s="89"/>
      <c r="EZ12" s="89"/>
      <c r="FA12" s="96"/>
      <c r="FB12" s="89"/>
      <c r="FC12" s="89"/>
      <c r="FE12" s="97"/>
      <c r="FF12" s="98"/>
      <c r="FG12" s="98"/>
      <c r="FH12" s="89"/>
      <c r="FI12" s="91"/>
      <c r="FJ12" s="91"/>
      <c r="FK12" s="91"/>
      <c r="FL12" s="91"/>
      <c r="FM12" s="89" t="s">
        <v>201</v>
      </c>
      <c r="FN12" s="89" t="s">
        <v>202</v>
      </c>
      <c r="FO12" s="89" t="s">
        <v>38</v>
      </c>
      <c r="FP12" s="93" t="s">
        <v>203</v>
      </c>
      <c r="FQ12" s="93" t="s">
        <v>204</v>
      </c>
    </row>
    <row r="13" spans="1:173" s="140" customFormat="1" ht="45" customHeight="1" outlineLevel="1">
      <c r="A13" s="99">
        <v>1</v>
      </c>
      <c r="B13" s="141">
        <v>2104107</v>
      </c>
      <c r="C13" s="100" t="s">
        <v>219</v>
      </c>
      <c r="D13" s="101">
        <v>4090000</v>
      </c>
      <c r="E13" s="102">
        <f t="shared" ref="E13:E19" si="0">IF(CJ13="ATVSV",300000,0)</f>
        <v>0</v>
      </c>
      <c r="F13" s="103">
        <f t="shared" ref="F13:F19" si="1">D13+E13</f>
        <v>4090000</v>
      </c>
      <c r="G13" s="104">
        <v>0</v>
      </c>
      <c r="H13" s="103">
        <f t="shared" ref="H13:H19" si="2">IF(D13&gt;0,EX13-F13,EX13-G13)</f>
        <v>3010000</v>
      </c>
      <c r="I13" s="103">
        <f t="shared" ref="I13:I19" si="3">FB13</f>
        <v>0</v>
      </c>
      <c r="J13" s="103">
        <f t="shared" ref="J13:J19" si="4">SUM(H13:I13)</f>
        <v>3010000</v>
      </c>
      <c r="K13" s="103">
        <f t="shared" ref="K13:K19" si="5">IF(D13&gt;0,F13+J13,G13+J13)</f>
        <v>7100000</v>
      </c>
      <c r="L13" s="105">
        <v>1</v>
      </c>
      <c r="M13" s="106">
        <v>24</v>
      </c>
      <c r="N13" s="106">
        <v>8.36</v>
      </c>
      <c r="O13" s="106">
        <v>2</v>
      </c>
      <c r="P13" s="106"/>
      <c r="Q13" s="106">
        <v>0</v>
      </c>
      <c r="R13" s="106">
        <v>0</v>
      </c>
      <c r="S13" s="106"/>
      <c r="T13" s="106">
        <v>0</v>
      </c>
      <c r="U13" s="106"/>
      <c r="V13" s="106"/>
      <c r="W13" s="106"/>
      <c r="X13" s="106">
        <v>1</v>
      </c>
      <c r="Y13" s="106">
        <v>1</v>
      </c>
      <c r="Z13" s="107"/>
      <c r="AA13" s="107"/>
      <c r="AB13" s="106"/>
      <c r="AC13" s="106">
        <v>0</v>
      </c>
      <c r="AD13" s="106"/>
      <c r="AE13" s="106">
        <v>0</v>
      </c>
      <c r="AF13" s="103">
        <f t="shared" ref="AF13:AF19" si="6">MAX(ROUND(IF(M13=0,0,IF(CM13="Lương tháng",MAX((D13-D13/26*($C$6-M13))*L13,(G13-G13/26*($C$6-M13))*L13),MAX(D13/26*M13*L13,G13/26*M13*L13))),0),0)</f>
        <v>3775385</v>
      </c>
      <c r="AG13" s="103">
        <f t="shared" ref="AG13:AG19" si="7">ROUND(MAX((F13+H13)*L13/26*N13,(G13+H13)*L13/26*N13,F13/26*N13*150%,G13/26*N13*150%)*CN13,0)</f>
        <v>2282923</v>
      </c>
      <c r="AH13" s="103">
        <f t="shared" ref="AH13:AH19" si="8">ROUND(MAX((F13+H13)*L13/26*O13,(G13+H13)*L13/26*O13,F13/26*O13*200%,G13/26*O13*200%)*CN13,0)+DV13</f>
        <v>629231</v>
      </c>
      <c r="AI13" s="108">
        <f t="shared" ref="AI13:AI19" si="9">ROUND(IF(CM13="lương tháng",0,MAX((F13+H13)/26*SUM(Q13:S13)*30%,(G13+H13)/26*SUM(Q13:S13)*30%)*CN13),0)</f>
        <v>0</v>
      </c>
      <c r="AJ13" s="101"/>
      <c r="AK13" s="101"/>
      <c r="AL13" s="103">
        <f t="shared" ref="AL13:AL19" si="10">ROUND(IF(D13&gt;0,D13/26*T13,G13/26*T13),0)</f>
        <v>0</v>
      </c>
      <c r="AM13" s="103">
        <f t="shared" ref="AM13:AM19" si="11">ROUND(IF(CM13="Lương tháng",K13/26*U13,MAX((F13+H13)/26*(U13+V13)*200%,(G13+H13)/26*(U13+V13)*200%,F13/26*(U13+V13)*300%,G13/26*(U13+V13)*300%)),0)</f>
        <v>0</v>
      </c>
      <c r="AN13" s="103">
        <f t="shared" ref="AN13:AN19" si="12">ROUND(IF(CM13="Lương tháng",MAX((F13+H13)/26*W13,(G13+H13)/26*W13),IF(CO13="BV",MAX(F13/26,G13/26)*W13,IF((U13+W13)&gt;0,MAX(F13/26,G13/26)*(U13+W13),0))),0)</f>
        <v>0</v>
      </c>
      <c r="AO13" s="103">
        <f t="shared" ref="AO13:AO19" si="13">ROUND(IF(CM13="Lương tháng",K13/26*Y13,(K13/26*Y13+K13/26*X13)*CN13),0)-AU13</f>
        <v>516659</v>
      </c>
      <c r="AP13" s="109">
        <f t="shared" ref="AP13:AP19" si="14">DS13</f>
        <v>0</v>
      </c>
      <c r="AQ13" s="109">
        <f t="shared" ref="AQ13:AQ19" si="15">DU13</f>
        <v>0</v>
      </c>
      <c r="AR13" s="110"/>
      <c r="AS13" s="103">
        <f t="shared" ref="AS13:AS19" si="16">ROUND(CQ13*(M13+N13+O13+U13+V13+DO13+DP13+DQ13+DR13),0)</f>
        <v>0</v>
      </c>
      <c r="AT13" s="110">
        <v>0</v>
      </c>
      <c r="AU13" s="103">
        <f t="shared" ref="AU13:AU19" si="17">ROUND(IF(AND(CM13="Lương tháng",Y13=0),0,IF(AND(CI13="X",SUM(X13:Y13)&gt;0),MAX(D13/26*(1.5/8),G13/26*(1.5/8)),0)),0)</f>
        <v>29495</v>
      </c>
      <c r="AV13" s="111">
        <f t="shared" ref="AV13:AV19" si="18">ROUND(IF(CM13="Lương tháng",E13-E13/26*($C$6-M13),E13/26*M13),0)</f>
        <v>0</v>
      </c>
      <c r="AW13" s="103">
        <f t="shared" ref="AW13:AW19" si="19">ROUND(MAX((F13/26*(Z13+AA13+AC13)),(G13/26*(Z13+AA13+AC13))),0)</f>
        <v>0</v>
      </c>
      <c r="AX13" s="112">
        <f t="shared" ref="AX13:AX19" si="20">IF(D13="",0,ROUND((F13+50%*H13)/26*AE13,0))</f>
        <v>0</v>
      </c>
      <c r="AY13" s="103">
        <f t="shared" ref="AY13:AY19" si="21">IF(G13&gt;0,0,ROUND((F13+H13)/26*AB13,0))</f>
        <v>0</v>
      </c>
      <c r="AZ13" s="104"/>
      <c r="BA13" s="110">
        <v>0</v>
      </c>
      <c r="BB13" s="104"/>
      <c r="BC13" s="110">
        <v>0</v>
      </c>
      <c r="BD13" s="113"/>
      <c r="BE13" s="104"/>
      <c r="BF13" s="104"/>
      <c r="BG13" s="103">
        <f t="shared" ref="BG13:BG19" si="22">ROUND(D13/26*AD13,0)</f>
        <v>0</v>
      </c>
      <c r="BH13" s="104"/>
      <c r="BI13" s="104"/>
      <c r="BJ13" s="103">
        <f t="shared" ref="BJ13:BJ19" si="23">ROUND(IF(M13=0,0,IF(CM13="Lương tháng",((J13-J13/26*($C$6-M13))*L13),J13/26*M13*L13)),0)</f>
        <v>2778462</v>
      </c>
      <c r="BK13" s="103">
        <f t="shared" ref="BK13:BK19" si="24">ROUND(SUM(AF13:BJ13),0)</f>
        <v>10012155</v>
      </c>
      <c r="BL13" s="104">
        <v>3823077</v>
      </c>
      <c r="BM13" s="103">
        <f t="shared" ref="BM13:BM19" si="25">ROUND(BK13-BL13,0)</f>
        <v>6189078</v>
      </c>
      <c r="BN13" s="103">
        <f t="shared" ref="BN13:BN19" si="26">ROUND(IF($CK13=1,$F13*$BN$10,0),0)</f>
        <v>0</v>
      </c>
      <c r="BO13" s="103">
        <f t="shared" ref="BO13:BO19" si="27">ROUND(IF($CK13=1,$F13*$BO$10,0),0)</f>
        <v>0</v>
      </c>
      <c r="BP13" s="103">
        <f t="shared" ref="BP13:BP19" si="28">ROUND(IF($CK13=1,$F13*$BP$10,0),0)</f>
        <v>0</v>
      </c>
      <c r="BQ13" s="103">
        <f t="shared" ref="BQ13:BQ19" si="29">MAX(SUM(BN13:BP13)-CT13,0)</f>
        <v>0</v>
      </c>
      <c r="BR13" s="104"/>
      <c r="BS13" s="108">
        <f t="shared" ref="BS13:BS19" si="30">MAX(ROUND(IF($CL13="1X",$F13*0.5%,0),0)-EM13,0)</f>
        <v>0</v>
      </c>
      <c r="BT13" s="114">
        <f t="shared" ref="BT13:BT19" si="31">DC13-DD13</f>
        <v>0</v>
      </c>
      <c r="BU13" s="104"/>
      <c r="BV13" s="104" t="str">
        <f t="shared" ref="BV13:BV19" si="32">IF(BT13&gt;0,"OK","")</f>
        <v/>
      </c>
      <c r="BW13" s="104"/>
      <c r="BX13" s="104"/>
      <c r="BY13" s="103">
        <f t="shared" ref="BY13:BY19" si="33">IF(CR13="",0,IF(EX13&lt;11000000,5000,IF(AND(EX13&gt;=11000000,EX13&lt;25000000),10000,IF(AND(EX13&gt;=25000000,EX13&lt;40000000),15000,IF(AND(EX13&gt;=40000000,EX13&lt;120000000),20000,IF(AND(EX13&gt;=120000000,EX13&lt;240000000),25000,IF(EX13&gt;=240000000,30000))))))*$BY$10)</f>
        <v>115000</v>
      </c>
      <c r="BZ13" s="104"/>
      <c r="CA13" s="104"/>
      <c r="CB13" s="104"/>
      <c r="CC13" s="104">
        <v>0</v>
      </c>
      <c r="CD13" s="104"/>
      <c r="CE13" s="104"/>
      <c r="CF13" s="108">
        <f t="shared" ref="CF13:CF19" si="34">SUM(BQ13:CE13)</f>
        <v>115000</v>
      </c>
      <c r="CG13" s="115">
        <f t="shared" ref="CG13:CG19" si="35">ROUND(BM13-CF13,0)</f>
        <v>6074078</v>
      </c>
      <c r="CH13" s="77"/>
      <c r="CI13" s="101" t="s">
        <v>193</v>
      </c>
      <c r="CJ13" s="101">
        <v>0</v>
      </c>
      <c r="CK13" s="110"/>
      <c r="CL13" s="110"/>
      <c r="CM13" s="116">
        <f t="shared" ref="CM13:CM19" si="36">IF(EX13&gt;=18000000,"Lương tháng",0)</f>
        <v>0</v>
      </c>
      <c r="CN13" s="108">
        <f t="shared" ref="CN13:CN19" si="37">IF(CO13="TC CĐ",1,IF(CM13="Lương tháng",0,1))</f>
        <v>1</v>
      </c>
      <c r="CO13" s="101"/>
      <c r="CP13" s="101">
        <v>0</v>
      </c>
      <c r="CQ13" s="109">
        <f t="shared" ref="CQ13:CQ19" si="38">IF(CP13="M1",13000,IF(CP13="M2",20000,IF(CP13="M3",26000,IF(CP13="M4",32000,0))))</f>
        <v>0</v>
      </c>
      <c r="CR13" s="101" t="s">
        <v>198</v>
      </c>
      <c r="CS13" s="70"/>
      <c r="CT13" s="101">
        <v>429450</v>
      </c>
      <c r="CU13" s="117"/>
      <c r="CV13" s="101"/>
      <c r="CW13" s="112">
        <f t="shared" ref="CW13:CW19" si="39">+BK13-AI13-AP13-AQ13-BB13-BE13-BF13-BW13+CU13+CV13-AR13+IF(AR13&lt;=730000,0,AR13-730000)</f>
        <v>10012155</v>
      </c>
      <c r="CX13" s="118">
        <v>2</v>
      </c>
      <c r="CY13" s="108">
        <f t="shared" ref="CY13:CY19" si="40">CX13*4400000</f>
        <v>8800000</v>
      </c>
      <c r="CZ13" s="108">
        <v>11000000</v>
      </c>
      <c r="DA13" s="108">
        <f t="shared" ref="DA13:DA19" si="41">CY13+CZ13</f>
        <v>19800000</v>
      </c>
      <c r="DB13" s="108">
        <f t="shared" ref="DB13:DB19" si="42">MAX(CW13-DA13-CT13-BQ13-BR13,0)</f>
        <v>0</v>
      </c>
      <c r="DC13" s="108">
        <f t="shared" ref="DC13:DC19" si="43">IF(DB13&gt;0,ROUND(IF(DB13&gt;=80000000,DB13*35%-9850000,IF(DB13&gt;=52000000,DB13*30%-5850000,IF(DB13&gt;=32000000,DB13*25%-3250000,IF(DB13&gt;=18000000,DB13*20%-1650000,IF(DB13&gt;=10000000,DB13*15%-750000,IF(DB13&gt;5000000,DB13*10%-250000,DB13*5%)))))),0),0)</f>
        <v>0</v>
      </c>
      <c r="DD13" s="101"/>
      <c r="DE13" s="70"/>
      <c r="DF13" s="101"/>
      <c r="DG13" s="105">
        <f t="shared" ref="DG13:DG19" si="44">IF(DF13="",0,IF(EX13&lt;=10000000,30%,IF(EX13&lt;22000000,25%,IF(EX13&lt;40000000,20%,IF(EX13&gt;=40000000,15%)))))</f>
        <v>0</v>
      </c>
      <c r="DH13" s="105">
        <f t="shared" ref="DH13:DH19" si="45">IF(DF13="",0,IF(EX13&lt;=15000000,35%,IF(EX13&lt;22000000,30%,IF(EX13&lt;30000000,25%,IF(EX13&lt;40000000,20%,IF(EX13&gt;=40000000,15%))))))</f>
        <v>0</v>
      </c>
      <c r="DI13" s="105">
        <f t="shared" ref="DI13:DI19" si="46">IF(DF13="",0,IF(EX13&lt;15000000,25%,IF(EX13&lt;22000000,20%,IF(EX13&lt;30000000,15%,IF(EX13&lt;40000000,10%,IF(EX13&gt;=40000000,5%))))))</f>
        <v>0</v>
      </c>
      <c r="DJ13" s="105">
        <f t="shared" ref="DJ13:DJ19" si="47">IF(DF13="x",50%,0)</f>
        <v>0</v>
      </c>
      <c r="DK13" s="119"/>
      <c r="DL13" s="120"/>
      <c r="DM13" s="119"/>
      <c r="DN13" s="106"/>
      <c r="DO13" s="121"/>
      <c r="DP13" s="122"/>
      <c r="DQ13" s="121"/>
      <c r="DR13" s="123"/>
      <c r="DS13" s="124">
        <f t="shared" ref="DS13:DS19" si="48">ROUND(EX13*DG13/26*DK13,0)+ROUND(EX13*DH13/26*DL13,0)+ROUND(EX13*DI13/26*DM13,0)+ROUND(EX13*DJ13/26*DN13,0)</f>
        <v>0</v>
      </c>
      <c r="DT13" s="109">
        <f t="shared" ref="DT13:DT19" si="49">IF(AND(SUM(DK13:DL13)&gt;0,EW13="B3"),300000,IF(AND(SUM(DK13:DL13)&gt;0,EW13="B2"),350000,IF(AND(SUM(DK13:DL13)&gt;0,EW13="B1"),400000,0)))</f>
        <v>0</v>
      </c>
      <c r="DU13" s="124">
        <f t="shared" ref="DU13:DU19" si="50">ROUND(DT13/26*SUM(DK13:DL13),0)</f>
        <v>0</v>
      </c>
      <c r="DV13" s="124">
        <f t="shared" ref="DV13:DV19" si="51">ROUND(MAX((F13+H13)/26*SUM(DO13:DQ13)*CN13*120%,(G13+H13)/26*SUM(DO13:DQ13)*CN13*120%,F13/26*SUM(DO13:DQ13)*200%,G13/26*SUM(DO13:DQ13)*200%)*CN13,0)</f>
        <v>0</v>
      </c>
      <c r="DW13" s="70"/>
      <c r="DX13" s="125"/>
      <c r="DY13" s="126"/>
      <c r="DZ13" s="126"/>
      <c r="EA13" s="126"/>
      <c r="EB13" s="126"/>
      <c r="EC13" s="126"/>
      <c r="ED13" s="126"/>
      <c r="EE13" s="126"/>
      <c r="EF13" s="126"/>
      <c r="EG13" s="126"/>
      <c r="EH13" s="126"/>
      <c r="EI13" s="126"/>
      <c r="EJ13" s="127"/>
      <c r="EK13" s="128"/>
      <c r="EL13" s="70"/>
      <c r="EM13" s="110">
        <v>20450</v>
      </c>
      <c r="EN13" s="110">
        <v>110000</v>
      </c>
      <c r="EO13" s="129">
        <f t="shared" ref="EO13:EO19" si="52">CT13+BQ13+BR13</f>
        <v>429450</v>
      </c>
      <c r="EP13" s="129">
        <f t="shared" ref="EP13:EP19" si="53">SUM(EN13,EM13,CT13)</f>
        <v>559900</v>
      </c>
      <c r="EQ13" s="129">
        <f t="shared" ref="EQ13:EQ19" si="54">SUM(EP13,CF13)</f>
        <v>674900</v>
      </c>
      <c r="ER13" s="110">
        <v>3263177</v>
      </c>
      <c r="ES13" s="129">
        <f t="shared" ref="ES13:ES19" si="55">SUM(ER13,CG13)</f>
        <v>9337255</v>
      </c>
      <c r="ET13" s="130"/>
      <c r="EU13" s="70"/>
      <c r="EV13" s="131">
        <v>45292</v>
      </c>
      <c r="EW13" s="108" t="str">
        <f t="shared" ref="EW13:EW19" si="56">IF(EX13&lt;12000000,"B3",IF(EX13&lt;25000000,"B2",IF(EX13&lt;40000000,"B1",IF(EX13&lt;90000000,"A7",IF(EX13&lt;120000000,"A6",IF(EX13&lt;180000000,"A5",IF(EX13&lt;240000000,"A4",IF(EX13&lt;300000000,"A3",IF(EX13&lt;400000000,"A2","A1")))))))))</f>
        <v>B3</v>
      </c>
      <c r="EX13" s="110">
        <v>7100000</v>
      </c>
      <c r="EY13" s="101">
        <v>0</v>
      </c>
      <c r="EZ13" s="101">
        <v>0</v>
      </c>
      <c r="FA13" s="106">
        <v>0</v>
      </c>
      <c r="FB13" s="103">
        <f t="shared" ref="FB13:FB19" si="57">EY13+EZ13+FA13%*EX13</f>
        <v>0</v>
      </c>
      <c r="FC13" s="132">
        <f t="shared" ref="FC13:FC19" si="58">EX13+FB13</f>
        <v>7100000</v>
      </c>
      <c r="FD13" s="70"/>
      <c r="FE13" s="133"/>
      <c r="FF13" s="134"/>
      <c r="FG13" s="134"/>
      <c r="FH13" s="110" t="s">
        <v>208</v>
      </c>
      <c r="FI13" s="135" t="s">
        <v>216</v>
      </c>
      <c r="FJ13" s="135" t="s">
        <v>217</v>
      </c>
      <c r="FK13" s="135" t="s">
        <v>206</v>
      </c>
      <c r="FL13" s="136" t="s">
        <v>207</v>
      </c>
      <c r="FM13" s="110"/>
      <c r="FN13" s="142"/>
      <c r="FO13" s="137"/>
      <c r="FP13" s="138">
        <v>12</v>
      </c>
      <c r="FQ13" s="139">
        <f t="shared" ref="FQ13" si="59">ROUND(EX13/26*FP13,0)</f>
        <v>3276923</v>
      </c>
    </row>
    <row r="14" spans="1:173" s="140" customFormat="1" ht="45" customHeight="1" outlineLevel="1">
      <c r="A14" s="99">
        <f t="shared" ref="A14:A19" si="60">A13+1</f>
        <v>2</v>
      </c>
      <c r="B14" s="141">
        <v>22081340</v>
      </c>
      <c r="C14" s="100" t="s">
        <v>220</v>
      </c>
      <c r="D14" s="101">
        <v>8510000</v>
      </c>
      <c r="E14" s="102">
        <f t="shared" si="0"/>
        <v>0</v>
      </c>
      <c r="F14" s="103">
        <f t="shared" si="1"/>
        <v>8510000</v>
      </c>
      <c r="G14" s="104">
        <v>0</v>
      </c>
      <c r="H14" s="103">
        <f t="shared" si="2"/>
        <v>15490000</v>
      </c>
      <c r="I14" s="103">
        <f t="shared" si="3"/>
        <v>1200000</v>
      </c>
      <c r="J14" s="103">
        <f t="shared" si="4"/>
        <v>16690000</v>
      </c>
      <c r="K14" s="103">
        <f t="shared" si="5"/>
        <v>25200000</v>
      </c>
      <c r="L14" s="105">
        <v>1</v>
      </c>
      <c r="M14" s="106">
        <v>25</v>
      </c>
      <c r="N14" s="106">
        <v>0</v>
      </c>
      <c r="O14" s="106">
        <v>0</v>
      </c>
      <c r="P14" s="106"/>
      <c r="Q14" s="106">
        <v>0</v>
      </c>
      <c r="R14" s="106">
        <v>0</v>
      </c>
      <c r="S14" s="106"/>
      <c r="T14" s="106">
        <v>0</v>
      </c>
      <c r="U14" s="106"/>
      <c r="V14" s="106"/>
      <c r="W14" s="106"/>
      <c r="X14" s="106">
        <v>0</v>
      </c>
      <c r="Y14" s="106">
        <v>0</v>
      </c>
      <c r="Z14" s="107"/>
      <c r="AA14" s="107"/>
      <c r="AB14" s="106"/>
      <c r="AC14" s="106">
        <v>0</v>
      </c>
      <c r="AD14" s="106"/>
      <c r="AE14" s="106">
        <v>0</v>
      </c>
      <c r="AF14" s="103">
        <f t="shared" si="6"/>
        <v>8510000</v>
      </c>
      <c r="AG14" s="103">
        <f t="shared" si="7"/>
        <v>0</v>
      </c>
      <c r="AH14" s="103">
        <f t="shared" si="8"/>
        <v>0</v>
      </c>
      <c r="AI14" s="108">
        <f t="shared" si="9"/>
        <v>0</v>
      </c>
      <c r="AJ14" s="101"/>
      <c r="AK14" s="101"/>
      <c r="AL14" s="103">
        <f t="shared" si="10"/>
        <v>0</v>
      </c>
      <c r="AM14" s="103">
        <f t="shared" si="11"/>
        <v>0</v>
      </c>
      <c r="AN14" s="103">
        <f t="shared" si="12"/>
        <v>0</v>
      </c>
      <c r="AO14" s="103">
        <f t="shared" si="13"/>
        <v>0</v>
      </c>
      <c r="AP14" s="109">
        <f t="shared" si="14"/>
        <v>0</v>
      </c>
      <c r="AQ14" s="109">
        <f t="shared" si="15"/>
        <v>0</v>
      </c>
      <c r="AR14" s="110"/>
      <c r="AS14" s="103">
        <f t="shared" si="16"/>
        <v>0</v>
      </c>
      <c r="AT14" s="110">
        <v>0</v>
      </c>
      <c r="AU14" s="103">
        <f t="shared" si="17"/>
        <v>0</v>
      </c>
      <c r="AV14" s="111">
        <f t="shared" si="18"/>
        <v>0</v>
      </c>
      <c r="AW14" s="103">
        <f t="shared" si="19"/>
        <v>0</v>
      </c>
      <c r="AX14" s="112">
        <f t="shared" si="20"/>
        <v>0</v>
      </c>
      <c r="AY14" s="103">
        <f t="shared" si="21"/>
        <v>0</v>
      </c>
      <c r="AZ14" s="104"/>
      <c r="BA14" s="110">
        <v>0</v>
      </c>
      <c r="BB14" s="104"/>
      <c r="BC14" s="110">
        <v>0</v>
      </c>
      <c r="BD14" s="113"/>
      <c r="BE14" s="104"/>
      <c r="BF14" s="104"/>
      <c r="BG14" s="103">
        <f t="shared" si="22"/>
        <v>0</v>
      </c>
      <c r="BH14" s="104"/>
      <c r="BI14" s="104"/>
      <c r="BJ14" s="103">
        <f t="shared" si="23"/>
        <v>16690000</v>
      </c>
      <c r="BK14" s="103">
        <f t="shared" si="24"/>
        <v>25200000</v>
      </c>
      <c r="BL14" s="104">
        <v>10080000</v>
      </c>
      <c r="BM14" s="103">
        <f t="shared" si="25"/>
        <v>15120000</v>
      </c>
      <c r="BN14" s="103">
        <f t="shared" si="26"/>
        <v>0</v>
      </c>
      <c r="BO14" s="103">
        <f t="shared" si="27"/>
        <v>0</v>
      </c>
      <c r="BP14" s="103">
        <f t="shared" si="28"/>
        <v>0</v>
      </c>
      <c r="BQ14" s="103">
        <f t="shared" si="29"/>
        <v>0</v>
      </c>
      <c r="BR14" s="104"/>
      <c r="BS14" s="108">
        <f t="shared" si="30"/>
        <v>0</v>
      </c>
      <c r="BT14" s="114">
        <f t="shared" si="31"/>
        <v>225323</v>
      </c>
      <c r="BU14" s="104"/>
      <c r="BV14" s="104" t="str">
        <f t="shared" si="32"/>
        <v>OK</v>
      </c>
      <c r="BW14" s="104"/>
      <c r="BX14" s="104"/>
      <c r="BY14" s="103">
        <f t="shared" si="33"/>
        <v>230000</v>
      </c>
      <c r="BZ14" s="104"/>
      <c r="CA14" s="104"/>
      <c r="CB14" s="104"/>
      <c r="CC14" s="104">
        <v>0</v>
      </c>
      <c r="CD14" s="104"/>
      <c r="CE14" s="104"/>
      <c r="CF14" s="108">
        <f t="shared" si="34"/>
        <v>455323</v>
      </c>
      <c r="CG14" s="115">
        <f t="shared" si="35"/>
        <v>14664677</v>
      </c>
      <c r="CH14" s="77"/>
      <c r="CI14" s="101"/>
      <c r="CJ14" s="101"/>
      <c r="CK14" s="110"/>
      <c r="CL14" s="110"/>
      <c r="CM14" s="116" t="str">
        <f t="shared" si="36"/>
        <v>Lương tháng</v>
      </c>
      <c r="CN14" s="108">
        <f t="shared" si="37"/>
        <v>0</v>
      </c>
      <c r="CO14" s="101"/>
      <c r="CP14" s="101"/>
      <c r="CQ14" s="109">
        <f t="shared" si="38"/>
        <v>0</v>
      </c>
      <c r="CR14" s="101" t="s">
        <v>198</v>
      </c>
      <c r="CS14" s="70"/>
      <c r="CT14" s="101">
        <v>893550</v>
      </c>
      <c r="CU14" s="117"/>
      <c r="CV14" s="101"/>
      <c r="CW14" s="112">
        <f t="shared" si="39"/>
        <v>25200000</v>
      </c>
      <c r="CX14" s="118">
        <v>2</v>
      </c>
      <c r="CY14" s="108">
        <f t="shared" si="40"/>
        <v>8800000</v>
      </c>
      <c r="CZ14" s="108">
        <v>11000000</v>
      </c>
      <c r="DA14" s="108">
        <f t="shared" si="41"/>
        <v>19800000</v>
      </c>
      <c r="DB14" s="108">
        <f t="shared" si="42"/>
        <v>4506450</v>
      </c>
      <c r="DC14" s="108">
        <f t="shared" si="43"/>
        <v>225323</v>
      </c>
      <c r="DD14" s="101"/>
      <c r="DE14" s="70"/>
      <c r="DF14" s="101"/>
      <c r="DG14" s="105">
        <f t="shared" si="44"/>
        <v>0</v>
      </c>
      <c r="DH14" s="105">
        <f t="shared" si="45"/>
        <v>0</v>
      </c>
      <c r="DI14" s="105">
        <f t="shared" si="46"/>
        <v>0</v>
      </c>
      <c r="DJ14" s="105">
        <f t="shared" si="47"/>
        <v>0</v>
      </c>
      <c r="DK14" s="119"/>
      <c r="DL14" s="120"/>
      <c r="DM14" s="119"/>
      <c r="DN14" s="106"/>
      <c r="DO14" s="121"/>
      <c r="DP14" s="122"/>
      <c r="DQ14" s="121"/>
      <c r="DR14" s="123"/>
      <c r="DS14" s="124">
        <f t="shared" si="48"/>
        <v>0</v>
      </c>
      <c r="DT14" s="109">
        <f t="shared" si="49"/>
        <v>0</v>
      </c>
      <c r="DU14" s="124">
        <f t="shared" si="50"/>
        <v>0</v>
      </c>
      <c r="DV14" s="124">
        <f t="shared" si="51"/>
        <v>0</v>
      </c>
      <c r="DW14" s="70"/>
      <c r="DX14" s="125"/>
      <c r="DY14" s="126"/>
      <c r="DZ14" s="126"/>
      <c r="EA14" s="126"/>
      <c r="EB14" s="126"/>
      <c r="EC14" s="126"/>
      <c r="ED14" s="126"/>
      <c r="EE14" s="126"/>
      <c r="EF14" s="126"/>
      <c r="EG14" s="126"/>
      <c r="EH14" s="126"/>
      <c r="EI14" s="126"/>
      <c r="EJ14" s="127"/>
      <c r="EK14" s="128"/>
      <c r="EL14" s="70"/>
      <c r="EM14" s="110">
        <v>42550</v>
      </c>
      <c r="EN14" s="110">
        <v>220000</v>
      </c>
      <c r="EO14" s="129">
        <f t="shared" si="52"/>
        <v>893550</v>
      </c>
      <c r="EP14" s="129">
        <f t="shared" si="53"/>
        <v>1156100</v>
      </c>
      <c r="EQ14" s="129">
        <f t="shared" si="54"/>
        <v>1611423</v>
      </c>
      <c r="ER14" s="110">
        <v>8923900</v>
      </c>
      <c r="ES14" s="129">
        <f t="shared" si="55"/>
        <v>23588577</v>
      </c>
      <c r="ET14" s="130"/>
      <c r="EU14" s="70"/>
      <c r="EV14" s="131">
        <v>45793</v>
      </c>
      <c r="EW14" s="108" t="str">
        <f t="shared" si="56"/>
        <v>B2</v>
      </c>
      <c r="EX14" s="110">
        <v>24000000</v>
      </c>
      <c r="EY14" s="101">
        <v>0</v>
      </c>
      <c r="EZ14" s="101">
        <v>0</v>
      </c>
      <c r="FA14" s="106">
        <v>5</v>
      </c>
      <c r="FB14" s="103">
        <f t="shared" si="57"/>
        <v>1200000</v>
      </c>
      <c r="FC14" s="132">
        <f t="shared" si="58"/>
        <v>25200000</v>
      </c>
      <c r="FD14" s="70"/>
      <c r="FE14" s="133"/>
      <c r="FF14" s="134"/>
      <c r="FG14" s="134"/>
      <c r="FH14" s="110" t="s">
        <v>205</v>
      </c>
      <c r="FI14" s="135" t="s">
        <v>218</v>
      </c>
      <c r="FJ14" s="135" t="s">
        <v>215</v>
      </c>
      <c r="FK14" s="135" t="s">
        <v>206</v>
      </c>
      <c r="FL14" s="136" t="s">
        <v>207</v>
      </c>
      <c r="FM14" s="110"/>
      <c r="FN14" s="142"/>
      <c r="FO14" s="137"/>
      <c r="FP14" s="138"/>
      <c r="FQ14" s="139"/>
    </row>
    <row r="15" spans="1:173" s="140" customFormat="1" ht="45" customHeight="1" outlineLevel="1">
      <c r="A15" s="99">
        <f t="shared" si="60"/>
        <v>3</v>
      </c>
      <c r="B15" s="141">
        <v>2202819</v>
      </c>
      <c r="C15" s="100" t="s">
        <v>221</v>
      </c>
      <c r="D15" s="101">
        <v>4750000</v>
      </c>
      <c r="E15" s="102">
        <f t="shared" si="0"/>
        <v>0</v>
      </c>
      <c r="F15" s="103">
        <f t="shared" si="1"/>
        <v>4750000</v>
      </c>
      <c r="G15" s="104">
        <v>0</v>
      </c>
      <c r="H15" s="103">
        <f t="shared" si="2"/>
        <v>4550000</v>
      </c>
      <c r="I15" s="103">
        <f t="shared" si="3"/>
        <v>930000</v>
      </c>
      <c r="J15" s="103">
        <f t="shared" si="4"/>
        <v>5480000</v>
      </c>
      <c r="K15" s="103">
        <f t="shared" si="5"/>
        <v>10230000</v>
      </c>
      <c r="L15" s="105">
        <v>1</v>
      </c>
      <c r="M15" s="106">
        <v>21.5</v>
      </c>
      <c r="N15" s="106">
        <v>2.8499999999999996</v>
      </c>
      <c r="O15" s="106">
        <v>0</v>
      </c>
      <c r="P15" s="106"/>
      <c r="Q15" s="106">
        <v>9.75</v>
      </c>
      <c r="R15" s="106">
        <v>0</v>
      </c>
      <c r="S15" s="106"/>
      <c r="T15" s="106">
        <v>0</v>
      </c>
      <c r="U15" s="106"/>
      <c r="V15" s="106"/>
      <c r="W15" s="106"/>
      <c r="X15" s="106">
        <v>0</v>
      </c>
      <c r="Y15" s="106">
        <v>2</v>
      </c>
      <c r="Z15" s="107"/>
      <c r="AA15" s="107"/>
      <c r="AB15" s="106"/>
      <c r="AC15" s="106">
        <v>0</v>
      </c>
      <c r="AD15" s="106"/>
      <c r="AE15" s="106">
        <v>1.5</v>
      </c>
      <c r="AF15" s="103">
        <f t="shared" si="6"/>
        <v>3927885</v>
      </c>
      <c r="AG15" s="103">
        <f t="shared" si="7"/>
        <v>1019423</v>
      </c>
      <c r="AH15" s="103">
        <f t="shared" si="8"/>
        <v>0</v>
      </c>
      <c r="AI15" s="108">
        <f t="shared" si="9"/>
        <v>1046250</v>
      </c>
      <c r="AJ15" s="101"/>
      <c r="AK15" s="101"/>
      <c r="AL15" s="103">
        <f t="shared" si="10"/>
        <v>0</v>
      </c>
      <c r="AM15" s="103">
        <f t="shared" si="11"/>
        <v>0</v>
      </c>
      <c r="AN15" s="103">
        <f t="shared" si="12"/>
        <v>0</v>
      </c>
      <c r="AO15" s="103">
        <f t="shared" si="13"/>
        <v>786923</v>
      </c>
      <c r="AP15" s="109">
        <f t="shared" si="14"/>
        <v>0</v>
      </c>
      <c r="AQ15" s="109">
        <f t="shared" si="15"/>
        <v>0</v>
      </c>
      <c r="AR15" s="110"/>
      <c r="AS15" s="103">
        <f t="shared" si="16"/>
        <v>487000</v>
      </c>
      <c r="AT15" s="110">
        <v>0</v>
      </c>
      <c r="AU15" s="103">
        <f t="shared" si="17"/>
        <v>0</v>
      </c>
      <c r="AV15" s="111">
        <f t="shared" si="18"/>
        <v>0</v>
      </c>
      <c r="AW15" s="103">
        <f t="shared" si="19"/>
        <v>0</v>
      </c>
      <c r="AX15" s="112">
        <f t="shared" si="20"/>
        <v>405288</v>
      </c>
      <c r="AY15" s="103">
        <f t="shared" si="21"/>
        <v>0</v>
      </c>
      <c r="AZ15" s="104"/>
      <c r="BA15" s="110">
        <v>0</v>
      </c>
      <c r="BB15" s="104"/>
      <c r="BC15" s="110">
        <v>0</v>
      </c>
      <c r="BD15" s="113"/>
      <c r="BE15" s="104"/>
      <c r="BF15" s="104"/>
      <c r="BG15" s="103">
        <f t="shared" si="22"/>
        <v>0</v>
      </c>
      <c r="BH15" s="104"/>
      <c r="BI15" s="104"/>
      <c r="BJ15" s="103">
        <f t="shared" si="23"/>
        <v>4531538</v>
      </c>
      <c r="BK15" s="103">
        <f t="shared" si="24"/>
        <v>12204307</v>
      </c>
      <c r="BL15" s="104">
        <v>6070665</v>
      </c>
      <c r="BM15" s="103">
        <f t="shared" si="25"/>
        <v>6133642</v>
      </c>
      <c r="BN15" s="103">
        <f t="shared" si="26"/>
        <v>0</v>
      </c>
      <c r="BO15" s="103">
        <f t="shared" si="27"/>
        <v>0</v>
      </c>
      <c r="BP15" s="103">
        <f t="shared" si="28"/>
        <v>0</v>
      </c>
      <c r="BQ15" s="103">
        <f t="shared" si="29"/>
        <v>0</v>
      </c>
      <c r="BR15" s="104"/>
      <c r="BS15" s="108">
        <f t="shared" si="30"/>
        <v>0</v>
      </c>
      <c r="BT15" s="114">
        <f t="shared" si="31"/>
        <v>0</v>
      </c>
      <c r="BU15" s="104"/>
      <c r="BV15" s="104" t="str">
        <f t="shared" si="32"/>
        <v/>
      </c>
      <c r="BW15" s="104"/>
      <c r="BX15" s="104"/>
      <c r="BY15" s="103">
        <f t="shared" si="33"/>
        <v>115000</v>
      </c>
      <c r="BZ15" s="104"/>
      <c r="CA15" s="104"/>
      <c r="CB15" s="104"/>
      <c r="CC15" s="104">
        <v>0</v>
      </c>
      <c r="CD15" s="104"/>
      <c r="CE15" s="104"/>
      <c r="CF15" s="108">
        <f t="shared" si="34"/>
        <v>115000</v>
      </c>
      <c r="CG15" s="115">
        <f t="shared" si="35"/>
        <v>6018642</v>
      </c>
      <c r="CH15" s="77"/>
      <c r="CI15" s="101"/>
      <c r="CJ15" s="101">
        <v>0</v>
      </c>
      <c r="CK15" s="110"/>
      <c r="CL15" s="110"/>
      <c r="CM15" s="116">
        <f t="shared" si="36"/>
        <v>0</v>
      </c>
      <c r="CN15" s="108">
        <f t="shared" si="37"/>
        <v>1</v>
      </c>
      <c r="CO15" s="101"/>
      <c r="CP15" s="101" t="s">
        <v>210</v>
      </c>
      <c r="CQ15" s="109">
        <f t="shared" si="38"/>
        <v>20000</v>
      </c>
      <c r="CR15" s="101" t="s">
        <v>198</v>
      </c>
      <c r="CS15" s="70"/>
      <c r="CT15" s="101">
        <v>498750</v>
      </c>
      <c r="CU15" s="117"/>
      <c r="CV15" s="101"/>
      <c r="CW15" s="112">
        <f t="shared" si="39"/>
        <v>11158057</v>
      </c>
      <c r="CX15" s="118">
        <v>1</v>
      </c>
      <c r="CY15" s="108">
        <f t="shared" si="40"/>
        <v>4400000</v>
      </c>
      <c r="CZ15" s="108">
        <v>11000000</v>
      </c>
      <c r="DA15" s="108">
        <f t="shared" si="41"/>
        <v>15400000</v>
      </c>
      <c r="DB15" s="108">
        <f t="shared" si="42"/>
        <v>0</v>
      </c>
      <c r="DC15" s="108">
        <f t="shared" si="43"/>
        <v>0</v>
      </c>
      <c r="DD15" s="101"/>
      <c r="DE15" s="70"/>
      <c r="DF15" s="101"/>
      <c r="DG15" s="105">
        <f t="shared" si="44"/>
        <v>0</v>
      </c>
      <c r="DH15" s="105">
        <f t="shared" si="45"/>
        <v>0</v>
      </c>
      <c r="DI15" s="105">
        <f t="shared" si="46"/>
        <v>0</v>
      </c>
      <c r="DJ15" s="105">
        <f t="shared" si="47"/>
        <v>0</v>
      </c>
      <c r="DK15" s="119"/>
      <c r="DL15" s="120"/>
      <c r="DM15" s="119"/>
      <c r="DN15" s="106"/>
      <c r="DO15" s="121"/>
      <c r="DP15" s="122"/>
      <c r="DQ15" s="121"/>
      <c r="DR15" s="123"/>
      <c r="DS15" s="124">
        <f t="shared" si="48"/>
        <v>0</v>
      </c>
      <c r="DT15" s="109">
        <f t="shared" si="49"/>
        <v>0</v>
      </c>
      <c r="DU15" s="124">
        <f t="shared" si="50"/>
        <v>0</v>
      </c>
      <c r="DV15" s="124">
        <f t="shared" si="51"/>
        <v>0</v>
      </c>
      <c r="DW15" s="70"/>
      <c r="DX15" s="125"/>
      <c r="DY15" s="126"/>
      <c r="DZ15" s="126"/>
      <c r="EA15" s="126"/>
      <c r="EB15" s="126"/>
      <c r="EC15" s="126"/>
      <c r="ED15" s="126"/>
      <c r="EE15" s="126"/>
      <c r="EF15" s="126"/>
      <c r="EG15" s="126"/>
      <c r="EH15" s="126"/>
      <c r="EI15" s="126"/>
      <c r="EJ15" s="127"/>
      <c r="EK15" s="128"/>
      <c r="EL15" s="70"/>
      <c r="EM15" s="110">
        <v>23750</v>
      </c>
      <c r="EN15" s="110">
        <v>110000</v>
      </c>
      <c r="EO15" s="129">
        <f t="shared" si="52"/>
        <v>498750</v>
      </c>
      <c r="EP15" s="129">
        <f t="shared" si="53"/>
        <v>632500</v>
      </c>
      <c r="EQ15" s="129">
        <f t="shared" si="54"/>
        <v>747500</v>
      </c>
      <c r="ER15" s="110">
        <v>5438165</v>
      </c>
      <c r="ES15" s="129">
        <f t="shared" si="55"/>
        <v>11456807</v>
      </c>
      <c r="ET15" s="130"/>
      <c r="EU15" s="70"/>
      <c r="EV15" s="131">
        <v>45627</v>
      </c>
      <c r="EW15" s="108" t="str">
        <f t="shared" si="56"/>
        <v>B3</v>
      </c>
      <c r="EX15" s="110">
        <v>9300000</v>
      </c>
      <c r="EY15" s="101">
        <v>0</v>
      </c>
      <c r="EZ15" s="101">
        <v>0</v>
      </c>
      <c r="FA15" s="106">
        <v>10</v>
      </c>
      <c r="FB15" s="103">
        <f t="shared" si="57"/>
        <v>930000</v>
      </c>
      <c r="FC15" s="132">
        <f t="shared" si="58"/>
        <v>10230000</v>
      </c>
      <c r="FD15" s="70"/>
      <c r="FE15" s="133"/>
      <c r="FF15" s="134"/>
      <c r="FG15" s="134"/>
      <c r="FH15" s="110" t="s">
        <v>205</v>
      </c>
      <c r="FI15" s="135" t="s">
        <v>211</v>
      </c>
      <c r="FJ15" s="135" t="s">
        <v>215</v>
      </c>
      <c r="FK15" s="135" t="s">
        <v>206</v>
      </c>
      <c r="FL15" s="136" t="s">
        <v>207</v>
      </c>
      <c r="FM15" s="110"/>
      <c r="FN15" s="142"/>
      <c r="FO15" s="137"/>
      <c r="FP15" s="138"/>
      <c r="FQ15" s="139"/>
    </row>
    <row r="16" spans="1:173" s="140" customFormat="1" ht="45" customHeight="1" outlineLevel="1">
      <c r="A16" s="99">
        <f t="shared" si="60"/>
        <v>4</v>
      </c>
      <c r="B16" s="141">
        <v>22101933</v>
      </c>
      <c r="C16" s="100" t="s">
        <v>222</v>
      </c>
      <c r="D16" s="101">
        <v>4520000</v>
      </c>
      <c r="E16" s="102">
        <f t="shared" si="0"/>
        <v>0</v>
      </c>
      <c r="F16" s="103">
        <f t="shared" si="1"/>
        <v>4520000</v>
      </c>
      <c r="G16" s="104">
        <v>0</v>
      </c>
      <c r="H16" s="103">
        <f t="shared" si="2"/>
        <v>5380000</v>
      </c>
      <c r="I16" s="103">
        <f t="shared" si="3"/>
        <v>990000</v>
      </c>
      <c r="J16" s="103">
        <f t="shared" si="4"/>
        <v>6370000</v>
      </c>
      <c r="K16" s="103">
        <f t="shared" si="5"/>
        <v>10890000</v>
      </c>
      <c r="L16" s="105">
        <v>1</v>
      </c>
      <c r="M16" s="106">
        <v>25</v>
      </c>
      <c r="N16" s="106">
        <v>13.18</v>
      </c>
      <c r="O16" s="106">
        <v>3</v>
      </c>
      <c r="P16" s="106"/>
      <c r="Q16" s="106">
        <v>0.31</v>
      </c>
      <c r="R16" s="106">
        <v>0</v>
      </c>
      <c r="S16" s="106"/>
      <c r="T16" s="106">
        <v>0</v>
      </c>
      <c r="U16" s="106"/>
      <c r="V16" s="106"/>
      <c r="W16" s="106"/>
      <c r="X16" s="106">
        <v>2</v>
      </c>
      <c r="Y16" s="106">
        <v>0</v>
      </c>
      <c r="Z16" s="107"/>
      <c r="AA16" s="107"/>
      <c r="AB16" s="106"/>
      <c r="AC16" s="106">
        <v>0</v>
      </c>
      <c r="AD16" s="106"/>
      <c r="AE16" s="106">
        <v>0</v>
      </c>
      <c r="AF16" s="103">
        <f t="shared" si="6"/>
        <v>4346154</v>
      </c>
      <c r="AG16" s="103">
        <f t="shared" si="7"/>
        <v>5018538</v>
      </c>
      <c r="AH16" s="103">
        <f t="shared" si="8"/>
        <v>1142308</v>
      </c>
      <c r="AI16" s="108">
        <f t="shared" si="9"/>
        <v>35412</v>
      </c>
      <c r="AJ16" s="101"/>
      <c r="AK16" s="101"/>
      <c r="AL16" s="103">
        <f t="shared" si="10"/>
        <v>0</v>
      </c>
      <c r="AM16" s="103">
        <f t="shared" si="11"/>
        <v>0</v>
      </c>
      <c r="AN16" s="103">
        <f t="shared" si="12"/>
        <v>0</v>
      </c>
      <c r="AO16" s="103">
        <f t="shared" si="13"/>
        <v>837692</v>
      </c>
      <c r="AP16" s="109">
        <f t="shared" si="14"/>
        <v>0</v>
      </c>
      <c r="AQ16" s="109">
        <f t="shared" si="15"/>
        <v>0</v>
      </c>
      <c r="AR16" s="110"/>
      <c r="AS16" s="103">
        <f t="shared" si="16"/>
        <v>823600</v>
      </c>
      <c r="AT16" s="110">
        <v>0</v>
      </c>
      <c r="AU16" s="103">
        <f t="shared" si="17"/>
        <v>0</v>
      </c>
      <c r="AV16" s="111">
        <f t="shared" si="18"/>
        <v>0</v>
      </c>
      <c r="AW16" s="103">
        <f t="shared" si="19"/>
        <v>0</v>
      </c>
      <c r="AX16" s="112">
        <f t="shared" si="20"/>
        <v>0</v>
      </c>
      <c r="AY16" s="103">
        <f t="shared" si="21"/>
        <v>0</v>
      </c>
      <c r="AZ16" s="104"/>
      <c r="BA16" s="110">
        <v>0</v>
      </c>
      <c r="BB16" s="104"/>
      <c r="BC16" s="110">
        <v>0</v>
      </c>
      <c r="BD16" s="113"/>
      <c r="BE16" s="104"/>
      <c r="BF16" s="104"/>
      <c r="BG16" s="103">
        <f t="shared" si="22"/>
        <v>0</v>
      </c>
      <c r="BH16" s="104"/>
      <c r="BI16" s="104"/>
      <c r="BJ16" s="103">
        <f t="shared" si="23"/>
        <v>6125000</v>
      </c>
      <c r="BK16" s="103">
        <f t="shared" si="24"/>
        <v>18328704</v>
      </c>
      <c r="BL16" s="104">
        <v>8790266</v>
      </c>
      <c r="BM16" s="103">
        <f t="shared" si="25"/>
        <v>9538438</v>
      </c>
      <c r="BN16" s="103">
        <f t="shared" si="26"/>
        <v>0</v>
      </c>
      <c r="BO16" s="103">
        <f t="shared" si="27"/>
        <v>0</v>
      </c>
      <c r="BP16" s="103">
        <f t="shared" si="28"/>
        <v>0</v>
      </c>
      <c r="BQ16" s="103">
        <f t="shared" si="29"/>
        <v>0</v>
      </c>
      <c r="BR16" s="104"/>
      <c r="BS16" s="108">
        <f t="shared" si="30"/>
        <v>0</v>
      </c>
      <c r="BT16" s="114">
        <f t="shared" si="31"/>
        <v>0</v>
      </c>
      <c r="BU16" s="104"/>
      <c r="BV16" s="104" t="str">
        <f t="shared" si="32"/>
        <v/>
      </c>
      <c r="BW16" s="104"/>
      <c r="BX16" s="104"/>
      <c r="BY16" s="103">
        <f t="shared" si="33"/>
        <v>115000</v>
      </c>
      <c r="BZ16" s="104"/>
      <c r="CA16" s="104"/>
      <c r="CB16" s="104"/>
      <c r="CC16" s="104">
        <v>0</v>
      </c>
      <c r="CD16" s="104"/>
      <c r="CE16" s="104"/>
      <c r="CF16" s="108">
        <f t="shared" si="34"/>
        <v>115000</v>
      </c>
      <c r="CG16" s="115">
        <f t="shared" si="35"/>
        <v>9423438</v>
      </c>
      <c r="CH16" s="77"/>
      <c r="CI16" s="101"/>
      <c r="CJ16" s="101">
        <v>0</v>
      </c>
      <c r="CK16" s="110"/>
      <c r="CL16" s="110"/>
      <c r="CM16" s="116">
        <f t="shared" si="36"/>
        <v>0</v>
      </c>
      <c r="CN16" s="108">
        <f t="shared" si="37"/>
        <v>1</v>
      </c>
      <c r="CO16" s="101"/>
      <c r="CP16" s="101" t="s">
        <v>210</v>
      </c>
      <c r="CQ16" s="109">
        <f t="shared" si="38"/>
        <v>20000</v>
      </c>
      <c r="CR16" s="101" t="s">
        <v>198</v>
      </c>
      <c r="CS16" s="70"/>
      <c r="CT16" s="101">
        <v>474600</v>
      </c>
      <c r="CU16" s="117"/>
      <c r="CV16" s="101"/>
      <c r="CW16" s="112">
        <f t="shared" si="39"/>
        <v>18293292</v>
      </c>
      <c r="CX16" s="118">
        <v>2</v>
      </c>
      <c r="CY16" s="108">
        <f t="shared" si="40"/>
        <v>8800000</v>
      </c>
      <c r="CZ16" s="108">
        <v>11000000</v>
      </c>
      <c r="DA16" s="108">
        <f t="shared" si="41"/>
        <v>19800000</v>
      </c>
      <c r="DB16" s="108">
        <f t="shared" si="42"/>
        <v>0</v>
      </c>
      <c r="DC16" s="108">
        <f t="shared" si="43"/>
        <v>0</v>
      </c>
      <c r="DD16" s="101"/>
      <c r="DE16" s="70"/>
      <c r="DF16" s="101"/>
      <c r="DG16" s="105">
        <f t="shared" si="44"/>
        <v>0</v>
      </c>
      <c r="DH16" s="105">
        <f t="shared" si="45"/>
        <v>0</v>
      </c>
      <c r="DI16" s="105">
        <f t="shared" si="46"/>
        <v>0</v>
      </c>
      <c r="DJ16" s="105">
        <f t="shared" si="47"/>
        <v>0</v>
      </c>
      <c r="DK16" s="119"/>
      <c r="DL16" s="120"/>
      <c r="DM16" s="119"/>
      <c r="DN16" s="106"/>
      <c r="DO16" s="121"/>
      <c r="DP16" s="122"/>
      <c r="DQ16" s="121"/>
      <c r="DR16" s="123"/>
      <c r="DS16" s="124">
        <f t="shared" si="48"/>
        <v>0</v>
      </c>
      <c r="DT16" s="109">
        <f t="shared" si="49"/>
        <v>0</v>
      </c>
      <c r="DU16" s="124">
        <f t="shared" si="50"/>
        <v>0</v>
      </c>
      <c r="DV16" s="124">
        <f t="shared" si="51"/>
        <v>0</v>
      </c>
      <c r="DW16" s="70"/>
      <c r="DX16" s="125"/>
      <c r="DY16" s="126"/>
      <c r="DZ16" s="126"/>
      <c r="EA16" s="126"/>
      <c r="EB16" s="126"/>
      <c r="EC16" s="126"/>
      <c r="ED16" s="126"/>
      <c r="EE16" s="126"/>
      <c r="EF16" s="126"/>
      <c r="EG16" s="126"/>
      <c r="EH16" s="126"/>
      <c r="EI16" s="126"/>
      <c r="EJ16" s="127"/>
      <c r="EK16" s="128"/>
      <c r="EL16" s="70"/>
      <c r="EM16" s="110">
        <v>22600</v>
      </c>
      <c r="EN16" s="110">
        <v>110000</v>
      </c>
      <c r="EO16" s="129">
        <f t="shared" si="52"/>
        <v>474600</v>
      </c>
      <c r="EP16" s="129">
        <f t="shared" si="53"/>
        <v>607200</v>
      </c>
      <c r="EQ16" s="129">
        <f t="shared" si="54"/>
        <v>722200</v>
      </c>
      <c r="ER16" s="110">
        <v>8183066</v>
      </c>
      <c r="ES16" s="129">
        <f t="shared" si="55"/>
        <v>17606504</v>
      </c>
      <c r="ET16" s="130"/>
      <c r="EU16" s="70"/>
      <c r="EV16" s="131">
        <v>45292</v>
      </c>
      <c r="EW16" s="108" t="str">
        <f t="shared" si="56"/>
        <v>B3</v>
      </c>
      <c r="EX16" s="110">
        <v>9900000</v>
      </c>
      <c r="EY16" s="101">
        <v>0</v>
      </c>
      <c r="EZ16" s="101">
        <v>0</v>
      </c>
      <c r="FA16" s="106">
        <v>10</v>
      </c>
      <c r="FB16" s="103">
        <f t="shared" si="57"/>
        <v>990000</v>
      </c>
      <c r="FC16" s="132">
        <f t="shared" si="58"/>
        <v>10890000</v>
      </c>
      <c r="FD16" s="70"/>
      <c r="FE16" s="133"/>
      <c r="FF16" s="134"/>
      <c r="FG16" s="134"/>
      <c r="FH16" s="110" t="s">
        <v>205</v>
      </c>
      <c r="FI16" s="135" t="s">
        <v>211</v>
      </c>
      <c r="FJ16" s="135" t="s">
        <v>215</v>
      </c>
      <c r="FK16" s="135" t="s">
        <v>206</v>
      </c>
      <c r="FL16" s="136" t="s">
        <v>207</v>
      </c>
      <c r="FM16" s="110"/>
      <c r="FN16" s="142"/>
      <c r="FO16" s="137"/>
      <c r="FP16" s="138"/>
      <c r="FQ16" s="139"/>
    </row>
    <row r="17" spans="1:173" s="140" customFormat="1" ht="45" customHeight="1" outlineLevel="1">
      <c r="A17" s="99">
        <f t="shared" si="60"/>
        <v>5</v>
      </c>
      <c r="B17" s="141">
        <v>2208415</v>
      </c>
      <c r="C17" s="100" t="s">
        <v>223</v>
      </c>
      <c r="D17" s="101">
        <v>4300000</v>
      </c>
      <c r="E17" s="102">
        <f t="shared" si="0"/>
        <v>0</v>
      </c>
      <c r="F17" s="103">
        <f t="shared" si="1"/>
        <v>4300000</v>
      </c>
      <c r="G17" s="104">
        <v>0</v>
      </c>
      <c r="H17" s="103">
        <f t="shared" si="2"/>
        <v>3200000</v>
      </c>
      <c r="I17" s="103">
        <f t="shared" si="3"/>
        <v>0</v>
      </c>
      <c r="J17" s="103">
        <f t="shared" si="4"/>
        <v>3200000</v>
      </c>
      <c r="K17" s="103">
        <f t="shared" si="5"/>
        <v>7500000</v>
      </c>
      <c r="L17" s="105">
        <v>1</v>
      </c>
      <c r="M17" s="106">
        <v>25</v>
      </c>
      <c r="N17" s="106">
        <v>13.9</v>
      </c>
      <c r="O17" s="106">
        <v>4</v>
      </c>
      <c r="P17" s="106"/>
      <c r="Q17" s="106">
        <v>0</v>
      </c>
      <c r="R17" s="106">
        <v>0</v>
      </c>
      <c r="S17" s="106"/>
      <c r="T17" s="106">
        <v>0</v>
      </c>
      <c r="U17" s="106"/>
      <c r="V17" s="106"/>
      <c r="W17" s="106"/>
      <c r="X17" s="106">
        <v>2</v>
      </c>
      <c r="Y17" s="106">
        <v>0</v>
      </c>
      <c r="Z17" s="107"/>
      <c r="AA17" s="107"/>
      <c r="AB17" s="106"/>
      <c r="AC17" s="106">
        <v>0</v>
      </c>
      <c r="AD17" s="106"/>
      <c r="AE17" s="106">
        <v>0</v>
      </c>
      <c r="AF17" s="103">
        <f t="shared" si="6"/>
        <v>4134615</v>
      </c>
      <c r="AG17" s="103">
        <f t="shared" si="7"/>
        <v>4009615</v>
      </c>
      <c r="AH17" s="103">
        <f t="shared" si="8"/>
        <v>1323077</v>
      </c>
      <c r="AI17" s="108">
        <f t="shared" si="9"/>
        <v>0</v>
      </c>
      <c r="AJ17" s="101"/>
      <c r="AK17" s="101"/>
      <c r="AL17" s="103">
        <f t="shared" si="10"/>
        <v>0</v>
      </c>
      <c r="AM17" s="103">
        <f t="shared" si="11"/>
        <v>0</v>
      </c>
      <c r="AN17" s="103">
        <f t="shared" si="12"/>
        <v>0</v>
      </c>
      <c r="AO17" s="103">
        <f t="shared" si="13"/>
        <v>545913</v>
      </c>
      <c r="AP17" s="109">
        <f t="shared" si="14"/>
        <v>0</v>
      </c>
      <c r="AQ17" s="109">
        <f t="shared" si="15"/>
        <v>0</v>
      </c>
      <c r="AR17" s="110"/>
      <c r="AS17" s="103">
        <f t="shared" si="16"/>
        <v>1372800</v>
      </c>
      <c r="AT17" s="110">
        <v>0</v>
      </c>
      <c r="AU17" s="103">
        <f t="shared" si="17"/>
        <v>31010</v>
      </c>
      <c r="AV17" s="111">
        <f t="shared" si="18"/>
        <v>0</v>
      </c>
      <c r="AW17" s="103">
        <f t="shared" si="19"/>
        <v>0</v>
      </c>
      <c r="AX17" s="112">
        <f t="shared" si="20"/>
        <v>0</v>
      </c>
      <c r="AY17" s="103">
        <f t="shared" si="21"/>
        <v>0</v>
      </c>
      <c r="AZ17" s="104"/>
      <c r="BA17" s="110">
        <v>0</v>
      </c>
      <c r="BB17" s="104"/>
      <c r="BC17" s="110">
        <v>245078</v>
      </c>
      <c r="BD17" s="113">
        <v>0</v>
      </c>
      <c r="BE17" s="104"/>
      <c r="BF17" s="104"/>
      <c r="BG17" s="103">
        <f t="shared" si="22"/>
        <v>0</v>
      </c>
      <c r="BH17" s="104"/>
      <c r="BI17" s="104"/>
      <c r="BJ17" s="103">
        <f t="shared" si="23"/>
        <v>3076923</v>
      </c>
      <c r="BK17" s="103">
        <f t="shared" si="24"/>
        <v>14739031</v>
      </c>
      <c r="BL17" s="104">
        <v>6764943</v>
      </c>
      <c r="BM17" s="103">
        <f t="shared" si="25"/>
        <v>7974088</v>
      </c>
      <c r="BN17" s="103">
        <f t="shared" si="26"/>
        <v>0</v>
      </c>
      <c r="BO17" s="103">
        <f t="shared" si="27"/>
        <v>0</v>
      </c>
      <c r="BP17" s="103">
        <f t="shared" si="28"/>
        <v>0</v>
      </c>
      <c r="BQ17" s="103">
        <f t="shared" si="29"/>
        <v>0</v>
      </c>
      <c r="BR17" s="104"/>
      <c r="BS17" s="108">
        <f t="shared" si="30"/>
        <v>0</v>
      </c>
      <c r="BT17" s="114">
        <f t="shared" si="31"/>
        <v>164377</v>
      </c>
      <c r="BU17" s="104"/>
      <c r="BV17" s="104" t="str">
        <f t="shared" si="32"/>
        <v>OK</v>
      </c>
      <c r="BW17" s="104"/>
      <c r="BX17" s="104"/>
      <c r="BY17" s="103">
        <f t="shared" si="33"/>
        <v>115000</v>
      </c>
      <c r="BZ17" s="104"/>
      <c r="CA17" s="104"/>
      <c r="CB17" s="104"/>
      <c r="CC17" s="104">
        <v>0</v>
      </c>
      <c r="CD17" s="104"/>
      <c r="CE17" s="104"/>
      <c r="CF17" s="108">
        <f t="shared" si="34"/>
        <v>279377</v>
      </c>
      <c r="CG17" s="115">
        <f t="shared" si="35"/>
        <v>7694711</v>
      </c>
      <c r="CH17" s="77"/>
      <c r="CI17" s="101" t="s">
        <v>193</v>
      </c>
      <c r="CJ17" s="101">
        <v>0</v>
      </c>
      <c r="CK17" s="110"/>
      <c r="CL17" s="110"/>
      <c r="CM17" s="116">
        <f t="shared" si="36"/>
        <v>0</v>
      </c>
      <c r="CN17" s="108">
        <f t="shared" si="37"/>
        <v>1</v>
      </c>
      <c r="CO17" s="101"/>
      <c r="CP17" s="101" t="s">
        <v>213</v>
      </c>
      <c r="CQ17" s="109">
        <f t="shared" si="38"/>
        <v>32000</v>
      </c>
      <c r="CR17" s="101" t="s">
        <v>198</v>
      </c>
      <c r="CS17" s="70"/>
      <c r="CT17" s="101">
        <v>451500</v>
      </c>
      <c r="CU17" s="117"/>
      <c r="CV17" s="101"/>
      <c r="CW17" s="112">
        <f t="shared" si="39"/>
        <v>14739031</v>
      </c>
      <c r="CX17" s="118">
        <v>0</v>
      </c>
      <c r="CY17" s="108">
        <f t="shared" si="40"/>
        <v>0</v>
      </c>
      <c r="CZ17" s="108">
        <v>11000000</v>
      </c>
      <c r="DA17" s="108">
        <f t="shared" si="41"/>
        <v>11000000</v>
      </c>
      <c r="DB17" s="108">
        <f t="shared" si="42"/>
        <v>3287531</v>
      </c>
      <c r="DC17" s="108">
        <f t="shared" si="43"/>
        <v>164377</v>
      </c>
      <c r="DD17" s="101"/>
      <c r="DE17" s="70"/>
      <c r="DF17" s="101"/>
      <c r="DG17" s="105">
        <f t="shared" si="44"/>
        <v>0</v>
      </c>
      <c r="DH17" s="105">
        <f t="shared" si="45"/>
        <v>0</v>
      </c>
      <c r="DI17" s="105">
        <f t="shared" si="46"/>
        <v>0</v>
      </c>
      <c r="DJ17" s="105">
        <f t="shared" si="47"/>
        <v>0</v>
      </c>
      <c r="DK17" s="119"/>
      <c r="DL17" s="120"/>
      <c r="DM17" s="119"/>
      <c r="DN17" s="106"/>
      <c r="DO17" s="121"/>
      <c r="DP17" s="122"/>
      <c r="DQ17" s="121"/>
      <c r="DR17" s="123"/>
      <c r="DS17" s="124">
        <f t="shared" si="48"/>
        <v>0</v>
      </c>
      <c r="DT17" s="109">
        <f t="shared" si="49"/>
        <v>0</v>
      </c>
      <c r="DU17" s="124">
        <f t="shared" si="50"/>
        <v>0</v>
      </c>
      <c r="DV17" s="124">
        <f t="shared" si="51"/>
        <v>0</v>
      </c>
      <c r="DW17" s="70"/>
      <c r="DX17" s="125"/>
      <c r="DY17" s="126"/>
      <c r="DZ17" s="126"/>
      <c r="EA17" s="126"/>
      <c r="EB17" s="126"/>
      <c r="EC17" s="126"/>
      <c r="ED17" s="126"/>
      <c r="EE17" s="126"/>
      <c r="EF17" s="126"/>
      <c r="EG17" s="126"/>
      <c r="EH17" s="126"/>
      <c r="EI17" s="126"/>
      <c r="EJ17" s="127"/>
      <c r="EK17" s="128"/>
      <c r="EL17" s="70"/>
      <c r="EM17" s="110">
        <v>21500</v>
      </c>
      <c r="EN17" s="110">
        <v>110000</v>
      </c>
      <c r="EO17" s="129">
        <f t="shared" si="52"/>
        <v>451500</v>
      </c>
      <c r="EP17" s="129">
        <f t="shared" si="53"/>
        <v>583000</v>
      </c>
      <c r="EQ17" s="129">
        <f t="shared" si="54"/>
        <v>862377</v>
      </c>
      <c r="ER17" s="110">
        <v>6181943</v>
      </c>
      <c r="ES17" s="129">
        <f t="shared" si="55"/>
        <v>13876654</v>
      </c>
      <c r="ET17" s="130"/>
      <c r="EU17" s="70"/>
      <c r="EV17" s="131">
        <v>45968</v>
      </c>
      <c r="EW17" s="108" t="str">
        <f t="shared" si="56"/>
        <v>B3</v>
      </c>
      <c r="EX17" s="110">
        <v>7500000</v>
      </c>
      <c r="EY17" s="101">
        <v>0</v>
      </c>
      <c r="EZ17" s="101">
        <v>0</v>
      </c>
      <c r="FA17" s="106">
        <v>0</v>
      </c>
      <c r="FB17" s="103">
        <f t="shared" si="57"/>
        <v>0</v>
      </c>
      <c r="FC17" s="132">
        <f t="shared" si="58"/>
        <v>7500000</v>
      </c>
      <c r="FD17" s="70"/>
      <c r="FE17" s="133"/>
      <c r="FF17" s="134"/>
      <c r="FG17" s="134"/>
      <c r="FH17" s="110" t="s">
        <v>208</v>
      </c>
      <c r="FI17" s="135" t="s">
        <v>214</v>
      </c>
      <c r="FJ17" s="135" t="s">
        <v>209</v>
      </c>
      <c r="FK17" s="135" t="s">
        <v>206</v>
      </c>
      <c r="FL17" s="136" t="s">
        <v>207</v>
      </c>
      <c r="FM17" s="110"/>
      <c r="FN17" s="142"/>
      <c r="FO17" s="137"/>
      <c r="FP17" s="138"/>
      <c r="FQ17" s="139"/>
    </row>
    <row r="18" spans="1:173" s="140" customFormat="1" ht="45" customHeight="1" outlineLevel="1">
      <c r="A18" s="99">
        <f t="shared" si="60"/>
        <v>6</v>
      </c>
      <c r="B18" s="141">
        <v>1611253</v>
      </c>
      <c r="C18" s="100" t="s">
        <v>224</v>
      </c>
      <c r="D18" s="101">
        <v>4300000</v>
      </c>
      <c r="E18" s="102">
        <f t="shared" si="0"/>
        <v>0</v>
      </c>
      <c r="F18" s="103">
        <f t="shared" si="1"/>
        <v>4300000</v>
      </c>
      <c r="G18" s="104">
        <v>0</v>
      </c>
      <c r="H18" s="103">
        <f t="shared" si="2"/>
        <v>3500000</v>
      </c>
      <c r="I18" s="103">
        <f t="shared" si="3"/>
        <v>0</v>
      </c>
      <c r="J18" s="103">
        <f t="shared" si="4"/>
        <v>3500000</v>
      </c>
      <c r="K18" s="103">
        <f t="shared" si="5"/>
        <v>7800000</v>
      </c>
      <c r="L18" s="105">
        <v>1</v>
      </c>
      <c r="M18" s="106">
        <v>24</v>
      </c>
      <c r="N18" s="106">
        <v>8.5</v>
      </c>
      <c r="O18" s="106">
        <v>3</v>
      </c>
      <c r="P18" s="106"/>
      <c r="Q18" s="106">
        <v>0</v>
      </c>
      <c r="R18" s="106">
        <v>0</v>
      </c>
      <c r="S18" s="106"/>
      <c r="T18" s="106">
        <v>0</v>
      </c>
      <c r="U18" s="106"/>
      <c r="V18" s="106"/>
      <c r="W18" s="106"/>
      <c r="X18" s="106">
        <v>1</v>
      </c>
      <c r="Y18" s="106">
        <v>1</v>
      </c>
      <c r="Z18" s="107"/>
      <c r="AA18" s="107"/>
      <c r="AB18" s="106"/>
      <c r="AC18" s="106">
        <v>0</v>
      </c>
      <c r="AD18" s="106"/>
      <c r="AE18" s="106">
        <v>0</v>
      </c>
      <c r="AF18" s="103">
        <f t="shared" si="6"/>
        <v>3969231</v>
      </c>
      <c r="AG18" s="103">
        <f t="shared" si="7"/>
        <v>2550000</v>
      </c>
      <c r="AH18" s="103">
        <f t="shared" si="8"/>
        <v>992308</v>
      </c>
      <c r="AI18" s="108">
        <f t="shared" si="9"/>
        <v>0</v>
      </c>
      <c r="AJ18" s="101"/>
      <c r="AK18" s="101"/>
      <c r="AL18" s="103">
        <f t="shared" si="10"/>
        <v>0</v>
      </c>
      <c r="AM18" s="103">
        <f t="shared" si="11"/>
        <v>0</v>
      </c>
      <c r="AN18" s="103">
        <f t="shared" si="12"/>
        <v>0</v>
      </c>
      <c r="AO18" s="103">
        <f t="shared" si="13"/>
        <v>600000</v>
      </c>
      <c r="AP18" s="109">
        <f t="shared" si="14"/>
        <v>0</v>
      </c>
      <c r="AQ18" s="109">
        <f t="shared" si="15"/>
        <v>0</v>
      </c>
      <c r="AR18" s="110"/>
      <c r="AS18" s="103">
        <f t="shared" si="16"/>
        <v>710000</v>
      </c>
      <c r="AT18" s="110">
        <v>0</v>
      </c>
      <c r="AU18" s="103">
        <f t="shared" si="17"/>
        <v>0</v>
      </c>
      <c r="AV18" s="111">
        <f t="shared" si="18"/>
        <v>0</v>
      </c>
      <c r="AW18" s="103">
        <f t="shared" si="19"/>
        <v>0</v>
      </c>
      <c r="AX18" s="112">
        <f t="shared" si="20"/>
        <v>0</v>
      </c>
      <c r="AY18" s="103">
        <f t="shared" si="21"/>
        <v>0</v>
      </c>
      <c r="AZ18" s="104"/>
      <c r="BA18" s="110">
        <v>0</v>
      </c>
      <c r="BB18" s="104"/>
      <c r="BC18" s="110">
        <v>0</v>
      </c>
      <c r="BD18" s="113"/>
      <c r="BE18" s="104"/>
      <c r="BF18" s="104"/>
      <c r="BG18" s="103">
        <f t="shared" si="22"/>
        <v>0</v>
      </c>
      <c r="BH18" s="104"/>
      <c r="BI18" s="104"/>
      <c r="BJ18" s="103">
        <f t="shared" si="23"/>
        <v>3230769</v>
      </c>
      <c r="BK18" s="103">
        <f t="shared" si="24"/>
        <v>12052308</v>
      </c>
      <c r="BL18" s="104">
        <v>5920000</v>
      </c>
      <c r="BM18" s="103">
        <f t="shared" si="25"/>
        <v>6132308</v>
      </c>
      <c r="BN18" s="103">
        <f t="shared" si="26"/>
        <v>0</v>
      </c>
      <c r="BO18" s="103">
        <f t="shared" si="27"/>
        <v>0</v>
      </c>
      <c r="BP18" s="103">
        <f t="shared" si="28"/>
        <v>0</v>
      </c>
      <c r="BQ18" s="103">
        <f t="shared" si="29"/>
        <v>0</v>
      </c>
      <c r="BR18" s="104"/>
      <c r="BS18" s="108">
        <f t="shared" si="30"/>
        <v>0</v>
      </c>
      <c r="BT18" s="114">
        <f t="shared" si="31"/>
        <v>30040</v>
      </c>
      <c r="BU18" s="104"/>
      <c r="BV18" s="104" t="str">
        <f t="shared" si="32"/>
        <v>OK</v>
      </c>
      <c r="BW18" s="104"/>
      <c r="BX18" s="104"/>
      <c r="BY18" s="103">
        <f t="shared" si="33"/>
        <v>115000</v>
      </c>
      <c r="BZ18" s="104"/>
      <c r="CA18" s="104"/>
      <c r="CB18" s="104"/>
      <c r="CC18" s="104">
        <v>0</v>
      </c>
      <c r="CD18" s="104"/>
      <c r="CE18" s="104"/>
      <c r="CF18" s="108">
        <f t="shared" si="34"/>
        <v>145040</v>
      </c>
      <c r="CG18" s="115">
        <f t="shared" si="35"/>
        <v>5987268</v>
      </c>
      <c r="CH18" s="77"/>
      <c r="CI18" s="101"/>
      <c r="CJ18" s="101">
        <v>0</v>
      </c>
      <c r="CK18" s="110"/>
      <c r="CL18" s="110"/>
      <c r="CM18" s="116">
        <f t="shared" si="36"/>
        <v>0</v>
      </c>
      <c r="CN18" s="108">
        <f t="shared" si="37"/>
        <v>1</v>
      </c>
      <c r="CO18" s="101"/>
      <c r="CP18" s="101" t="s">
        <v>210</v>
      </c>
      <c r="CQ18" s="109">
        <f t="shared" si="38"/>
        <v>20000</v>
      </c>
      <c r="CR18" s="101" t="s">
        <v>198</v>
      </c>
      <c r="CS18" s="70"/>
      <c r="CT18" s="101">
        <v>451500</v>
      </c>
      <c r="CU18" s="117"/>
      <c r="CV18" s="101"/>
      <c r="CW18" s="112">
        <f t="shared" si="39"/>
        <v>12052308</v>
      </c>
      <c r="CX18" s="118">
        <v>0</v>
      </c>
      <c r="CY18" s="108">
        <f t="shared" si="40"/>
        <v>0</v>
      </c>
      <c r="CZ18" s="108">
        <v>11000000</v>
      </c>
      <c r="DA18" s="108">
        <f t="shared" si="41"/>
        <v>11000000</v>
      </c>
      <c r="DB18" s="108">
        <f t="shared" si="42"/>
        <v>600808</v>
      </c>
      <c r="DC18" s="108">
        <f t="shared" si="43"/>
        <v>30040</v>
      </c>
      <c r="DD18" s="101"/>
      <c r="DE18" s="70"/>
      <c r="DF18" s="101"/>
      <c r="DG18" s="105">
        <f t="shared" si="44"/>
        <v>0</v>
      </c>
      <c r="DH18" s="105">
        <f t="shared" si="45"/>
        <v>0</v>
      </c>
      <c r="DI18" s="105">
        <f t="shared" si="46"/>
        <v>0</v>
      </c>
      <c r="DJ18" s="105">
        <f t="shared" si="47"/>
        <v>0</v>
      </c>
      <c r="DK18" s="119"/>
      <c r="DL18" s="120"/>
      <c r="DM18" s="119"/>
      <c r="DN18" s="106"/>
      <c r="DO18" s="121"/>
      <c r="DP18" s="122"/>
      <c r="DQ18" s="121"/>
      <c r="DR18" s="123"/>
      <c r="DS18" s="124">
        <f t="shared" si="48"/>
        <v>0</v>
      </c>
      <c r="DT18" s="109">
        <f t="shared" si="49"/>
        <v>0</v>
      </c>
      <c r="DU18" s="124">
        <f t="shared" si="50"/>
        <v>0</v>
      </c>
      <c r="DV18" s="124">
        <f t="shared" si="51"/>
        <v>0</v>
      </c>
      <c r="DW18" s="70"/>
      <c r="DX18" s="125"/>
      <c r="DY18" s="126"/>
      <c r="DZ18" s="126"/>
      <c r="EA18" s="126"/>
      <c r="EB18" s="126"/>
      <c r="EC18" s="126"/>
      <c r="ED18" s="126"/>
      <c r="EE18" s="126"/>
      <c r="EF18" s="126"/>
      <c r="EG18" s="126"/>
      <c r="EH18" s="126"/>
      <c r="EI18" s="126"/>
      <c r="EJ18" s="127"/>
      <c r="EK18" s="128"/>
      <c r="EL18" s="70"/>
      <c r="EM18" s="110">
        <v>21500</v>
      </c>
      <c r="EN18" s="110">
        <v>110000</v>
      </c>
      <c r="EO18" s="129">
        <f t="shared" si="52"/>
        <v>451500</v>
      </c>
      <c r="EP18" s="129">
        <f t="shared" si="53"/>
        <v>583000</v>
      </c>
      <c r="EQ18" s="129">
        <f t="shared" si="54"/>
        <v>728040</v>
      </c>
      <c r="ER18" s="110">
        <v>5337000</v>
      </c>
      <c r="ES18" s="129">
        <f t="shared" si="55"/>
        <v>11324268</v>
      </c>
      <c r="ET18" s="130"/>
      <c r="EU18" s="70"/>
      <c r="EV18" s="131">
        <v>45292</v>
      </c>
      <c r="EW18" s="108" t="str">
        <f t="shared" si="56"/>
        <v>B3</v>
      </c>
      <c r="EX18" s="110">
        <v>7800000</v>
      </c>
      <c r="EY18" s="101">
        <v>0</v>
      </c>
      <c r="EZ18" s="101">
        <v>0</v>
      </c>
      <c r="FA18" s="106">
        <v>0</v>
      </c>
      <c r="FB18" s="103">
        <f t="shared" si="57"/>
        <v>0</v>
      </c>
      <c r="FC18" s="132">
        <f t="shared" si="58"/>
        <v>7800000</v>
      </c>
      <c r="FD18" s="70"/>
      <c r="FE18" s="133"/>
      <c r="FF18" s="134"/>
      <c r="FG18" s="134"/>
      <c r="FH18" s="110" t="s">
        <v>205</v>
      </c>
      <c r="FI18" s="135" t="s">
        <v>212</v>
      </c>
      <c r="FJ18" s="135" t="s">
        <v>215</v>
      </c>
      <c r="FK18" s="135" t="s">
        <v>206</v>
      </c>
      <c r="FL18" s="136" t="s">
        <v>207</v>
      </c>
      <c r="FM18" s="110"/>
      <c r="FN18" s="142"/>
      <c r="FO18" s="137"/>
      <c r="FP18" s="138"/>
      <c r="FQ18" s="139"/>
    </row>
    <row r="19" spans="1:173" s="140" customFormat="1" ht="45" customHeight="1" outlineLevel="1">
      <c r="A19" s="99">
        <f t="shared" si="60"/>
        <v>7</v>
      </c>
      <c r="B19" s="141">
        <v>1505922</v>
      </c>
      <c r="C19" s="100" t="s">
        <v>225</v>
      </c>
      <c r="D19" s="101">
        <v>4520000</v>
      </c>
      <c r="E19" s="102">
        <f t="shared" si="0"/>
        <v>0</v>
      </c>
      <c r="F19" s="103">
        <f t="shared" si="1"/>
        <v>4520000</v>
      </c>
      <c r="G19" s="104">
        <v>0</v>
      </c>
      <c r="H19" s="103">
        <f t="shared" si="2"/>
        <v>3480000</v>
      </c>
      <c r="I19" s="103">
        <f t="shared" si="3"/>
        <v>0</v>
      </c>
      <c r="J19" s="103">
        <f t="shared" si="4"/>
        <v>3480000</v>
      </c>
      <c r="K19" s="103">
        <f t="shared" si="5"/>
        <v>8000000</v>
      </c>
      <c r="L19" s="105">
        <v>1</v>
      </c>
      <c r="M19" s="106">
        <v>23</v>
      </c>
      <c r="N19" s="106">
        <v>3</v>
      </c>
      <c r="O19" s="106">
        <v>0</v>
      </c>
      <c r="P19" s="106"/>
      <c r="Q19" s="106">
        <v>10.19</v>
      </c>
      <c r="R19" s="106">
        <v>0</v>
      </c>
      <c r="S19" s="106"/>
      <c r="T19" s="106">
        <v>0</v>
      </c>
      <c r="U19" s="106"/>
      <c r="V19" s="106"/>
      <c r="W19" s="106"/>
      <c r="X19" s="106">
        <v>0</v>
      </c>
      <c r="Y19" s="106">
        <v>2</v>
      </c>
      <c r="Z19" s="107"/>
      <c r="AA19" s="107"/>
      <c r="AB19" s="106"/>
      <c r="AC19" s="106">
        <v>0</v>
      </c>
      <c r="AD19" s="106"/>
      <c r="AE19" s="106">
        <v>0</v>
      </c>
      <c r="AF19" s="103">
        <f t="shared" si="6"/>
        <v>3998462</v>
      </c>
      <c r="AG19" s="103">
        <f t="shared" si="7"/>
        <v>923077</v>
      </c>
      <c r="AH19" s="103">
        <f t="shared" si="8"/>
        <v>0</v>
      </c>
      <c r="AI19" s="108">
        <f t="shared" si="9"/>
        <v>940615</v>
      </c>
      <c r="AJ19" s="101"/>
      <c r="AK19" s="101"/>
      <c r="AL19" s="103">
        <f t="shared" si="10"/>
        <v>0</v>
      </c>
      <c r="AM19" s="103">
        <f t="shared" si="11"/>
        <v>0</v>
      </c>
      <c r="AN19" s="103">
        <f t="shared" si="12"/>
        <v>0</v>
      </c>
      <c r="AO19" s="103">
        <f t="shared" si="13"/>
        <v>582789</v>
      </c>
      <c r="AP19" s="109">
        <f t="shared" si="14"/>
        <v>0</v>
      </c>
      <c r="AQ19" s="109">
        <f t="shared" si="15"/>
        <v>0</v>
      </c>
      <c r="AR19" s="110"/>
      <c r="AS19" s="103">
        <f t="shared" si="16"/>
        <v>520000</v>
      </c>
      <c r="AT19" s="110">
        <v>0</v>
      </c>
      <c r="AU19" s="103">
        <f t="shared" si="17"/>
        <v>32596</v>
      </c>
      <c r="AV19" s="111">
        <f t="shared" si="18"/>
        <v>0</v>
      </c>
      <c r="AW19" s="103">
        <f t="shared" si="19"/>
        <v>0</v>
      </c>
      <c r="AX19" s="112">
        <f t="shared" si="20"/>
        <v>0</v>
      </c>
      <c r="AY19" s="103">
        <f t="shared" si="21"/>
        <v>0</v>
      </c>
      <c r="AZ19" s="104"/>
      <c r="BA19" s="110">
        <v>0</v>
      </c>
      <c r="BB19" s="104"/>
      <c r="BC19" s="110">
        <v>0</v>
      </c>
      <c r="BD19" s="113"/>
      <c r="BE19" s="104"/>
      <c r="BF19" s="104"/>
      <c r="BG19" s="103">
        <f t="shared" si="22"/>
        <v>0</v>
      </c>
      <c r="BH19" s="104"/>
      <c r="BI19" s="104"/>
      <c r="BJ19" s="103">
        <f t="shared" si="23"/>
        <v>3078462</v>
      </c>
      <c r="BK19" s="103">
        <f t="shared" si="24"/>
        <v>10076001</v>
      </c>
      <c r="BL19" s="104">
        <v>4805216</v>
      </c>
      <c r="BM19" s="103">
        <f t="shared" si="25"/>
        <v>5270785</v>
      </c>
      <c r="BN19" s="103">
        <f t="shared" si="26"/>
        <v>0</v>
      </c>
      <c r="BO19" s="103">
        <f t="shared" si="27"/>
        <v>0</v>
      </c>
      <c r="BP19" s="103">
        <f t="shared" si="28"/>
        <v>0</v>
      </c>
      <c r="BQ19" s="103">
        <f t="shared" si="29"/>
        <v>0</v>
      </c>
      <c r="BR19" s="104"/>
      <c r="BS19" s="108">
        <f t="shared" si="30"/>
        <v>0</v>
      </c>
      <c r="BT19" s="114">
        <f t="shared" si="31"/>
        <v>0</v>
      </c>
      <c r="BU19" s="104"/>
      <c r="BV19" s="104" t="str">
        <f t="shared" si="32"/>
        <v/>
      </c>
      <c r="BW19" s="104"/>
      <c r="BX19" s="104"/>
      <c r="BY19" s="103">
        <f t="shared" si="33"/>
        <v>115000</v>
      </c>
      <c r="BZ19" s="104"/>
      <c r="CA19" s="104"/>
      <c r="CB19" s="104"/>
      <c r="CC19" s="104">
        <v>0</v>
      </c>
      <c r="CD19" s="104"/>
      <c r="CE19" s="104"/>
      <c r="CF19" s="108">
        <f t="shared" si="34"/>
        <v>115000</v>
      </c>
      <c r="CG19" s="115">
        <f t="shared" si="35"/>
        <v>5155785</v>
      </c>
      <c r="CH19" s="77"/>
      <c r="CI19" s="101" t="s">
        <v>193</v>
      </c>
      <c r="CJ19" s="101">
        <v>0</v>
      </c>
      <c r="CK19" s="110"/>
      <c r="CL19" s="110"/>
      <c r="CM19" s="116">
        <f t="shared" si="36"/>
        <v>0</v>
      </c>
      <c r="CN19" s="108">
        <f t="shared" si="37"/>
        <v>1</v>
      </c>
      <c r="CO19" s="101"/>
      <c r="CP19" s="101" t="s">
        <v>210</v>
      </c>
      <c r="CQ19" s="109">
        <f t="shared" si="38"/>
        <v>20000</v>
      </c>
      <c r="CR19" s="101" t="s">
        <v>198</v>
      </c>
      <c r="CS19" s="70"/>
      <c r="CT19" s="101">
        <v>474600</v>
      </c>
      <c r="CU19" s="117"/>
      <c r="CV19" s="101"/>
      <c r="CW19" s="112">
        <f t="shared" si="39"/>
        <v>9135386</v>
      </c>
      <c r="CX19" s="118">
        <v>1</v>
      </c>
      <c r="CY19" s="108">
        <f t="shared" si="40"/>
        <v>4400000</v>
      </c>
      <c r="CZ19" s="108">
        <v>11000000</v>
      </c>
      <c r="DA19" s="108">
        <f t="shared" si="41"/>
        <v>15400000</v>
      </c>
      <c r="DB19" s="108">
        <f t="shared" si="42"/>
        <v>0</v>
      </c>
      <c r="DC19" s="108">
        <f t="shared" si="43"/>
        <v>0</v>
      </c>
      <c r="DD19" s="101"/>
      <c r="DE19" s="70"/>
      <c r="DF19" s="101"/>
      <c r="DG19" s="105">
        <f t="shared" si="44"/>
        <v>0</v>
      </c>
      <c r="DH19" s="105">
        <f t="shared" si="45"/>
        <v>0</v>
      </c>
      <c r="DI19" s="105">
        <f t="shared" si="46"/>
        <v>0</v>
      </c>
      <c r="DJ19" s="105">
        <f t="shared" si="47"/>
        <v>0</v>
      </c>
      <c r="DK19" s="119"/>
      <c r="DL19" s="120"/>
      <c r="DM19" s="119"/>
      <c r="DN19" s="106"/>
      <c r="DO19" s="121"/>
      <c r="DP19" s="122"/>
      <c r="DQ19" s="121"/>
      <c r="DR19" s="123"/>
      <c r="DS19" s="124">
        <f t="shared" si="48"/>
        <v>0</v>
      </c>
      <c r="DT19" s="109">
        <f t="shared" si="49"/>
        <v>0</v>
      </c>
      <c r="DU19" s="124">
        <f t="shared" si="50"/>
        <v>0</v>
      </c>
      <c r="DV19" s="124">
        <f t="shared" si="51"/>
        <v>0</v>
      </c>
      <c r="DW19" s="70"/>
      <c r="DX19" s="125"/>
      <c r="DY19" s="126"/>
      <c r="DZ19" s="126"/>
      <c r="EA19" s="126"/>
      <c r="EB19" s="126"/>
      <c r="EC19" s="126"/>
      <c r="ED19" s="126"/>
      <c r="EE19" s="126"/>
      <c r="EF19" s="126"/>
      <c r="EG19" s="126"/>
      <c r="EH19" s="126"/>
      <c r="EI19" s="126"/>
      <c r="EJ19" s="127"/>
      <c r="EK19" s="128"/>
      <c r="EL19" s="70"/>
      <c r="EM19" s="110">
        <v>22600</v>
      </c>
      <c r="EN19" s="110">
        <v>110000</v>
      </c>
      <c r="EO19" s="129">
        <f t="shared" si="52"/>
        <v>474600</v>
      </c>
      <c r="EP19" s="129">
        <f t="shared" si="53"/>
        <v>607200</v>
      </c>
      <c r="EQ19" s="129">
        <f t="shared" si="54"/>
        <v>722200</v>
      </c>
      <c r="ER19" s="110">
        <v>4198016</v>
      </c>
      <c r="ES19" s="129">
        <f t="shared" si="55"/>
        <v>9353801</v>
      </c>
      <c r="ET19" s="130"/>
      <c r="EU19" s="70"/>
      <c r="EV19" s="131">
        <v>45916</v>
      </c>
      <c r="EW19" s="108" t="str">
        <f t="shared" si="56"/>
        <v>B3</v>
      </c>
      <c r="EX19" s="110">
        <v>8000000</v>
      </c>
      <c r="EY19" s="101">
        <v>0</v>
      </c>
      <c r="EZ19" s="101">
        <v>0</v>
      </c>
      <c r="FA19" s="106">
        <v>0</v>
      </c>
      <c r="FB19" s="103">
        <f t="shared" si="57"/>
        <v>0</v>
      </c>
      <c r="FC19" s="132">
        <f t="shared" si="58"/>
        <v>8000000</v>
      </c>
      <c r="FD19" s="70"/>
      <c r="FE19" s="133"/>
      <c r="FF19" s="134"/>
      <c r="FG19" s="134"/>
      <c r="FH19" s="110" t="s">
        <v>208</v>
      </c>
      <c r="FI19" s="135" t="s">
        <v>211</v>
      </c>
      <c r="FJ19" s="135" t="s">
        <v>215</v>
      </c>
      <c r="FK19" s="135" t="s">
        <v>206</v>
      </c>
      <c r="FL19" s="136" t="s">
        <v>207</v>
      </c>
      <c r="FM19" s="110"/>
      <c r="FN19" s="142"/>
      <c r="FO19" s="137"/>
      <c r="FP19" s="138"/>
      <c r="FQ19" s="139"/>
    </row>
  </sheetData>
  <dataConsolidate/>
  <mergeCells count="157">
    <mergeCell ref="EX3:FC6"/>
    <mergeCell ref="CU7:DD7"/>
    <mergeCell ref="A8:A10"/>
    <mergeCell ref="B8:B10"/>
    <mergeCell ref="C8:C10"/>
    <mergeCell ref="D8:D10"/>
    <mergeCell ref="E8:E10"/>
    <mergeCell ref="F8:F10"/>
    <mergeCell ref="G8:G10"/>
    <mergeCell ref="H8:H10"/>
    <mergeCell ref="BV8:CE8"/>
    <mergeCell ref="CF8:CF10"/>
    <mergeCell ref="BV9:BV10"/>
    <mergeCell ref="BW9:BW10"/>
    <mergeCell ref="BX9:BX10"/>
    <mergeCell ref="BZ9:BZ10"/>
    <mergeCell ref="I8:I10"/>
    <mergeCell ref="J8:J10"/>
    <mergeCell ref="K8:K10"/>
    <mergeCell ref="L8:L10"/>
    <mergeCell ref="M8:AE8"/>
    <mergeCell ref="AF8:BJ8"/>
    <mergeCell ref="X9:Y9"/>
    <mergeCell ref="Z9:AA9"/>
    <mergeCell ref="AB9:AB10"/>
    <mergeCell ref="AC9:AC10"/>
    <mergeCell ref="EV8:FC8"/>
    <mergeCell ref="FE8:FO8"/>
    <mergeCell ref="M9:M10"/>
    <mergeCell ref="N9:N10"/>
    <mergeCell ref="O9:O10"/>
    <mergeCell ref="P9:P10"/>
    <mergeCell ref="Q9:S9"/>
    <mergeCell ref="T9:T10"/>
    <mergeCell ref="U9:V9"/>
    <mergeCell ref="W9:W10"/>
    <mergeCell ref="CG8:CG10"/>
    <mergeCell ref="CI8:CR8"/>
    <mergeCell ref="CT8:DD8"/>
    <mergeCell ref="DF8:DV8"/>
    <mergeCell ref="DX8:EK8"/>
    <mergeCell ref="EM8:ET8"/>
    <mergeCell ref="CJ9:CJ10"/>
    <mergeCell ref="CK9:CK10"/>
    <mergeCell ref="CL9:CL10"/>
    <mergeCell ref="CM9:CM10"/>
    <mergeCell ref="BK8:BK10"/>
    <mergeCell ref="BL8:BL10"/>
    <mergeCell ref="BM8:BM10"/>
    <mergeCell ref="BN8:BU8"/>
    <mergeCell ref="AJ9:AK9"/>
    <mergeCell ref="AL9:AL10"/>
    <mergeCell ref="AM9:AM10"/>
    <mergeCell ref="AN9:AN10"/>
    <mergeCell ref="AO9:AO10"/>
    <mergeCell ref="AP9:AQ9"/>
    <mergeCell ref="AD9:AD10"/>
    <mergeCell ref="AE9:AE10"/>
    <mergeCell ref="AF9:AF10"/>
    <mergeCell ref="AG9:AG10"/>
    <mergeCell ref="AH9:AH10"/>
    <mergeCell ref="AI9:AI10"/>
    <mergeCell ref="AX9:AX10"/>
    <mergeCell ref="AY9:AY10"/>
    <mergeCell ref="AZ9:AZ10"/>
    <mergeCell ref="BA9:BA10"/>
    <mergeCell ref="BB9:BB10"/>
    <mergeCell ref="BC9:BC10"/>
    <mergeCell ref="AR9:AR10"/>
    <mergeCell ref="AS9:AS10"/>
    <mergeCell ref="AT9:AT10"/>
    <mergeCell ref="AU9:AU10"/>
    <mergeCell ref="AV9:AV10"/>
    <mergeCell ref="AW9:AW10"/>
    <mergeCell ref="BJ9:BJ10"/>
    <mergeCell ref="BQ9:BQ10"/>
    <mergeCell ref="BR9:BR10"/>
    <mergeCell ref="BS9:BS10"/>
    <mergeCell ref="BT9:BT10"/>
    <mergeCell ref="BU9:BU10"/>
    <mergeCell ref="BD9:BD10"/>
    <mergeCell ref="BE9:BE10"/>
    <mergeCell ref="BF9:BF10"/>
    <mergeCell ref="BG9:BG10"/>
    <mergeCell ref="BH9:BH10"/>
    <mergeCell ref="BI9:BI10"/>
    <mergeCell ref="CN9:CN10"/>
    <mergeCell ref="CO9:CO10"/>
    <mergeCell ref="CP9:CP10"/>
    <mergeCell ref="CQ9:CQ10"/>
    <mergeCell ref="CR9:CR10"/>
    <mergeCell ref="CT9:CT10"/>
    <mergeCell ref="CA9:CA10"/>
    <mergeCell ref="CB9:CB10"/>
    <mergeCell ref="CC9:CC10"/>
    <mergeCell ref="CD9:CD10"/>
    <mergeCell ref="CE9:CE10"/>
    <mergeCell ref="CI9:CI10"/>
    <mergeCell ref="DA9:DA10"/>
    <mergeCell ref="DB9:DB10"/>
    <mergeCell ref="DC9:DC10"/>
    <mergeCell ref="DD9:DD10"/>
    <mergeCell ref="DF9:DF10"/>
    <mergeCell ref="DG9:DG10"/>
    <mergeCell ref="CU9:CU10"/>
    <mergeCell ref="CV9:CV10"/>
    <mergeCell ref="CW9:CW10"/>
    <mergeCell ref="CX9:CX10"/>
    <mergeCell ref="CY9:CY10"/>
    <mergeCell ref="CZ9:CZ10"/>
    <mergeCell ref="DT9:DT10"/>
    <mergeCell ref="DU9:DU10"/>
    <mergeCell ref="DV9:DV10"/>
    <mergeCell ref="DX9:DX10"/>
    <mergeCell ref="DY9:DY10"/>
    <mergeCell ref="DZ9:DZ10"/>
    <mergeCell ref="DH9:DH10"/>
    <mergeCell ref="DI9:DI10"/>
    <mergeCell ref="DJ9:DJ10"/>
    <mergeCell ref="DK9:DN9"/>
    <mergeCell ref="DO9:DR9"/>
    <mergeCell ref="DS9:DS10"/>
    <mergeCell ref="EG9:EG10"/>
    <mergeCell ref="EH9:EH10"/>
    <mergeCell ref="EI9:EI10"/>
    <mergeCell ref="EJ9:EJ10"/>
    <mergeCell ref="EK9:EK10"/>
    <mergeCell ref="EM9:EM10"/>
    <mergeCell ref="EA9:EA10"/>
    <mergeCell ref="EB9:EB10"/>
    <mergeCell ref="EC9:EC10"/>
    <mergeCell ref="ED9:ED10"/>
    <mergeCell ref="EE9:EE10"/>
    <mergeCell ref="EF9:EF10"/>
    <mergeCell ref="ET9:ET10"/>
    <mergeCell ref="EV9:EV10"/>
    <mergeCell ref="EW9:EW10"/>
    <mergeCell ref="EX9:EX10"/>
    <mergeCell ref="EY9:FB9"/>
    <mergeCell ref="FC9:FC10"/>
    <mergeCell ref="EN9:EN10"/>
    <mergeCell ref="EO9:EO10"/>
    <mergeCell ref="EP9:EP10"/>
    <mergeCell ref="EQ9:EQ10"/>
    <mergeCell ref="ER9:ER10"/>
    <mergeCell ref="ES9:ES10"/>
    <mergeCell ref="FK9:FK10"/>
    <mergeCell ref="FL9:FL10"/>
    <mergeCell ref="FM9:FM10"/>
    <mergeCell ref="FN9:FN10"/>
    <mergeCell ref="FO9:FO10"/>
    <mergeCell ref="FE9:FE10"/>
    <mergeCell ref="FF9:FF10"/>
    <mergeCell ref="FG9:FG10"/>
    <mergeCell ref="FH9:FH10"/>
    <mergeCell ref="FI9:FI10"/>
    <mergeCell ref="FJ9:FJ10"/>
  </mergeCells>
  <printOptions horizontalCentered="1"/>
  <pageMargins left="0" right="0.2" top="0" bottom="0" header="0" footer="0"/>
  <pageSetup paperSize="9" scale="10"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Nguyen Tam Quang</cp:lastModifiedBy>
  <dcterms:created xsi:type="dcterms:W3CDTF">2025-12-25T09:02:53Z</dcterms:created>
  <dcterms:modified xsi:type="dcterms:W3CDTF">2025-12-25T09:18:36Z</dcterms:modified>
</cp:coreProperties>
</file>