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64D595B0-00AC-4A43-97F7-84E97F7A661B}" xr6:coauthVersionLast="47" xr6:coauthVersionMax="47" xr10:uidLastSave="{00000000-0000-0000-0000-000000000000}"/>
  <bookViews>
    <workbookView xWindow="38540" yWindow="660" windowWidth="38100" windowHeight="208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Bangluong!$B$1:$CF$15</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V10" i="1" l="1"/>
  <c r="CV11" i="1"/>
  <c r="CV12" i="1"/>
  <c r="CV13" i="1"/>
  <c r="CV14" i="1"/>
  <c r="CV15" i="1"/>
  <c r="CV9" i="1"/>
  <c r="DC11" i="1" l="1"/>
  <c r="CK10" i="1"/>
  <c r="AT10" i="1" s="1"/>
  <c r="CK11" i="1"/>
  <c r="CK12" i="1"/>
  <c r="CK13" i="1"/>
  <c r="CK14" i="1"/>
  <c r="CL14" i="1" s="1"/>
  <c r="CK15" i="1"/>
  <c r="CK9" i="1"/>
  <c r="AM9" i="1" s="1"/>
  <c r="AF11" i="1"/>
  <c r="EI11" i="1"/>
  <c r="EJ11" i="1" s="1"/>
  <c r="EI12" i="1"/>
  <c r="EJ12" i="1" s="1"/>
  <c r="EI13" i="1"/>
  <c r="I13" i="1" s="1"/>
  <c r="EI14" i="1"/>
  <c r="I14" i="1" s="1"/>
  <c r="EI15" i="1"/>
  <c r="EJ15" i="1" s="1"/>
  <c r="EI9" i="1"/>
  <c r="EI10" i="1"/>
  <c r="I10" i="1" s="1"/>
  <c r="E9" i="1"/>
  <c r="F9" i="1" s="1"/>
  <c r="AK9" i="1"/>
  <c r="BF9" i="1"/>
  <c r="BM9" i="1"/>
  <c r="BN9" i="1"/>
  <c r="BO9" i="1"/>
  <c r="BR9" i="1"/>
  <c r="BX9" i="1"/>
  <c r="CO9" i="1"/>
  <c r="AR9" i="1" s="1"/>
  <c r="CX9" i="1"/>
  <c r="DC9" i="1"/>
  <c r="DD9" i="1"/>
  <c r="DE9" i="1"/>
  <c r="DF9" i="1"/>
  <c r="DX9" i="1"/>
  <c r="ED9" i="1"/>
  <c r="DP9" i="1" s="1"/>
  <c r="DQ9" i="1" s="1"/>
  <c r="AP9" i="1" s="1"/>
  <c r="I9" i="1"/>
  <c r="ED15" i="1"/>
  <c r="DP15" i="1" s="1"/>
  <c r="DQ15" i="1" s="1"/>
  <c r="AP15" i="1" s="1"/>
  <c r="DX15" i="1"/>
  <c r="DF15" i="1"/>
  <c r="DE15" i="1"/>
  <c r="DD15" i="1"/>
  <c r="DC15" i="1"/>
  <c r="CX15" i="1"/>
  <c r="CO15" i="1"/>
  <c r="AR15" i="1" s="1"/>
  <c r="BX15" i="1"/>
  <c r="BR15" i="1"/>
  <c r="BO15" i="1"/>
  <c r="BN15" i="1"/>
  <c r="BM15" i="1"/>
  <c r="BF15" i="1"/>
  <c r="AK15" i="1"/>
  <c r="E15" i="1"/>
  <c r="F15" i="1" s="1"/>
  <c r="ED14" i="1"/>
  <c r="DP14" i="1" s="1"/>
  <c r="DQ14" i="1" s="1"/>
  <c r="AP14" i="1" s="1"/>
  <c r="DX14" i="1"/>
  <c r="DF14" i="1"/>
  <c r="DE14" i="1"/>
  <c r="DD14" i="1"/>
  <c r="DC14" i="1"/>
  <c r="CX14" i="1"/>
  <c r="CO14" i="1"/>
  <c r="AR14" i="1" s="1"/>
  <c r="BX14" i="1"/>
  <c r="BR14" i="1"/>
  <c r="BO14" i="1"/>
  <c r="BN14" i="1"/>
  <c r="BM14" i="1"/>
  <c r="BF14" i="1"/>
  <c r="AK14" i="1"/>
  <c r="E14" i="1"/>
  <c r="F14" i="1" s="1"/>
  <c r="ED13" i="1"/>
  <c r="DP13" i="1" s="1"/>
  <c r="DQ13" i="1" s="1"/>
  <c r="AP13" i="1" s="1"/>
  <c r="DX13" i="1"/>
  <c r="DF13" i="1"/>
  <c r="DE13" i="1"/>
  <c r="DD13" i="1"/>
  <c r="DC13" i="1"/>
  <c r="CX13" i="1"/>
  <c r="CO13" i="1"/>
  <c r="AR13" i="1" s="1"/>
  <c r="BX13" i="1"/>
  <c r="BR13" i="1"/>
  <c r="BO13" i="1"/>
  <c r="BN13" i="1"/>
  <c r="BM13" i="1"/>
  <c r="BF13" i="1"/>
  <c r="AK13" i="1"/>
  <c r="E13" i="1"/>
  <c r="F13" i="1" s="1"/>
  <c r="ED12" i="1"/>
  <c r="DP12" i="1" s="1"/>
  <c r="DQ12" i="1" s="1"/>
  <c r="AP12" i="1" s="1"/>
  <c r="DX12" i="1"/>
  <c r="DF12" i="1"/>
  <c r="DE12" i="1"/>
  <c r="DD12" i="1"/>
  <c r="DC12" i="1"/>
  <c r="CX12" i="1"/>
  <c r="CO12" i="1"/>
  <c r="AR12" i="1" s="1"/>
  <c r="BX12" i="1"/>
  <c r="BR12" i="1"/>
  <c r="BO12" i="1"/>
  <c r="BN12" i="1"/>
  <c r="BM12" i="1"/>
  <c r="BF12" i="1"/>
  <c r="AK12" i="1"/>
  <c r="E12" i="1"/>
  <c r="F12" i="1" s="1"/>
  <c r="ED11" i="1"/>
  <c r="DP11" i="1" s="1"/>
  <c r="DQ11" i="1" s="1"/>
  <c r="AP11" i="1" s="1"/>
  <c r="DX11" i="1"/>
  <c r="DF11" i="1"/>
  <c r="DE11" i="1"/>
  <c r="DD11" i="1"/>
  <c r="CX11" i="1"/>
  <c r="CO11" i="1"/>
  <c r="AR11" i="1" s="1"/>
  <c r="CL11" i="1"/>
  <c r="BX11" i="1"/>
  <c r="BR11" i="1"/>
  <c r="BO11" i="1"/>
  <c r="BN11" i="1"/>
  <c r="BM11" i="1"/>
  <c r="BF11" i="1"/>
  <c r="AK11" i="1"/>
  <c r="E11" i="1"/>
  <c r="F11" i="1" s="1"/>
  <c r="ED10" i="1"/>
  <c r="DP10" i="1" s="1"/>
  <c r="DQ10" i="1" s="1"/>
  <c r="AP10" i="1" s="1"/>
  <c r="DX10" i="1"/>
  <c r="DF10" i="1"/>
  <c r="DE10" i="1"/>
  <c r="DD10" i="1"/>
  <c r="DC10" i="1"/>
  <c r="CX10" i="1"/>
  <c r="CO10" i="1"/>
  <c r="AR10" i="1" s="1"/>
  <c r="BX10" i="1"/>
  <c r="BR10" i="1"/>
  <c r="BO10" i="1"/>
  <c r="BN10" i="1"/>
  <c r="BM10" i="1"/>
  <c r="BF10" i="1"/>
  <c r="AK10" i="1"/>
  <c r="E10" i="1"/>
  <c r="AF10" i="1" l="1"/>
  <c r="CL10" i="1"/>
  <c r="AU10" i="1"/>
  <c r="EJ9" i="1"/>
  <c r="BP9" i="1"/>
  <c r="DW9" i="1" s="1"/>
  <c r="AU9" i="1"/>
  <c r="AT9" i="1"/>
  <c r="AF9" i="1"/>
  <c r="DO9" i="1"/>
  <c r="AO9" i="1" s="1"/>
  <c r="H9" i="1"/>
  <c r="J9" i="1" s="1"/>
  <c r="BI9" i="1" s="1"/>
  <c r="AV9" i="1"/>
  <c r="CL9" i="1"/>
  <c r="I15" i="1"/>
  <c r="I12" i="1"/>
  <c r="DO13" i="1"/>
  <c r="AO13" i="1" s="1"/>
  <c r="EJ14" i="1"/>
  <c r="EJ10" i="1"/>
  <c r="I11" i="1"/>
  <c r="BP12" i="1"/>
  <c r="DW12" i="1" s="1"/>
  <c r="EJ13" i="1"/>
  <c r="DO15" i="1"/>
  <c r="AO15" i="1" s="1"/>
  <c r="DO11" i="1"/>
  <c r="AO11" i="1" s="1"/>
  <c r="DO14" i="1"/>
  <c r="AO14" i="1" s="1"/>
  <c r="DO10" i="1"/>
  <c r="AO10" i="1" s="1"/>
  <c r="BP13" i="1"/>
  <c r="DW13" i="1" s="1"/>
  <c r="BP15" i="1"/>
  <c r="DW15" i="1" s="1"/>
  <c r="BP11" i="1"/>
  <c r="DW11" i="1" s="1"/>
  <c r="BP10" i="1"/>
  <c r="DW10" i="1" s="1"/>
  <c r="BP14" i="1"/>
  <c r="DW14" i="1" s="1"/>
  <c r="DO12" i="1"/>
  <c r="AO12" i="1" s="1"/>
  <c r="AV11" i="1"/>
  <c r="H11" i="1"/>
  <c r="J11" i="1" s="1"/>
  <c r="BI11" i="1" s="1"/>
  <c r="H15" i="1"/>
  <c r="AV15" i="1"/>
  <c r="AV14" i="1"/>
  <c r="H14" i="1"/>
  <c r="J14" i="1" s="1"/>
  <c r="BI14" i="1" s="1"/>
  <c r="H13" i="1"/>
  <c r="J13" i="1" s="1"/>
  <c r="BI13" i="1" s="1"/>
  <c r="AV13" i="1"/>
  <c r="AV12" i="1"/>
  <c r="H12" i="1"/>
  <c r="AM14" i="1"/>
  <c r="AM15" i="1"/>
  <c r="CL12" i="1"/>
  <c r="CL13" i="1"/>
  <c r="AT11" i="1"/>
  <c r="AT12" i="1"/>
  <c r="AT13" i="1"/>
  <c r="AT14" i="1"/>
  <c r="AT15" i="1"/>
  <c r="AM11" i="1"/>
  <c r="AM13" i="1"/>
  <c r="CL15" i="1"/>
  <c r="AU11" i="1"/>
  <c r="AF12" i="1"/>
  <c r="AU12" i="1"/>
  <c r="AF13" i="1"/>
  <c r="AU13" i="1"/>
  <c r="AF14" i="1"/>
  <c r="AU14" i="1"/>
  <c r="AF15" i="1"/>
  <c r="AU15" i="1"/>
  <c r="F10" i="1"/>
  <c r="AV10" i="1" s="1"/>
  <c r="AL9" i="1" l="1"/>
  <c r="AW9" i="1"/>
  <c r="K9" i="1"/>
  <c r="AN9" i="1" s="1"/>
  <c r="AX9" i="1"/>
  <c r="DR9" i="1"/>
  <c r="AH9" i="1" s="1"/>
  <c r="AX13" i="1"/>
  <c r="J12" i="1"/>
  <c r="BI12" i="1" s="1"/>
  <c r="J15" i="1"/>
  <c r="BI15" i="1" s="1"/>
  <c r="AI9" i="1"/>
  <c r="AG9" i="1"/>
  <c r="DR14" i="1"/>
  <c r="AH14" i="1" s="1"/>
  <c r="K14" i="1"/>
  <c r="AN14" i="1" s="1"/>
  <c r="DR11" i="1"/>
  <c r="AH11" i="1" s="1"/>
  <c r="AL14" i="1"/>
  <c r="AI13" i="1"/>
  <c r="K13" i="1"/>
  <c r="AN13" i="1" s="1"/>
  <c r="AL13" i="1"/>
  <c r="AG13" i="1"/>
  <c r="AW13" i="1"/>
  <c r="K11" i="1"/>
  <c r="AN11" i="1" s="1"/>
  <c r="AX14" i="1"/>
  <c r="AI14" i="1"/>
  <c r="AI11" i="1"/>
  <c r="AI12" i="1"/>
  <c r="AM12" i="1"/>
  <c r="AX15" i="1"/>
  <c r="DR12" i="1"/>
  <c r="AH12" i="1" s="1"/>
  <c r="AL15" i="1"/>
  <c r="AL12" i="1"/>
  <c r="AG12" i="1"/>
  <c r="DR15" i="1"/>
  <c r="AH15" i="1" s="1"/>
  <c r="AG11" i="1"/>
  <c r="AI15" i="1"/>
  <c r="AG14" i="1"/>
  <c r="AG15" i="1"/>
  <c r="AW12" i="1"/>
  <c r="AW11" i="1"/>
  <c r="H10" i="1"/>
  <c r="J10" i="1" s="1"/>
  <c r="BI10" i="1" s="1"/>
  <c r="AX12" i="1"/>
  <c r="AL11" i="1"/>
  <c r="DR13" i="1"/>
  <c r="AH13" i="1" s="1"/>
  <c r="AW14" i="1"/>
  <c r="AW15" i="1"/>
  <c r="AX11" i="1"/>
  <c r="K15" i="1" l="1"/>
  <c r="AN15" i="1" s="1"/>
  <c r="AM10" i="1"/>
  <c r="BJ9" i="1"/>
  <c r="BL9" i="1" s="1"/>
  <c r="K12" i="1"/>
  <c r="AN12" i="1" s="1"/>
  <c r="BJ13" i="1"/>
  <c r="BL13" i="1" s="1"/>
  <c r="DR10" i="1"/>
  <c r="AH10" i="1" s="1"/>
  <c r="BJ11" i="1"/>
  <c r="BL11" i="1" s="1"/>
  <c r="BJ14" i="1"/>
  <c r="BL14" i="1" s="1"/>
  <c r="BJ12" i="1"/>
  <c r="BL12" i="1" s="1"/>
  <c r="BJ15" i="1"/>
  <c r="K10" i="1"/>
  <c r="AN10" i="1" s="1"/>
  <c r="AW10" i="1"/>
  <c r="AI10" i="1"/>
  <c r="AG10" i="1"/>
  <c r="AX10" i="1"/>
  <c r="AL10" i="1" l="1"/>
  <c r="CT12" i="1"/>
  <c r="CY12" i="1" s="1"/>
  <c r="CZ12" i="1" s="1"/>
  <c r="BS12" i="1" s="1"/>
  <c r="CT9" i="1"/>
  <c r="CT11" i="1"/>
  <c r="CY11" i="1" s="1"/>
  <c r="CZ11" i="1" s="1"/>
  <c r="BS11" i="1" s="1"/>
  <c r="BU11" i="1" s="1"/>
  <c r="CE11" i="1" s="1"/>
  <c r="CT13" i="1"/>
  <c r="CY13" i="1" s="1"/>
  <c r="CZ13" i="1" s="1"/>
  <c r="BS13" i="1" s="1"/>
  <c r="BU13" i="1" s="1"/>
  <c r="CE13" i="1" s="1"/>
  <c r="DY13" i="1" s="1"/>
  <c r="CT14" i="1"/>
  <c r="CY14" i="1" s="1"/>
  <c r="CZ14" i="1" s="1"/>
  <c r="BS14" i="1" s="1"/>
  <c r="BU14" i="1" s="1"/>
  <c r="CE14" i="1" s="1"/>
  <c r="BU12" i="1"/>
  <c r="CE12" i="1" s="1"/>
  <c r="BJ10" i="1"/>
  <c r="BL15" i="1"/>
  <c r="CT15" i="1"/>
  <c r="CY15" i="1" s="1"/>
  <c r="CZ15" i="1" s="1"/>
  <c r="BS15" i="1" s="1"/>
  <c r="CY9" i="1" l="1"/>
  <c r="CZ9" i="1" s="1"/>
  <c r="BS9" i="1" s="1"/>
  <c r="BU9" i="1" s="1"/>
  <c r="CE9" i="1" s="1"/>
  <c r="DY9" i="1"/>
  <c r="CF9" i="1"/>
  <c r="EA9" i="1" s="1"/>
  <c r="DY11" i="1"/>
  <c r="CF11" i="1"/>
  <c r="EA11" i="1" s="1"/>
  <c r="DY14" i="1"/>
  <c r="CF14" i="1"/>
  <c r="EA14" i="1" s="1"/>
  <c r="DY12" i="1"/>
  <c r="CF12" i="1"/>
  <c r="EA12" i="1" s="1"/>
  <c r="BL10" i="1"/>
  <c r="CT10" i="1"/>
  <c r="BU15" i="1"/>
  <c r="CE15" i="1" s="1"/>
  <c r="DY15" i="1" s="1"/>
  <c r="CF13" i="1"/>
  <c r="EA13" i="1" s="1"/>
  <c r="CY10" i="1" l="1"/>
  <c r="CZ10" i="1" s="1"/>
  <c r="BS10" i="1" s="1"/>
  <c r="CF15" i="1"/>
  <c r="EA15" i="1" s="1"/>
  <c r="BU10" i="1" l="1"/>
  <c r="CE10" i="1" s="1"/>
  <c r="DY10" i="1" l="1"/>
  <c r="CF10" i="1"/>
  <c r="EA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G6" authorId="0" shapeId="0" xr:uid="{00000000-0006-0000-0000-000001000000}">
      <text>
        <r>
          <rPr>
            <sz val="11"/>
            <color rgb="FF000000"/>
            <rFont val="Calibri"/>
            <family val="2"/>
          </rPr>
          <t xml:space="preserve">Administrator:
</t>
        </r>
        <r>
          <rPr>
            <sz val="11"/>
            <color rgb="FF000000"/>
            <rFont val="Calibri"/>
            <family val="2"/>
          </rPr>
          <t xml:space="preserve">CỘT NÀY THÊM VÀO ĐỂ TÍNH LƯƠNG NGHỈ LỄ ĐỐI VỚI NHÂN SỰ CHƯA CÓ LCB
</t>
        </r>
      </text>
    </comment>
    <comment ref="L6" authorId="1" shapeId="0" xr:uid="{00000000-0006-0000-0000-000002000000}">
      <text>
        <r>
          <rPr>
            <sz val="11"/>
            <color rgb="FF000000"/>
            <rFont val="Calibri"/>
            <family val="2"/>
          </rPr>
          <t xml:space="preserve">ADMIN:
</t>
        </r>
        <r>
          <rPr>
            <sz val="11"/>
            <color rgb="FF000000"/>
            <rFont val="Calibri"/>
            <family val="2"/>
          </rPr>
          <t>Cập nhật các nhân sự được duyệt điều chỉnh</t>
        </r>
      </text>
    </comment>
    <comment ref="BM6" authorId="2" shapeId="0" xr:uid="{00000000-0006-0000-0000-000003000000}">
      <text>
        <r>
          <rPr>
            <sz val="11"/>
            <color rgb="FF000000"/>
            <rFont val="Calibri"/>
            <family val="2"/>
          </rPr>
          <t xml:space="preserve">Thuy:
</t>
        </r>
        <r>
          <rPr>
            <sz val="11"/>
            <color rgb="FF000000"/>
            <rFont val="Calibri"/>
            <family val="2"/>
          </rPr>
          <t>không được vượt 30% một tháng</t>
        </r>
      </text>
    </comment>
    <comment ref="CQ6" authorId="3" shapeId="0" xr:uid="{00000000-0006-0000-0000-000004000000}">
      <text>
        <r>
          <rPr>
            <sz val="11"/>
            <color rgb="FF000000"/>
            <rFont val="Calibri"/>
            <family val="2"/>
          </rPr>
          <t>lĐưa cột bảo hiểm trong bảng đóng BHXH</t>
        </r>
      </text>
    </comment>
    <comment ref="P7" authorId="4" shapeId="0" xr:uid="{00000000-0006-0000-0000-000005000000}">
      <text>
        <r>
          <rPr>
            <sz val="11"/>
            <color theme="1"/>
            <rFont val="Calibri"/>
            <family val="2"/>
            <scheme val="minor"/>
          </rPr>
          <t>Cột sử dụng cho Cơ điện</t>
        </r>
      </text>
    </comment>
    <comment ref="U7" authorId="0" shapeId="0" xr:uid="{00000000-0006-0000-0000-000006000000}">
      <text>
        <r>
          <rPr>
            <sz val="11"/>
            <color rgb="FF000000"/>
            <rFont val="Calibri"/>
            <family val="2"/>
          </rPr>
          <t xml:space="preserve">Administrator:
</t>
        </r>
        <r>
          <rPr>
            <sz val="11"/>
            <color rgb="FF000000"/>
            <rFont val="Calibri"/>
            <family val="2"/>
          </rPr>
          <t xml:space="preserve">có những trường hợp làm tăng ca </t>
        </r>
      </text>
    </comment>
    <comment ref="Z7" authorId="5" shapeId="0" xr:uid="{00000000-0006-0000-0000-000007000000}">
      <text>
        <r>
          <rPr>
            <sz val="11"/>
            <color rgb="FF000000"/>
            <rFont val="Calibri"/>
            <family val="2"/>
          </rPr>
          <t xml:space="preserve">Nguyen Thi Hoa:
</t>
        </r>
        <r>
          <rPr>
            <sz val="11"/>
            <color rgb="FF000000"/>
            <rFont val="Calibri"/>
            <family val="2"/>
          </rPr>
          <t>NV do KH SXKD</t>
        </r>
      </text>
    </comment>
    <comment ref="AT7" authorId="5" shapeId="0" xr:uid="{00000000-0006-0000-0000-000008000000}">
      <text>
        <r>
          <rPr>
            <sz val="11"/>
            <color rgb="FF000000"/>
            <rFont val="Calibri"/>
            <family val="2"/>
          </rPr>
          <t xml:space="preserve">Nguyen Thi Hoa:
</t>
        </r>
        <r>
          <rPr>
            <sz val="11"/>
            <color rgb="FF000000"/>
            <rFont val="Calibri"/>
            <family val="2"/>
          </rPr>
          <t>= Lương HĐLĐ/26 * thời gian người lao động không nghỉ khi hành kinh, khi nuôi con dưới 12 tháng tuổi.</t>
        </r>
      </text>
    </comment>
    <comment ref="AX7" authorId="3" shapeId="0" xr:uid="{00000000-0006-0000-0000-000009000000}">
      <text>
        <r>
          <rPr>
            <sz val="11"/>
            <color rgb="FF000000"/>
            <rFont val="Calibri"/>
            <family val="2"/>
          </rPr>
          <t>Dự trừ phát sinh</t>
        </r>
      </text>
    </comment>
    <comment ref="CQ7" authorId="3" shapeId="0" xr:uid="{00000000-0006-0000-0000-00000A000000}">
      <text>
        <r>
          <rPr>
            <sz val="11"/>
            <color rgb="FF000000"/>
            <rFont val="Calibri"/>
            <family val="2"/>
          </rPr>
          <t>lĐưa cột bảo hiểm trong bảng đóng BHXH</t>
        </r>
      </text>
    </comment>
    <comment ref="CR7" authorId="0" shapeId="0" xr:uid="{00000000-0006-0000-0000-00000B000000}">
      <text>
        <r>
          <rPr>
            <sz val="11"/>
            <color rgb="FF000000"/>
            <rFont val="Calibri"/>
            <family val="2"/>
          </rPr>
          <t xml:space="preserve">Administrator:
</t>
        </r>
        <r>
          <rPr>
            <sz val="11"/>
            <color rgb="FF000000"/>
            <rFont val="Calibri"/>
            <family val="2"/>
          </rPr>
          <t xml:space="preserve">các khoản thu nhập khác chưa tính thuế
</t>
        </r>
      </text>
    </comment>
    <comment ref="X8" authorId="1" shapeId="0" xr:uid="{00000000-0006-0000-0000-00000E000000}">
      <text>
        <r>
          <rPr>
            <sz val="11"/>
            <color theme="1"/>
            <rFont val="Calibri"/>
            <family val="2"/>
            <scheme val="minor"/>
          </rPr>
          <t>ADMIN:
Đây là công tăng ca được tính thêm
(Phần đi làm đã cộng vào công chính)</t>
        </r>
      </text>
    </comment>
    <comment ref="AZ9" authorId="4" shapeId="0" xr:uid="{00000000-0006-0000-0000-00000F000000}">
      <text>
        <r>
          <rPr>
            <sz val="11"/>
            <color theme="1"/>
            <rFont val="Calibri"/>
            <family val="2"/>
            <scheme val="minor"/>
          </rPr>
          <t xml:space="preserve">THEO BẢNG TÍNH BHXH THÁNG 10
</t>
        </r>
      </text>
    </comment>
    <comment ref="AZ10" authorId="4" shapeId="0" xr:uid="{00000000-0006-0000-0000-000010000000}">
      <text>
        <r>
          <rPr>
            <sz val="11"/>
            <color theme="1"/>
            <rFont val="Calibri"/>
            <family val="2"/>
            <scheme val="minor"/>
          </rPr>
          <t xml:space="preserve">THEO BẢNG TÍNH BHXH THÁNG 10
</t>
        </r>
      </text>
    </comment>
    <comment ref="AZ11" authorId="4" shapeId="0" xr:uid="{00000000-0006-0000-0000-000011000000}">
      <text>
        <r>
          <rPr>
            <sz val="11"/>
            <color theme="1"/>
            <rFont val="Calibri"/>
            <family val="2"/>
            <scheme val="minor"/>
          </rPr>
          <t xml:space="preserve">THEO BẢNG TÍNH BHXH THÁNG 10
</t>
        </r>
      </text>
    </comment>
    <comment ref="AZ12" authorId="4" shapeId="0" xr:uid="{00000000-0006-0000-0000-000012000000}">
      <text>
        <r>
          <rPr>
            <sz val="11"/>
            <color rgb="FF000000"/>
            <rFont val="Calibri"/>
            <family val="2"/>
          </rPr>
          <t xml:space="preserve">THEO BẢNG TÍNH BHXH THÁNG 10
</t>
        </r>
      </text>
    </comment>
    <comment ref="AZ13" authorId="4" shapeId="0" xr:uid="{00000000-0006-0000-0000-000013000000}">
      <text>
        <r>
          <rPr>
            <sz val="11"/>
            <color rgb="FF000000"/>
            <rFont val="Calibri"/>
            <family val="2"/>
          </rPr>
          <t xml:space="preserve">THEO BẢNG TÍNH BHXH THÁNG 10
</t>
        </r>
      </text>
    </comment>
    <comment ref="AZ14" authorId="4" shapeId="0" xr:uid="{00000000-0006-0000-0000-000014000000}">
      <text>
        <r>
          <rPr>
            <sz val="11"/>
            <color theme="1"/>
            <rFont val="Calibri"/>
            <family val="2"/>
            <scheme val="minor"/>
          </rPr>
          <t xml:space="preserve">THEO BẢNG TÍNH BHXH THÁNG 10
</t>
        </r>
      </text>
    </comment>
    <comment ref="AZ15" authorId="4" shapeId="0" xr:uid="{00000000-0006-0000-0000-000015000000}">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<sst xmlns="http://schemas.openxmlformats.org/spreadsheetml/2006/main" count="231" uniqueCount="196">
  <si>
    <t>MST: 4001113268</t>
  </si>
  <si>
    <t>MSNV</t>
  </si>
  <si>
    <t>Full name</t>
  </si>
  <si>
    <t>Labor contract salary</t>
  </si>
  <si>
    <t>Allowances (Fire protection, ATVSV)</t>
  </si>
  <si>
    <t>Labor Contract Salary + Allowances level</t>
  </si>
  <si>
    <t>Salary level of Board of Directors</t>
  </si>
  <si>
    <t>HQCV bonus norms</t>
  </si>
  <si>
    <t>Additional HQCV bonus norms</t>
  </si>
  <si>
    <t>Total HQCV bonus norms</t>
  </si>
  <si>
    <t>ML Labor Contract+ PC + Bonus norms HQCV</t>
  </si>
  <si>
    <t>Percentage of HQCV bonus advance</t>
  </si>
  <si>
    <t>Workdays in the month</t>
  </si>
  <si>
    <t>Amounts received during the month</t>
  </si>
  <si>
    <t>Total income</t>
  </si>
  <si>
    <t>Total advanced income for period I</t>
  </si>
  <si>
    <t>Total remaining income for period II</t>
  </si>
  <si>
    <t>Salary deductions</t>
  </si>
  <si>
    <t>Other fees/collections</t>
  </si>
  <si>
    <t>Total deductions for period II</t>
  </si>
  <si>
    <t>Actual receipt for period II</t>
  </si>
  <si>
    <t>SUB DATA AREA FOR CALCULATION OF SALARY</t>
  </si>
  <si>
    <t>PERSONAL PIT TAX CALCULATION AREA</t>
  </si>
  <si>
    <t>AREA FOR CALCULATION OF EMPLOYMENT ALLOWANCES DIFFERENCES</t>
  </si>
  <si>
    <t>SALARY EMAIL AREA</t>
  </si>
  <si>
    <t>ACTUAL SALARY AREA FROM HRM</t>
  </si>
  <si>
    <t>HUMAN RESOURCE INFORMATION AREA</t>
  </si>
  <si>
    <t>Cong goes to work on weekdays</t>
  </si>
  <si>
    <t>Overtime on weekdays</t>
  </si>
  <si>
    <t>Sunday (Chu Lai)</t>
  </si>
  <si>
    <t>Tổng công Chủ nhật
(BP)</t>
  </si>
  <si>
    <t>Night allowance</t>
  </si>
  <si>
    <t>Filial piety, joy</t>
  </si>
  <si>
    <t>Working on Holidays</t>
  </si>
  <si>
    <t>Holidays and Tet</t>
  </si>
  <si>
    <t>Day off Saturday</t>
  </si>
  <si>
    <t>Date of work stoppage in the month</t>
  </si>
  <si>
    <t>The year of existence is 2024</t>
  </si>
  <si>
    <t>Stop date of BKK (due to power outage, natural disaster...)</t>
  </si>
  <si>
    <t>Annual leave from work</t>
  </si>
  <si>
    <t>Annual leave has been thought of</t>
  </si>
  <si>
    <t>Lương
Ngày thường</t>
  </si>
  <si>
    <t>Luong Sang Ca</t>
  </si>
  <si>
    <t>Sunday salary</t>
  </si>
  <si>
    <t>Night shift P/c salary</t>
  </si>
  <si>
    <t>Leave blank</t>
  </si>
  <si>
    <t>Luong Hieu, Hi</t>
  </si>
  <si>
    <t>Salary for working on holidays</t>
  </si>
  <si>
    <t>Holiday/Tet holiday salary</t>
  </si>
  <si>
    <t>The 7th regime</t>
  </si>
  <si>
    <t>Working allowances</t>
  </si>
  <si>
    <t>Food money</t>
  </si>
  <si>
    <t>Nursing care training</t>
  </si>
  <si>
    <t>Back pay for health care training</t>
  </si>
  <si>
    <t>Extra salary paid to female employees for non-stop time during menstruation)</t>
  </si>
  <si>
    <t>Fire protection allowance (DT, DP), AT-VSV allowance</t>
  </si>
  <si>
    <t>Stop salary job</t>
  </si>
  <si>
    <t>Annual leave taken</t>
  </si>
  <si>
    <t>Outstanding annual leave 2024</t>
  </si>
  <si>
    <t>Support personnel bonus</t>
  </si>
  <si>
    <t>Social insurance payment</t>
  </si>
  <si>
    <t>Payment of union fees Surplus</t>
  </si>
  <si>
    <t>Back pay/Annual leave</t>
  </si>
  <si>
    <t>Work accident salary</t>
  </si>
  <si>
    <t>Work accident allowance</t>
  </si>
  <si>
    <t>Severance/job loss allowance</t>
  </si>
  <si>
    <t>Payment of Annual leave Job</t>
  </si>
  <si>
    <t>Company Support</t>
  </si>
  <si>
    <t>….</t>
  </si>
  <si>
    <t>Advance of HQCV bonus</t>
  </si>
  <si>
    <t>BHXH</t>
  </si>
  <si>
    <t>BHYT</t>
  </si>
  <si>
    <t>BHTN</t>
  </si>
  <si>
    <t>BHXH, BHYT, BHTN (LCB*10,5%)</t>
  </si>
  <si>
    <t>Additional collection of social insurance</t>
  </si>
  <si>
    <t>Additional collection of union fees (0.5%)</t>
  </si>
  <si>
    <t>Personal income tax</t>
  </si>
  <si>
    <t>Additional collection of union fees</t>
  </si>
  <si>
    <t>Excessive phone bill collection</t>
  </si>
  <si>
    <t>Collection of salary/annual leave</t>
  </si>
  <si>
    <t>Funeral money</t>
  </si>
  <si>
    <t>Additional collection of personal income tax</t>
  </si>
  <si>
    <t>Deduction of premium car purchase</t>
  </si>
  <si>
    <t>Collection of housing rent in the Park</t>
  </si>
  <si>
    <t>Collection of AEC Company Insurance money</t>
  </si>
  <si>
    <t>Collection on behalf …..</t>
  </si>
  <si>
    <t>Female (excluding pregnant personnel)</t>
  </si>
  <si>
    <t>Checking subjects receiving salary</t>
  </si>
  <si>
    <t>Checking subjects entitled to overtime</t>
  </si>
  <si>
    <t>Belonging to subjects entitled to Basic overtime electricity</t>
  </si>
  <si>
    <t>BD PHSK</t>
  </si>
  <si>
    <t>SATE</t>
  </si>
  <si>
    <t>Deduction of funeral money</t>
  </si>
  <si>
    <t>Other bonuses</t>
  </si>
  <si>
    <t>Monthly salary 13 (Bonus 2024)</t>
  </si>
  <si>
    <t>THU 
NHẬP CHỊU  THUẾ TNCN</t>
  </si>
  <si>
    <t>NUMBER OF DEPENDENTS</t>
  </si>
  <si>
    <t>FAMILY REDUCTION</t>
  </si>
  <si>
    <t>PERSONAL REDUCTION</t>
  </si>
  <si>
    <t>TOTAL DEDUCTION</t>
  </si>
  <si>
    <t>TỔNG THU 
NHẬP TÍNH
 THUẾ TNCN</t>
  </si>
  <si>
    <t>Monthly personal income tax</t>
  </si>
  <si>
    <t>Personal income tax deducted period 1</t>
  </si>
  <si>
    <t>DIFFERENT SUBJECTS</t>
  </si>
  <si>
    <t>P/c rate Secondment Lao/Camera</t>
  </si>
  <si>
    <t>Special P/c level Myanmar Sect</t>
  </si>
  <si>
    <t>P/c Rate Domestic Secondment</t>
  </si>
  <si>
    <t>P/c Level Korean Secondment</t>
  </si>
  <si>
    <t>Public Works Secondment</t>
  </si>
  <si>
    <t>Sunday Public Secondment</t>
  </si>
  <si>
    <t>Special Allowance faction</t>
  </si>
  <si>
    <t>Phone Allowance</t>
  </si>
  <si>
    <t>Sunday Salary</t>
  </si>
  <si>
    <t>Number of volunteer days 14 days beginning</t>
  </si>
  <si>
    <t>Number of volunteer days from the 15th onwards</t>
  </si>
  <si>
    <t>Fourth union period 1</t>
  </si>
  <si>
    <t>Bereavement period 1 (22 news)</t>
  </si>
  <si>
    <t>Total deductions period 1</t>
  </si>
  <si>
    <t>Total deductions for whole period month</t>
  </si>
  <si>
    <t>Realization part 1</t>
  </si>
  <si>
    <t>Actual receipt for the whole month</t>
  </si>
  <si>
    <t>MAIL SALARY</t>
  </si>
  <si>
    <t>Effective date of salary</t>
  </si>
  <si>
    <t>Category</t>
  </si>
  <si>
    <t>Salary</t>
  </si>
  <si>
    <t>Allowments are paid benefit</t>
  </si>
  <si>
    <t>Total salary and other PC payments</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</si>
  <si>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</si>
  <si>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</si>
  <si>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</si>
  <si>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</si>
  <si>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</si>
  <si>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</si>
  <si>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</si>
  <si>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</si>
  <si>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</si>
  <si>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</si>
  <si>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</si>
  <si>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</si>
  <si>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</si>
  <si>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</si>
  <si>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</si>
  <si>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</si>
  <si>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</si>
  <si>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</si>
  <si>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</si>
  <si>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Wage</t>
  </si>
  <si>
    <t>Phone money</t>
  </si>
  <si>
    <t>8%</t>
  </si>
  <si>
    <t>1%</t>
  </si>
  <si>
    <t>Laos/ Orange</t>
  </si>
  <si>
    <t>Myanmar</t>
  </si>
  <si>
    <t>Domestic</t>
  </si>
  <si>
    <t>Korea</t>
  </si>
  <si>
    <t>PC title</t>
  </si>
  <si>
    <t>PC concurrently</t>
  </si>
  <si>
    <t>PC seniority</t>
  </si>
  <si>
    <t>Total PC</t>
  </si>
  <si>
    <t>X</t>
  </si>
  <si>
    <t>Deduct</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</si>
  <si>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</si>
  <si>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</si>
  <si>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</si>
  <si>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</si>
  <si>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</si>
  <si>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</si>
  <si>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</si>
  <si>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</si>
  <si>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</si>
  <si>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</si>
  <si>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</si>
  <si>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</si>
  <si>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</si>
  <si>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</si>
  <si>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</si>
  <si>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</si>
  <si>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</si>
  <si>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</si>
  <si>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</si>
  <si>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</si>
  <si>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</si>
  <si>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Salary Sheet</t>
  </si>
  <si>
    <t>Actual monthly workdays</t>
  </si>
  <si>
    <t>1.5%</t>
  </si>
  <si>
    <t>Collection on behalf2 …..</t>
  </si>
  <si>
    <t>Back taxes on BD PHSK</t>
  </si>
  <si>
    <t>OSH Worker Code</t>
  </si>
  <si>
    <t>Insurance Code</t>
  </si>
  <si>
    <t>Trade Union Fee Code</t>
  </si>
  <si>
    <t>SIHIUI</t>
  </si>
  <si>
    <t>Laos/ Orange - PW</t>
  </si>
  <si>
    <t>Myanmar - PW</t>
  </si>
  <si>
    <t>Domestic - PW</t>
  </si>
  <si>
    <t>Phone allowance - Area</t>
  </si>
  <si>
    <t>TT</t>
  </si>
  <si>
    <t>Korea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</si>
</sst>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20">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19"/>
      <name val="Times New Roman"/>
      <family val="1"/>
    </font>
    <font>
      <b/>
      <sz val="22"/>
      <name val="Times New Roman"/>
      <family val="1"/>
    </font>
    <font>
      <sz val="22"/>
      <name val="Times New Roman"/>
      <family val="1"/>
    </font>
    <font>
      <b/>
      <sz val="20"/>
      <name val="Times New Roman"/>
      <family val="1"/>
    </font>
    <font>
      <sz val="20"/>
      <name val="Times New Roman"/>
      <family val="1"/>
    </font>
    <font>
      <sz val="11"/>
      <color indexed="8"/>
      <name val="Calibri"/>
      <family val="2"/>
    </font>
    <font>
      <sz val="11"/>
      <color rgb="FF000000"/>
      <name val="Calibri"/>
      <family val="2"/>
    </font>
    <font>
      <sz val="11"/>
      <name val="Calibri"/>
      <family val="2"/>
      <scheme val="minor"/>
    </font>
    <font>
      <sz val="22"/>
      <color rgb="FF00B0F0"/>
      <name val="Times New Roman"/>
      <family val="1"/>
    </font>
    <font>
      <b/>
      <sz val="22"/>
      <color theme="1"/>
      <name val="Times New Roman"/>
      <family val="1"/>
    </font>
    <font>
      <sz val="20"/>
      <color rgb="FF00B0F0"/>
      <name val="Times New Roman"/>
      <family val="1"/>
    </font>
    <font>
      <b/>
      <sz val="20"/>
      <color rgb="FFFF0000"/>
      <name val="Times New Roman"/>
      <family val="1"/>
    </font>
    <font>
      <sz val="11"/>
      <color rgb="FFFF0000"/>
      <name val="Calibri"/>
      <family val="2"/>
      <scheme val="minor"/>
    </font>
    <font>
      <b/>
      <sz val="20"/>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6">
    <xf numFmtId="0" fontId="0" fillId="0" borderId="0"/>
    <xf numFmtId="43" fontId="3" fillId="0" borderId="0"/>
    <xf numFmtId="166" fontId="3" fillId="0" borderId="0"/>
    <xf numFmtId="9" fontId="3" fillId="0" borderId="0"/>
    <xf numFmtId="0" fontId="1" fillId="0" borderId="0"/>
    <xf numFmtId="168" fontId="11" fillId="0" borderId="0"/>
  </cellStyleXfs>
  <cellXfs count="193">
    <xf numFmtId="0" fontId="0" fillId="0" borderId="0" xfId="0"/>
    <xf numFmtId="164" fontId="4" fillId="0" borderId="0" xfId="1" applyNumberFormat="1" applyFont="1" applyAlignment="1">
      <alignment horizontal="center" vertical="center"/>
    </xf>
    <xf numFmtId="164" fontId="4" fillId="0" borderId="0" xfId="1" applyNumberFormat="1" applyFont="1" applyAlignment="1">
      <alignment horizontal="left" vertical="center"/>
    </xf>
    <xf numFmtId="0" fontId="5" fillId="0" borderId="0" xfId="4" applyFont="1" applyAlignment="1">
      <alignment vertical="center"/>
    </xf>
    <xf numFmtId="164" fontId="4" fillId="0" borderId="0" xfId="1" applyNumberFormat="1" applyFont="1" applyAlignment="1">
      <alignment vertical="center"/>
    </xf>
    <xf numFmtId="165" fontId="4" fillId="0" borderId="0" xfId="2" applyNumberFormat="1" applyFont="1" applyAlignment="1">
      <alignment vertical="center"/>
    </xf>
    <xf numFmtId="165" fontId="4" fillId="0" borderId="0" xfId="2" applyNumberFormat="1" applyFont="1" applyAlignment="1">
      <alignment horizontal="center" vertical="center"/>
    </xf>
    <xf numFmtId="164" fontId="4" fillId="0" borderId="0" xfId="1" applyNumberFormat="1" applyFont="1" applyAlignment="1">
      <alignment horizontal="right" vertical="center"/>
    </xf>
    <xf numFmtId="0" fontId="5" fillId="0" borderId="0" xfId="4" applyFont="1" applyAlignment="1">
      <alignment horizontal="center" vertical="center"/>
    </xf>
    <xf numFmtId="1" fontId="4" fillId="0" borderId="0" xfId="1" applyNumberFormat="1" applyFont="1" applyAlignment="1">
      <alignment vertical="center"/>
    </xf>
    <xf numFmtId="164" fontId="5" fillId="0" borderId="0" xfId="1" applyNumberFormat="1" applyFont="1" applyAlignment="1">
      <alignment horizontal="center" vertical="center"/>
    </xf>
    <xf numFmtId="43" fontId="5" fillId="0" borderId="0" xfId="1" applyFont="1" applyAlignment="1">
      <alignment horizontal="center" vertical="center"/>
    </xf>
    <xf numFmtId="166" fontId="5" fillId="0" borderId="0" xfId="2" applyFont="1" applyAlignment="1">
      <alignment horizontal="center" vertical="center"/>
    </xf>
    <xf numFmtId="9" fontId="5" fillId="0" borderId="0" xfId="3" applyFont="1" applyAlignment="1">
      <alignment horizontal="center" vertical="center"/>
    </xf>
    <xf numFmtId="165" fontId="5" fillId="0" borderId="0" xfId="2" applyNumberFormat="1" applyFont="1" applyAlignment="1">
      <alignment horizontal="center" vertical="center"/>
    </xf>
    <xf numFmtId="165" fontId="5" fillId="0" borderId="0" xfId="2" applyNumberFormat="1" applyFont="1" applyAlignment="1">
      <alignment vertical="center"/>
    </xf>
    <xf numFmtId="166" fontId="5" fillId="0" borderId="0" xfId="2" applyFont="1" applyAlignment="1">
      <alignment vertical="center"/>
    </xf>
    <xf numFmtId="164" fontId="5" fillId="0" borderId="0" xfId="1" applyNumberFormat="1" applyFont="1" applyAlignment="1">
      <alignment vertical="center"/>
    </xf>
    <xf numFmtId="0" fontId="4" fillId="0" borderId="0" xfId="4" applyFont="1" applyAlignment="1">
      <alignment horizontal="center" vertical="center"/>
    </xf>
    <xf numFmtId="9" fontId="4" fillId="0" borderId="0" xfId="3" applyFont="1" applyAlignment="1">
      <alignment horizontal="center" vertical="center"/>
    </xf>
    <xf numFmtId="0" fontId="5" fillId="0" borderId="0" xfId="1" applyNumberFormat="1" applyFont="1" applyAlignment="1">
      <alignment vertical="center"/>
    </xf>
    <xf numFmtId="14" fontId="5" fillId="0" borderId="0" xfId="1" applyNumberFormat="1" applyFont="1" applyAlignment="1">
      <alignment horizontal="center" vertical="center"/>
    </xf>
    <xf numFmtId="0" fontId="5" fillId="0" borderId="0" xfId="1" applyNumberFormat="1" applyFont="1" applyAlignment="1">
      <alignment vertical="center" wrapText="1"/>
    </xf>
    <xf numFmtId="0" fontId="5" fillId="0" borderId="0" xfId="4" applyFont="1" applyAlignment="1">
      <alignment vertical="center" wrapText="1"/>
    </xf>
    <xf numFmtId="49" fontId="5" fillId="0" borderId="0" xfId="2" applyNumberFormat="1" applyFont="1" applyAlignment="1">
      <alignment horizontal="left" vertical="center"/>
    </xf>
    <xf numFmtId="164" fontId="6" fillId="0" borderId="0" xfId="1" applyNumberFormat="1" applyFont="1" applyAlignment="1">
      <alignment horizontal="center" vertical="center"/>
    </xf>
    <xf numFmtId="43" fontId="4" fillId="0" borderId="0" xfId="1" applyFont="1" applyAlignment="1">
      <alignment vertical="center"/>
    </xf>
    <xf numFmtId="0" fontId="6" fillId="0" borderId="0" xfId="4"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9" fontId="4" fillId="0" borderId="0" xfId="3" applyFont="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0" fontId="5" fillId="0" borderId="0" xfId="4" applyFont="1" applyAlignment="1">
      <alignment horizontal="center" vertical="center" wrapText="1"/>
    </xf>
    <xf numFmtId="164" fontId="5" fillId="0" borderId="0" xfId="4" applyNumberFormat="1" applyFont="1" applyAlignment="1">
      <alignment horizontal="center" vertical="center"/>
    </xf>
    <xf numFmtId="168" fontId="5" fillId="0" borderId="0" xfId="4" applyNumberFormat="1" applyFont="1" applyAlignment="1">
      <alignment horizontal="center" vertical="center"/>
    </xf>
    <xf numFmtId="164" fontId="4" fillId="0" borderId="0" xfId="0" applyNumberFormat="1" applyFont="1" applyAlignment="1">
      <alignment vertical="center"/>
    </xf>
    <xf numFmtId="1" fontId="5" fillId="0" borderId="0" xfId="1" applyNumberFormat="1" applyFont="1" applyAlignment="1">
      <alignment vertical="center" shrinkToFit="1"/>
    </xf>
    <xf numFmtId="1" fontId="4" fillId="0" borderId="0" xfId="0" applyNumberFormat="1" applyFont="1" applyAlignment="1">
      <alignment vertical="center"/>
    </xf>
    <xf numFmtId="1" fontId="4" fillId="0" borderId="0" xfId="1" applyNumberFormat="1" applyFont="1" applyAlignment="1">
      <alignment horizontal="center" vertical="center"/>
    </xf>
    <xf numFmtId="0" fontId="9" fillId="0" borderId="0" xfId="0" applyFont="1" applyAlignment="1">
      <alignment horizontal="center" vertical="center"/>
    </xf>
    <xf numFmtId="164" fontId="10" fillId="0" borderId="0" xfId="1" applyNumberFormat="1" applyFont="1" applyAlignment="1">
      <alignment horizontal="center" vertical="center"/>
    </xf>
    <xf numFmtId="166" fontId="10" fillId="0" borderId="0" xfId="2" applyFont="1" applyAlignment="1">
      <alignment horizontal="center" vertical="center"/>
    </xf>
    <xf numFmtId="166" fontId="10" fillId="0" borderId="0" xfId="2" applyFont="1" applyAlignment="1">
      <alignment vertical="center"/>
    </xf>
    <xf numFmtId="0" fontId="8" fillId="0" borderId="1" xfId="0" applyFont="1" applyBorder="1" applyAlignment="1">
      <alignment horizontal="center" vertical="center" shrinkToFit="1"/>
    </xf>
    <xf numFmtId="0" fontId="8" fillId="0" borderId="1" xfId="0" applyFont="1" applyBorder="1" applyAlignment="1">
      <alignment horizontal="left" vertical="center" shrinkToFit="1"/>
    </xf>
    <xf numFmtId="164" fontId="8" fillId="0" borderId="1" xfId="1" applyNumberFormat="1" applyFont="1" applyBorder="1" applyAlignment="1">
      <alignment horizontal="center" vertical="center" shrinkToFit="1"/>
    </xf>
    <xf numFmtId="166" fontId="8" fillId="0" borderId="1" xfId="2" applyFont="1" applyBorder="1" applyAlignment="1">
      <alignment horizontal="left" vertical="center" shrinkToFit="1"/>
    </xf>
    <xf numFmtId="164" fontId="8" fillId="0" borderId="1" xfId="1" applyNumberFormat="1" applyFont="1" applyBorder="1" applyAlignment="1">
      <alignment horizontal="left" vertical="center" shrinkToFit="1"/>
    </xf>
    <xf numFmtId="9" fontId="8" fillId="0" borderId="1" xfId="3" applyFont="1" applyBorder="1" applyAlignment="1">
      <alignment horizontal="center" vertical="center" shrinkToFit="1"/>
    </xf>
    <xf numFmtId="165" fontId="8" fillId="0" borderId="1" xfId="2" applyNumberFormat="1" applyFont="1" applyBorder="1" applyAlignment="1">
      <alignment horizontal="center" vertical="center" shrinkToFit="1"/>
    </xf>
    <xf numFmtId="165" fontId="8" fillId="0" borderId="1" xfId="2" applyNumberFormat="1" applyFont="1" applyBorder="1" applyAlignment="1">
      <alignment horizontal="left" vertical="center" shrinkToFit="1"/>
    </xf>
    <xf numFmtId="164" fontId="8" fillId="0" borderId="1" xfId="1" applyNumberFormat="1" applyFont="1" applyBorder="1" applyAlignment="1">
      <alignment vertical="center" shrinkToFit="1"/>
    </xf>
    <xf numFmtId="164" fontId="8" fillId="0" borderId="1" xfId="1" quotePrefix="1" applyNumberFormat="1" applyFont="1" applyBorder="1" applyAlignment="1">
      <alignment horizontal="left" vertical="center" shrinkToFit="1"/>
    </xf>
    <xf numFmtId="164" fontId="8" fillId="0" borderId="1" xfId="1" quotePrefix="1" applyNumberFormat="1" applyFont="1" applyBorder="1" applyAlignment="1">
      <alignment horizontal="center" vertical="center" shrinkToFit="1"/>
    </xf>
    <xf numFmtId="43" fontId="8" fillId="0" borderId="1" xfId="1" applyFont="1" applyBorder="1" applyAlignment="1">
      <alignment horizontal="left" vertical="center" shrinkToFit="1"/>
    </xf>
    <xf numFmtId="164" fontId="8" fillId="0" borderId="1" xfId="1" applyNumberFormat="1" applyFont="1" applyBorder="1" applyAlignment="1">
      <alignment horizontal="right" vertical="center" shrinkToFit="1"/>
    </xf>
    <xf numFmtId="166" fontId="8" fillId="0" borderId="1" xfId="2" applyFont="1" applyBorder="1" applyAlignment="1">
      <alignment horizontal="center" vertical="center" shrinkToFit="1"/>
    </xf>
    <xf numFmtId="43" fontId="8" fillId="0" borderId="1" xfId="1" applyFont="1" applyBorder="1" applyAlignment="1">
      <alignment vertical="center" shrinkToFit="1"/>
    </xf>
    <xf numFmtId="43" fontId="8" fillId="0" borderId="1" xfId="1" applyFont="1" applyBorder="1" applyAlignment="1">
      <alignment horizontal="center" vertical="center" shrinkToFit="1"/>
    </xf>
    <xf numFmtId="43" fontId="8" fillId="0" borderId="1" xfId="2" applyNumberFormat="1" applyFont="1" applyBorder="1" applyAlignment="1">
      <alignment horizontal="center" vertical="center" shrinkToFit="1"/>
    </xf>
    <xf numFmtId="164" fontId="8" fillId="0" borderId="1" xfId="2" applyNumberFormat="1" applyFont="1" applyBorder="1" applyAlignment="1">
      <alignment horizontal="center" vertical="center" shrinkToFit="1"/>
    </xf>
    <xf numFmtId="43" fontId="8" fillId="0" borderId="1" xfId="2" applyNumberFormat="1" applyFont="1" applyBorder="1" applyAlignment="1">
      <alignment vertical="center" shrinkToFit="1"/>
    </xf>
    <xf numFmtId="164" fontId="8" fillId="0" borderId="1" xfId="2" applyNumberFormat="1" applyFont="1" applyBorder="1" applyAlignment="1">
      <alignment vertical="center" shrinkToFit="1"/>
    </xf>
    <xf numFmtId="165" fontId="8" fillId="0" borderId="1" xfId="2" applyNumberFormat="1" applyFont="1" applyBorder="1" applyAlignment="1">
      <alignment vertical="center" shrinkToFit="1"/>
    </xf>
    <xf numFmtId="166" fontId="8" fillId="0" borderId="1" xfId="2" applyFont="1" applyBorder="1" applyAlignment="1">
      <alignment vertical="center" shrinkToFit="1"/>
    </xf>
    <xf numFmtId="14" fontId="8" fillId="0" borderId="1" xfId="0" applyNumberFormat="1" applyFont="1" applyBorder="1" applyAlignment="1">
      <alignment vertical="center" shrinkToFit="1"/>
    </xf>
    <xf numFmtId="0" fontId="8" fillId="0" borderId="3" xfId="0" applyFont="1" applyBorder="1" applyAlignment="1">
      <alignment vertical="center" shrinkToFit="1"/>
    </xf>
    <xf numFmtId="164" fontId="8" fillId="0" borderId="1" xfId="0" applyNumberFormat="1" applyFont="1" applyBorder="1" applyAlignment="1">
      <alignment vertical="center" shrinkToFit="1"/>
    </xf>
    <xf numFmtId="169" fontId="8" fillId="0" borderId="1" xfId="1" applyNumberFormat="1" applyFont="1" applyBorder="1" applyAlignment="1">
      <alignment horizontal="center" vertical="center" shrinkToFit="1"/>
    </xf>
    <xf numFmtId="164" fontId="7" fillId="0" borderId="1" xfId="1" applyNumberFormat="1" applyFont="1" applyBorder="1" applyAlignment="1">
      <alignment horizontal="center" vertical="center" shrinkToFit="1"/>
    </xf>
    <xf numFmtId="0" fontId="8" fillId="0" borderId="2" xfId="1" applyNumberFormat="1" applyFont="1" applyBorder="1" applyAlignment="1">
      <alignment vertical="center" shrinkToFit="1"/>
    </xf>
    <xf numFmtId="14" fontId="8" fillId="0" borderId="1" xfId="1" applyNumberFormat="1" applyFont="1" applyBorder="1" applyAlignment="1">
      <alignment horizontal="center" vertical="center" shrinkToFit="1"/>
    </xf>
    <xf numFmtId="49" fontId="8" fillId="0" borderId="1" xfId="2" quotePrefix="1" applyNumberFormat="1" applyFont="1" applyBorder="1" applyAlignment="1">
      <alignment vertical="center"/>
    </xf>
    <xf numFmtId="165" fontId="8" fillId="0" borderId="0" xfId="2" applyNumberFormat="1" applyFont="1" applyAlignment="1">
      <alignment vertical="center"/>
    </xf>
    <xf numFmtId="166" fontId="8" fillId="0" borderId="0" xfId="2" applyFont="1" applyAlignment="1">
      <alignment vertical="center"/>
    </xf>
    <xf numFmtId="0" fontId="8" fillId="0" borderId="0" xfId="0" applyFont="1" applyAlignment="1">
      <alignment vertical="center"/>
    </xf>
    <xf numFmtId="164" fontId="10" fillId="0" borderId="0" xfId="1" applyNumberFormat="1" applyFont="1" applyAlignment="1">
      <alignment vertical="center" wrapText="1"/>
    </xf>
    <xf numFmtId="164" fontId="10" fillId="0" borderId="0" xfId="1" applyNumberFormat="1" applyFont="1" applyAlignment="1">
      <alignment vertical="center"/>
    </xf>
    <xf numFmtId="0" fontId="10" fillId="0" borderId="0" xfId="0" applyFont="1" applyAlignment="1">
      <alignment vertical="center"/>
    </xf>
    <xf numFmtId="167" fontId="10" fillId="0" borderId="0" xfId="2" applyNumberFormat="1" applyFont="1" applyAlignment="1">
      <alignment horizontal="center" vertical="center"/>
    </xf>
    <xf numFmtId="165" fontId="10" fillId="0" borderId="0" xfId="2" applyNumberFormat="1" applyFont="1" applyAlignment="1">
      <alignment horizontal="center" vertical="center"/>
    </xf>
    <xf numFmtId="164" fontId="10" fillId="0" borderId="0" xfId="1" applyNumberFormat="1" applyFont="1" applyAlignment="1">
      <alignment horizontal="right" vertical="center"/>
    </xf>
    <xf numFmtId="1" fontId="10" fillId="0" borderId="0" xfId="1" applyNumberFormat="1" applyFont="1" applyAlignment="1">
      <alignment vertical="center"/>
    </xf>
    <xf numFmtId="1" fontId="10" fillId="0" borderId="0" xfId="1" applyNumberFormat="1" applyFont="1" applyAlignment="1">
      <alignment horizontal="center" vertical="center"/>
    </xf>
    <xf numFmtId="14" fontId="10" fillId="0" borderId="0" xfId="1" applyNumberFormat="1" applyFont="1" applyAlignment="1">
      <alignment horizontal="center" vertical="center"/>
    </xf>
    <xf numFmtId="43" fontId="10" fillId="0" borderId="0" xfId="1" applyFont="1" applyAlignment="1">
      <alignment horizontal="center" vertical="center"/>
    </xf>
    <xf numFmtId="9" fontId="10" fillId="0" borderId="0" xfId="3" applyFont="1" applyAlignment="1">
      <alignment horizontal="center" vertical="center"/>
    </xf>
    <xf numFmtId="165" fontId="10" fillId="0" borderId="0" xfId="2" applyNumberFormat="1" applyFont="1" applyAlignment="1">
      <alignment vertical="center"/>
    </xf>
    <xf numFmtId="43" fontId="10" fillId="0" borderId="0" xfId="1" applyFont="1" applyAlignment="1">
      <alignment vertical="center"/>
    </xf>
    <xf numFmtId="14" fontId="10" fillId="0" borderId="0" xfId="0" applyNumberFormat="1" applyFont="1" applyAlignment="1">
      <alignment vertical="center"/>
    </xf>
    <xf numFmtId="0" fontId="10" fillId="0" borderId="0" xfId="1" applyNumberFormat="1" applyFont="1" applyAlignment="1">
      <alignment vertical="center"/>
    </xf>
    <xf numFmtId="0" fontId="10" fillId="0" borderId="0" xfId="1" applyNumberFormat="1" applyFont="1" applyAlignment="1">
      <alignment vertical="center" wrapText="1"/>
    </xf>
    <xf numFmtId="0" fontId="10" fillId="0" borderId="0" xfId="0" applyFont="1" applyAlignment="1">
      <alignment vertical="center" wrapText="1"/>
    </xf>
    <xf numFmtId="49" fontId="10" fillId="0" borderId="0" xfId="2" applyNumberFormat="1" applyFont="1" applyAlignment="1">
      <alignment horizontal="left" vertical="center"/>
    </xf>
    <xf numFmtId="164" fontId="2" fillId="0" borderId="0" xfId="1" applyNumberFormat="1" applyFont="1" applyAlignment="1">
      <alignment vertical="center" wrapText="1"/>
    </xf>
    <xf numFmtId="164" fontId="14" fillId="0" borderId="0" xfId="1" applyNumberFormat="1" applyFont="1" applyAlignment="1">
      <alignment horizontal="center" vertical="center"/>
    </xf>
    <xf numFmtId="164" fontId="9" fillId="2" borderId="1" xfId="1" applyNumberFormat="1" applyFont="1" applyFill="1" applyBorder="1" applyAlignment="1">
      <alignment horizontal="center" vertical="center" wrapText="1"/>
    </xf>
    <xf numFmtId="167" fontId="9" fillId="2"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164" fontId="9" fillId="2" borderId="3" xfId="1" applyNumberFormat="1" applyFont="1" applyFill="1" applyBorder="1" applyAlignment="1">
      <alignment horizontal="center" vertical="center" wrapText="1"/>
    </xf>
    <xf numFmtId="167" fontId="10" fillId="2" borderId="1" xfId="2" applyNumberFormat="1" applyFont="1" applyFill="1" applyBorder="1" applyAlignment="1">
      <alignment horizontal="center" vertical="center" wrapText="1"/>
    </xf>
    <xf numFmtId="164" fontId="9" fillId="2" borderId="1" xfId="1" applyNumberFormat="1" applyFont="1" applyFill="1" applyBorder="1" applyAlignment="1">
      <alignment vertical="center" wrapText="1"/>
    </xf>
    <xf numFmtId="0" fontId="8" fillId="4" borderId="1" xfId="0" applyFont="1" applyFill="1" applyBorder="1" applyAlignment="1">
      <alignment horizontal="center" vertical="center" shrinkToFit="1"/>
    </xf>
    <xf numFmtId="0" fontId="8" fillId="4" borderId="1" xfId="0" applyFont="1" applyFill="1" applyBorder="1" applyAlignment="1">
      <alignment horizontal="left" vertical="center" shrinkToFit="1"/>
    </xf>
    <xf numFmtId="164" fontId="8" fillId="4" borderId="1" xfId="1" applyNumberFormat="1" applyFont="1" applyFill="1" applyBorder="1" applyAlignment="1">
      <alignment horizontal="center" vertical="center" shrinkToFit="1"/>
    </xf>
    <xf numFmtId="166" fontId="8" fillId="4" borderId="1" xfId="2" applyFont="1" applyFill="1" applyBorder="1" applyAlignment="1">
      <alignment horizontal="left" vertical="center" shrinkToFit="1"/>
    </xf>
    <xf numFmtId="164" fontId="8" fillId="4" borderId="1" xfId="1" applyNumberFormat="1" applyFont="1" applyFill="1" applyBorder="1" applyAlignment="1">
      <alignment horizontal="left" vertical="center" shrinkToFit="1"/>
    </xf>
    <xf numFmtId="9" fontId="8" fillId="4" borderId="1" xfId="3" applyFont="1" applyFill="1" applyBorder="1" applyAlignment="1">
      <alignment horizontal="center" vertical="center" shrinkToFit="1"/>
    </xf>
    <xf numFmtId="165" fontId="8" fillId="4" borderId="1" xfId="2" applyNumberFormat="1" applyFont="1" applyFill="1" applyBorder="1" applyAlignment="1">
      <alignment horizontal="center" vertical="center" shrinkToFit="1"/>
    </xf>
    <xf numFmtId="165" fontId="8" fillId="4" borderId="1" xfId="2" applyNumberFormat="1" applyFont="1" applyFill="1" applyBorder="1" applyAlignment="1">
      <alignment horizontal="left" vertical="center" shrinkToFit="1"/>
    </xf>
    <xf numFmtId="164" fontId="8" fillId="4" borderId="1" xfId="1" applyNumberFormat="1" applyFont="1" applyFill="1" applyBorder="1" applyAlignment="1">
      <alignment vertical="center" shrinkToFit="1"/>
    </xf>
    <xf numFmtId="164" fontId="8" fillId="4" borderId="1" xfId="1" quotePrefix="1" applyNumberFormat="1" applyFont="1" applyFill="1" applyBorder="1" applyAlignment="1">
      <alignment horizontal="left" vertical="center" shrinkToFit="1"/>
    </xf>
    <xf numFmtId="164" fontId="8" fillId="4" borderId="1" xfId="1" quotePrefix="1" applyNumberFormat="1" applyFont="1" applyFill="1" applyBorder="1" applyAlignment="1">
      <alignment horizontal="center" vertical="center" shrinkToFit="1"/>
    </xf>
    <xf numFmtId="43" fontId="8" fillId="4" borderId="1" xfId="1" applyFont="1" applyFill="1" applyBorder="1" applyAlignment="1">
      <alignment horizontal="left" vertical="center" shrinkToFit="1"/>
    </xf>
    <xf numFmtId="164" fontId="8" fillId="4" borderId="1" xfId="1" applyNumberFormat="1" applyFont="1" applyFill="1" applyBorder="1" applyAlignment="1">
      <alignment horizontal="right" vertical="center" shrinkToFit="1"/>
    </xf>
    <xf numFmtId="166" fontId="8" fillId="4" borderId="1" xfId="2" applyFont="1" applyFill="1" applyBorder="1" applyAlignment="1">
      <alignment horizontal="center" vertical="center" shrinkToFit="1"/>
    </xf>
    <xf numFmtId="43" fontId="8" fillId="4" borderId="1" xfId="1" applyFont="1" applyFill="1" applyBorder="1" applyAlignment="1">
      <alignment vertical="center" shrinkToFit="1"/>
    </xf>
    <xf numFmtId="43" fontId="8" fillId="4" borderId="1" xfId="1" applyFont="1" applyFill="1" applyBorder="1" applyAlignment="1">
      <alignment horizontal="center" vertical="center" shrinkToFit="1"/>
    </xf>
    <xf numFmtId="43" fontId="8" fillId="4" borderId="1" xfId="2" applyNumberFormat="1" applyFont="1" applyFill="1" applyBorder="1" applyAlignment="1">
      <alignment horizontal="center" vertical="center" shrinkToFit="1"/>
    </xf>
    <xf numFmtId="164" fontId="8" fillId="4" borderId="1" xfId="2" applyNumberFormat="1" applyFont="1" applyFill="1" applyBorder="1" applyAlignment="1">
      <alignment horizontal="center" vertical="center" shrinkToFit="1"/>
    </xf>
    <xf numFmtId="43" fontId="8" fillId="4" borderId="1" xfId="2" applyNumberFormat="1" applyFont="1" applyFill="1" applyBorder="1" applyAlignment="1">
      <alignment vertical="center" shrinkToFit="1"/>
    </xf>
    <xf numFmtId="164" fontId="8" fillId="4" borderId="1" xfId="2" applyNumberFormat="1" applyFont="1" applyFill="1" applyBorder="1" applyAlignment="1">
      <alignment vertical="center" shrinkToFit="1"/>
    </xf>
    <xf numFmtId="165" fontId="8" fillId="4" borderId="1" xfId="2" applyNumberFormat="1" applyFont="1" applyFill="1" applyBorder="1" applyAlignment="1">
      <alignment vertical="center" shrinkToFit="1"/>
    </xf>
    <xf numFmtId="166" fontId="8" fillId="4" borderId="1" xfId="2" applyFont="1" applyFill="1" applyBorder="1" applyAlignment="1">
      <alignment vertical="center" shrinkToFit="1"/>
    </xf>
    <xf numFmtId="14" fontId="8" fillId="4" borderId="1" xfId="0" applyNumberFormat="1" applyFont="1" applyFill="1" applyBorder="1" applyAlignment="1">
      <alignment vertical="center" shrinkToFit="1"/>
    </xf>
    <xf numFmtId="0" fontId="8" fillId="4" borderId="3" xfId="0" applyFont="1" applyFill="1" applyBorder="1" applyAlignment="1">
      <alignment vertical="center" shrinkToFit="1"/>
    </xf>
    <xf numFmtId="164" fontId="8" fillId="4" borderId="1" xfId="0" applyNumberFormat="1" applyFont="1" applyFill="1" applyBorder="1" applyAlignment="1">
      <alignment vertical="center" shrinkToFit="1"/>
    </xf>
    <xf numFmtId="169" fontId="8" fillId="4" borderId="1" xfId="1" applyNumberFormat="1" applyFont="1" applyFill="1" applyBorder="1" applyAlignment="1">
      <alignment horizontal="center" vertical="center" shrinkToFit="1"/>
    </xf>
    <xf numFmtId="164" fontId="7" fillId="4" borderId="1" xfId="1" applyNumberFormat="1" applyFont="1" applyFill="1" applyBorder="1" applyAlignment="1">
      <alignment horizontal="center" vertical="center" shrinkToFit="1"/>
    </xf>
    <xf numFmtId="0" fontId="8" fillId="4" borderId="2" xfId="1" applyNumberFormat="1" applyFont="1" applyFill="1" applyBorder="1" applyAlignment="1">
      <alignment vertical="center" shrinkToFit="1"/>
    </xf>
    <xf numFmtId="14" fontId="8" fillId="4" borderId="1" xfId="1" applyNumberFormat="1" applyFont="1" applyFill="1" applyBorder="1" applyAlignment="1">
      <alignment horizontal="center" vertical="center" shrinkToFit="1"/>
    </xf>
    <xf numFmtId="49" fontId="8" fillId="4" borderId="1" xfId="2" quotePrefix="1" applyNumberFormat="1" applyFont="1" applyFill="1" applyBorder="1" applyAlignment="1">
      <alignment vertical="center"/>
    </xf>
    <xf numFmtId="164" fontId="15" fillId="2" borderId="0" xfId="1" applyNumberFormat="1" applyFont="1" applyFill="1" applyAlignment="1">
      <alignment horizontal="left" vertical="center" wrapText="1"/>
    </xf>
    <xf numFmtId="49" fontId="16" fillId="0" borderId="1" xfId="1" applyNumberFormat="1" applyFont="1" applyBorder="1" applyAlignment="1">
      <alignment horizontal="center" vertical="center" wrapText="1"/>
    </xf>
    <xf numFmtId="164" fontId="16" fillId="0" borderId="1" xfId="1" applyNumberFormat="1" applyFont="1" applyBorder="1" applyAlignment="1">
      <alignment horizontal="center" vertical="center" wrapText="1"/>
    </xf>
    <xf numFmtId="0" fontId="13" fillId="2" borderId="5" xfId="0" applyFont="1" applyFill="1" applyBorder="1"/>
    <xf numFmtId="0" fontId="9" fillId="2" borderId="1" xfId="1" applyNumberFormat="1" applyFont="1" applyFill="1" applyBorder="1" applyAlignment="1">
      <alignment horizontal="center" vertical="center" wrapText="1"/>
    </xf>
    <xf numFmtId="164" fontId="9" fillId="2" borderId="1" xfId="1"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13" fillId="2" borderId="6" xfId="0" applyFont="1" applyFill="1" applyBorder="1"/>
    <xf numFmtId="0" fontId="13" fillId="2" borderId="2" xfId="0" applyFont="1" applyFill="1" applyBorder="1"/>
    <xf numFmtId="164" fontId="17" fillId="2" borderId="1" xfId="1" applyNumberFormat="1" applyFont="1" applyFill="1" applyBorder="1" applyAlignment="1">
      <alignment horizontal="center" vertical="center" wrapText="1"/>
    </xf>
    <xf numFmtId="0" fontId="18" fillId="2" borderId="5" xfId="0" applyFont="1" applyFill="1" applyBorder="1"/>
    <xf numFmtId="1" fontId="9" fillId="2" borderId="1" xfId="1" applyNumberFormat="1" applyFont="1" applyFill="1" applyBorder="1" applyAlignment="1">
      <alignment horizontal="center" vertical="center" wrapText="1"/>
    </xf>
    <xf numFmtId="9" fontId="9" fillId="2" borderId="1" xfId="3" applyFont="1" applyFill="1" applyBorder="1" applyAlignment="1">
      <alignment horizontal="center" vertical="center" wrapText="1"/>
    </xf>
    <xf numFmtId="0" fontId="17" fillId="2" borderId="1" xfId="1" applyNumberFormat="1" applyFont="1" applyFill="1" applyBorder="1" applyAlignment="1">
      <alignment horizontal="center" vertical="center" wrapText="1"/>
    </xf>
    <xf numFmtId="0" fontId="13" fillId="2" borderId="4" xfId="0" applyFont="1" applyFill="1" applyBorder="1"/>
    <xf numFmtId="167" fontId="9" fillId="3" borderId="1" xfId="2" applyNumberFormat="1" applyFont="1" applyFill="1" applyBorder="1" applyAlignment="1">
      <alignment horizontal="center" vertical="center" wrapText="1"/>
    </xf>
    <xf numFmtId="0" fontId="13" fillId="3" borderId="6" xfId="0" applyFont="1" applyFill="1" applyBorder="1"/>
    <xf numFmtId="0" fontId="13" fillId="3" borderId="2" xfId="0" applyFont="1" applyFill="1" applyBorder="1"/>
    <xf numFmtId="0" fontId="18" fillId="2" borderId="4" xfId="0" applyFont="1" applyFill="1" applyBorder="1"/>
    <xf numFmtId="167" fontId="9" fillId="2" borderId="1" xfId="2" applyNumberFormat="1" applyFont="1" applyFill="1" applyBorder="1" applyAlignment="1">
      <alignment horizontal="center" vertical="center" wrapText="1"/>
    </xf>
    <xf numFmtId="164" fontId="9" fillId="3" borderId="1" xfId="1" applyNumberFormat="1" applyFont="1" applyFill="1" applyBorder="1" applyAlignment="1">
      <alignment horizontal="center" vertical="center" wrapText="1"/>
    </xf>
    <xf numFmtId="164" fontId="19" fillId="2" borderId="1" xfId="1" applyNumberFormat="1" applyFont="1" applyFill="1" applyBorder="1" applyAlignment="1">
      <alignment horizontal="center" vertical="center" wrapText="1"/>
    </xf>
    <xf numFmtId="0" fontId="3" fillId="2" borderId="4" xfId="0" applyFont="1" applyFill="1" applyBorder="1"/>
    <xf numFmtId="0" fontId="3" fillId="2" borderId="5" xfId="0" applyFont="1" applyFill="1" applyBorder="1"/>
    <xf numFmtId="1" fontId="9" fillId="3" borderId="1" xfId="1" applyNumberFormat="1" applyFont="1" applyFill="1" applyBorder="1" applyAlignment="1">
      <alignment horizontal="center" vertical="center"/>
    </xf>
    <xf numFmtId="0" fontId="5" fillId="0" borderId="0" xfId="4" applyFont="1" applyAlignment="1">
      <alignment horizontal="center" vertical="center"/>
    </xf>
    <xf numFmtId="43" fontId="9" fillId="2" borderId="1" xfId="1" applyFont="1" applyFill="1" applyBorder="1" applyAlignment="1">
      <alignment horizontal="center" vertical="center"/>
    </xf>
    <xf numFmtId="43" fontId="9" fillId="2" borderId="1" xfId="1" applyFont="1" applyFill="1" applyBorder="1" applyAlignment="1">
      <alignment horizontal="center" vertical="center" wrapText="1"/>
    </xf>
    <xf numFmtId="166" fontId="9" fillId="2" borderId="1" xfId="2"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17" fillId="2" borderId="9" xfId="1" applyNumberFormat="1" applyFont="1" applyFill="1" applyBorder="1" applyAlignment="1">
      <alignment horizontal="center" vertical="center" wrapText="1"/>
    </xf>
    <xf numFmtId="164" fontId="17" fillId="2" borderId="5" xfId="1" applyNumberFormat="1" applyFont="1" applyFill="1" applyBorder="1" applyAlignment="1">
      <alignment horizontal="center" vertical="center" wrapText="1"/>
    </xf>
    <xf numFmtId="43" fontId="9" fillId="3" borderId="1" xfId="1" applyFont="1" applyFill="1" applyBorder="1" applyAlignment="1">
      <alignment horizontal="center" vertical="center"/>
    </xf>
    <xf numFmtId="165" fontId="17" fillId="2" borderId="1" xfId="2"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43" fontId="17" fillId="2" borderId="1" xfId="1"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5" xfId="0" applyFont="1" applyFill="1" applyBorder="1" applyAlignment="1">
      <alignment horizontal="center" vertical="center" wrapText="1"/>
    </xf>
    <xf numFmtId="49" fontId="9" fillId="2" borderId="9" xfId="2" applyNumberFormat="1" applyFont="1" applyFill="1" applyBorder="1" applyAlignment="1">
      <alignment horizontal="center" vertical="center" wrapText="1"/>
    </xf>
    <xf numFmtId="49" fontId="9" fillId="2" borderId="5" xfId="2" applyNumberFormat="1" applyFont="1" applyFill="1" applyBorder="1" applyAlignment="1">
      <alignment horizontal="center" vertical="center" wrapText="1"/>
    </xf>
    <xf numFmtId="0" fontId="9" fillId="2" borderId="9" xfId="1" applyNumberFormat="1" applyFont="1" applyFill="1" applyBorder="1" applyAlignment="1">
      <alignment horizontal="center" vertical="center" wrapText="1"/>
    </xf>
    <xf numFmtId="0" fontId="9" fillId="2" borderId="5" xfId="1" applyNumberFormat="1" applyFont="1" applyFill="1" applyBorder="1" applyAlignment="1">
      <alignment horizontal="center" vertical="center" wrapText="1"/>
    </xf>
    <xf numFmtId="0" fontId="9" fillId="2" borderId="9" xfId="2" applyNumberFormat="1" applyFont="1" applyFill="1" applyBorder="1" applyAlignment="1">
      <alignment horizontal="center" vertical="center" wrapText="1"/>
    </xf>
    <xf numFmtId="0" fontId="9" fillId="2" borderId="5" xfId="2" applyNumberFormat="1" applyFont="1" applyFill="1" applyBorder="1" applyAlignment="1">
      <alignment horizontal="center" vertical="center" wrapText="1"/>
    </xf>
    <xf numFmtId="14" fontId="9" fillId="2" borderId="9" xfId="2" applyNumberFormat="1" applyFont="1" applyFill="1" applyBorder="1" applyAlignment="1">
      <alignment horizontal="center" vertical="center" wrapText="1"/>
    </xf>
    <xf numFmtId="14" fontId="9" fillId="2" borderId="5" xfId="2" applyNumberFormat="1" applyFont="1" applyFill="1" applyBorder="1" applyAlignment="1">
      <alignment horizontal="center" vertical="center" wrapText="1"/>
    </xf>
    <xf numFmtId="0" fontId="9" fillId="3" borderId="3" xfId="1" applyNumberFormat="1" applyFont="1" applyFill="1" applyBorder="1" applyAlignment="1">
      <alignment horizontal="center" vertical="center" wrapText="1"/>
    </xf>
    <xf numFmtId="0" fontId="9" fillId="3" borderId="6" xfId="1" applyNumberFormat="1"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8" xfId="0" applyFont="1" applyFill="1" applyBorder="1" applyAlignment="1">
      <alignment horizontal="center" vertical="center" wrapTex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EV18"/>
  <sheetViews>
    <sheetView tabSelected="1" zoomScale="70" zoomScaleNormal="70" zoomScaleSheetLayoutView="40" workbookViewId="0">
      <pane xSplit="3" ySplit="8" topLeftCell="EP9" activePane="bottomRight" state="frozen"/>
      <selection pane="topRight" activeCell="D1" sqref="D1"/>
      <selection pane="bottomLeft" activeCell="A11" sqref="A11"/>
      <selection pane="bottomRight" activeCell="EQ18" sqref="EQ18"/>
    </sheetView>
  </sheetViews>
  <sheetFormatPr baseColWidth="10" defaultColWidth="9.1640625" defaultRowHeight="25" outlineLevelRow="1" outlineLevelCol="2"/>
  <cols>
    <col min="1" max="2" width="17.83203125" style="41" customWidth="1"/>
    <col min="3" max="3" width="49.83203125" style="77" bestFit="1" customWidth="1"/>
    <col min="4" max="4" width="23.5" style="78" customWidth="1" outlineLevel="1"/>
    <col min="5" max="5" width="21.83203125" style="78" customWidth="1" outlineLevel="1"/>
    <col min="6" max="6" width="22.83203125" style="78" customWidth="1"/>
    <col min="7" max="7" width="19.33203125" style="78" customWidth="1"/>
    <col min="8" max="8" width="25.33203125" style="78" customWidth="1" outlineLevel="1"/>
    <col min="9" max="9" width="19.33203125" style="78" customWidth="1" outlineLevel="1"/>
    <col min="10" max="10" width="20.5" style="79" customWidth="1"/>
    <col min="11" max="11" width="23.5" style="79" customWidth="1"/>
    <col min="12" max="12" width="15.6640625" style="79" customWidth="1" outlineLevel="1"/>
    <col min="13" max="15" width="15.83203125" style="80" customWidth="1"/>
    <col min="16" max="16" width="15.83203125" style="81" customWidth="1"/>
    <col min="17" max="17" width="19.83203125" style="81" customWidth="1"/>
    <col min="18" max="18" width="19.5" style="81" customWidth="1" outlineLevel="1"/>
    <col min="19" max="19" width="15.5" style="81" customWidth="1" outlineLevel="1"/>
    <col min="20" max="20" width="35.5" style="81" customWidth="1"/>
    <col min="21" max="22" width="13.83203125" style="81" customWidth="1" outlineLevel="1"/>
    <col min="23" max="23" width="15.83203125" style="81" customWidth="1" outlineLevel="1"/>
    <col min="24" max="25" width="14.83203125" style="80" customWidth="1"/>
    <col min="26" max="28" width="15.83203125" style="80" customWidth="1" outlineLevel="1"/>
    <col min="29" max="29" width="18.83203125" style="80" customWidth="1"/>
    <col min="30" max="30" width="15.83203125" style="80" customWidth="1" outlineLevel="1"/>
    <col min="31" max="31" width="15.83203125" style="80" customWidth="1"/>
    <col min="32" max="34" width="24.1640625" style="78" customWidth="1"/>
    <col min="35" max="35" width="19.5" style="41" customWidth="1"/>
    <col min="36" max="36" width="19.1640625" style="41" customWidth="1" outlineLevel="1"/>
    <col min="37" max="37" width="19.5" style="78" customWidth="1"/>
    <col min="38" max="39" width="19.5" style="78" customWidth="1" outlineLevel="1"/>
    <col min="40" max="40" width="23.5" style="78" customWidth="1"/>
    <col min="41" max="41" width="24.6640625" style="78" customWidth="1" outlineLevel="1"/>
    <col min="42" max="42" width="21.1640625" style="78" customWidth="1" outlineLevel="1"/>
    <col min="43" max="43" width="19.5" style="78" customWidth="1" outlineLevel="1"/>
    <col min="44" max="44" width="19.5" style="78" customWidth="1"/>
    <col min="45" max="45" width="19.1640625" style="78" customWidth="1"/>
    <col min="46" max="46" width="30.1640625" style="78" customWidth="1"/>
    <col min="47" max="50" width="18.1640625" style="78" customWidth="1"/>
    <col min="51" max="51" width="16.1640625" style="78" customWidth="1" outlineLevel="1"/>
    <col min="52" max="52" width="17.1640625" style="78" customWidth="1"/>
    <col min="53" max="53" width="19.1640625" style="78" customWidth="1" outlineLevel="1"/>
    <col min="54" max="54" width="19.5" style="78" customWidth="1"/>
    <col min="55" max="55" width="19.83203125" style="78" customWidth="1" outlineLevel="1"/>
    <col min="56" max="56" width="19.1640625" style="78" customWidth="1" outlineLevel="1"/>
    <col min="57" max="57" width="21.5" style="78" customWidth="1" outlineLevel="1"/>
    <col min="58" max="58" width="19.83203125" style="78" customWidth="1" outlineLevel="1"/>
    <col min="59" max="60" width="19.1640625" style="78" customWidth="1" outlineLevel="1"/>
    <col min="61" max="62" width="25.83203125" style="78" customWidth="1"/>
    <col min="63" max="63" width="26.83203125" style="78" customWidth="1"/>
    <col min="64" max="64" width="23.5" style="78" customWidth="1"/>
    <col min="65" max="68" width="19.83203125" style="78" customWidth="1" outlineLevel="1"/>
    <col min="69" max="69" width="19.5" style="78" customWidth="1"/>
    <col min="70" max="70" width="20.5" style="41" customWidth="1" outlineLevel="1"/>
    <col min="71" max="71" width="22.6640625" style="82" customWidth="1"/>
    <col min="72" max="72" width="17.83203125" style="78" customWidth="1" outlineLevel="1"/>
    <col min="73" max="73" width="17.83203125" style="78" customWidth="1"/>
    <col min="74" max="74" width="21.5" style="78" customWidth="1"/>
    <col min="75" max="75" width="17.83203125" style="78" customWidth="1" outlineLevel="1"/>
    <col min="76" max="76" width="20.33203125" style="78" customWidth="1"/>
    <col min="77" max="82" width="17.83203125" style="78" customWidth="1" outlineLevel="1"/>
    <col min="83" max="83" width="24.1640625" style="41" customWidth="1"/>
    <col min="84" max="84" width="24.33203125" style="81" customWidth="1"/>
    <col min="85" max="85" width="20.83203125" style="41" customWidth="1" outlineLevel="1"/>
    <col min="86" max="86" width="19" style="41" customWidth="1" outlineLevel="1"/>
    <col min="87" max="88" width="19" style="83" customWidth="1" outlineLevel="1"/>
    <col min="89" max="89" width="24.1640625" style="78" customWidth="1" outlineLevel="1"/>
    <col min="90" max="90" width="16.6640625" style="78" customWidth="1" outlineLevel="1"/>
    <col min="91" max="91" width="20.5" style="78" customWidth="1" outlineLevel="1"/>
    <col min="92" max="92" width="17.5" style="84" customWidth="1" outlineLevel="1"/>
    <col min="93" max="93" width="18.5" style="78" customWidth="1" outlineLevel="1"/>
    <col min="94" max="94" width="19" style="85" customWidth="1" outlineLevel="1"/>
    <col min="95" max="95" width="26.1640625" style="41" customWidth="1" outlineLevel="1"/>
    <col min="96" max="96" width="22.33203125" style="86" customWidth="1" outlineLevel="1"/>
    <col min="97" max="97" width="24.1640625" style="41" customWidth="1" outlineLevel="1"/>
    <col min="98" max="98" width="23.83203125" style="41" customWidth="1" outlineLevel="1"/>
    <col min="99" max="99" width="24.1640625" style="42" customWidth="1" outlineLevel="1"/>
    <col min="100" max="104" width="24.83203125" style="41" customWidth="1" outlineLevel="1"/>
    <col min="105" max="105" width="24.1640625" style="41" customWidth="1" outlineLevel="1"/>
    <col min="106" max="106" width="18.83203125" style="41" customWidth="1" outlineLevel="1"/>
    <col min="107" max="110" width="18.83203125" style="87" customWidth="1" outlineLevel="1"/>
    <col min="111" max="114" width="18.83203125" style="81" customWidth="1" outlineLevel="1"/>
    <col min="115" max="118" width="18.83203125" style="88" customWidth="1" outlineLevel="1"/>
    <col min="119" max="119" width="23.5" style="43" customWidth="1" outlineLevel="1"/>
    <col min="120" max="121" width="18.83203125" style="78" customWidth="1" outlineLevel="1"/>
    <col min="122" max="122" width="24.5" style="78" customWidth="1" outlineLevel="1"/>
    <col min="123" max="123" width="15.5" style="90" customWidth="1" outlineLevel="1"/>
    <col min="124" max="124" width="15.5" style="79" customWidth="1" outlineLevel="1"/>
    <col min="125" max="131" width="22.5" style="78" customWidth="1" outlineLevel="1"/>
    <col min="132" max="132" width="58.5" style="79" customWidth="1" outlineLevel="1"/>
    <col min="133" max="133" width="24.1640625" style="41" customWidth="1" outlineLevel="1"/>
    <col min="134" max="134" width="17.5" style="78" customWidth="1" outlineLevel="1"/>
    <col min="135" max="135" width="25.33203125" style="78" customWidth="1" outlineLevel="2"/>
    <col min="136" max="137" width="16.6640625" style="86" customWidth="1" outlineLevel="2"/>
    <col min="138" max="138" width="16.6640625" style="88" customWidth="1" outlineLevel="2"/>
    <col min="139" max="139" width="26" style="78" customWidth="1" outlineLevel="2"/>
    <col min="140" max="140" width="24.5" style="89" customWidth="1" outlineLevel="2"/>
    <col min="141" max="141" width="18.5" style="91" customWidth="1" outlineLevel="1"/>
    <col min="142" max="143" width="18.5" style="85" customWidth="1" outlineLevel="1"/>
    <col min="144" max="144" width="18.5" style="78" customWidth="1" outlineLevel="1"/>
    <col min="145" max="145" width="83.5" style="92" bestFit="1" customWidth="1" outlineLevel="1"/>
    <col min="146" max="146" width="57.1640625" style="92" bestFit="1" customWidth="1" outlineLevel="1"/>
    <col min="147" max="147" width="67.6640625" style="92" bestFit="1" customWidth="1" outlineLevel="1"/>
    <col min="148" max="148" width="89.83203125" style="93" bestFit="1" customWidth="1" outlineLevel="1"/>
    <col min="149" max="149" width="73.5" style="91" customWidth="1" outlineLevel="1"/>
    <col min="150" max="150" width="30.5" style="94" customWidth="1" outlineLevel="1"/>
    <col min="151" max="151" width="17.1640625" style="79" customWidth="1"/>
    <col min="152" max="152" width="27.1640625" style="79" bestFit="1" customWidth="1"/>
    <col min="153" max="153" width="17.1640625" style="79" customWidth="1"/>
    <col min="154" max="154" width="9.1640625" style="79" customWidth="1"/>
    <col min="155" max="16384" width="9.1640625" style="79"/>
  </cols>
  <sheetData>
    <row r="1" spans="1:152" s="3" customFormat="1" ht="46" customHeight="1" outlineLevel="1">
      <c r="A1" s="1"/>
      <c r="B1" s="1"/>
      <c r="C1" s="2"/>
      <c r="G1" s="4"/>
      <c r="H1" s="4"/>
      <c r="I1" s="4"/>
      <c r="M1" s="5"/>
      <c r="N1" s="5"/>
      <c r="O1" s="5"/>
      <c r="P1" s="5"/>
      <c r="Q1" s="6"/>
      <c r="R1" s="6"/>
      <c r="S1" s="6"/>
      <c r="T1" s="5"/>
      <c r="U1" s="5"/>
      <c r="V1" s="5"/>
      <c r="W1" s="5"/>
      <c r="X1" s="5"/>
      <c r="Y1" s="5"/>
      <c r="Z1" s="5"/>
      <c r="AA1" s="5"/>
      <c r="AB1" s="5"/>
      <c r="AC1" s="5"/>
      <c r="AD1" s="5"/>
      <c r="AE1" s="5"/>
      <c r="AF1" s="4"/>
      <c r="AG1" s="4"/>
      <c r="AH1" s="4"/>
      <c r="AI1" s="1"/>
      <c r="AJ1" s="1"/>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1"/>
      <c r="BS1" s="7"/>
      <c r="BT1" s="4"/>
      <c r="BU1" s="4"/>
      <c r="BV1" s="4"/>
      <c r="BW1" s="4"/>
      <c r="BX1" s="4"/>
      <c r="BY1" s="4"/>
      <c r="BZ1" s="4"/>
      <c r="CA1" s="4"/>
      <c r="CB1" s="4"/>
      <c r="CC1" s="4"/>
      <c r="CD1" s="4"/>
      <c r="CE1" s="8"/>
      <c r="CF1" s="6" t="s">
        <v>0</v>
      </c>
      <c r="CG1" s="1"/>
      <c r="CH1" s="1"/>
      <c r="CI1" s="9"/>
      <c r="CJ1" s="9"/>
      <c r="CK1" s="4"/>
      <c r="CL1" s="4"/>
      <c r="CM1" s="4"/>
      <c r="CN1" s="9"/>
      <c r="CO1" s="4"/>
      <c r="CP1" s="4"/>
      <c r="CQ1" s="10"/>
      <c r="CR1" s="11"/>
      <c r="CS1" s="10"/>
      <c r="CT1" s="10"/>
      <c r="CU1" s="12"/>
      <c r="CV1" s="10"/>
      <c r="CW1" s="10"/>
      <c r="CX1" s="10"/>
      <c r="CY1" s="10"/>
      <c r="CZ1" s="10"/>
      <c r="DA1" s="10"/>
      <c r="DB1" s="10"/>
      <c r="DC1" s="13"/>
      <c r="DD1" s="13"/>
      <c r="DE1" s="13"/>
      <c r="DF1" s="13"/>
      <c r="DG1" s="14"/>
      <c r="DH1" s="14"/>
      <c r="DI1" s="14"/>
      <c r="DJ1" s="14"/>
      <c r="DK1" s="15"/>
      <c r="DL1" s="15"/>
      <c r="DM1" s="15"/>
      <c r="DN1" s="15"/>
      <c r="DO1" s="16"/>
      <c r="DP1" s="17"/>
      <c r="DQ1" s="17"/>
      <c r="DR1" s="17"/>
      <c r="DU1" s="17"/>
      <c r="DV1" s="17"/>
      <c r="DW1" s="17"/>
      <c r="DX1" s="17"/>
      <c r="DY1" s="17"/>
      <c r="DZ1" s="17"/>
      <c r="EA1" s="17"/>
      <c r="EC1" s="1"/>
      <c r="ED1" s="7"/>
      <c r="EE1" s="4"/>
      <c r="EF1" s="19"/>
      <c r="EG1" s="19"/>
      <c r="EH1" s="5"/>
      <c r="EI1" s="4"/>
      <c r="EJ1" s="18"/>
      <c r="EK1" s="20"/>
      <c r="EL1" s="21"/>
      <c r="EM1" s="21"/>
      <c r="EN1" s="17"/>
      <c r="EO1" s="22"/>
      <c r="EP1" s="22"/>
      <c r="EQ1" s="22"/>
      <c r="ER1" s="23"/>
      <c r="ES1" s="17"/>
      <c r="ET1" s="24"/>
    </row>
    <row r="2" spans="1:152" s="3" customFormat="1" ht="46" customHeight="1" outlineLevel="1">
      <c r="A2" s="1"/>
      <c r="B2" s="1"/>
      <c r="C2" s="25"/>
      <c r="G2" s="4"/>
      <c r="H2" s="4"/>
      <c r="I2" s="4"/>
      <c r="M2" s="5"/>
      <c r="N2" s="5"/>
      <c r="O2" s="5"/>
      <c r="P2" s="5"/>
      <c r="Q2" s="6"/>
      <c r="R2" s="6"/>
      <c r="S2" s="6"/>
      <c r="T2" s="5"/>
      <c r="U2" s="5"/>
      <c r="V2" s="5"/>
      <c r="W2" s="5"/>
      <c r="X2" s="5"/>
      <c r="Y2" s="5"/>
      <c r="Z2" s="5"/>
      <c r="AA2" s="5"/>
      <c r="AB2" s="5"/>
      <c r="AC2" s="5"/>
      <c r="AD2" s="5"/>
      <c r="AE2" s="5"/>
      <c r="AF2" s="4"/>
      <c r="AG2" s="4"/>
      <c r="AH2" s="4"/>
      <c r="AI2" s="1"/>
      <c r="AJ2" s="1"/>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1"/>
      <c r="BS2" s="7"/>
      <c r="BT2" s="4"/>
      <c r="BU2" s="4"/>
      <c r="BV2" s="26"/>
      <c r="BW2" s="4"/>
      <c r="BX2" s="4"/>
      <c r="BY2" s="4"/>
      <c r="BZ2" s="4"/>
      <c r="CA2" s="4"/>
      <c r="CB2" s="4"/>
      <c r="CC2" s="4"/>
      <c r="CD2" s="4"/>
      <c r="CE2" s="1"/>
      <c r="CF2" s="6"/>
      <c r="CG2" s="1"/>
      <c r="CH2" s="1"/>
      <c r="CI2" s="1"/>
      <c r="CJ2" s="4"/>
      <c r="CK2" s="4"/>
      <c r="CL2" s="4"/>
      <c r="CM2" s="4"/>
      <c r="CN2" s="4"/>
      <c r="CO2" s="4"/>
      <c r="CP2" s="4"/>
      <c r="CQ2" s="10"/>
      <c r="CR2" s="10"/>
      <c r="CS2" s="10"/>
      <c r="CT2" s="10"/>
      <c r="CU2" s="12"/>
      <c r="CV2" s="10"/>
      <c r="CW2" s="10"/>
      <c r="CX2" s="10"/>
      <c r="CY2" s="10"/>
      <c r="CZ2" s="10"/>
      <c r="DA2" s="10"/>
      <c r="DB2" s="10"/>
      <c r="DC2" s="13"/>
      <c r="DD2" s="13"/>
      <c r="DE2" s="13"/>
      <c r="DF2" s="13"/>
      <c r="DG2" s="14"/>
      <c r="DH2" s="14"/>
      <c r="DI2" s="14"/>
      <c r="DJ2" s="14"/>
      <c r="DK2" s="15"/>
      <c r="DL2" s="15"/>
      <c r="DM2" s="15"/>
      <c r="DN2" s="15"/>
      <c r="DO2" s="16"/>
      <c r="DP2" s="17"/>
      <c r="DQ2" s="17"/>
      <c r="DR2" s="17"/>
      <c r="DU2" s="17"/>
      <c r="DV2" s="17"/>
      <c r="DW2" s="17"/>
      <c r="DX2" s="17"/>
      <c r="DY2" s="17"/>
      <c r="DZ2" s="17"/>
      <c r="EA2" s="17"/>
      <c r="EC2" s="1"/>
      <c r="ED2" s="4"/>
      <c r="EE2" s="4"/>
      <c r="EF2" s="4"/>
      <c r="EG2" s="4"/>
      <c r="EH2" s="5"/>
      <c r="EI2" s="4"/>
      <c r="EJ2" s="27"/>
      <c r="EK2" s="20"/>
      <c r="EL2" s="21"/>
      <c r="EM2" s="21"/>
      <c r="EN2" s="17"/>
      <c r="EO2" s="22"/>
      <c r="EP2" s="22"/>
      <c r="EQ2" s="22"/>
      <c r="ER2" s="23"/>
      <c r="ES2" s="17"/>
      <c r="ET2" s="24"/>
    </row>
    <row r="3" spans="1:152" s="8" customFormat="1" ht="26.5" customHeight="1" outlineLevel="1">
      <c r="A3" s="29"/>
      <c r="B3" s="29"/>
      <c r="C3" s="4"/>
      <c r="D3" s="29"/>
      <c r="E3" s="29"/>
      <c r="F3" s="29"/>
      <c r="G3" s="29"/>
      <c r="H3" s="29"/>
      <c r="I3" s="29"/>
      <c r="M3" s="5"/>
      <c r="N3" s="5"/>
      <c r="O3" s="5"/>
      <c r="P3" s="5"/>
      <c r="Q3" s="6"/>
      <c r="R3" s="6"/>
      <c r="S3" s="6"/>
      <c r="T3" s="5"/>
      <c r="U3" s="5"/>
      <c r="V3" s="5"/>
      <c r="W3" s="5"/>
      <c r="X3" s="5"/>
      <c r="Y3" s="5"/>
      <c r="Z3" s="5"/>
      <c r="AA3" s="5"/>
      <c r="AB3" s="5"/>
      <c r="AC3" s="5"/>
      <c r="AD3" s="5"/>
      <c r="AE3" s="5"/>
      <c r="AF3" s="29"/>
      <c r="AG3" s="29"/>
      <c r="AH3" s="29"/>
      <c r="AI3" s="28"/>
      <c r="AJ3" s="28"/>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30"/>
      <c r="BK3" s="29"/>
      <c r="BL3" s="29"/>
      <c r="BM3" s="29"/>
      <c r="BN3" s="29"/>
      <c r="BO3" s="29"/>
      <c r="BP3" s="29"/>
      <c r="BQ3" s="29"/>
      <c r="BR3" s="28"/>
      <c r="BS3" s="31"/>
      <c r="BT3" s="29"/>
      <c r="BU3" s="29"/>
      <c r="BV3" s="29"/>
      <c r="BW3" s="29"/>
      <c r="BX3" s="29"/>
      <c r="BY3" s="29"/>
      <c r="BZ3" s="29"/>
      <c r="CA3" s="29"/>
      <c r="CB3" s="29"/>
      <c r="CC3" s="29"/>
      <c r="CD3" s="29"/>
      <c r="CE3" s="28"/>
      <c r="CF3" s="6"/>
      <c r="CG3" s="28"/>
      <c r="CH3" s="28"/>
      <c r="CI3" s="29"/>
      <c r="CJ3" s="29"/>
      <c r="CK3" s="29"/>
      <c r="CL3" s="29"/>
      <c r="CM3" s="29"/>
      <c r="CN3" s="29"/>
      <c r="CO3" s="29"/>
      <c r="CP3" s="29"/>
      <c r="CQ3" s="10"/>
      <c r="CR3" s="10"/>
      <c r="CS3" s="10"/>
      <c r="CT3" s="1"/>
      <c r="CU3" s="12"/>
      <c r="CV3" s="1"/>
      <c r="CW3" s="10"/>
      <c r="CX3" s="1"/>
      <c r="CY3" s="10"/>
      <c r="CZ3" s="10"/>
      <c r="DA3" s="10"/>
      <c r="DB3" s="10"/>
      <c r="DC3" s="13"/>
      <c r="DD3" s="13"/>
      <c r="DE3" s="13"/>
      <c r="DF3" s="13"/>
      <c r="DG3" s="14"/>
      <c r="DH3" s="14"/>
      <c r="DI3" s="14"/>
      <c r="DJ3" s="14"/>
      <c r="DK3" s="14"/>
      <c r="DL3" s="14"/>
      <c r="DM3" s="14"/>
      <c r="DN3" s="14"/>
      <c r="DO3" s="12"/>
      <c r="DP3" s="10"/>
      <c r="DQ3" s="10"/>
      <c r="DR3" s="10"/>
      <c r="EC3" s="28"/>
      <c r="ED3" s="29"/>
      <c r="EE3" s="159"/>
      <c r="EF3" s="159"/>
      <c r="EG3" s="159"/>
      <c r="EH3" s="159"/>
      <c r="EI3" s="159"/>
      <c r="EJ3" s="159"/>
      <c r="EL3" s="32"/>
      <c r="EM3" s="32"/>
      <c r="EO3" s="33"/>
      <c r="EP3" s="33"/>
      <c r="EQ3" s="33"/>
      <c r="ER3" s="33"/>
      <c r="ET3" s="24"/>
    </row>
    <row r="4" spans="1:152" s="8" customFormat="1" ht="26.5" customHeight="1" outlineLevel="1">
      <c r="A4" s="29"/>
      <c r="B4" s="29"/>
      <c r="C4" s="4"/>
      <c r="D4" s="29"/>
      <c r="E4" s="29"/>
      <c r="F4" s="29"/>
      <c r="G4" s="29"/>
      <c r="H4" s="29"/>
      <c r="I4" s="29"/>
      <c r="K4" s="34"/>
      <c r="M4" s="5"/>
      <c r="N4" s="5"/>
      <c r="O4" s="5"/>
      <c r="P4" s="5"/>
      <c r="Q4" s="6"/>
      <c r="R4" s="6"/>
      <c r="S4" s="6"/>
      <c r="T4" s="5"/>
      <c r="U4" s="5"/>
      <c r="V4" s="5"/>
      <c r="W4" s="5"/>
      <c r="X4" s="5"/>
      <c r="Y4" s="5"/>
      <c r="Z4" s="5"/>
      <c r="AA4" s="5"/>
      <c r="AB4" s="5"/>
      <c r="AC4" s="5"/>
      <c r="AD4" s="5"/>
      <c r="AE4" s="5"/>
      <c r="AF4" s="29"/>
      <c r="AG4" s="29"/>
      <c r="AH4" s="29"/>
      <c r="AI4" s="28"/>
      <c r="AJ4" s="28"/>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8"/>
      <c r="BS4" s="31"/>
      <c r="BT4" s="29"/>
      <c r="BU4" s="29"/>
      <c r="BV4" s="29"/>
      <c r="BW4" s="29"/>
      <c r="BX4" s="29"/>
      <c r="BY4" s="29"/>
      <c r="BZ4" s="29"/>
      <c r="CA4" s="29"/>
      <c r="CB4" s="29"/>
      <c r="CC4" s="29"/>
      <c r="CD4" s="29"/>
      <c r="CE4" s="28"/>
      <c r="CF4" s="6"/>
      <c r="CG4" s="28"/>
      <c r="CH4" s="28"/>
      <c r="CI4" s="29"/>
      <c r="CJ4" s="29"/>
      <c r="CK4" s="29"/>
      <c r="CL4" s="29"/>
      <c r="CM4" s="29"/>
      <c r="CN4" s="29"/>
      <c r="CO4" s="29"/>
      <c r="CP4" s="29"/>
      <c r="CQ4" s="10"/>
      <c r="CR4" s="10"/>
      <c r="CS4" s="10"/>
      <c r="CT4" s="1"/>
      <c r="CU4" s="12"/>
      <c r="CV4" s="1"/>
      <c r="CW4" s="10"/>
      <c r="CX4" s="1"/>
      <c r="CY4" s="10"/>
      <c r="CZ4" s="10"/>
      <c r="DA4" s="10"/>
      <c r="DB4" s="10"/>
      <c r="DC4" s="13"/>
      <c r="DD4" s="13"/>
      <c r="DE4" s="13"/>
      <c r="DF4" s="13"/>
      <c r="DG4" s="14"/>
      <c r="DH4" s="14"/>
      <c r="DI4" s="14"/>
      <c r="DJ4" s="14"/>
      <c r="DK4" s="14"/>
      <c r="DL4" s="14"/>
      <c r="DM4" s="14"/>
      <c r="DN4" s="14"/>
      <c r="DO4" s="12"/>
      <c r="DP4" s="10"/>
      <c r="DQ4" s="10"/>
      <c r="DR4" s="10"/>
      <c r="EC4" s="28"/>
      <c r="ED4" s="29"/>
      <c r="EE4" s="159"/>
      <c r="EF4" s="159"/>
      <c r="EG4" s="159"/>
      <c r="EH4" s="159"/>
      <c r="EI4" s="159"/>
      <c r="EJ4" s="159"/>
      <c r="EL4" s="32"/>
      <c r="EM4" s="32"/>
      <c r="EO4" s="33"/>
      <c r="EP4" s="33"/>
      <c r="EQ4" s="33"/>
      <c r="ER4" s="33"/>
      <c r="ET4" s="24"/>
    </row>
    <row r="5" spans="1:152" s="8" customFormat="1" ht="24" outlineLevel="1">
      <c r="D5" s="29"/>
      <c r="E5" s="29"/>
      <c r="F5" s="29"/>
      <c r="G5" s="29"/>
      <c r="H5" s="29"/>
      <c r="I5" s="29"/>
      <c r="K5" s="35"/>
      <c r="M5" s="5"/>
      <c r="N5" s="5"/>
      <c r="O5" s="5"/>
      <c r="P5" s="5"/>
      <c r="Q5" s="6"/>
      <c r="R5" s="6"/>
      <c r="S5" s="6"/>
      <c r="T5" s="5"/>
      <c r="U5" s="5"/>
      <c r="V5" s="5"/>
      <c r="W5" s="5"/>
      <c r="X5" s="5"/>
      <c r="Y5" s="5"/>
      <c r="Z5" s="5"/>
      <c r="AA5" s="5"/>
      <c r="AB5" s="5"/>
      <c r="AC5" s="5"/>
      <c r="AD5" s="5"/>
      <c r="AE5" s="5"/>
      <c r="AF5" s="36"/>
      <c r="AG5" s="29"/>
      <c r="AH5" s="29"/>
      <c r="AI5" s="28"/>
      <c r="AJ5" s="28"/>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8"/>
      <c r="BS5" s="31"/>
      <c r="BT5" s="29"/>
      <c r="BU5" s="29"/>
      <c r="BV5" s="29"/>
      <c r="BW5" s="29"/>
      <c r="BX5" s="29"/>
      <c r="BY5" s="29"/>
      <c r="BZ5" s="29"/>
      <c r="CA5" s="29"/>
      <c r="CB5" s="29"/>
      <c r="CC5" s="29"/>
      <c r="CD5" s="29"/>
      <c r="CE5" s="28"/>
      <c r="CF5" s="6"/>
      <c r="CG5" s="10"/>
      <c r="CH5" s="10"/>
      <c r="CI5" s="37"/>
      <c r="CJ5" s="38"/>
      <c r="CK5" s="29"/>
      <c r="CL5" s="29"/>
      <c r="CM5" s="29"/>
      <c r="CN5" s="39"/>
      <c r="CO5" s="10"/>
      <c r="CP5" s="1"/>
      <c r="CQ5" s="10"/>
      <c r="CR5" s="11"/>
      <c r="CT5" s="10"/>
      <c r="CU5" s="12"/>
      <c r="CV5" s="10"/>
      <c r="CW5" s="10"/>
      <c r="CX5" s="10"/>
      <c r="CY5" s="10"/>
      <c r="CZ5" s="10"/>
      <c r="DA5" s="10"/>
      <c r="DB5" s="10"/>
      <c r="DC5" s="13"/>
      <c r="DD5" s="13"/>
      <c r="DE5" s="13"/>
      <c r="DF5" s="13"/>
      <c r="DG5" s="14"/>
      <c r="DH5" s="14"/>
      <c r="DI5" s="14"/>
      <c r="DJ5" s="14"/>
      <c r="DK5" s="15"/>
      <c r="DL5" s="15"/>
      <c r="DM5" s="15"/>
      <c r="DN5" s="15"/>
      <c r="DO5" s="16"/>
      <c r="DP5" s="17"/>
      <c r="DQ5" s="17"/>
      <c r="DR5" s="17"/>
      <c r="EC5" s="28"/>
      <c r="ED5" s="29"/>
      <c r="EE5" s="159"/>
      <c r="EF5" s="159"/>
      <c r="EG5" s="159"/>
      <c r="EH5" s="159"/>
      <c r="EI5" s="159"/>
      <c r="EJ5" s="159"/>
    </row>
    <row r="6" spans="1:152" s="40" customFormat="1" ht="60" customHeight="1">
      <c r="A6" s="138" t="s">
        <v>194</v>
      </c>
      <c r="B6" s="138" t="s">
        <v>1</v>
      </c>
      <c r="C6" s="138" t="s">
        <v>2</v>
      </c>
      <c r="D6" s="138" t="s">
        <v>3</v>
      </c>
      <c r="E6" s="155" t="s">
        <v>4</v>
      </c>
      <c r="F6" s="155" t="s">
        <v>5</v>
      </c>
      <c r="G6" s="143" t="s">
        <v>6</v>
      </c>
      <c r="H6" s="138" t="s">
        <v>7</v>
      </c>
      <c r="I6" s="138" t="s">
        <v>8</v>
      </c>
      <c r="J6" s="138" t="s">
        <v>9</v>
      </c>
      <c r="K6" s="138" t="s">
        <v>10</v>
      </c>
      <c r="L6" s="143" t="s">
        <v>11</v>
      </c>
      <c r="M6" s="149" t="s">
        <v>12</v>
      </c>
      <c r="N6" s="150"/>
      <c r="O6" s="150"/>
      <c r="P6" s="150"/>
      <c r="Q6" s="150"/>
      <c r="R6" s="150"/>
      <c r="S6" s="150"/>
      <c r="T6" s="150"/>
      <c r="U6" s="150"/>
      <c r="V6" s="150"/>
      <c r="W6" s="150"/>
      <c r="X6" s="150"/>
      <c r="Y6" s="150"/>
      <c r="Z6" s="150"/>
      <c r="AA6" s="150"/>
      <c r="AB6" s="150"/>
      <c r="AC6" s="150"/>
      <c r="AD6" s="150"/>
      <c r="AE6" s="151"/>
      <c r="AF6" s="154" t="s">
        <v>13</v>
      </c>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1"/>
      <c r="BJ6" s="138" t="s">
        <v>14</v>
      </c>
      <c r="BK6" s="138" t="s">
        <v>15</v>
      </c>
      <c r="BL6" s="138" t="s">
        <v>16</v>
      </c>
      <c r="BM6" s="154" t="s">
        <v>17</v>
      </c>
      <c r="BN6" s="150"/>
      <c r="BO6" s="150"/>
      <c r="BP6" s="150"/>
      <c r="BQ6" s="150"/>
      <c r="BR6" s="150"/>
      <c r="BS6" s="150"/>
      <c r="BT6" s="151"/>
      <c r="BU6" s="154" t="s">
        <v>18</v>
      </c>
      <c r="BV6" s="150"/>
      <c r="BW6" s="150"/>
      <c r="BX6" s="150"/>
      <c r="BY6" s="150"/>
      <c r="BZ6" s="150"/>
      <c r="CA6" s="150"/>
      <c r="CB6" s="150"/>
      <c r="CC6" s="150"/>
      <c r="CD6" s="151"/>
      <c r="CE6" s="138" t="s">
        <v>19</v>
      </c>
      <c r="CF6" s="140" t="s">
        <v>20</v>
      </c>
      <c r="CG6" s="158" t="s">
        <v>21</v>
      </c>
      <c r="CH6" s="150"/>
      <c r="CI6" s="150"/>
      <c r="CJ6" s="150"/>
      <c r="CK6" s="150"/>
      <c r="CL6" s="150"/>
      <c r="CM6" s="150"/>
      <c r="CN6" s="150"/>
      <c r="CO6" s="150"/>
      <c r="CP6" s="151"/>
      <c r="CQ6" s="154" t="s">
        <v>22</v>
      </c>
      <c r="CR6" s="150"/>
      <c r="CS6" s="150"/>
      <c r="CT6" s="150"/>
      <c r="CU6" s="150"/>
      <c r="CV6" s="150"/>
      <c r="CW6" s="150"/>
      <c r="CX6" s="150"/>
      <c r="CY6" s="150"/>
      <c r="CZ6" s="150"/>
      <c r="DA6" s="151"/>
      <c r="DB6" s="188" t="s">
        <v>23</v>
      </c>
      <c r="DC6" s="189"/>
      <c r="DD6" s="189"/>
      <c r="DE6" s="189"/>
      <c r="DF6" s="189"/>
      <c r="DG6" s="189"/>
      <c r="DH6" s="189"/>
      <c r="DI6" s="189"/>
      <c r="DJ6" s="189"/>
      <c r="DK6" s="189"/>
      <c r="DL6" s="189"/>
      <c r="DM6" s="189"/>
      <c r="DN6" s="189"/>
      <c r="DO6" s="189"/>
      <c r="DP6" s="189"/>
      <c r="DQ6" s="182" t="s">
        <v>111</v>
      </c>
      <c r="DR6" s="185" t="s">
        <v>112</v>
      </c>
      <c r="DS6" s="190" t="s">
        <v>113</v>
      </c>
      <c r="DT6" s="185" t="s">
        <v>114</v>
      </c>
      <c r="DU6" s="154" t="s">
        <v>24</v>
      </c>
      <c r="DV6" s="150"/>
      <c r="DW6" s="150"/>
      <c r="DX6" s="150"/>
      <c r="DY6" s="150"/>
      <c r="DZ6" s="150"/>
      <c r="EA6" s="150"/>
      <c r="EB6" s="151"/>
      <c r="EC6" s="166" t="s">
        <v>25</v>
      </c>
      <c r="ED6" s="150"/>
      <c r="EE6" s="150"/>
      <c r="EF6" s="150"/>
      <c r="EG6" s="150"/>
      <c r="EH6" s="150"/>
      <c r="EI6" s="150"/>
      <c r="EJ6" s="151"/>
      <c r="EK6" s="180" t="s">
        <v>26</v>
      </c>
      <c r="EL6" s="181"/>
      <c r="EM6" s="181"/>
      <c r="EN6" s="181"/>
      <c r="EO6" s="181"/>
      <c r="EP6" s="181"/>
      <c r="EQ6" s="181"/>
      <c r="ER6" s="181"/>
      <c r="ES6" s="181"/>
      <c r="ET6" s="181"/>
    </row>
    <row r="7" spans="1:152" s="40" customFormat="1" ht="67" customHeight="1">
      <c r="A7" s="148"/>
      <c r="B7" s="148"/>
      <c r="C7" s="148"/>
      <c r="D7" s="148"/>
      <c r="E7" s="156"/>
      <c r="F7" s="156"/>
      <c r="G7" s="152"/>
      <c r="H7" s="148"/>
      <c r="I7" s="148"/>
      <c r="J7" s="148"/>
      <c r="K7" s="148"/>
      <c r="L7" s="152"/>
      <c r="M7" s="153" t="s">
        <v>27</v>
      </c>
      <c r="N7" s="153" t="s">
        <v>28</v>
      </c>
      <c r="O7" s="153" t="s">
        <v>29</v>
      </c>
      <c r="P7" s="140" t="s">
        <v>30</v>
      </c>
      <c r="Q7" s="140" t="s">
        <v>31</v>
      </c>
      <c r="R7" s="141"/>
      <c r="S7" s="142"/>
      <c r="T7" s="140" t="s">
        <v>32</v>
      </c>
      <c r="U7" s="140" t="s">
        <v>33</v>
      </c>
      <c r="V7" s="142"/>
      <c r="W7" s="140" t="s">
        <v>34</v>
      </c>
      <c r="X7" s="153" t="s">
        <v>35</v>
      </c>
      <c r="Y7" s="142"/>
      <c r="Z7" s="153" t="s">
        <v>36</v>
      </c>
      <c r="AA7" s="142"/>
      <c r="AB7" s="153" t="s">
        <v>37</v>
      </c>
      <c r="AC7" s="153" t="s">
        <v>38</v>
      </c>
      <c r="AD7" s="153" t="s">
        <v>39</v>
      </c>
      <c r="AE7" s="153" t="s">
        <v>40</v>
      </c>
      <c r="AF7" s="138" t="s">
        <v>41</v>
      </c>
      <c r="AG7" s="138" t="s">
        <v>42</v>
      </c>
      <c r="AH7" s="138" t="s">
        <v>43</v>
      </c>
      <c r="AI7" s="138" t="s">
        <v>44</v>
      </c>
      <c r="AJ7" s="100" t="s">
        <v>45</v>
      </c>
      <c r="AK7" s="138" t="s">
        <v>46</v>
      </c>
      <c r="AL7" s="138" t="s">
        <v>47</v>
      </c>
      <c r="AM7" s="138" t="s">
        <v>48</v>
      </c>
      <c r="AN7" s="138" t="s">
        <v>49</v>
      </c>
      <c r="AO7" s="138" t="s">
        <v>50</v>
      </c>
      <c r="AP7" s="142"/>
      <c r="AQ7" s="143" t="s">
        <v>51</v>
      </c>
      <c r="AR7" s="138" t="s">
        <v>52</v>
      </c>
      <c r="AS7" s="143" t="s">
        <v>53</v>
      </c>
      <c r="AT7" s="138" t="s">
        <v>54</v>
      </c>
      <c r="AU7" s="138" t="s">
        <v>55</v>
      </c>
      <c r="AV7" s="138" t="s">
        <v>56</v>
      </c>
      <c r="AW7" s="138" t="s">
        <v>57</v>
      </c>
      <c r="AX7" s="138" t="s">
        <v>58</v>
      </c>
      <c r="AY7" s="143" t="s">
        <v>59</v>
      </c>
      <c r="AZ7" s="143" t="s">
        <v>60</v>
      </c>
      <c r="BA7" s="143" t="s">
        <v>61</v>
      </c>
      <c r="BB7" s="143" t="s">
        <v>62</v>
      </c>
      <c r="BC7" s="143" t="s">
        <v>63</v>
      </c>
      <c r="BD7" s="143" t="s">
        <v>64</v>
      </c>
      <c r="BE7" s="143" t="s">
        <v>65</v>
      </c>
      <c r="BF7" s="138" t="s">
        <v>66</v>
      </c>
      <c r="BG7" s="143" t="s">
        <v>67</v>
      </c>
      <c r="BH7" s="164" t="s">
        <v>68</v>
      </c>
      <c r="BI7" s="138" t="s">
        <v>69</v>
      </c>
      <c r="BJ7" s="148"/>
      <c r="BK7" s="148"/>
      <c r="BL7" s="148"/>
      <c r="BM7" s="97" t="s">
        <v>70</v>
      </c>
      <c r="BN7" s="97" t="s">
        <v>71</v>
      </c>
      <c r="BO7" s="97" t="s">
        <v>72</v>
      </c>
      <c r="BP7" s="138" t="s">
        <v>73</v>
      </c>
      <c r="BQ7" s="147" t="s">
        <v>74</v>
      </c>
      <c r="BR7" s="137" t="s">
        <v>75</v>
      </c>
      <c r="BS7" s="137" t="s">
        <v>76</v>
      </c>
      <c r="BT7" s="143" t="s">
        <v>77</v>
      </c>
      <c r="BU7" s="137" t="s">
        <v>78</v>
      </c>
      <c r="BV7" s="147" t="s">
        <v>79</v>
      </c>
      <c r="BW7" s="147" t="s">
        <v>185</v>
      </c>
      <c r="BX7" s="97" t="s">
        <v>80</v>
      </c>
      <c r="BY7" s="143" t="s">
        <v>81</v>
      </c>
      <c r="BZ7" s="143" t="s">
        <v>82</v>
      </c>
      <c r="CA7" s="143" t="s">
        <v>83</v>
      </c>
      <c r="CB7" s="143" t="s">
        <v>84</v>
      </c>
      <c r="CC7" s="143" t="s">
        <v>85</v>
      </c>
      <c r="CD7" s="143" t="s">
        <v>184</v>
      </c>
      <c r="CE7" s="148"/>
      <c r="CF7" s="148"/>
      <c r="CG7" s="138" t="s">
        <v>86</v>
      </c>
      <c r="CH7" s="138" t="s">
        <v>186</v>
      </c>
      <c r="CI7" s="138" t="s">
        <v>187</v>
      </c>
      <c r="CJ7" s="138" t="s">
        <v>188</v>
      </c>
      <c r="CK7" s="138" t="s">
        <v>87</v>
      </c>
      <c r="CL7" s="138" t="s">
        <v>88</v>
      </c>
      <c r="CM7" s="138" t="s">
        <v>89</v>
      </c>
      <c r="CN7" s="145" t="s">
        <v>90</v>
      </c>
      <c r="CO7" s="138" t="s">
        <v>91</v>
      </c>
      <c r="CP7" s="138" t="s">
        <v>92</v>
      </c>
      <c r="CQ7" s="143" t="s">
        <v>189</v>
      </c>
      <c r="CR7" s="143" t="s">
        <v>93</v>
      </c>
      <c r="CS7" s="143" t="s">
        <v>94</v>
      </c>
      <c r="CT7" s="138" t="s">
        <v>95</v>
      </c>
      <c r="CU7" s="162" t="s">
        <v>96</v>
      </c>
      <c r="CV7" s="138" t="s">
        <v>97</v>
      </c>
      <c r="CW7" s="143" t="s">
        <v>98</v>
      </c>
      <c r="CX7" s="138" t="s">
        <v>99</v>
      </c>
      <c r="CY7" s="138" t="s">
        <v>100</v>
      </c>
      <c r="CZ7" s="138" t="s">
        <v>101</v>
      </c>
      <c r="DA7" s="143" t="s">
        <v>102</v>
      </c>
      <c r="DB7" s="139" t="s">
        <v>103</v>
      </c>
      <c r="DC7" s="146" t="s">
        <v>104</v>
      </c>
      <c r="DD7" s="146" t="s">
        <v>105</v>
      </c>
      <c r="DE7" s="146" t="s">
        <v>106</v>
      </c>
      <c r="DF7" s="139" t="s">
        <v>107</v>
      </c>
      <c r="DG7" s="140" t="s">
        <v>108</v>
      </c>
      <c r="DH7" s="141"/>
      <c r="DI7" s="141"/>
      <c r="DJ7" s="142"/>
      <c r="DK7" s="140" t="s">
        <v>109</v>
      </c>
      <c r="DL7" s="141"/>
      <c r="DM7" s="141"/>
      <c r="DN7" s="142"/>
      <c r="DO7" s="162" t="s">
        <v>110</v>
      </c>
      <c r="DP7" s="163" t="s">
        <v>193</v>
      </c>
      <c r="DQ7" s="183"/>
      <c r="DR7" s="186"/>
      <c r="DS7" s="191"/>
      <c r="DT7" s="186"/>
      <c r="DU7" s="143" t="s">
        <v>115</v>
      </c>
      <c r="DV7" s="143" t="s">
        <v>116</v>
      </c>
      <c r="DW7" s="138" t="s">
        <v>70</v>
      </c>
      <c r="DX7" s="138" t="s">
        <v>117</v>
      </c>
      <c r="DY7" s="138" t="s">
        <v>118</v>
      </c>
      <c r="DZ7" s="138" t="s">
        <v>119</v>
      </c>
      <c r="EA7" s="138" t="s">
        <v>120</v>
      </c>
      <c r="EB7" s="168" t="s">
        <v>121</v>
      </c>
      <c r="EC7" s="138" t="s">
        <v>122</v>
      </c>
      <c r="ED7" s="138" t="s">
        <v>123</v>
      </c>
      <c r="EE7" s="138" t="s">
        <v>124</v>
      </c>
      <c r="EF7" s="160" t="s">
        <v>125</v>
      </c>
      <c r="EG7" s="141"/>
      <c r="EH7" s="141"/>
      <c r="EI7" s="142"/>
      <c r="EJ7" s="161" t="s">
        <v>126</v>
      </c>
      <c r="EK7" s="176" t="s">
        <v>127</v>
      </c>
      <c r="EL7" s="178" t="s">
        <v>128</v>
      </c>
      <c r="EM7" s="178" t="s">
        <v>129</v>
      </c>
      <c r="EN7" s="170" t="s">
        <v>130</v>
      </c>
      <c r="EO7" s="170" t="s">
        <v>131</v>
      </c>
      <c r="EP7" s="170" t="s">
        <v>132</v>
      </c>
      <c r="EQ7" s="174" t="s">
        <v>133</v>
      </c>
      <c r="ER7" s="170" t="s">
        <v>134</v>
      </c>
      <c r="ES7" s="174" t="s">
        <v>135</v>
      </c>
      <c r="ET7" s="172" t="s">
        <v>136</v>
      </c>
      <c r="EU7" s="133" t="s">
        <v>182</v>
      </c>
    </row>
    <row r="8" spans="1:152" s="40" customFormat="1" ht="78" customHeight="1">
      <c r="A8" s="136"/>
      <c r="B8" s="136"/>
      <c r="C8" s="136"/>
      <c r="D8" s="136"/>
      <c r="E8" s="157"/>
      <c r="F8" s="157"/>
      <c r="G8" s="144"/>
      <c r="H8" s="136"/>
      <c r="I8" s="136"/>
      <c r="J8" s="136"/>
      <c r="K8" s="136"/>
      <c r="L8" s="144"/>
      <c r="M8" s="136"/>
      <c r="N8" s="136"/>
      <c r="O8" s="136"/>
      <c r="P8" s="136"/>
      <c r="Q8" s="99" t="s">
        <v>137</v>
      </c>
      <c r="R8" s="99" t="s">
        <v>138</v>
      </c>
      <c r="S8" s="99" t="s">
        <v>139</v>
      </c>
      <c r="T8" s="136"/>
      <c r="U8" s="99" t="s">
        <v>140</v>
      </c>
      <c r="V8" s="99" t="s">
        <v>141</v>
      </c>
      <c r="W8" s="136"/>
      <c r="X8" s="98" t="s">
        <v>142</v>
      </c>
      <c r="Y8" s="98" t="s">
        <v>143</v>
      </c>
      <c r="Z8" s="101" t="s">
        <v>144</v>
      </c>
      <c r="AA8" s="101" t="s">
        <v>145</v>
      </c>
      <c r="AB8" s="136"/>
      <c r="AC8" s="136"/>
      <c r="AD8" s="136"/>
      <c r="AE8" s="136"/>
      <c r="AF8" s="136"/>
      <c r="AG8" s="136"/>
      <c r="AH8" s="136"/>
      <c r="AI8" s="136"/>
      <c r="AJ8" s="97"/>
      <c r="AK8" s="136"/>
      <c r="AL8" s="136"/>
      <c r="AM8" s="136"/>
      <c r="AN8" s="136"/>
      <c r="AO8" s="97" t="s">
        <v>146</v>
      </c>
      <c r="AP8" s="97" t="s">
        <v>147</v>
      </c>
      <c r="AQ8" s="144"/>
      <c r="AR8" s="136"/>
      <c r="AS8" s="144"/>
      <c r="AT8" s="136"/>
      <c r="AU8" s="136"/>
      <c r="AV8" s="136"/>
      <c r="AW8" s="136"/>
      <c r="AX8" s="136"/>
      <c r="AY8" s="144"/>
      <c r="AZ8" s="144"/>
      <c r="BA8" s="144"/>
      <c r="BB8" s="144"/>
      <c r="BC8" s="144"/>
      <c r="BD8" s="144"/>
      <c r="BE8" s="144"/>
      <c r="BF8" s="136"/>
      <c r="BG8" s="144"/>
      <c r="BH8" s="165"/>
      <c r="BI8" s="136"/>
      <c r="BJ8" s="136"/>
      <c r="BK8" s="136"/>
      <c r="BL8" s="136"/>
      <c r="BM8" s="134" t="s">
        <v>148</v>
      </c>
      <c r="BN8" s="134" t="s">
        <v>183</v>
      </c>
      <c r="BO8" s="134" t="s">
        <v>149</v>
      </c>
      <c r="BP8" s="136"/>
      <c r="BQ8" s="144"/>
      <c r="BR8" s="136"/>
      <c r="BS8" s="136"/>
      <c r="BT8" s="144"/>
      <c r="BU8" s="136"/>
      <c r="BV8" s="144"/>
      <c r="BW8" s="144"/>
      <c r="BX8" s="135">
        <v>23</v>
      </c>
      <c r="BY8" s="144"/>
      <c r="BZ8" s="144"/>
      <c r="CA8" s="144"/>
      <c r="CB8" s="144"/>
      <c r="CC8" s="144"/>
      <c r="CD8" s="144"/>
      <c r="CE8" s="136"/>
      <c r="CF8" s="136"/>
      <c r="CG8" s="136"/>
      <c r="CH8" s="136"/>
      <c r="CI8" s="136"/>
      <c r="CJ8" s="136"/>
      <c r="CK8" s="136"/>
      <c r="CL8" s="136"/>
      <c r="CM8" s="136"/>
      <c r="CN8" s="136"/>
      <c r="CO8" s="136"/>
      <c r="CP8" s="136"/>
      <c r="CQ8" s="144"/>
      <c r="CR8" s="144"/>
      <c r="CS8" s="144"/>
      <c r="CT8" s="136"/>
      <c r="CU8" s="136"/>
      <c r="CV8" s="136"/>
      <c r="CW8" s="144"/>
      <c r="CX8" s="136"/>
      <c r="CY8" s="136"/>
      <c r="CZ8" s="136"/>
      <c r="DA8" s="144"/>
      <c r="DB8" s="136"/>
      <c r="DC8" s="136"/>
      <c r="DD8" s="136"/>
      <c r="DE8" s="136"/>
      <c r="DF8" s="136"/>
      <c r="DG8" s="167" t="s">
        <v>190</v>
      </c>
      <c r="DH8" s="167" t="s">
        <v>191</v>
      </c>
      <c r="DI8" s="167" t="s">
        <v>192</v>
      </c>
      <c r="DJ8" s="167" t="s">
        <v>195</v>
      </c>
      <c r="DK8" s="167" t="s">
        <v>150</v>
      </c>
      <c r="DL8" s="167" t="s">
        <v>151</v>
      </c>
      <c r="DM8" s="167" t="s">
        <v>152</v>
      </c>
      <c r="DN8" s="167" t="s">
        <v>153</v>
      </c>
      <c r="DO8" s="136"/>
      <c r="DP8" s="136"/>
      <c r="DQ8" s="184"/>
      <c r="DR8" s="187"/>
      <c r="DS8" s="192"/>
      <c r="DT8" s="187"/>
      <c r="DU8" s="144"/>
      <c r="DV8" s="144"/>
      <c r="DW8" s="136"/>
      <c r="DX8" s="136"/>
      <c r="DY8" s="136"/>
      <c r="DZ8" s="136"/>
      <c r="EA8" s="136"/>
      <c r="EB8" s="144"/>
      <c r="EC8" s="136"/>
      <c r="ED8" s="136"/>
      <c r="EE8" s="136"/>
      <c r="EF8" s="169" t="s">
        <v>154</v>
      </c>
      <c r="EG8" s="169" t="s">
        <v>155</v>
      </c>
      <c r="EH8" s="167" t="s">
        <v>156</v>
      </c>
      <c r="EI8" s="102" t="s">
        <v>157</v>
      </c>
      <c r="EJ8" s="136"/>
      <c r="EK8" s="177"/>
      <c r="EL8" s="179"/>
      <c r="EM8" s="179"/>
      <c r="EN8" s="171"/>
      <c r="EO8" s="171"/>
      <c r="EP8" s="171"/>
      <c r="EQ8" s="175"/>
      <c r="ER8" s="171"/>
      <c r="ES8" s="175"/>
      <c r="ET8" s="173"/>
      <c r="EU8" s="96">
        <v>25</v>
      </c>
    </row>
    <row r="9" spans="1:152" s="76" customFormat="1" ht="134" customHeight="1" outlineLevel="1">
      <c r="A9" s="103">
        <v>1</v>
      </c>
      <c r="B9" s="103">
        <v>2104107</v>
      </c>
      <c r="C9" s="104" t="s">
        <v>160</v>
      </c>
      <c r="D9" s="105">
        <v>4090000</v>
      </c>
      <c r="E9" s="106">
        <f t="shared" ref="E9:E15" si="0">IF(CH9="ATVSV",300000,0)</f>
        <v>0</v>
      </c>
      <c r="F9" s="107">
        <f t="shared" ref="F9:F15" si="1">D9+E9</f>
        <v>4090000</v>
      </c>
      <c r="G9" s="107">
        <v>0</v>
      </c>
      <c r="H9" s="107">
        <f t="shared" ref="H9:H15" si="2">IF(D9&gt;0,EE9-F9,EE9-G9)</f>
        <v>3010000</v>
      </c>
      <c r="I9" s="107">
        <f t="shared" ref="I9:I15" si="3">EI9</f>
        <v>0</v>
      </c>
      <c r="J9" s="107">
        <f t="shared" ref="J9:J15" si="4">SUM(H9:I9)</f>
        <v>3010000</v>
      </c>
      <c r="K9" s="107">
        <f t="shared" ref="K9:K15" si="5">IF(D9&gt;0,F9+J9,G9+J9)</f>
        <v>7100000</v>
      </c>
      <c r="L9" s="108">
        <v>1</v>
      </c>
      <c r="M9" s="109">
        <v>24</v>
      </c>
      <c r="N9" s="109">
        <v>8.36</v>
      </c>
      <c r="O9" s="109">
        <v>2</v>
      </c>
      <c r="P9" s="109"/>
      <c r="Q9" s="109">
        <v>0</v>
      </c>
      <c r="R9" s="109">
        <v>0</v>
      </c>
      <c r="S9" s="109"/>
      <c r="T9" s="109">
        <v>0</v>
      </c>
      <c r="U9" s="109"/>
      <c r="V9" s="109"/>
      <c r="W9" s="109"/>
      <c r="X9" s="109">
        <v>1</v>
      </c>
      <c r="Y9" s="109">
        <v>1</v>
      </c>
      <c r="Z9" s="110"/>
      <c r="AA9" s="110"/>
      <c r="AB9" s="109"/>
      <c r="AC9" s="109">
        <v>0</v>
      </c>
      <c r="AD9" s="109"/>
      <c r="AE9" s="109">
        <v>0</v>
      </c>
      <c r="AF9" s="107">
        <f t="shared" ref="AF9:AF15" si="6">MAX(ROUND(IF(M9=0,0,IF(CK9="Lương tháng",MAX((D9-D9/26*($EU$8-M9))*L9,(G9-G9/26*($EU$8-M9))*L9),MAX(D9/26*M9*L9,G9/26*M9*L9))),0),0)</f>
        <v>3775385</v>
      </c>
      <c r="AG9" s="107">
        <f t="shared" ref="AG9:AG15" si="7">ROUND(MAX((F9+H9)*L9/26*N9,(G9+H9)*L9/26*N9,F9/26*N9*150%,G9/26*N9*150%)*CL9,0)</f>
        <v>2282923</v>
      </c>
      <c r="AH9" s="107">
        <f t="shared" ref="AH9:AH15" si="8">ROUND(MAX((F9+H9)*L9/26*O9,(G9+H9)*L9/26*O9,F9/26*O9*200%,G9/26*O9*200%)*CL9,0)+DR9</f>
        <v>629231</v>
      </c>
      <c r="AI9" s="105">
        <f t="shared" ref="AI9:AI15" si="9">ROUND(IF(CK9="lương tháng",0,MAX((F9+H9)/26*SUM(Q9:S9)*30%,(G9+H9)/26*SUM(Q9:S9)*30%)*CL9),0)</f>
        <v>0</v>
      </c>
      <c r="AJ9" s="105"/>
      <c r="AK9" s="107">
        <f t="shared" ref="AK9:AK15" si="10">ROUND(IF(D9&gt;0,D9/26*T9,G9/26*T9),0)</f>
        <v>0</v>
      </c>
      <c r="AL9" s="107">
        <f t="shared" ref="AL9:AL15" si="11">ROUND(IF(CK9="Lương tháng",K9/26*U9,MAX((F9+H9)/26*(U9+V9)*200%,(G9+H9)/26*(U9+V9)*200%,F9/26*(U9+V9)*300%,G9/26*(U9+V9)*300%)),0)</f>
        <v>0</v>
      </c>
      <c r="AM9" s="107">
        <f t="shared" ref="AM9:AM15" si="12">ROUND(IF(CK9="Lương tháng",MAX((F9+H9)/26*W9,(G9+H9)/26*W9),IF(CM9="BV",MAX(F9/26,G9/26)*W9,IF((U9+W9)&gt;0,MAX(F9/26,G9/26)*(U9+W9),0))),0)</f>
        <v>0</v>
      </c>
      <c r="AN9" s="107">
        <f t="shared" ref="AN9:AN15" si="13">ROUND(IF(CK9="Lương tháng",K9/26*Y9,(K9/26*Y9+K9/26*X9)*CL9),0)-AT9</f>
        <v>516659</v>
      </c>
      <c r="AO9" s="111">
        <f t="shared" ref="AO9:AO15" si="14">DO9</f>
        <v>0</v>
      </c>
      <c r="AP9" s="111">
        <f t="shared" ref="AP9:AP15" si="15">DQ9</f>
        <v>0</v>
      </c>
      <c r="AQ9" s="111"/>
      <c r="AR9" s="107">
        <f t="shared" ref="AR9:AR15" si="16">ROUND(CO9*(M9+N9+O9+U9+V9+DK9+DL9+DM9+DN9),0)</f>
        <v>0</v>
      </c>
      <c r="AS9" s="111">
        <v>0</v>
      </c>
      <c r="AT9" s="107">
        <f t="shared" ref="AT9:AT15" si="17">ROUND(IF(AND(CK9="Lương tháng",Y9=0),0,IF(AND(CG9="X",SUM(X9:Y9)&gt;0),MAX(D9/26*(1.5/8),G9/26*(1.5/8)),0)),0)</f>
        <v>29495</v>
      </c>
      <c r="AU9" s="112">
        <f t="shared" ref="AU9:AU15" si="18">ROUND(IF(CK9="Lương tháng",E9-E9/26*($EU$8-M9),E9/26*M9),0)</f>
        <v>0</v>
      </c>
      <c r="AV9" s="107">
        <f t="shared" ref="AV9:AV15" si="19">ROUND(MAX((F9/26*(Z9+AA9+AC9)),(G9/26*(Z9+AA9+AC9))),0)</f>
        <v>0</v>
      </c>
      <c r="AW9" s="113">
        <f t="shared" ref="AW9:AW15" si="20">IF(D9="",0,ROUND((F9+50%*H9)/26*AE9,0))</f>
        <v>0</v>
      </c>
      <c r="AX9" s="107">
        <f t="shared" ref="AX9:AX15" si="21">IF(G9&gt;0,0,ROUND((F9+H9)/26*AB9,0))</f>
        <v>0</v>
      </c>
      <c r="AY9" s="107"/>
      <c r="AZ9" s="111">
        <v>0</v>
      </c>
      <c r="BA9" s="107"/>
      <c r="BB9" s="111">
        <v>0</v>
      </c>
      <c r="BC9" s="114"/>
      <c r="BD9" s="107"/>
      <c r="BE9" s="107"/>
      <c r="BF9" s="107">
        <f t="shared" ref="BF9:BF15" si="22">ROUND(D9/26*AD9,0)</f>
        <v>0</v>
      </c>
      <c r="BG9" s="107"/>
      <c r="BH9" s="107"/>
      <c r="BI9" s="107">
        <f t="shared" ref="BI9:BI15" si="23">ROUND(IF(M9=0,0,IF(CK9="Lương tháng",((J9-J9/26*($EU$8-M9))*L9),J9/26*M9*L9)),0)</f>
        <v>2778462</v>
      </c>
      <c r="BJ9" s="107">
        <f t="shared" ref="BJ9:BJ15" si="24">ROUND(SUM(AF9:BI9),0)</f>
        <v>10012155</v>
      </c>
      <c r="BK9" s="107">
        <v>3823077</v>
      </c>
      <c r="BL9" s="107">
        <f t="shared" ref="BL9:BL15" si="25">ROUND(BJ9-BK9,0)</f>
        <v>6189078</v>
      </c>
      <c r="BM9" s="107">
        <f t="shared" ref="BM9:BM15" si="26">ROUND(IF($CI9=1,$F9*$BM$8,0),0)</f>
        <v>0</v>
      </c>
      <c r="BN9" s="107">
        <f t="shared" ref="BN9:BN15" si="27">ROUND(IF($CI9=1,$F9*$BN$8,0),0)</f>
        <v>0</v>
      </c>
      <c r="BO9" s="107">
        <f t="shared" ref="BO9:BO15" si="28">ROUND(IF($CI9=1,$F9*$BO$8,0),0)</f>
        <v>0</v>
      </c>
      <c r="BP9" s="107">
        <f t="shared" ref="BP9:BP15" si="29">MAX(SUM(BM9:BO9)-CQ9,0)</f>
        <v>0</v>
      </c>
      <c r="BQ9" s="107"/>
      <c r="BR9" s="105">
        <f t="shared" ref="BR9:BR15" si="30">MAX(ROUND(IF($CJ9="1X",$F9*0.5%,0),0)-DU9,0)</f>
        <v>0</v>
      </c>
      <c r="BS9" s="115">
        <f t="shared" ref="BS9:BS15" si="31">CZ9-DA9</f>
        <v>0</v>
      </c>
      <c r="BT9" s="107"/>
      <c r="BU9" s="107" t="str">
        <f t="shared" ref="BU9:BU15" si="32">IF(BS9&gt;0,"OK","")</f>
        <v/>
      </c>
      <c r="BV9" s="107"/>
      <c r="BW9" s="107"/>
      <c r="BX9" s="107">
        <f t="shared" ref="BX9:BX15" si="33">IF(CP9="",0,IF(EE9&lt;11000000,5000,IF(AND(EE9&gt;=11000000,EE9&lt;25000000),10000,IF(AND(EE9&gt;=25000000,EE9&lt;40000000),15000,IF(AND(EE9&gt;=40000000,EE9&lt;120000000),20000,IF(AND(EE9&gt;=120000000,EE9&lt;240000000),25000,IF(EE9&gt;=240000000,30000))))))*$BX$8)</f>
        <v>115000</v>
      </c>
      <c r="BY9" s="107"/>
      <c r="BZ9" s="107"/>
      <c r="CA9" s="107"/>
      <c r="CB9" s="107">
        <v>0</v>
      </c>
      <c r="CC9" s="107"/>
      <c r="CD9" s="107"/>
      <c r="CE9" s="105">
        <f t="shared" ref="CE9:CE15" si="34">SUM(BP9:CD9)</f>
        <v>115000</v>
      </c>
      <c r="CF9" s="116">
        <f t="shared" ref="CF9:CF15" si="35">ROUND(BL9-CE9,0)</f>
        <v>6074078</v>
      </c>
      <c r="CG9" s="105" t="s">
        <v>158</v>
      </c>
      <c r="CH9" s="105">
        <v>0</v>
      </c>
      <c r="CI9" s="111"/>
      <c r="CJ9" s="111"/>
      <c r="CK9" s="117">
        <f>IF(EE9&gt;=18000000,"Lương tháng",0)</f>
        <v>0</v>
      </c>
      <c r="CL9" s="105">
        <f t="shared" ref="CL9:CL15" si="36">IF(CM9="TC CĐ",1,IF(CK9="Lương tháng",0,1))</f>
        <v>1</v>
      </c>
      <c r="CM9" s="105"/>
      <c r="CN9" s="105"/>
      <c r="CO9" s="111">
        <f t="shared" ref="CO9:CO15" si="37">IF(CN9="M1",13000,IF(CN9="M2",20000,IF(CN9="M3",26000,IF(CN9="M4",32000,0))))</f>
        <v>0</v>
      </c>
      <c r="CP9" s="105" t="s">
        <v>159</v>
      </c>
      <c r="CQ9" s="105">
        <v>429450</v>
      </c>
      <c r="CR9" s="118"/>
      <c r="CS9" s="105"/>
      <c r="CT9" s="113">
        <f t="shared" ref="CT9:CT15" si="38">+BJ9-AI9-AO9-AP9-BA9-BD9-BE9-BV9+CR9+CS9-AQ9+IF(AQ9&lt;=730000,0,AQ9-730000)</f>
        <v>10012155</v>
      </c>
      <c r="CU9" s="116">
        <v>2</v>
      </c>
      <c r="CV9" s="105">
        <f>CU9*6200000</f>
        <v>12400000</v>
      </c>
      <c r="CW9" s="105">
        <v>15500000</v>
      </c>
      <c r="CX9" s="105">
        <f t="shared" ref="CX9:CX15" si="39">CV9+CW9</f>
        <v>27900000</v>
      </c>
      <c r="CY9" s="105">
        <f t="shared" ref="CY9:CY15" si="40">MAX(CT9-CX9-CQ9-BP9-BQ9,0)</f>
        <v>0</v>
      </c>
      <c r="CZ9" s="105">
        <f t="shared" ref="CZ9:CZ15" si="41">IF(CY9&gt;0,ROUND(IF(CY9&gt;=80000000,CY9*35%-9850000,IF(CY9&gt;=52000000,CY9*30%-5850000,IF(CY9&gt;=32000000,CY9*25%-3250000,IF(CY9&gt;=18000000,CY9*20%-1650000,IF(CY9&gt;=10000000,CY9*15%-750000,IF(CY9&gt;5000000,CY9*10%-250000,CY9*5%)))))),0),0)</f>
        <v>0</v>
      </c>
      <c r="DA9" s="105"/>
      <c r="DB9" s="105"/>
      <c r="DC9" s="108">
        <f t="shared" ref="DC9:DC15" si="42">IF(DB9="",0,IF(EE9&lt;=10000000,30%,IF(EE9&lt;22000000,25%,IF(EE9&lt;40000000,20%,IF(EE9&gt;=40000000,15%)))))</f>
        <v>0</v>
      </c>
      <c r="DD9" s="108">
        <f t="shared" ref="DD9:DD15" si="43">IF(DB9="",0,IF(EE9&lt;=15000000,35%,IF(EE9&lt;22000000,30%,IF(EE9&lt;30000000,25%,IF(EE9&lt;40000000,20%,IF(EE9&gt;=40000000,15%))))))</f>
        <v>0</v>
      </c>
      <c r="DE9" s="108">
        <f t="shared" ref="DE9:DE15" si="44">IF(DB9="",0,IF(EE9&lt;15000000,25%,IF(EE9&lt;22000000,20%,IF(EE9&lt;30000000,15%,IF(EE9&lt;40000000,10%,IF(EE9&gt;=40000000,5%))))))</f>
        <v>0</v>
      </c>
      <c r="DF9" s="108">
        <f>IF(DB9="x",50%,0)</f>
        <v>0</v>
      </c>
      <c r="DG9" s="119"/>
      <c r="DH9" s="120"/>
      <c r="DI9" s="119"/>
      <c r="DJ9" s="109"/>
      <c r="DK9" s="121"/>
      <c r="DL9" s="122"/>
      <c r="DM9" s="121"/>
      <c r="DN9" s="123"/>
      <c r="DO9" s="124">
        <f t="shared" ref="DO9:DO15" si="45">ROUND(EE9*DC9/26*DG9,0)+ROUND(EE9*DD9/26*DH9,0)+ROUND(EE9*DE9/26*DI9,0)+ROUND(EE9*DF9/26*DJ9,0)</f>
        <v>0</v>
      </c>
      <c r="DP9" s="111">
        <f t="shared" ref="DP9:DP15" si="46">IF(AND(SUM(DG9:DH9)&gt;0,ED9="B3"),300000,IF(AND(SUM(DG9:DH9)&gt;0,ED9="B2"),350000,IF(AND(SUM(DG9:DH9)&gt;0,ED9="B1"),400000,0)))</f>
        <v>0</v>
      </c>
      <c r="DQ9" s="124">
        <f t="shared" ref="DQ9:DQ15" si="47">ROUND(DP9/26*SUM(DG9:DH9),0)</f>
        <v>0</v>
      </c>
      <c r="DR9" s="124">
        <f t="shared" ref="DR9:DR15" si="48">ROUND(MAX((F9+H9)/26*SUM(DK9:DM9)*CL9*120%,(G9+H9)/26*SUM(DK9:DM9)*CL9*120%,F9/26*SUM(DK9:DM9)*200%,G9/26*SUM(DK9:DM9)*200%)*CL9,0)</f>
        <v>0</v>
      </c>
      <c r="DS9" s="125"/>
      <c r="DT9" s="126"/>
      <c r="DU9" s="111">
        <v>20450</v>
      </c>
      <c r="DV9" s="111">
        <v>110000</v>
      </c>
      <c r="DW9" s="111">
        <f t="shared" ref="DW9:DW15" si="49">CQ9+BP9+BQ9</f>
        <v>429450</v>
      </c>
      <c r="DX9" s="111">
        <f t="shared" ref="DX9:DX15" si="50">SUM(DV9,DU9,CQ9)</f>
        <v>559900</v>
      </c>
      <c r="DY9" s="111">
        <f t="shared" ref="DY9:DY15" si="51">SUM(DX9,CE9)</f>
        <v>674900</v>
      </c>
      <c r="DZ9" s="111">
        <v>3263177</v>
      </c>
      <c r="EA9" s="111">
        <f t="shared" ref="EA9:EA15" si="52">SUM(DZ9,CF9)</f>
        <v>9337255</v>
      </c>
      <c r="EB9" s="127"/>
      <c r="EC9" s="128">
        <v>45292</v>
      </c>
      <c r="ED9" s="105" t="str">
        <f t="shared" ref="ED9:ED15" si="53">IF(EE9&lt;12000000,"B3",IF(EE9&lt;25000000,"B2",IF(EE9&lt;40000000,"B1",IF(EE9&lt;90000000,"A7",IF(EE9&lt;120000000,"A6",IF(EE9&lt;180000000,"A5",IF(EE9&lt;240000000,"A4",IF(EE9&lt;300000000,"A3",IF(EE9&lt;400000000,"A2","A1")))))))))</f>
        <v>B3</v>
      </c>
      <c r="EE9" s="111">
        <v>7100000</v>
      </c>
      <c r="EF9" s="105">
        <v>0</v>
      </c>
      <c r="EG9" s="105">
        <v>0</v>
      </c>
      <c r="EH9" s="109">
        <v>0</v>
      </c>
      <c r="EI9" s="107">
        <f>(EF9+EG9+EH9)*0.01*EE9</f>
        <v>0</v>
      </c>
      <c r="EJ9" s="129">
        <f t="shared" ref="EJ9:EJ15" si="54">EE9+EI9</f>
        <v>7100000</v>
      </c>
      <c r="EK9" s="130"/>
      <c r="EL9" s="131"/>
      <c r="EM9" s="131"/>
      <c r="EN9" s="111" t="s">
        <v>161</v>
      </c>
      <c r="EO9" s="111" t="s">
        <v>162</v>
      </c>
      <c r="EP9" s="111" t="s">
        <v>163</v>
      </c>
      <c r="EQ9" s="111" t="s">
        <v>164</v>
      </c>
      <c r="ER9" s="111" t="s">
        <v>165</v>
      </c>
      <c r="ES9" s="111"/>
      <c r="ET9" s="132"/>
      <c r="EU9" s="74"/>
      <c r="EV9" s="75"/>
    </row>
    <row r="10" spans="1:152" s="76" customFormat="1" ht="45" customHeight="1" outlineLevel="1">
      <c r="A10" s="44">
        <v>2</v>
      </c>
      <c r="B10" s="44">
        <v>22081340</v>
      </c>
      <c r="C10" s="45" t="s">
        <v>166</v>
      </c>
      <c r="D10" s="46">
        <v>8510000</v>
      </c>
      <c r="E10" s="47">
        <f t="shared" si="0"/>
        <v>0</v>
      </c>
      <c r="F10" s="48">
        <f t="shared" si="1"/>
        <v>8510000</v>
      </c>
      <c r="G10" s="48">
        <v>0</v>
      </c>
      <c r="H10" s="48">
        <f t="shared" si="2"/>
        <v>15490000</v>
      </c>
      <c r="I10" s="48">
        <f t="shared" si="3"/>
        <v>1200000</v>
      </c>
      <c r="J10" s="48">
        <f t="shared" si="4"/>
        <v>16690000</v>
      </c>
      <c r="K10" s="48">
        <f t="shared" si="5"/>
        <v>25200000</v>
      </c>
      <c r="L10" s="49">
        <v>1</v>
      </c>
      <c r="M10" s="50">
        <v>25</v>
      </c>
      <c r="N10" s="50">
        <v>0</v>
      </c>
      <c r="O10" s="50">
        <v>0</v>
      </c>
      <c r="P10" s="50"/>
      <c r="Q10" s="50">
        <v>0</v>
      </c>
      <c r="R10" s="50">
        <v>0</v>
      </c>
      <c r="S10" s="50"/>
      <c r="T10" s="50">
        <v>0</v>
      </c>
      <c r="U10" s="50"/>
      <c r="V10" s="50"/>
      <c r="W10" s="50"/>
      <c r="X10" s="50">
        <v>0</v>
      </c>
      <c r="Y10" s="50">
        <v>0</v>
      </c>
      <c r="Z10" s="51"/>
      <c r="AA10" s="51"/>
      <c r="AB10" s="50"/>
      <c r="AC10" s="50">
        <v>0</v>
      </c>
      <c r="AD10" s="50"/>
      <c r="AE10" s="50">
        <v>0</v>
      </c>
      <c r="AF10" s="48">
        <f t="shared" si="6"/>
        <v>8510000</v>
      </c>
      <c r="AG10" s="48">
        <f t="shared" si="7"/>
        <v>0</v>
      </c>
      <c r="AH10" s="48">
        <f t="shared" si="8"/>
        <v>0</v>
      </c>
      <c r="AI10" s="46">
        <f t="shared" si="9"/>
        <v>0</v>
      </c>
      <c r="AJ10" s="46"/>
      <c r="AK10" s="48">
        <f t="shared" si="10"/>
        <v>0</v>
      </c>
      <c r="AL10" s="48">
        <f t="shared" si="11"/>
        <v>0</v>
      </c>
      <c r="AM10" s="48">
        <f t="shared" si="12"/>
        <v>0</v>
      </c>
      <c r="AN10" s="48">
        <f t="shared" si="13"/>
        <v>0</v>
      </c>
      <c r="AO10" s="52">
        <f t="shared" si="14"/>
        <v>0</v>
      </c>
      <c r="AP10" s="52">
        <f t="shared" si="15"/>
        <v>0</v>
      </c>
      <c r="AQ10" s="52"/>
      <c r="AR10" s="48">
        <f t="shared" si="16"/>
        <v>0</v>
      </c>
      <c r="AS10" s="52">
        <v>0</v>
      </c>
      <c r="AT10" s="48">
        <f t="shared" si="17"/>
        <v>0</v>
      </c>
      <c r="AU10" s="53">
        <f t="shared" si="18"/>
        <v>0</v>
      </c>
      <c r="AV10" s="48">
        <f t="shared" si="19"/>
        <v>0</v>
      </c>
      <c r="AW10" s="54">
        <f t="shared" si="20"/>
        <v>0</v>
      </c>
      <c r="AX10" s="48">
        <f t="shared" si="21"/>
        <v>0</v>
      </c>
      <c r="AY10" s="48"/>
      <c r="AZ10" s="52">
        <v>0</v>
      </c>
      <c r="BA10" s="48"/>
      <c r="BB10" s="52">
        <v>0</v>
      </c>
      <c r="BC10" s="55"/>
      <c r="BD10" s="48"/>
      <c r="BE10" s="48"/>
      <c r="BF10" s="48">
        <f t="shared" si="22"/>
        <v>0</v>
      </c>
      <c r="BG10" s="48"/>
      <c r="BH10" s="48"/>
      <c r="BI10" s="48">
        <f t="shared" si="23"/>
        <v>16690000</v>
      </c>
      <c r="BJ10" s="48">
        <f t="shared" si="24"/>
        <v>25200000</v>
      </c>
      <c r="BK10" s="48">
        <v>10080000</v>
      </c>
      <c r="BL10" s="48">
        <f t="shared" si="25"/>
        <v>15120000</v>
      </c>
      <c r="BM10" s="48">
        <f t="shared" si="26"/>
        <v>0</v>
      </c>
      <c r="BN10" s="48">
        <f t="shared" si="27"/>
        <v>0</v>
      </c>
      <c r="BO10" s="48">
        <f t="shared" si="28"/>
        <v>0</v>
      </c>
      <c r="BP10" s="48">
        <f t="shared" si="29"/>
        <v>0</v>
      </c>
      <c r="BQ10" s="48"/>
      <c r="BR10" s="46">
        <f t="shared" si="30"/>
        <v>0</v>
      </c>
      <c r="BS10" s="56">
        <f t="shared" si="31"/>
        <v>0</v>
      </c>
      <c r="BT10" s="48"/>
      <c r="BU10" s="48" t="str">
        <f t="shared" si="32"/>
        <v/>
      </c>
      <c r="BV10" s="48"/>
      <c r="BW10" s="48"/>
      <c r="BX10" s="48">
        <f t="shared" si="33"/>
        <v>230000</v>
      </c>
      <c r="BY10" s="48"/>
      <c r="BZ10" s="48"/>
      <c r="CA10" s="48"/>
      <c r="CB10" s="48">
        <v>0</v>
      </c>
      <c r="CC10" s="48"/>
      <c r="CD10" s="48"/>
      <c r="CE10" s="46">
        <f t="shared" si="34"/>
        <v>230000</v>
      </c>
      <c r="CF10" s="57">
        <f t="shared" si="35"/>
        <v>14890000</v>
      </c>
      <c r="CG10" s="46"/>
      <c r="CH10" s="46"/>
      <c r="CI10" s="52"/>
      <c r="CJ10" s="52"/>
      <c r="CK10" s="58" t="str">
        <f t="shared" ref="CK10:CK15" si="55">IF(EE10&gt;=18000000,"Lương tháng",0)</f>
        <v>Lương tháng</v>
      </c>
      <c r="CL10" s="46">
        <f t="shared" si="36"/>
        <v>0</v>
      </c>
      <c r="CM10" s="46"/>
      <c r="CN10" s="46"/>
      <c r="CO10" s="52">
        <f t="shared" si="37"/>
        <v>0</v>
      </c>
      <c r="CP10" s="46" t="s">
        <v>159</v>
      </c>
      <c r="CQ10" s="46">
        <v>893550</v>
      </c>
      <c r="CR10" s="59"/>
      <c r="CS10" s="46"/>
      <c r="CT10" s="54">
        <f t="shared" si="38"/>
        <v>25200000</v>
      </c>
      <c r="CU10" s="57">
        <v>2</v>
      </c>
      <c r="CV10" s="46">
        <f t="shared" ref="CV10:CV15" si="56">CU10*6200000</f>
        <v>12400000</v>
      </c>
      <c r="CW10" s="46">
        <v>15500000</v>
      </c>
      <c r="CX10" s="46">
        <f t="shared" si="39"/>
        <v>27900000</v>
      </c>
      <c r="CY10" s="46">
        <f t="shared" si="40"/>
        <v>0</v>
      </c>
      <c r="CZ10" s="46">
        <f t="shared" si="41"/>
        <v>0</v>
      </c>
      <c r="DA10" s="46"/>
      <c r="DB10" s="46"/>
      <c r="DC10" s="49">
        <f t="shared" si="42"/>
        <v>0</v>
      </c>
      <c r="DD10" s="49">
        <f t="shared" si="43"/>
        <v>0</v>
      </c>
      <c r="DE10" s="49">
        <f t="shared" si="44"/>
        <v>0</v>
      </c>
      <c r="DF10" s="49">
        <f>IF(DB10="x",50%,0)</f>
        <v>0</v>
      </c>
      <c r="DG10" s="60"/>
      <c r="DH10" s="61"/>
      <c r="DI10" s="60"/>
      <c r="DJ10" s="50"/>
      <c r="DK10" s="62"/>
      <c r="DL10" s="63"/>
      <c r="DM10" s="62"/>
      <c r="DN10" s="64"/>
      <c r="DO10" s="65">
        <f t="shared" si="45"/>
        <v>0</v>
      </c>
      <c r="DP10" s="52">
        <f t="shared" si="46"/>
        <v>0</v>
      </c>
      <c r="DQ10" s="65">
        <f t="shared" si="47"/>
        <v>0</v>
      </c>
      <c r="DR10" s="65">
        <f t="shared" si="48"/>
        <v>0</v>
      </c>
      <c r="DS10" s="66"/>
      <c r="DT10" s="67"/>
      <c r="DU10" s="52">
        <v>42550</v>
      </c>
      <c r="DV10" s="52">
        <v>220000</v>
      </c>
      <c r="DW10" s="52">
        <f t="shared" si="49"/>
        <v>893550</v>
      </c>
      <c r="DX10" s="52">
        <f t="shared" si="50"/>
        <v>1156100</v>
      </c>
      <c r="DY10" s="52">
        <f t="shared" si="51"/>
        <v>1386100</v>
      </c>
      <c r="DZ10" s="52">
        <v>8923900</v>
      </c>
      <c r="EA10" s="52">
        <f t="shared" si="52"/>
        <v>23813900</v>
      </c>
      <c r="EB10" s="68"/>
      <c r="EC10" s="69">
        <v>45793</v>
      </c>
      <c r="ED10" s="46" t="str">
        <f t="shared" si="53"/>
        <v>B2</v>
      </c>
      <c r="EE10" s="52">
        <v>24000000</v>
      </c>
      <c r="EF10" s="46">
        <v>0</v>
      </c>
      <c r="EG10" s="46">
        <v>0</v>
      </c>
      <c r="EH10" s="50">
        <v>5</v>
      </c>
      <c r="EI10" s="48">
        <f>(EF10+EG10+EH10)*0.01*EE10</f>
        <v>1200000</v>
      </c>
      <c r="EJ10" s="70">
        <f t="shared" si="54"/>
        <v>25200000</v>
      </c>
      <c r="EK10" s="71"/>
      <c r="EL10" s="72"/>
      <c r="EM10" s="72"/>
      <c r="EN10" s="52" t="s">
        <v>167</v>
      </c>
      <c r="EO10" s="52" t="s">
        <v>168</v>
      </c>
      <c r="EP10" s="52" t="s">
        <v>169</v>
      </c>
      <c r="EQ10" s="52" t="s">
        <v>164</v>
      </c>
      <c r="ER10" s="52" t="s">
        <v>165</v>
      </c>
      <c r="ES10" s="52"/>
      <c r="ET10" s="73"/>
      <c r="EU10" s="74"/>
      <c r="EV10" s="75"/>
    </row>
    <row r="11" spans="1:152" s="76" customFormat="1" ht="45" customHeight="1" outlineLevel="1">
      <c r="A11" s="44">
        <v>3</v>
      </c>
      <c r="B11" s="44">
        <v>2202819</v>
      </c>
      <c r="C11" s="45" t="s">
        <v>170</v>
      </c>
      <c r="D11" s="46">
        <v>4750000</v>
      </c>
      <c r="E11" s="47">
        <f t="shared" si="0"/>
        <v>0</v>
      </c>
      <c r="F11" s="48">
        <f t="shared" si="1"/>
        <v>4750000</v>
      </c>
      <c r="G11" s="48">
        <v>0</v>
      </c>
      <c r="H11" s="48">
        <f t="shared" si="2"/>
        <v>4550000</v>
      </c>
      <c r="I11" s="48">
        <f t="shared" si="3"/>
        <v>930000</v>
      </c>
      <c r="J11" s="48">
        <f t="shared" si="4"/>
        <v>5480000</v>
      </c>
      <c r="K11" s="48">
        <f t="shared" si="5"/>
        <v>10230000</v>
      </c>
      <c r="L11" s="49">
        <v>1</v>
      </c>
      <c r="M11" s="50">
        <v>21.5</v>
      </c>
      <c r="N11" s="50">
        <v>2.85</v>
      </c>
      <c r="O11" s="50">
        <v>0</v>
      </c>
      <c r="P11" s="50"/>
      <c r="Q11" s="50">
        <v>9.75</v>
      </c>
      <c r="R11" s="50">
        <v>0</v>
      </c>
      <c r="S11" s="50"/>
      <c r="T11" s="50">
        <v>0</v>
      </c>
      <c r="U11" s="50"/>
      <c r="V11" s="50"/>
      <c r="W11" s="50"/>
      <c r="X11" s="50">
        <v>0</v>
      </c>
      <c r="Y11" s="50">
        <v>2</v>
      </c>
      <c r="Z11" s="51"/>
      <c r="AA11" s="51"/>
      <c r="AB11" s="50"/>
      <c r="AC11" s="50">
        <v>0</v>
      </c>
      <c r="AD11" s="50"/>
      <c r="AE11" s="50">
        <v>1.5</v>
      </c>
      <c r="AF11" s="48">
        <f t="shared" si="6"/>
        <v>3927885</v>
      </c>
      <c r="AG11" s="48">
        <f t="shared" si="7"/>
        <v>1019423</v>
      </c>
      <c r="AH11" s="48">
        <f t="shared" si="8"/>
        <v>0</v>
      </c>
      <c r="AI11" s="46">
        <f t="shared" si="9"/>
        <v>1046250</v>
      </c>
      <c r="AJ11" s="46"/>
      <c r="AK11" s="48">
        <f t="shared" si="10"/>
        <v>0</v>
      </c>
      <c r="AL11" s="48">
        <f t="shared" si="11"/>
        <v>0</v>
      </c>
      <c r="AM11" s="48">
        <f t="shared" si="12"/>
        <v>0</v>
      </c>
      <c r="AN11" s="48">
        <f t="shared" si="13"/>
        <v>786923</v>
      </c>
      <c r="AO11" s="52">
        <f t="shared" si="14"/>
        <v>0</v>
      </c>
      <c r="AP11" s="52">
        <f t="shared" si="15"/>
        <v>0</v>
      </c>
      <c r="AQ11" s="52"/>
      <c r="AR11" s="48">
        <f t="shared" si="16"/>
        <v>487000</v>
      </c>
      <c r="AS11" s="52">
        <v>0</v>
      </c>
      <c r="AT11" s="48">
        <f t="shared" si="17"/>
        <v>0</v>
      </c>
      <c r="AU11" s="53">
        <f t="shared" si="18"/>
        <v>0</v>
      </c>
      <c r="AV11" s="48">
        <f t="shared" si="19"/>
        <v>0</v>
      </c>
      <c r="AW11" s="54">
        <f t="shared" si="20"/>
        <v>405288</v>
      </c>
      <c r="AX11" s="48">
        <f t="shared" si="21"/>
        <v>0</v>
      </c>
      <c r="AY11" s="48"/>
      <c r="AZ11" s="52">
        <v>0</v>
      </c>
      <c r="BA11" s="48"/>
      <c r="BB11" s="52">
        <v>0</v>
      </c>
      <c r="BC11" s="55"/>
      <c r="BD11" s="48"/>
      <c r="BE11" s="48"/>
      <c r="BF11" s="48">
        <f t="shared" si="22"/>
        <v>0</v>
      </c>
      <c r="BG11" s="48"/>
      <c r="BH11" s="48"/>
      <c r="BI11" s="48">
        <f t="shared" si="23"/>
        <v>4531538</v>
      </c>
      <c r="BJ11" s="48">
        <f t="shared" si="24"/>
        <v>12204307</v>
      </c>
      <c r="BK11" s="48">
        <v>6070665</v>
      </c>
      <c r="BL11" s="48">
        <f t="shared" si="25"/>
        <v>6133642</v>
      </c>
      <c r="BM11" s="48">
        <f t="shared" si="26"/>
        <v>0</v>
      </c>
      <c r="BN11" s="48">
        <f t="shared" si="27"/>
        <v>0</v>
      </c>
      <c r="BO11" s="48">
        <f t="shared" si="28"/>
        <v>0</v>
      </c>
      <c r="BP11" s="48">
        <f t="shared" si="29"/>
        <v>0</v>
      </c>
      <c r="BQ11" s="48"/>
      <c r="BR11" s="46">
        <f t="shared" si="30"/>
        <v>0</v>
      </c>
      <c r="BS11" s="56">
        <f t="shared" si="31"/>
        <v>0</v>
      </c>
      <c r="BT11" s="48"/>
      <c r="BU11" s="48" t="str">
        <f t="shared" si="32"/>
        <v/>
      </c>
      <c r="BV11" s="48"/>
      <c r="BW11" s="48"/>
      <c r="BX11" s="48">
        <f t="shared" si="33"/>
        <v>115000</v>
      </c>
      <c r="BY11" s="48"/>
      <c r="BZ11" s="48"/>
      <c r="CA11" s="48"/>
      <c r="CB11" s="48">
        <v>0</v>
      </c>
      <c r="CC11" s="48"/>
      <c r="CD11" s="48"/>
      <c r="CE11" s="46">
        <f t="shared" si="34"/>
        <v>115000</v>
      </c>
      <c r="CF11" s="57">
        <f t="shared" si="35"/>
        <v>6018642</v>
      </c>
      <c r="CG11" s="46"/>
      <c r="CH11" s="46">
        <v>0</v>
      </c>
      <c r="CI11" s="52"/>
      <c r="CJ11" s="52"/>
      <c r="CK11" s="58">
        <f t="shared" si="55"/>
        <v>0</v>
      </c>
      <c r="CL11" s="46">
        <f t="shared" si="36"/>
        <v>1</v>
      </c>
      <c r="CM11" s="46"/>
      <c r="CN11" s="46" t="s">
        <v>171</v>
      </c>
      <c r="CO11" s="52">
        <f t="shared" si="37"/>
        <v>20000</v>
      </c>
      <c r="CP11" s="46" t="s">
        <v>159</v>
      </c>
      <c r="CQ11" s="46">
        <v>498750</v>
      </c>
      <c r="CR11" s="59"/>
      <c r="CS11" s="46"/>
      <c r="CT11" s="54">
        <f t="shared" si="38"/>
        <v>11158057</v>
      </c>
      <c r="CU11" s="57">
        <v>1</v>
      </c>
      <c r="CV11" s="46">
        <f t="shared" si="56"/>
        <v>6200000</v>
      </c>
      <c r="CW11" s="46">
        <v>15500000</v>
      </c>
      <c r="CX11" s="46">
        <f t="shared" si="39"/>
        <v>21700000</v>
      </c>
      <c r="CY11" s="46">
        <f t="shared" si="40"/>
        <v>0</v>
      </c>
      <c r="CZ11" s="46">
        <f t="shared" si="41"/>
        <v>0</v>
      </c>
      <c r="DA11" s="46"/>
      <c r="DB11" s="46"/>
      <c r="DC11" s="49">
        <f t="shared" si="42"/>
        <v>0</v>
      </c>
      <c r="DD11" s="49">
        <f t="shared" si="43"/>
        <v>0</v>
      </c>
      <c r="DE11" s="49">
        <f t="shared" si="44"/>
        <v>0</v>
      </c>
      <c r="DF11" s="49">
        <f t="shared" ref="DF11:DF15" si="57">IF(DB11="x",50%,0)</f>
        <v>0</v>
      </c>
      <c r="DG11" s="60"/>
      <c r="DH11" s="61"/>
      <c r="DI11" s="60"/>
      <c r="DJ11" s="50"/>
      <c r="DK11" s="62"/>
      <c r="DL11" s="63"/>
      <c r="DM11" s="62"/>
      <c r="DN11" s="64"/>
      <c r="DO11" s="65">
        <f t="shared" si="45"/>
        <v>0</v>
      </c>
      <c r="DP11" s="52">
        <f t="shared" si="46"/>
        <v>0</v>
      </c>
      <c r="DQ11" s="65">
        <f t="shared" si="47"/>
        <v>0</v>
      </c>
      <c r="DR11" s="65">
        <f t="shared" si="48"/>
        <v>0</v>
      </c>
      <c r="DS11" s="66"/>
      <c r="DT11" s="67"/>
      <c r="DU11" s="52">
        <v>23750</v>
      </c>
      <c r="DV11" s="52">
        <v>110000</v>
      </c>
      <c r="DW11" s="52">
        <f t="shared" si="49"/>
        <v>498750</v>
      </c>
      <c r="DX11" s="52">
        <f t="shared" si="50"/>
        <v>632500</v>
      </c>
      <c r="DY11" s="52">
        <f t="shared" si="51"/>
        <v>747500</v>
      </c>
      <c r="DZ11" s="52">
        <v>5438165</v>
      </c>
      <c r="EA11" s="52">
        <f t="shared" si="52"/>
        <v>11456807</v>
      </c>
      <c r="EB11" s="68"/>
      <c r="EC11" s="69">
        <v>45627</v>
      </c>
      <c r="ED11" s="46" t="str">
        <f t="shared" si="53"/>
        <v>B3</v>
      </c>
      <c r="EE11" s="52">
        <v>9300000</v>
      </c>
      <c r="EF11" s="46">
        <v>0</v>
      </c>
      <c r="EG11" s="46">
        <v>0</v>
      </c>
      <c r="EH11" s="50">
        <v>10</v>
      </c>
      <c r="EI11" s="48">
        <f t="shared" ref="EI11:EI15" si="58">(EF11+EG11+EH11)*0.01*EE11</f>
        <v>930000</v>
      </c>
      <c r="EJ11" s="70">
        <f t="shared" si="54"/>
        <v>10230000</v>
      </c>
      <c r="EK11" s="71"/>
      <c r="EL11" s="72"/>
      <c r="EM11" s="72"/>
      <c r="EN11" s="52" t="s">
        <v>167</v>
      </c>
      <c r="EO11" s="52" t="s">
        <v>172</v>
      </c>
      <c r="EP11" s="52" t="s">
        <v>169</v>
      </c>
      <c r="EQ11" s="52" t="s">
        <v>164</v>
      </c>
      <c r="ER11" s="52" t="s">
        <v>165</v>
      </c>
      <c r="ES11" s="52"/>
      <c r="ET11" s="73"/>
      <c r="EU11" s="74"/>
      <c r="EV11" s="75"/>
    </row>
    <row r="12" spans="1:152" s="76" customFormat="1" ht="45" customHeight="1" outlineLevel="1">
      <c r="A12" s="44">
        <v>4</v>
      </c>
      <c r="B12" s="44">
        <v>22101933</v>
      </c>
      <c r="C12" s="45" t="s">
        <v>173</v>
      </c>
      <c r="D12" s="46">
        <v>4520000</v>
      </c>
      <c r="E12" s="47">
        <f t="shared" si="0"/>
        <v>0</v>
      </c>
      <c r="F12" s="48">
        <f t="shared" si="1"/>
        <v>4520000</v>
      </c>
      <c r="G12" s="48">
        <v>0</v>
      </c>
      <c r="H12" s="48">
        <f t="shared" si="2"/>
        <v>5380000</v>
      </c>
      <c r="I12" s="48">
        <f t="shared" si="3"/>
        <v>990000</v>
      </c>
      <c r="J12" s="48">
        <f t="shared" si="4"/>
        <v>6370000</v>
      </c>
      <c r="K12" s="48">
        <f t="shared" si="5"/>
        <v>10890000</v>
      </c>
      <c r="L12" s="49">
        <v>1</v>
      </c>
      <c r="M12" s="50">
        <v>25</v>
      </c>
      <c r="N12" s="50">
        <v>13.18</v>
      </c>
      <c r="O12" s="50">
        <v>3</v>
      </c>
      <c r="P12" s="50"/>
      <c r="Q12" s="50">
        <v>0.31</v>
      </c>
      <c r="R12" s="50">
        <v>0</v>
      </c>
      <c r="S12" s="50"/>
      <c r="T12" s="50">
        <v>0</v>
      </c>
      <c r="U12" s="50"/>
      <c r="V12" s="50"/>
      <c r="W12" s="50"/>
      <c r="X12" s="50">
        <v>2</v>
      </c>
      <c r="Y12" s="50">
        <v>0</v>
      </c>
      <c r="Z12" s="51"/>
      <c r="AA12" s="51"/>
      <c r="AB12" s="50"/>
      <c r="AC12" s="50">
        <v>0</v>
      </c>
      <c r="AD12" s="50"/>
      <c r="AE12" s="50">
        <v>0</v>
      </c>
      <c r="AF12" s="48">
        <f t="shared" si="6"/>
        <v>4346154</v>
      </c>
      <c r="AG12" s="48">
        <f t="shared" si="7"/>
        <v>5018538</v>
      </c>
      <c r="AH12" s="48">
        <f t="shared" si="8"/>
        <v>1142308</v>
      </c>
      <c r="AI12" s="46">
        <f t="shared" si="9"/>
        <v>35412</v>
      </c>
      <c r="AJ12" s="46"/>
      <c r="AK12" s="48">
        <f t="shared" si="10"/>
        <v>0</v>
      </c>
      <c r="AL12" s="48">
        <f t="shared" si="11"/>
        <v>0</v>
      </c>
      <c r="AM12" s="48">
        <f t="shared" si="12"/>
        <v>0</v>
      </c>
      <c r="AN12" s="48">
        <f t="shared" si="13"/>
        <v>837692</v>
      </c>
      <c r="AO12" s="52">
        <f t="shared" si="14"/>
        <v>0</v>
      </c>
      <c r="AP12" s="52">
        <f t="shared" si="15"/>
        <v>0</v>
      </c>
      <c r="AQ12" s="52"/>
      <c r="AR12" s="48">
        <f t="shared" si="16"/>
        <v>823600</v>
      </c>
      <c r="AS12" s="52">
        <v>0</v>
      </c>
      <c r="AT12" s="48">
        <f t="shared" si="17"/>
        <v>0</v>
      </c>
      <c r="AU12" s="53">
        <f t="shared" si="18"/>
        <v>0</v>
      </c>
      <c r="AV12" s="48">
        <f t="shared" si="19"/>
        <v>0</v>
      </c>
      <c r="AW12" s="54">
        <f t="shared" si="20"/>
        <v>0</v>
      </c>
      <c r="AX12" s="48">
        <f t="shared" si="21"/>
        <v>0</v>
      </c>
      <c r="AY12" s="48"/>
      <c r="AZ12" s="52">
        <v>0</v>
      </c>
      <c r="BA12" s="48"/>
      <c r="BB12" s="52">
        <v>0</v>
      </c>
      <c r="BC12" s="55"/>
      <c r="BD12" s="48"/>
      <c r="BE12" s="48"/>
      <c r="BF12" s="48">
        <f t="shared" si="22"/>
        <v>0</v>
      </c>
      <c r="BG12" s="48"/>
      <c r="BH12" s="48"/>
      <c r="BI12" s="48">
        <f t="shared" si="23"/>
        <v>6125000</v>
      </c>
      <c r="BJ12" s="48">
        <f t="shared" si="24"/>
        <v>18328704</v>
      </c>
      <c r="BK12" s="48">
        <v>8790266</v>
      </c>
      <c r="BL12" s="48">
        <f t="shared" si="25"/>
        <v>9538438</v>
      </c>
      <c r="BM12" s="48">
        <f t="shared" si="26"/>
        <v>0</v>
      </c>
      <c r="BN12" s="48">
        <f t="shared" si="27"/>
        <v>0</v>
      </c>
      <c r="BO12" s="48">
        <f t="shared" si="28"/>
        <v>0</v>
      </c>
      <c r="BP12" s="48">
        <f t="shared" si="29"/>
        <v>0</v>
      </c>
      <c r="BQ12" s="48"/>
      <c r="BR12" s="46">
        <f t="shared" si="30"/>
        <v>0</v>
      </c>
      <c r="BS12" s="56">
        <f t="shared" si="31"/>
        <v>0</v>
      </c>
      <c r="BT12" s="48"/>
      <c r="BU12" s="48" t="str">
        <f t="shared" si="32"/>
        <v/>
      </c>
      <c r="BV12" s="48"/>
      <c r="BW12" s="48"/>
      <c r="BX12" s="48">
        <f t="shared" si="33"/>
        <v>115000</v>
      </c>
      <c r="BY12" s="48"/>
      <c r="BZ12" s="48"/>
      <c r="CA12" s="48"/>
      <c r="CB12" s="48">
        <v>0</v>
      </c>
      <c r="CC12" s="48"/>
      <c r="CD12" s="48"/>
      <c r="CE12" s="46">
        <f t="shared" si="34"/>
        <v>115000</v>
      </c>
      <c r="CF12" s="57">
        <f t="shared" si="35"/>
        <v>9423438</v>
      </c>
      <c r="CG12" s="46"/>
      <c r="CH12" s="46">
        <v>0</v>
      </c>
      <c r="CI12" s="52"/>
      <c r="CJ12" s="52"/>
      <c r="CK12" s="58">
        <f t="shared" si="55"/>
        <v>0</v>
      </c>
      <c r="CL12" s="46">
        <f t="shared" si="36"/>
        <v>1</v>
      </c>
      <c r="CM12" s="46"/>
      <c r="CN12" s="46" t="s">
        <v>171</v>
      </c>
      <c r="CO12" s="52">
        <f t="shared" si="37"/>
        <v>20000</v>
      </c>
      <c r="CP12" s="46" t="s">
        <v>159</v>
      </c>
      <c r="CQ12" s="46">
        <v>474600</v>
      </c>
      <c r="CR12" s="59"/>
      <c r="CS12" s="46"/>
      <c r="CT12" s="54">
        <f t="shared" si="38"/>
        <v>18293292</v>
      </c>
      <c r="CU12" s="57">
        <v>2</v>
      </c>
      <c r="CV12" s="46">
        <f t="shared" si="56"/>
        <v>12400000</v>
      </c>
      <c r="CW12" s="46">
        <v>15500000</v>
      </c>
      <c r="CX12" s="46">
        <f t="shared" si="39"/>
        <v>27900000</v>
      </c>
      <c r="CY12" s="46">
        <f t="shared" si="40"/>
        <v>0</v>
      </c>
      <c r="CZ12" s="46">
        <f t="shared" si="41"/>
        <v>0</v>
      </c>
      <c r="DA12" s="46"/>
      <c r="DB12" s="46"/>
      <c r="DC12" s="49">
        <f t="shared" si="42"/>
        <v>0</v>
      </c>
      <c r="DD12" s="49">
        <f t="shared" si="43"/>
        <v>0</v>
      </c>
      <c r="DE12" s="49">
        <f t="shared" si="44"/>
        <v>0</v>
      </c>
      <c r="DF12" s="49">
        <f t="shared" si="57"/>
        <v>0</v>
      </c>
      <c r="DG12" s="60"/>
      <c r="DH12" s="61"/>
      <c r="DI12" s="60"/>
      <c r="DJ12" s="50"/>
      <c r="DK12" s="62"/>
      <c r="DL12" s="63"/>
      <c r="DM12" s="62"/>
      <c r="DN12" s="64"/>
      <c r="DO12" s="65">
        <f t="shared" si="45"/>
        <v>0</v>
      </c>
      <c r="DP12" s="52">
        <f t="shared" si="46"/>
        <v>0</v>
      </c>
      <c r="DQ12" s="65">
        <f t="shared" si="47"/>
        <v>0</v>
      </c>
      <c r="DR12" s="65">
        <f t="shared" si="48"/>
        <v>0</v>
      </c>
      <c r="DS12" s="66"/>
      <c r="DT12" s="67"/>
      <c r="DU12" s="52">
        <v>22600</v>
      </c>
      <c r="DV12" s="52">
        <v>110000</v>
      </c>
      <c r="DW12" s="52">
        <f t="shared" si="49"/>
        <v>474600</v>
      </c>
      <c r="DX12" s="52">
        <f t="shared" si="50"/>
        <v>607200</v>
      </c>
      <c r="DY12" s="52">
        <f t="shared" si="51"/>
        <v>722200</v>
      </c>
      <c r="DZ12" s="52">
        <v>8183066</v>
      </c>
      <c r="EA12" s="52">
        <f t="shared" si="52"/>
        <v>17606504</v>
      </c>
      <c r="EB12" s="68"/>
      <c r="EC12" s="69">
        <v>45292</v>
      </c>
      <c r="ED12" s="46" t="str">
        <f t="shared" si="53"/>
        <v>B3</v>
      </c>
      <c r="EE12" s="52">
        <v>9900000</v>
      </c>
      <c r="EF12" s="46">
        <v>0</v>
      </c>
      <c r="EG12" s="46">
        <v>0</v>
      </c>
      <c r="EH12" s="50">
        <v>10</v>
      </c>
      <c r="EI12" s="48">
        <f t="shared" si="58"/>
        <v>990000</v>
      </c>
      <c r="EJ12" s="70">
        <f t="shared" si="54"/>
        <v>10890000</v>
      </c>
      <c r="EK12" s="71"/>
      <c r="EL12" s="72"/>
      <c r="EM12" s="72"/>
      <c r="EN12" s="52" t="s">
        <v>167</v>
      </c>
      <c r="EO12" s="52" t="s">
        <v>172</v>
      </c>
      <c r="EP12" s="52" t="s">
        <v>169</v>
      </c>
      <c r="EQ12" s="52" t="s">
        <v>164</v>
      </c>
      <c r="ER12" s="52" t="s">
        <v>165</v>
      </c>
      <c r="ES12" s="52"/>
      <c r="ET12" s="73"/>
      <c r="EU12" s="74"/>
      <c r="EV12" s="75"/>
    </row>
    <row r="13" spans="1:152" s="76" customFormat="1" ht="45" customHeight="1" outlineLevel="1">
      <c r="A13" s="44">
        <v>5</v>
      </c>
      <c r="B13" s="44">
        <v>2208415</v>
      </c>
      <c r="C13" s="45" t="s">
        <v>174</v>
      </c>
      <c r="D13" s="46">
        <v>4300000</v>
      </c>
      <c r="E13" s="47">
        <f t="shared" si="0"/>
        <v>0</v>
      </c>
      <c r="F13" s="48">
        <f t="shared" si="1"/>
        <v>4300000</v>
      </c>
      <c r="G13" s="48">
        <v>0</v>
      </c>
      <c r="H13" s="48">
        <f t="shared" si="2"/>
        <v>3200000</v>
      </c>
      <c r="I13" s="48">
        <f t="shared" si="3"/>
        <v>0</v>
      </c>
      <c r="J13" s="48">
        <f t="shared" si="4"/>
        <v>3200000</v>
      </c>
      <c r="K13" s="48">
        <f t="shared" si="5"/>
        <v>7500000</v>
      </c>
      <c r="L13" s="49">
        <v>1</v>
      </c>
      <c r="M13" s="50">
        <v>25</v>
      </c>
      <c r="N13" s="50">
        <v>13.9</v>
      </c>
      <c r="O13" s="50">
        <v>4</v>
      </c>
      <c r="P13" s="50"/>
      <c r="Q13" s="50">
        <v>0</v>
      </c>
      <c r="R13" s="50">
        <v>0</v>
      </c>
      <c r="S13" s="50"/>
      <c r="T13" s="50">
        <v>0</v>
      </c>
      <c r="U13" s="50"/>
      <c r="V13" s="50"/>
      <c r="W13" s="50"/>
      <c r="X13" s="50">
        <v>2</v>
      </c>
      <c r="Y13" s="50">
        <v>0</v>
      </c>
      <c r="Z13" s="51"/>
      <c r="AA13" s="51"/>
      <c r="AB13" s="50"/>
      <c r="AC13" s="50">
        <v>0</v>
      </c>
      <c r="AD13" s="50"/>
      <c r="AE13" s="50">
        <v>0</v>
      </c>
      <c r="AF13" s="48">
        <f t="shared" si="6"/>
        <v>4134615</v>
      </c>
      <c r="AG13" s="48">
        <f t="shared" si="7"/>
        <v>4009615</v>
      </c>
      <c r="AH13" s="48">
        <f t="shared" si="8"/>
        <v>1323077</v>
      </c>
      <c r="AI13" s="46">
        <f t="shared" si="9"/>
        <v>0</v>
      </c>
      <c r="AJ13" s="46"/>
      <c r="AK13" s="48">
        <f t="shared" si="10"/>
        <v>0</v>
      </c>
      <c r="AL13" s="48">
        <f t="shared" si="11"/>
        <v>0</v>
      </c>
      <c r="AM13" s="48">
        <f t="shared" si="12"/>
        <v>0</v>
      </c>
      <c r="AN13" s="48">
        <f t="shared" si="13"/>
        <v>545913</v>
      </c>
      <c r="AO13" s="52">
        <f t="shared" si="14"/>
        <v>0</v>
      </c>
      <c r="AP13" s="52">
        <f t="shared" si="15"/>
        <v>0</v>
      </c>
      <c r="AQ13" s="52"/>
      <c r="AR13" s="48">
        <f t="shared" si="16"/>
        <v>1372800</v>
      </c>
      <c r="AS13" s="52">
        <v>0</v>
      </c>
      <c r="AT13" s="48">
        <f t="shared" si="17"/>
        <v>31010</v>
      </c>
      <c r="AU13" s="53">
        <f t="shared" si="18"/>
        <v>0</v>
      </c>
      <c r="AV13" s="48">
        <f t="shared" si="19"/>
        <v>0</v>
      </c>
      <c r="AW13" s="54">
        <f t="shared" si="20"/>
        <v>0</v>
      </c>
      <c r="AX13" s="48">
        <f t="shared" si="21"/>
        <v>0</v>
      </c>
      <c r="AY13" s="48"/>
      <c r="AZ13" s="52">
        <v>0</v>
      </c>
      <c r="BA13" s="48"/>
      <c r="BB13" s="52">
        <v>245078</v>
      </c>
      <c r="BC13" s="55">
        <v>0</v>
      </c>
      <c r="BD13" s="48"/>
      <c r="BE13" s="48"/>
      <c r="BF13" s="48">
        <f t="shared" si="22"/>
        <v>0</v>
      </c>
      <c r="BG13" s="48"/>
      <c r="BH13" s="48"/>
      <c r="BI13" s="48">
        <f t="shared" si="23"/>
        <v>3076923</v>
      </c>
      <c r="BJ13" s="48">
        <f t="shared" si="24"/>
        <v>14739031</v>
      </c>
      <c r="BK13" s="48">
        <v>6764943</v>
      </c>
      <c r="BL13" s="48">
        <f t="shared" si="25"/>
        <v>7974088</v>
      </c>
      <c r="BM13" s="48">
        <f t="shared" si="26"/>
        <v>0</v>
      </c>
      <c r="BN13" s="48">
        <f t="shared" si="27"/>
        <v>0</v>
      </c>
      <c r="BO13" s="48">
        <f t="shared" si="28"/>
        <v>0</v>
      </c>
      <c r="BP13" s="48">
        <f t="shared" si="29"/>
        <v>0</v>
      </c>
      <c r="BQ13" s="48"/>
      <c r="BR13" s="46">
        <f t="shared" si="30"/>
        <v>0</v>
      </c>
      <c r="BS13" s="56">
        <f t="shared" si="31"/>
        <v>0</v>
      </c>
      <c r="BT13" s="48"/>
      <c r="BU13" s="48" t="str">
        <f t="shared" si="32"/>
        <v/>
      </c>
      <c r="BV13" s="48"/>
      <c r="BW13" s="48"/>
      <c r="BX13" s="48">
        <f t="shared" si="33"/>
        <v>115000</v>
      </c>
      <c r="BY13" s="48"/>
      <c r="BZ13" s="48"/>
      <c r="CA13" s="48"/>
      <c r="CB13" s="48">
        <v>0</v>
      </c>
      <c r="CC13" s="48"/>
      <c r="CD13" s="48"/>
      <c r="CE13" s="46">
        <f t="shared" si="34"/>
        <v>115000</v>
      </c>
      <c r="CF13" s="57">
        <f t="shared" si="35"/>
        <v>7859088</v>
      </c>
      <c r="CG13" s="46" t="s">
        <v>158</v>
      </c>
      <c r="CH13" s="46">
        <v>0</v>
      </c>
      <c r="CI13" s="52"/>
      <c r="CJ13" s="52"/>
      <c r="CK13" s="58">
        <f t="shared" si="55"/>
        <v>0</v>
      </c>
      <c r="CL13" s="46">
        <f t="shared" si="36"/>
        <v>1</v>
      </c>
      <c r="CM13" s="46"/>
      <c r="CN13" s="46" t="s">
        <v>175</v>
      </c>
      <c r="CO13" s="52">
        <f t="shared" si="37"/>
        <v>32000</v>
      </c>
      <c r="CP13" s="46" t="s">
        <v>159</v>
      </c>
      <c r="CQ13" s="46">
        <v>451500</v>
      </c>
      <c r="CR13" s="59"/>
      <c r="CS13" s="46"/>
      <c r="CT13" s="54">
        <f t="shared" si="38"/>
        <v>14739031</v>
      </c>
      <c r="CU13" s="57">
        <v>0</v>
      </c>
      <c r="CV13" s="46">
        <f t="shared" si="56"/>
        <v>0</v>
      </c>
      <c r="CW13" s="46">
        <v>15500000</v>
      </c>
      <c r="CX13" s="46">
        <f t="shared" si="39"/>
        <v>15500000</v>
      </c>
      <c r="CY13" s="46">
        <f t="shared" si="40"/>
        <v>0</v>
      </c>
      <c r="CZ13" s="46">
        <f t="shared" si="41"/>
        <v>0</v>
      </c>
      <c r="DA13" s="46"/>
      <c r="DB13" s="46"/>
      <c r="DC13" s="49">
        <f t="shared" si="42"/>
        <v>0</v>
      </c>
      <c r="DD13" s="49">
        <f t="shared" si="43"/>
        <v>0</v>
      </c>
      <c r="DE13" s="49">
        <f t="shared" si="44"/>
        <v>0</v>
      </c>
      <c r="DF13" s="49">
        <f t="shared" si="57"/>
        <v>0</v>
      </c>
      <c r="DG13" s="60"/>
      <c r="DH13" s="61"/>
      <c r="DI13" s="60"/>
      <c r="DJ13" s="50"/>
      <c r="DK13" s="62"/>
      <c r="DL13" s="63"/>
      <c r="DM13" s="62"/>
      <c r="DN13" s="64"/>
      <c r="DO13" s="65">
        <f t="shared" si="45"/>
        <v>0</v>
      </c>
      <c r="DP13" s="52">
        <f t="shared" si="46"/>
        <v>0</v>
      </c>
      <c r="DQ13" s="65">
        <f t="shared" si="47"/>
        <v>0</v>
      </c>
      <c r="DR13" s="65">
        <f t="shared" si="48"/>
        <v>0</v>
      </c>
      <c r="DS13" s="66"/>
      <c r="DT13" s="67"/>
      <c r="DU13" s="52">
        <v>21500</v>
      </c>
      <c r="DV13" s="52">
        <v>110000</v>
      </c>
      <c r="DW13" s="52">
        <f t="shared" si="49"/>
        <v>451500</v>
      </c>
      <c r="DX13" s="52">
        <f t="shared" si="50"/>
        <v>583000</v>
      </c>
      <c r="DY13" s="52">
        <f t="shared" si="51"/>
        <v>698000</v>
      </c>
      <c r="DZ13" s="52">
        <v>6181943</v>
      </c>
      <c r="EA13" s="52">
        <f t="shared" si="52"/>
        <v>14041031</v>
      </c>
      <c r="EB13" s="68"/>
      <c r="EC13" s="69">
        <v>45968</v>
      </c>
      <c r="ED13" s="46" t="str">
        <f t="shared" si="53"/>
        <v>B3</v>
      </c>
      <c r="EE13" s="52">
        <v>7500000</v>
      </c>
      <c r="EF13" s="46">
        <v>0</v>
      </c>
      <c r="EG13" s="46">
        <v>0</v>
      </c>
      <c r="EH13" s="50">
        <v>0</v>
      </c>
      <c r="EI13" s="48">
        <f t="shared" si="58"/>
        <v>0</v>
      </c>
      <c r="EJ13" s="70">
        <f t="shared" si="54"/>
        <v>7500000</v>
      </c>
      <c r="EK13" s="71"/>
      <c r="EL13" s="72"/>
      <c r="EM13" s="72"/>
      <c r="EN13" s="52" t="s">
        <v>161</v>
      </c>
      <c r="EO13" s="52" t="s">
        <v>176</v>
      </c>
      <c r="EP13" s="52" t="s">
        <v>177</v>
      </c>
      <c r="EQ13" s="52" t="s">
        <v>164</v>
      </c>
      <c r="ER13" s="52" t="s">
        <v>165</v>
      </c>
      <c r="ES13" s="52"/>
      <c r="ET13" s="73"/>
      <c r="EU13" s="74"/>
      <c r="EV13" s="75"/>
    </row>
    <row r="14" spans="1:152" s="76" customFormat="1" ht="45" customHeight="1" outlineLevel="1">
      <c r="A14" s="44">
        <v>6</v>
      </c>
      <c r="B14" s="44">
        <v>1611253</v>
      </c>
      <c r="C14" s="45" t="s">
        <v>178</v>
      </c>
      <c r="D14" s="46">
        <v>4300000</v>
      </c>
      <c r="E14" s="47">
        <f t="shared" si="0"/>
        <v>0</v>
      </c>
      <c r="F14" s="48">
        <f t="shared" si="1"/>
        <v>4300000</v>
      </c>
      <c r="G14" s="48">
        <v>0</v>
      </c>
      <c r="H14" s="48">
        <f t="shared" si="2"/>
        <v>3500000</v>
      </c>
      <c r="I14" s="48">
        <f t="shared" si="3"/>
        <v>0</v>
      </c>
      <c r="J14" s="48">
        <f t="shared" si="4"/>
        <v>3500000</v>
      </c>
      <c r="K14" s="48">
        <f t="shared" si="5"/>
        <v>7800000</v>
      </c>
      <c r="L14" s="49">
        <v>1</v>
      </c>
      <c r="M14" s="50">
        <v>24</v>
      </c>
      <c r="N14" s="50">
        <v>8.5</v>
      </c>
      <c r="O14" s="50">
        <v>3</v>
      </c>
      <c r="P14" s="50"/>
      <c r="Q14" s="50">
        <v>0</v>
      </c>
      <c r="R14" s="50">
        <v>0</v>
      </c>
      <c r="S14" s="50"/>
      <c r="T14" s="50">
        <v>0</v>
      </c>
      <c r="U14" s="50"/>
      <c r="V14" s="50"/>
      <c r="W14" s="50"/>
      <c r="X14" s="50">
        <v>1</v>
      </c>
      <c r="Y14" s="50">
        <v>1</v>
      </c>
      <c r="Z14" s="51"/>
      <c r="AA14" s="51"/>
      <c r="AB14" s="50"/>
      <c r="AC14" s="50">
        <v>0</v>
      </c>
      <c r="AD14" s="50"/>
      <c r="AE14" s="50">
        <v>0</v>
      </c>
      <c r="AF14" s="48">
        <f t="shared" si="6"/>
        <v>3969231</v>
      </c>
      <c r="AG14" s="48">
        <f t="shared" si="7"/>
        <v>2550000</v>
      </c>
      <c r="AH14" s="48">
        <f t="shared" si="8"/>
        <v>992308</v>
      </c>
      <c r="AI14" s="46">
        <f t="shared" si="9"/>
        <v>0</v>
      </c>
      <c r="AJ14" s="46"/>
      <c r="AK14" s="48">
        <f t="shared" si="10"/>
        <v>0</v>
      </c>
      <c r="AL14" s="48">
        <f t="shared" si="11"/>
        <v>0</v>
      </c>
      <c r="AM14" s="48">
        <f t="shared" si="12"/>
        <v>0</v>
      </c>
      <c r="AN14" s="48">
        <f t="shared" si="13"/>
        <v>600000</v>
      </c>
      <c r="AO14" s="52">
        <f t="shared" si="14"/>
        <v>0</v>
      </c>
      <c r="AP14" s="52">
        <f t="shared" si="15"/>
        <v>0</v>
      </c>
      <c r="AQ14" s="52"/>
      <c r="AR14" s="48">
        <f t="shared" si="16"/>
        <v>710000</v>
      </c>
      <c r="AS14" s="52">
        <v>0</v>
      </c>
      <c r="AT14" s="48">
        <f t="shared" si="17"/>
        <v>0</v>
      </c>
      <c r="AU14" s="53">
        <f t="shared" si="18"/>
        <v>0</v>
      </c>
      <c r="AV14" s="48">
        <f t="shared" si="19"/>
        <v>0</v>
      </c>
      <c r="AW14" s="54">
        <f t="shared" si="20"/>
        <v>0</v>
      </c>
      <c r="AX14" s="48">
        <f t="shared" si="21"/>
        <v>0</v>
      </c>
      <c r="AY14" s="48"/>
      <c r="AZ14" s="52">
        <v>0</v>
      </c>
      <c r="BA14" s="48"/>
      <c r="BB14" s="52">
        <v>0</v>
      </c>
      <c r="BC14" s="55"/>
      <c r="BD14" s="48"/>
      <c r="BE14" s="48"/>
      <c r="BF14" s="48">
        <f t="shared" si="22"/>
        <v>0</v>
      </c>
      <c r="BG14" s="48"/>
      <c r="BH14" s="48"/>
      <c r="BI14" s="48">
        <f t="shared" si="23"/>
        <v>3230769</v>
      </c>
      <c r="BJ14" s="48">
        <f t="shared" si="24"/>
        <v>12052308</v>
      </c>
      <c r="BK14" s="48">
        <v>5920000</v>
      </c>
      <c r="BL14" s="48">
        <f t="shared" si="25"/>
        <v>6132308</v>
      </c>
      <c r="BM14" s="48">
        <f t="shared" si="26"/>
        <v>0</v>
      </c>
      <c r="BN14" s="48">
        <f t="shared" si="27"/>
        <v>0</v>
      </c>
      <c r="BO14" s="48">
        <f t="shared" si="28"/>
        <v>0</v>
      </c>
      <c r="BP14" s="48">
        <f t="shared" si="29"/>
        <v>0</v>
      </c>
      <c r="BQ14" s="48"/>
      <c r="BR14" s="46">
        <f t="shared" si="30"/>
        <v>0</v>
      </c>
      <c r="BS14" s="56">
        <f t="shared" si="31"/>
        <v>0</v>
      </c>
      <c r="BT14" s="48"/>
      <c r="BU14" s="48" t="str">
        <f t="shared" si="32"/>
        <v/>
      </c>
      <c r="BV14" s="48"/>
      <c r="BW14" s="48"/>
      <c r="BX14" s="48">
        <f t="shared" si="33"/>
        <v>115000</v>
      </c>
      <c r="BY14" s="48"/>
      <c r="BZ14" s="48"/>
      <c r="CA14" s="48"/>
      <c r="CB14" s="48">
        <v>0</v>
      </c>
      <c r="CC14" s="48"/>
      <c r="CD14" s="48"/>
      <c r="CE14" s="46">
        <f t="shared" si="34"/>
        <v>115000</v>
      </c>
      <c r="CF14" s="57">
        <f t="shared" si="35"/>
        <v>6017308</v>
      </c>
      <c r="CG14" s="46"/>
      <c r="CH14" s="46">
        <v>0</v>
      </c>
      <c r="CI14" s="52"/>
      <c r="CJ14" s="52"/>
      <c r="CK14" s="58">
        <f t="shared" si="55"/>
        <v>0</v>
      </c>
      <c r="CL14" s="46">
        <f t="shared" si="36"/>
        <v>1</v>
      </c>
      <c r="CM14" s="46"/>
      <c r="CN14" s="46" t="s">
        <v>171</v>
      </c>
      <c r="CO14" s="52">
        <f t="shared" si="37"/>
        <v>20000</v>
      </c>
      <c r="CP14" s="46" t="s">
        <v>159</v>
      </c>
      <c r="CQ14" s="46">
        <v>451500</v>
      </c>
      <c r="CR14" s="59"/>
      <c r="CS14" s="46"/>
      <c r="CT14" s="54">
        <f t="shared" si="38"/>
        <v>12052308</v>
      </c>
      <c r="CU14" s="57">
        <v>0</v>
      </c>
      <c r="CV14" s="46">
        <f t="shared" si="56"/>
        <v>0</v>
      </c>
      <c r="CW14" s="46">
        <v>15500000</v>
      </c>
      <c r="CX14" s="46">
        <f t="shared" si="39"/>
        <v>15500000</v>
      </c>
      <c r="CY14" s="46">
        <f t="shared" si="40"/>
        <v>0</v>
      </c>
      <c r="CZ14" s="46">
        <f t="shared" si="41"/>
        <v>0</v>
      </c>
      <c r="DA14" s="46"/>
      <c r="DB14" s="46"/>
      <c r="DC14" s="49">
        <f t="shared" si="42"/>
        <v>0</v>
      </c>
      <c r="DD14" s="49">
        <f t="shared" si="43"/>
        <v>0</v>
      </c>
      <c r="DE14" s="49">
        <f t="shared" si="44"/>
        <v>0</v>
      </c>
      <c r="DF14" s="49">
        <f t="shared" si="57"/>
        <v>0</v>
      </c>
      <c r="DG14" s="60"/>
      <c r="DH14" s="61"/>
      <c r="DI14" s="60"/>
      <c r="DJ14" s="50"/>
      <c r="DK14" s="62"/>
      <c r="DL14" s="63"/>
      <c r="DM14" s="62"/>
      <c r="DN14" s="64"/>
      <c r="DO14" s="65">
        <f t="shared" si="45"/>
        <v>0</v>
      </c>
      <c r="DP14" s="52">
        <f t="shared" si="46"/>
        <v>0</v>
      </c>
      <c r="DQ14" s="65">
        <f t="shared" si="47"/>
        <v>0</v>
      </c>
      <c r="DR14" s="65">
        <f t="shared" si="48"/>
        <v>0</v>
      </c>
      <c r="DS14" s="66"/>
      <c r="DT14" s="67"/>
      <c r="DU14" s="52">
        <v>21500</v>
      </c>
      <c r="DV14" s="52">
        <v>110000</v>
      </c>
      <c r="DW14" s="52">
        <f t="shared" si="49"/>
        <v>451500</v>
      </c>
      <c r="DX14" s="52">
        <f t="shared" si="50"/>
        <v>583000</v>
      </c>
      <c r="DY14" s="52">
        <f t="shared" si="51"/>
        <v>698000</v>
      </c>
      <c r="DZ14" s="52">
        <v>5337000</v>
      </c>
      <c r="EA14" s="52">
        <f t="shared" si="52"/>
        <v>11354308</v>
      </c>
      <c r="EB14" s="68"/>
      <c r="EC14" s="69">
        <v>45292</v>
      </c>
      <c r="ED14" s="46" t="str">
        <f t="shared" si="53"/>
        <v>B3</v>
      </c>
      <c r="EE14" s="52">
        <v>7800000</v>
      </c>
      <c r="EF14" s="46">
        <v>0</v>
      </c>
      <c r="EG14" s="46">
        <v>0</v>
      </c>
      <c r="EH14" s="50">
        <v>0</v>
      </c>
      <c r="EI14" s="48">
        <f t="shared" si="58"/>
        <v>0</v>
      </c>
      <c r="EJ14" s="70">
        <f t="shared" si="54"/>
        <v>7800000</v>
      </c>
      <c r="EK14" s="71"/>
      <c r="EL14" s="72"/>
      <c r="EM14" s="72"/>
      <c r="EN14" s="52" t="s">
        <v>167</v>
      </c>
      <c r="EO14" s="52" t="s">
        <v>179</v>
      </c>
      <c r="EP14" s="52" t="s">
        <v>169</v>
      </c>
      <c r="EQ14" s="52" t="s">
        <v>164</v>
      </c>
      <c r="ER14" s="52" t="s">
        <v>165</v>
      </c>
      <c r="ES14" s="52"/>
      <c r="ET14" s="73"/>
      <c r="EU14" s="74"/>
      <c r="EV14" s="75"/>
    </row>
    <row r="15" spans="1:152" s="76" customFormat="1" ht="45" customHeight="1" outlineLevel="1">
      <c r="A15" s="44">
        <v>7</v>
      </c>
      <c r="B15" s="44">
        <v>1505922</v>
      </c>
      <c r="C15" s="45" t="s">
        <v>180</v>
      </c>
      <c r="D15" s="46">
        <v>4520000</v>
      </c>
      <c r="E15" s="47">
        <f t="shared" si="0"/>
        <v>0</v>
      </c>
      <c r="F15" s="48">
        <f t="shared" si="1"/>
        <v>4520000</v>
      </c>
      <c r="G15" s="48">
        <v>0</v>
      </c>
      <c r="H15" s="48">
        <f t="shared" si="2"/>
        <v>3480000</v>
      </c>
      <c r="I15" s="48">
        <f t="shared" si="3"/>
        <v>0</v>
      </c>
      <c r="J15" s="48">
        <f t="shared" si="4"/>
        <v>3480000</v>
      </c>
      <c r="K15" s="48">
        <f t="shared" si="5"/>
        <v>8000000</v>
      </c>
      <c r="L15" s="49">
        <v>1</v>
      </c>
      <c r="M15" s="50">
        <v>23</v>
      </c>
      <c r="N15" s="50">
        <v>3</v>
      </c>
      <c r="O15" s="50">
        <v>0</v>
      </c>
      <c r="P15" s="50"/>
      <c r="Q15" s="50">
        <v>10.19</v>
      </c>
      <c r="R15" s="50">
        <v>0</v>
      </c>
      <c r="S15" s="50"/>
      <c r="T15" s="50">
        <v>0</v>
      </c>
      <c r="U15" s="50"/>
      <c r="V15" s="50"/>
      <c r="W15" s="50"/>
      <c r="X15" s="50">
        <v>0</v>
      </c>
      <c r="Y15" s="50">
        <v>2</v>
      </c>
      <c r="Z15" s="51"/>
      <c r="AA15" s="51"/>
      <c r="AB15" s="50"/>
      <c r="AC15" s="50">
        <v>0</v>
      </c>
      <c r="AD15" s="50"/>
      <c r="AE15" s="50">
        <v>0</v>
      </c>
      <c r="AF15" s="48">
        <f t="shared" si="6"/>
        <v>3998462</v>
      </c>
      <c r="AG15" s="48">
        <f t="shared" si="7"/>
        <v>923077</v>
      </c>
      <c r="AH15" s="48">
        <f t="shared" si="8"/>
        <v>0</v>
      </c>
      <c r="AI15" s="46">
        <f t="shared" si="9"/>
        <v>940615</v>
      </c>
      <c r="AJ15" s="46"/>
      <c r="AK15" s="48">
        <f t="shared" si="10"/>
        <v>0</v>
      </c>
      <c r="AL15" s="48">
        <f t="shared" si="11"/>
        <v>0</v>
      </c>
      <c r="AM15" s="48">
        <f t="shared" si="12"/>
        <v>0</v>
      </c>
      <c r="AN15" s="48">
        <f t="shared" si="13"/>
        <v>582789</v>
      </c>
      <c r="AO15" s="52">
        <f t="shared" si="14"/>
        <v>0</v>
      </c>
      <c r="AP15" s="52">
        <f t="shared" si="15"/>
        <v>0</v>
      </c>
      <c r="AQ15" s="52"/>
      <c r="AR15" s="48">
        <f t="shared" si="16"/>
        <v>520000</v>
      </c>
      <c r="AS15" s="52">
        <v>0</v>
      </c>
      <c r="AT15" s="48">
        <f t="shared" si="17"/>
        <v>32596</v>
      </c>
      <c r="AU15" s="53">
        <f t="shared" si="18"/>
        <v>0</v>
      </c>
      <c r="AV15" s="48">
        <f t="shared" si="19"/>
        <v>0</v>
      </c>
      <c r="AW15" s="54">
        <f t="shared" si="20"/>
        <v>0</v>
      </c>
      <c r="AX15" s="48">
        <f t="shared" si="21"/>
        <v>0</v>
      </c>
      <c r="AY15" s="48"/>
      <c r="AZ15" s="52">
        <v>0</v>
      </c>
      <c r="BA15" s="48"/>
      <c r="BB15" s="52">
        <v>0</v>
      </c>
      <c r="BC15" s="55"/>
      <c r="BD15" s="48"/>
      <c r="BE15" s="48"/>
      <c r="BF15" s="48">
        <f t="shared" si="22"/>
        <v>0</v>
      </c>
      <c r="BG15" s="48"/>
      <c r="BH15" s="48"/>
      <c r="BI15" s="48">
        <f t="shared" si="23"/>
        <v>3078462</v>
      </c>
      <c r="BJ15" s="48">
        <f t="shared" si="24"/>
        <v>10076001</v>
      </c>
      <c r="BK15" s="48">
        <v>4805216</v>
      </c>
      <c r="BL15" s="48">
        <f t="shared" si="25"/>
        <v>5270785</v>
      </c>
      <c r="BM15" s="48">
        <f t="shared" si="26"/>
        <v>0</v>
      </c>
      <c r="BN15" s="48">
        <f t="shared" si="27"/>
        <v>0</v>
      </c>
      <c r="BO15" s="48">
        <f t="shared" si="28"/>
        <v>0</v>
      </c>
      <c r="BP15" s="48">
        <f t="shared" si="29"/>
        <v>0</v>
      </c>
      <c r="BQ15" s="48"/>
      <c r="BR15" s="46">
        <f t="shared" si="30"/>
        <v>0</v>
      </c>
      <c r="BS15" s="56">
        <f t="shared" si="31"/>
        <v>0</v>
      </c>
      <c r="BT15" s="48"/>
      <c r="BU15" s="48" t="str">
        <f t="shared" si="32"/>
        <v/>
      </c>
      <c r="BV15" s="48"/>
      <c r="BW15" s="48"/>
      <c r="BX15" s="48">
        <f t="shared" si="33"/>
        <v>115000</v>
      </c>
      <c r="BY15" s="48"/>
      <c r="BZ15" s="48"/>
      <c r="CA15" s="48"/>
      <c r="CB15" s="48">
        <v>0</v>
      </c>
      <c r="CC15" s="48"/>
      <c r="CD15" s="48"/>
      <c r="CE15" s="46">
        <f t="shared" si="34"/>
        <v>115000</v>
      </c>
      <c r="CF15" s="57">
        <f t="shared" si="35"/>
        <v>5155785</v>
      </c>
      <c r="CG15" s="46" t="s">
        <v>158</v>
      </c>
      <c r="CH15" s="46">
        <v>0</v>
      </c>
      <c r="CI15" s="52"/>
      <c r="CJ15" s="52"/>
      <c r="CK15" s="58">
        <f t="shared" si="55"/>
        <v>0</v>
      </c>
      <c r="CL15" s="46">
        <f t="shared" si="36"/>
        <v>1</v>
      </c>
      <c r="CM15" s="46"/>
      <c r="CN15" s="46" t="s">
        <v>171</v>
      </c>
      <c r="CO15" s="52">
        <f t="shared" si="37"/>
        <v>20000</v>
      </c>
      <c r="CP15" s="46" t="s">
        <v>159</v>
      </c>
      <c r="CQ15" s="46">
        <v>474600</v>
      </c>
      <c r="CR15" s="59"/>
      <c r="CS15" s="46"/>
      <c r="CT15" s="54">
        <f t="shared" si="38"/>
        <v>9135386</v>
      </c>
      <c r="CU15" s="57">
        <v>1</v>
      </c>
      <c r="CV15" s="46">
        <f t="shared" si="56"/>
        <v>6200000</v>
      </c>
      <c r="CW15" s="46">
        <v>15500000</v>
      </c>
      <c r="CX15" s="46">
        <f t="shared" si="39"/>
        <v>21700000</v>
      </c>
      <c r="CY15" s="46">
        <f t="shared" si="40"/>
        <v>0</v>
      </c>
      <c r="CZ15" s="46">
        <f t="shared" si="41"/>
        <v>0</v>
      </c>
      <c r="DA15" s="46"/>
      <c r="DB15" s="46"/>
      <c r="DC15" s="49">
        <f t="shared" si="42"/>
        <v>0</v>
      </c>
      <c r="DD15" s="49">
        <f t="shared" si="43"/>
        <v>0</v>
      </c>
      <c r="DE15" s="49">
        <f t="shared" si="44"/>
        <v>0</v>
      </c>
      <c r="DF15" s="49">
        <f t="shared" si="57"/>
        <v>0</v>
      </c>
      <c r="DG15" s="60"/>
      <c r="DH15" s="61"/>
      <c r="DI15" s="60"/>
      <c r="DJ15" s="50"/>
      <c r="DK15" s="62"/>
      <c r="DL15" s="63"/>
      <c r="DM15" s="62"/>
      <c r="DN15" s="64"/>
      <c r="DO15" s="65">
        <f t="shared" si="45"/>
        <v>0</v>
      </c>
      <c r="DP15" s="52">
        <f t="shared" si="46"/>
        <v>0</v>
      </c>
      <c r="DQ15" s="65">
        <f t="shared" si="47"/>
        <v>0</v>
      </c>
      <c r="DR15" s="65">
        <f t="shared" si="48"/>
        <v>0</v>
      </c>
      <c r="DS15" s="66"/>
      <c r="DT15" s="67"/>
      <c r="DU15" s="52">
        <v>22600</v>
      </c>
      <c r="DV15" s="52">
        <v>110000</v>
      </c>
      <c r="DW15" s="52">
        <f t="shared" si="49"/>
        <v>474600</v>
      </c>
      <c r="DX15" s="52">
        <f t="shared" si="50"/>
        <v>607200</v>
      </c>
      <c r="DY15" s="52">
        <f t="shared" si="51"/>
        <v>722200</v>
      </c>
      <c r="DZ15" s="52">
        <v>4198016</v>
      </c>
      <c r="EA15" s="52">
        <f t="shared" si="52"/>
        <v>9353801</v>
      </c>
      <c r="EB15" s="68"/>
      <c r="EC15" s="69">
        <v>45916</v>
      </c>
      <c r="ED15" s="46" t="str">
        <f t="shared" si="53"/>
        <v>B3</v>
      </c>
      <c r="EE15" s="52">
        <v>8000000</v>
      </c>
      <c r="EF15" s="46">
        <v>0</v>
      </c>
      <c r="EG15" s="46">
        <v>0</v>
      </c>
      <c r="EH15" s="50">
        <v>0</v>
      </c>
      <c r="EI15" s="48">
        <f t="shared" si="58"/>
        <v>0</v>
      </c>
      <c r="EJ15" s="70">
        <f t="shared" si="54"/>
        <v>8000000</v>
      </c>
      <c r="EK15" s="71"/>
      <c r="EL15" s="72"/>
      <c r="EM15" s="72"/>
      <c r="EN15" s="52" t="s">
        <v>161</v>
      </c>
      <c r="EO15" s="52" t="s">
        <v>172</v>
      </c>
      <c r="EP15" s="52" t="s">
        <v>169</v>
      </c>
      <c r="EQ15" s="52" t="s">
        <v>164</v>
      </c>
      <c r="ER15" s="52" t="s">
        <v>165</v>
      </c>
      <c r="ES15" s="52"/>
      <c r="ET15" s="73"/>
      <c r="EU15" s="74"/>
      <c r="EV15" s="75"/>
    </row>
    <row r="18" spans="3:3" ht="36">
      <c r="C18" s="95" t="s">
        <v>181</v>
      </c>
    </row>
  </sheetData>
  <mergeCells count="141">
    <mergeCell ref="A6:A8"/>
    <mergeCell ref="ES7:ES8"/>
    <mergeCell ref="EK7:EK8"/>
    <mergeCell ref="ER7:ER8"/>
    <mergeCell ref="EP7:EP8"/>
    <mergeCell ref="EK6:ET6"/>
    <mergeCell ref="DQ6:DQ8"/>
    <mergeCell ref="DR6:DR8"/>
    <mergeCell ref="DS6:DS8"/>
    <mergeCell ref="DT6:DT8"/>
    <mergeCell ref="EL7:EL8"/>
    <mergeCell ref="AD7:AD8"/>
    <mergeCell ref="BC7:BC8"/>
    <mergeCell ref="EQ7:EQ8"/>
    <mergeCell ref="CE6:CE8"/>
    <mergeCell ref="DU7:DU8"/>
    <mergeCell ref="AW7:AW8"/>
    <mergeCell ref="EM7:EM8"/>
    <mergeCell ref="BM6:BT6"/>
    <mergeCell ref="CP7:CP8"/>
    <mergeCell ref="CB7:CB8"/>
    <mergeCell ref="EB7:EB8"/>
    <mergeCell ref="ED7:ED8"/>
    <mergeCell ref="EC7:EC8"/>
    <mergeCell ref="CM7:CM8"/>
    <mergeCell ref="EC6:EJ6"/>
    <mergeCell ref="DB6:DP6"/>
    <mergeCell ref="E6:E8"/>
    <mergeCell ref="AC7:AC8"/>
    <mergeCell ref="AE7:AE8"/>
    <mergeCell ref="CS7:CS8"/>
    <mergeCell ref="AN7:AN8"/>
    <mergeCell ref="EE7:EE8"/>
    <mergeCell ref="BK6:BK8"/>
    <mergeCell ref="BA7:BA8"/>
    <mergeCell ref="CJ7:CJ8"/>
    <mergeCell ref="AS7:AS8"/>
    <mergeCell ref="B6:B8"/>
    <mergeCell ref="BH7:BH8"/>
    <mergeCell ref="BQ7:BQ8"/>
    <mergeCell ref="CY7:CY8"/>
    <mergeCell ref="BL6:BL8"/>
    <mergeCell ref="M7:M8"/>
    <mergeCell ref="O7:O8"/>
    <mergeCell ref="BP7:BP8"/>
    <mergeCell ref="DO7:DO8"/>
    <mergeCell ref="AZ7:AZ8"/>
    <mergeCell ref="P7:P8"/>
    <mergeCell ref="AB7:AB8"/>
    <mergeCell ref="T7:T8"/>
    <mergeCell ref="CK7:CK8"/>
    <mergeCell ref="AF7:AF8"/>
    <mergeCell ref="DW7:DW8"/>
    <mergeCell ref="AH7:AH8"/>
    <mergeCell ref="CV7:CV8"/>
    <mergeCell ref="DY7:DY8"/>
    <mergeCell ref="CX7:CX8"/>
    <mergeCell ref="CH7:CH8"/>
    <mergeCell ref="EE3:EJ5"/>
    <mergeCell ref="G6:G8"/>
    <mergeCell ref="EF7:EI7"/>
    <mergeCell ref="EJ7:EJ8"/>
    <mergeCell ref="DV7:DV8"/>
    <mergeCell ref="CU7:CU8"/>
    <mergeCell ref="DU6:EB6"/>
    <mergeCell ref="BS7:BS8"/>
    <mergeCell ref="BE7:BE8"/>
    <mergeCell ref="DD7:DD8"/>
    <mergeCell ref="DF7:DF8"/>
    <mergeCell ref="BB7:BB8"/>
    <mergeCell ref="DP7:DP8"/>
    <mergeCell ref="CF6:CF8"/>
    <mergeCell ref="CC7:CC8"/>
    <mergeCell ref="U7:V7"/>
    <mergeCell ref="CI7:CI8"/>
    <mergeCell ref="BW7:BW8"/>
    <mergeCell ref="J6:J8"/>
    <mergeCell ref="N7:N8"/>
    <mergeCell ref="AU7:AU8"/>
    <mergeCell ref="BG7:BG8"/>
    <mergeCell ref="BY7:BY8"/>
    <mergeCell ref="CA7:CA8"/>
    <mergeCell ref="CG7:CG8"/>
    <mergeCell ref="I6:I8"/>
    <mergeCell ref="CQ6:DA6"/>
    <mergeCell ref="AY7:AY8"/>
    <mergeCell ref="K6:K8"/>
    <mergeCell ref="CG6:CP6"/>
    <mergeCell ref="CT7:CT8"/>
    <mergeCell ref="AQ7:AQ8"/>
    <mergeCell ref="AO7:AP7"/>
    <mergeCell ref="AF6:BI6"/>
    <mergeCell ref="BD7:BD8"/>
    <mergeCell ref="BF7:BF8"/>
    <mergeCell ref="C6:C8"/>
    <mergeCell ref="DK7:DN7"/>
    <mergeCell ref="CQ7:CQ8"/>
    <mergeCell ref="AG7:AG8"/>
    <mergeCell ref="AI7:AI8"/>
    <mergeCell ref="CW7:CW8"/>
    <mergeCell ref="BJ6:BJ8"/>
    <mergeCell ref="AR7:AR8"/>
    <mergeCell ref="D6:D8"/>
    <mergeCell ref="M6:AE6"/>
    <mergeCell ref="AT7:AT8"/>
    <mergeCell ref="L6:L8"/>
    <mergeCell ref="CL7:CL8"/>
    <mergeCell ref="X7:Y7"/>
    <mergeCell ref="Z7:AA7"/>
    <mergeCell ref="BU6:CD6"/>
    <mergeCell ref="AL7:AL8"/>
    <mergeCell ref="DE7:DE8"/>
    <mergeCell ref="BI7:BI8"/>
    <mergeCell ref="F6:F8"/>
    <mergeCell ref="BZ7:BZ8"/>
    <mergeCell ref="CR7:CR8"/>
    <mergeCell ref="AV7:AV8"/>
    <mergeCell ref="H6:H8"/>
    <mergeCell ref="ET7:ET8"/>
    <mergeCell ref="BU7:BU8"/>
    <mergeCell ref="DA7:DA8"/>
    <mergeCell ref="DB7:DB8"/>
    <mergeCell ref="AX7:AX8"/>
    <mergeCell ref="Q7:S7"/>
    <mergeCell ref="EN7:EN8"/>
    <mergeCell ref="BR7:BR8"/>
    <mergeCell ref="BT7:BT8"/>
    <mergeCell ref="CD7:CD8"/>
    <mergeCell ref="W7:W8"/>
    <mergeCell ref="CN7:CN8"/>
    <mergeCell ref="DX7:DX8"/>
    <mergeCell ref="DZ7:DZ8"/>
    <mergeCell ref="DC7:DC8"/>
    <mergeCell ref="BV7:BV8"/>
    <mergeCell ref="CO7:CO8"/>
    <mergeCell ref="EA7:EA8"/>
    <mergeCell ref="AK7:AK8"/>
    <mergeCell ref="CZ7:CZ8"/>
    <mergeCell ref="AM7:AM8"/>
    <mergeCell ref="DG7:DJ7"/>
    <mergeCell ref="EO7:EO8"/>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2026-01-14T20:52:25Z</dcterms:modified>
</cp:coreProperties>
</file>