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dity/Documents/GitHub/gitlocal/thaco/API/"/>
    </mc:Choice>
  </mc:AlternateContent>
  <xr:revisionPtr revIDLastSave="0" documentId="13_ncr:1_{FBE92EAB-0190-5642-A8D9-6198635D321B}" xr6:coauthVersionLast="47" xr6:coauthVersionMax="47" xr10:uidLastSave="{00000000-0000-0000-0000-000000000000}"/>
  <bookViews>
    <workbookView xWindow="-120" yWindow="500" windowWidth="35580" windowHeight="1984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Bangluong!$A$5:$EV$11</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Bangluong!$A$1:$CG$11</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 l="1"/>
  <c r="EI11" i="1"/>
  <c r="ED11" i="1"/>
  <c r="DP11" i="1" s="1"/>
  <c r="DQ11" i="1" s="1"/>
  <c r="AP11" i="1" s="1"/>
  <c r="DX11" i="1"/>
  <c r="DF11" i="1"/>
  <c r="DE11" i="1"/>
  <c r="DD11" i="1"/>
  <c r="DC11" i="1"/>
  <c r="CV11" i="1"/>
  <c r="CX11" i="1" s="1"/>
  <c r="CO11" i="1"/>
  <c r="CK11" i="1"/>
  <c r="AM11" i="1" s="1"/>
  <c r="BX11" i="1"/>
  <c r="BR11" i="1"/>
  <c r="BO11" i="1"/>
  <c r="BN11" i="1"/>
  <c r="BM11" i="1"/>
  <c r="BF11" i="1"/>
  <c r="AK11" i="1"/>
  <c r="E11" i="1"/>
  <c r="F11" i="1" s="1"/>
  <c r="EI10" i="1"/>
  <c r="ED10" i="1"/>
  <c r="DP10" i="1" s="1"/>
  <c r="DQ10" i="1" s="1"/>
  <c r="AP10" i="1" s="1"/>
  <c r="DX10" i="1"/>
  <c r="DF10" i="1"/>
  <c r="DE10" i="1"/>
  <c r="DD10" i="1"/>
  <c r="DC10" i="1"/>
  <c r="CV10" i="1"/>
  <c r="CX10" i="1" s="1"/>
  <c r="CO10" i="1"/>
  <c r="CK10" i="1"/>
  <c r="BX10" i="1"/>
  <c r="BR10" i="1"/>
  <c r="BO10" i="1"/>
  <c r="BN10" i="1"/>
  <c r="BM10" i="1"/>
  <c r="BF10" i="1"/>
  <c r="AK10" i="1"/>
  <c r="E10" i="1"/>
  <c r="F10" i="1" s="1"/>
  <c r="AV10" i="1" s="1"/>
  <c r="EI9" i="1"/>
  <c r="I9" i="1" s="1"/>
  <c r="ED9" i="1"/>
  <c r="DP9" i="1" s="1"/>
  <c r="DQ9" i="1" s="1"/>
  <c r="AP9" i="1" s="1"/>
  <c r="DX9" i="1"/>
  <c r="DF9" i="1"/>
  <c r="DE9" i="1"/>
  <c r="DD9" i="1"/>
  <c r="DC9" i="1"/>
  <c r="CV9" i="1"/>
  <c r="CX9" i="1" s="1"/>
  <c r="CO9" i="1"/>
  <c r="CK9" i="1"/>
  <c r="AF9" i="1" s="1"/>
  <c r="BX9" i="1"/>
  <c r="BR9" i="1"/>
  <c r="BO9" i="1"/>
  <c r="BN9" i="1"/>
  <c r="BM9" i="1"/>
  <c r="BF9" i="1"/>
  <c r="AK9" i="1"/>
  <c r="E9" i="1"/>
  <c r="EI8" i="1"/>
  <c r="EJ8" i="1" s="1"/>
  <c r="ED8" i="1"/>
  <c r="DP8" i="1" s="1"/>
  <c r="DQ8" i="1" s="1"/>
  <c r="AP8" i="1" s="1"/>
  <c r="DX8" i="1"/>
  <c r="DF8" i="1"/>
  <c r="DE8" i="1"/>
  <c r="DD8" i="1"/>
  <c r="DC8" i="1"/>
  <c r="CV8" i="1"/>
  <c r="CX8" i="1" s="1"/>
  <c r="CO8" i="1"/>
  <c r="CK8" i="1"/>
  <c r="BX8" i="1"/>
  <c r="BR8" i="1"/>
  <c r="BO8" i="1"/>
  <c r="BN8" i="1"/>
  <c r="BM8" i="1"/>
  <c r="BF8" i="1"/>
  <c r="AK8" i="1"/>
  <c r="E8" i="1"/>
  <c r="F8" i="1" s="1"/>
  <c r="AV8" i="1" s="1"/>
  <c r="EI7" i="1"/>
  <c r="ED7" i="1"/>
  <c r="DP7" i="1" s="1"/>
  <c r="DQ7" i="1" s="1"/>
  <c r="AP7" i="1" s="1"/>
  <c r="DX7" i="1"/>
  <c r="DF7" i="1"/>
  <c r="DE7" i="1"/>
  <c r="DD7" i="1"/>
  <c r="DC7" i="1"/>
  <c r="CV7" i="1"/>
  <c r="CX7" i="1" s="1"/>
  <c r="CO7" i="1"/>
  <c r="CK7" i="1"/>
  <c r="BX7" i="1"/>
  <c r="BR7" i="1"/>
  <c r="BO7" i="1"/>
  <c r="BN7" i="1"/>
  <c r="BM7" i="1"/>
  <c r="BF7" i="1"/>
  <c r="AK7" i="1"/>
  <c r="E7" i="1"/>
  <c r="F7" i="1" s="1"/>
  <c r="EI6" i="1"/>
  <c r="I6" i="1" s="1"/>
  <c r="ED6" i="1"/>
  <c r="DP6" i="1" s="1"/>
  <c r="DQ6" i="1" s="1"/>
  <c r="AP6" i="1" s="1"/>
  <c r="DX6" i="1"/>
  <c r="DF6" i="1"/>
  <c r="DE6" i="1"/>
  <c r="DD6" i="1"/>
  <c r="DC6" i="1"/>
  <c r="CV6" i="1"/>
  <c r="CX6" i="1" s="1"/>
  <c r="CO6" i="1"/>
  <c r="CK6" i="1"/>
  <c r="AI6" i="1" s="1"/>
  <c r="BX6" i="1"/>
  <c r="BR6" i="1"/>
  <c r="BO6" i="1"/>
  <c r="BN6" i="1"/>
  <c r="BM6" i="1"/>
  <c r="BF6" i="1"/>
  <c r="AK6" i="1"/>
  <c r="E6" i="1"/>
  <c r="F6" i="1" s="1"/>
  <c r="EI5" i="1"/>
  <c r="EJ5" i="1" s="1"/>
  <c r="ED5" i="1"/>
  <c r="DP5" i="1" s="1"/>
  <c r="DQ5" i="1" s="1"/>
  <c r="AP5" i="1" s="1"/>
  <c r="DX5" i="1"/>
  <c r="DF5" i="1"/>
  <c r="DE5" i="1"/>
  <c r="DD5" i="1"/>
  <c r="DC5" i="1"/>
  <c r="CV5" i="1"/>
  <c r="CX5" i="1" s="1"/>
  <c r="CO5" i="1"/>
  <c r="CK5" i="1"/>
  <c r="AM5" i="1" s="1"/>
  <c r="BX5" i="1"/>
  <c r="BR5" i="1"/>
  <c r="BO5" i="1"/>
  <c r="BN5" i="1"/>
  <c r="BM5" i="1"/>
  <c r="BF5" i="1"/>
  <c r="AK5" i="1"/>
  <c r="E5" i="1"/>
  <c r="F5" i="1" s="1"/>
  <c r="BP7" i="1" l="1"/>
  <c r="AF5" i="1"/>
  <c r="AT5" i="1"/>
  <c r="AF6" i="1"/>
  <c r="BP10" i="1"/>
  <c r="DW10" i="1" s="1"/>
  <c r="EJ6" i="1"/>
  <c r="DO10" i="1"/>
  <c r="AO10" i="1" s="1"/>
  <c r="AR7" i="1"/>
  <c r="DO11" i="1"/>
  <c r="AO11" i="1" s="1"/>
  <c r="BP11" i="1"/>
  <c r="DW11" i="1" s="1"/>
  <c r="AV11" i="1"/>
  <c r="H6" i="1"/>
  <c r="J6" i="1" s="1"/>
  <c r="BI6" i="1" s="1"/>
  <c r="EJ7" i="1"/>
  <c r="I7" i="1"/>
  <c r="AU8" i="1"/>
  <c r="DO5" i="1"/>
  <c r="AO5" i="1" s="1"/>
  <c r="H8" i="1"/>
  <c r="AL8" i="1" s="1"/>
  <c r="AF8" i="1"/>
  <c r="AR10" i="1"/>
  <c r="CL5" i="1"/>
  <c r="DO6" i="1"/>
  <c r="AO6" i="1" s="1"/>
  <c r="AR8" i="1"/>
  <c r="I11" i="1"/>
  <c r="EJ11" i="1"/>
  <c r="DO7" i="1"/>
  <c r="AO7" i="1" s="1"/>
  <c r="BP8" i="1"/>
  <c r="DW8" i="1" s="1"/>
  <c r="I5" i="1"/>
  <c r="AT8" i="1"/>
  <c r="AU9" i="1"/>
  <c r="BP9" i="1"/>
  <c r="DW9" i="1" s="1"/>
  <c r="DO8" i="1"/>
  <c r="AO8" i="1" s="1"/>
  <c r="AT9" i="1"/>
  <c r="AT11" i="1"/>
  <c r="AT6" i="1"/>
  <c r="EJ9" i="1"/>
  <c r="AV7" i="1"/>
  <c r="H7" i="1"/>
  <c r="CL10" i="1"/>
  <c r="AT10" i="1"/>
  <c r="AM10" i="1"/>
  <c r="AU10" i="1"/>
  <c r="AM7" i="1"/>
  <c r="AU7" i="1"/>
  <c r="AT7" i="1"/>
  <c r="AF7" i="1"/>
  <c r="CL7" i="1"/>
  <c r="H5" i="1"/>
  <c r="AV5" i="1"/>
  <c r="AR9" i="1"/>
  <c r="H10" i="1"/>
  <c r="AL10" i="1" s="1"/>
  <c r="AF11" i="1"/>
  <c r="AR11" i="1"/>
  <c r="F9" i="1"/>
  <c r="DO9" i="1"/>
  <c r="AO9" i="1" s="1"/>
  <c r="DW7" i="1"/>
  <c r="EJ10" i="1"/>
  <c r="I10" i="1"/>
  <c r="BP5" i="1"/>
  <c r="AV6" i="1"/>
  <c r="AU6" i="1"/>
  <c r="AU11" i="1"/>
  <c r="CL6" i="1"/>
  <c r="AM8" i="1"/>
  <c r="CL8" i="1"/>
  <c r="CL11" i="1"/>
  <c r="AR6" i="1"/>
  <c r="AU5" i="1"/>
  <c r="I8" i="1"/>
  <c r="H11" i="1"/>
  <c r="AW11" i="1" s="1"/>
  <c r="AM9" i="1"/>
  <c r="CL9" i="1"/>
  <c r="AR5" i="1"/>
  <c r="BP6" i="1"/>
  <c r="AF10" i="1"/>
  <c r="DR5" i="1" l="1"/>
  <c r="AH5" i="1" s="1"/>
  <c r="AX6" i="1"/>
  <c r="DR6" i="1"/>
  <c r="AH6" i="1" s="1"/>
  <c r="J8" i="1"/>
  <c r="K8" i="1" s="1"/>
  <c r="AN8" i="1" s="1"/>
  <c r="AW8" i="1"/>
  <c r="AX8" i="1"/>
  <c r="AG8" i="1"/>
  <c r="AM6" i="1"/>
  <c r="AI8" i="1"/>
  <c r="AW5" i="1"/>
  <c r="J7" i="1"/>
  <c r="K7" i="1" s="1"/>
  <c r="AN7" i="1" s="1"/>
  <c r="AW7" i="1"/>
  <c r="DR11" i="1"/>
  <c r="AH11" i="1" s="1"/>
  <c r="AX10" i="1"/>
  <c r="AW10" i="1"/>
  <c r="AL5" i="1"/>
  <c r="AX5" i="1"/>
  <c r="DR8" i="1"/>
  <c r="AH8" i="1" s="1"/>
  <c r="AW6" i="1"/>
  <c r="K6" i="1"/>
  <c r="AI11" i="1"/>
  <c r="AG10" i="1"/>
  <c r="DR10" i="1"/>
  <c r="AH10" i="1" s="1"/>
  <c r="DR7" i="1"/>
  <c r="AH7" i="1" s="1"/>
  <c r="AG6" i="1"/>
  <c r="AI7" i="1"/>
  <c r="DW5" i="1"/>
  <c r="AL7" i="1"/>
  <c r="DW6" i="1"/>
  <c r="J11" i="1"/>
  <c r="AL11" i="1"/>
  <c r="AG11" i="1"/>
  <c r="AV9" i="1"/>
  <c r="H9" i="1"/>
  <c r="J9" i="1" s="1"/>
  <c r="BI9" i="1" s="1"/>
  <c r="AX7" i="1"/>
  <c r="AX11" i="1"/>
  <c r="J10" i="1"/>
  <c r="AI10" i="1"/>
  <c r="J5" i="1"/>
  <c r="AI5" i="1"/>
  <c r="AG5" i="1"/>
  <c r="AG7" i="1"/>
  <c r="BI7" i="1" l="1"/>
  <c r="AG9" i="1"/>
  <c r="BI8" i="1"/>
  <c r="BJ8" i="1" s="1"/>
  <c r="BL8" i="1" s="1"/>
  <c r="AW9" i="1"/>
  <c r="DR9" i="1"/>
  <c r="AH9" i="1" s="1"/>
  <c r="AX9" i="1"/>
  <c r="BJ7" i="1"/>
  <c r="CT7" i="1" s="1"/>
  <c r="CY7" i="1" s="1"/>
  <c r="CZ7" i="1" s="1"/>
  <c r="BS7" i="1" s="1"/>
  <c r="AN6" i="1"/>
  <c r="AL6" i="1"/>
  <c r="K9" i="1"/>
  <c r="AN9" i="1" s="1"/>
  <c r="AI9" i="1"/>
  <c r="AL9" i="1"/>
  <c r="BI5" i="1"/>
  <c r="K5" i="1"/>
  <c r="AN5" i="1" s="1"/>
  <c r="K11" i="1"/>
  <c r="AN11" i="1" s="1"/>
  <c r="BI11" i="1"/>
  <c r="K10" i="1"/>
  <c r="AN10" i="1" s="1"/>
  <c r="BI10" i="1"/>
  <c r="BJ10" i="1" l="1"/>
  <c r="CT10" i="1" s="1"/>
  <c r="CY10" i="1" s="1"/>
  <c r="CZ10" i="1" s="1"/>
  <c r="BS10" i="1" s="1"/>
  <c r="BJ5" i="1"/>
  <c r="BL5" i="1" s="1"/>
  <c r="CT8" i="1"/>
  <c r="CY8" i="1" s="1"/>
  <c r="CZ8" i="1" s="1"/>
  <c r="BS8" i="1" s="1"/>
  <c r="BU8" i="1" s="1"/>
  <c r="CE8" i="1" s="1"/>
  <c r="BJ9" i="1"/>
  <c r="CT9" i="1" s="1"/>
  <c r="CY9" i="1" s="1"/>
  <c r="CZ9" i="1" s="1"/>
  <c r="BS9" i="1" s="1"/>
  <c r="BJ6" i="1"/>
  <c r="BL6" i="1" s="1"/>
  <c r="BL7" i="1"/>
  <c r="BU7" i="1"/>
  <c r="CE7" i="1" s="1"/>
  <c r="DY7" i="1" s="1"/>
  <c r="BJ11" i="1"/>
  <c r="BL10" i="1" l="1"/>
  <c r="CT5" i="1"/>
  <c r="CY5" i="1" s="1"/>
  <c r="CZ5" i="1" s="1"/>
  <c r="BS5" i="1" s="1"/>
  <c r="BL9" i="1"/>
  <c r="CF7" i="1"/>
  <c r="EA7" i="1" s="1"/>
  <c r="CT6" i="1"/>
  <c r="CY6" i="1" s="1"/>
  <c r="CZ6" i="1" s="1"/>
  <c r="BS6" i="1" s="1"/>
  <c r="BU6" i="1" s="1"/>
  <c r="CE6" i="1" s="1"/>
  <c r="DY6" i="1" s="1"/>
  <c r="DY8" i="1"/>
  <c r="CF8" i="1"/>
  <c r="EA8" i="1" s="1"/>
  <c r="BU10" i="1"/>
  <c r="CE10" i="1" s="1"/>
  <c r="BL11" i="1"/>
  <c r="CT11" i="1"/>
  <c r="CY11" i="1" s="1"/>
  <c r="CZ11" i="1" s="1"/>
  <c r="BS11" i="1" s="1"/>
  <c r="BU9" i="1"/>
  <c r="CE9" i="1" s="1"/>
  <c r="BU5" i="1"/>
  <c r="CE5" i="1" s="1"/>
  <c r="CF6" i="1" l="1"/>
  <c r="EA6" i="1" s="1"/>
  <c r="DY10" i="1"/>
  <c r="CF10" i="1"/>
  <c r="EA10" i="1" s="1"/>
  <c r="DY5" i="1"/>
  <c r="CF5" i="1"/>
  <c r="EA5" i="1" s="1"/>
  <c r="DY9" i="1"/>
  <c r="CF9" i="1"/>
  <c r="EA9" i="1" s="1"/>
  <c r="BU11" i="1"/>
  <c r="CE11" i="1" s="1"/>
  <c r="DY11" i="1" l="1"/>
  <c r="CF11" i="1"/>
  <c r="EA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2"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L2" authorId="1" shapeId="0" xr:uid="{EB478A3F-F88E-49F1-B80B-60EAE88E224A}">
      <text>
        <r>
          <rPr>
            <b/>
            <sz val="9"/>
            <color rgb="FF000000"/>
            <rFont val="Tahoma"/>
            <family val="2"/>
          </rPr>
          <t>ADMIN:</t>
        </r>
        <r>
          <rPr>
            <sz val="9"/>
            <color rgb="FF000000"/>
            <rFont val="Tahoma"/>
            <family val="2"/>
          </rPr>
          <t xml:space="preserve">
</t>
        </r>
        <r>
          <rPr>
            <sz val="9"/>
            <color rgb="FF000000"/>
            <rFont val="Tahoma"/>
            <family val="2"/>
          </rPr>
          <t>Cập nhật các nhân sự được duyệt điều chỉnh</t>
        </r>
      </text>
    </comment>
    <comment ref="BM2" authorId="2" shapeId="0" xr:uid="{F84B9D0E-D7B6-461A-8864-2052799B3456}">
      <text>
        <r>
          <rPr>
            <b/>
            <sz val="8"/>
            <color rgb="FF000000"/>
            <rFont val="Tahoma"/>
            <family val="2"/>
          </rPr>
          <t>Thuy:</t>
        </r>
        <r>
          <rPr>
            <sz val="8"/>
            <color rgb="FF000000"/>
            <rFont val="Tahoma"/>
            <family val="2"/>
          </rPr>
          <t xml:space="preserve">
</t>
        </r>
        <r>
          <rPr>
            <sz val="8"/>
            <color rgb="FF000000"/>
            <rFont val="Tahoma"/>
            <family val="2"/>
          </rPr>
          <t>không được vượt 30% một tháng</t>
        </r>
      </text>
    </comment>
    <comment ref="CQ2" authorId="3" shapeId="0" xr:uid="{B76907B9-690B-487F-B896-0DCD3805011C}">
      <text>
        <r>
          <rPr>
            <sz val="8"/>
            <color rgb="FF000000"/>
            <rFont val="Tahoma"/>
            <family val="2"/>
          </rPr>
          <t>lĐưa cột bảo hiểm trong bảng đóng BHXH</t>
        </r>
      </text>
    </comment>
    <comment ref="P3" authorId="4" shapeId="0" xr:uid="{6E1E0F38-0B32-4AE8-BD91-4E019FFFD97E}">
      <text>
        <r>
          <rPr>
            <b/>
            <sz val="14"/>
            <color indexed="81"/>
            <rFont val="Tahoma"/>
            <family val="2"/>
          </rPr>
          <t>Cột sử dụng cho Cơ điện</t>
        </r>
      </text>
    </comment>
    <comment ref="U3"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Z3" authorId="5" shapeId="0" xr:uid="{E277B68D-CCE5-4EA2-AF50-55BAC2825C90}">
      <text>
        <r>
          <rPr>
            <b/>
            <sz val="9"/>
            <color indexed="81"/>
            <rFont val="Tahoma"/>
            <family val="2"/>
          </rPr>
          <t>Nguyen Thi Hoa:</t>
        </r>
        <r>
          <rPr>
            <sz val="9"/>
            <color indexed="81"/>
            <rFont val="Tahoma"/>
            <family val="2"/>
          </rPr>
          <t xml:space="preserve">
NV do KH SXKD</t>
        </r>
      </text>
    </comment>
    <comment ref="AT3" authorId="5" shapeId="0" xr:uid="{F2475F31-48AB-4040-8A9B-F65F20B46BAB}">
      <text>
        <r>
          <rPr>
            <b/>
            <sz val="9"/>
            <color indexed="81"/>
            <rFont val="Tahoma"/>
            <family val="2"/>
          </rPr>
          <t>Nguyen Thi Hoa:</t>
        </r>
        <r>
          <rPr>
            <sz val="9"/>
            <color indexed="81"/>
            <rFont val="Tahoma"/>
            <family val="2"/>
          </rPr>
          <t xml:space="preserve">
= Lương HĐLĐ/26 * thời gian người lao động không nghỉ khi hành kinh, khi nuôi con dưới 12 tháng tuổi.</t>
        </r>
      </text>
    </comment>
    <comment ref="AX3" authorId="3" shapeId="0" xr:uid="{777B929A-B4FE-4B70-AD22-859CA25214CD}">
      <text>
        <r>
          <rPr>
            <b/>
            <sz val="8"/>
            <color indexed="81"/>
            <rFont val="Tahoma"/>
            <family val="2"/>
          </rPr>
          <t>Dự trừ phát sinh</t>
        </r>
      </text>
    </comment>
    <comment ref="CQ3" authorId="3" shapeId="0" xr:uid="{767AFDD3-D459-43CA-8C0D-778C716A5720}">
      <text>
        <r>
          <rPr>
            <sz val="8"/>
            <color rgb="FF000000"/>
            <rFont val="Tahoma"/>
            <family val="2"/>
          </rPr>
          <t>lĐưa cột bảo hiểm trong bảng đóng BHXH</t>
        </r>
      </text>
    </comment>
    <comment ref="CR3" authorId="0" shapeId="0" xr:uid="{469C17CD-F509-4DDD-90BA-E280DFC7A977}">
      <text>
        <r>
          <rPr>
            <b/>
            <sz val="8"/>
            <color rgb="FF000000"/>
            <rFont val="Tahoma"/>
            <family val="2"/>
          </rPr>
          <t>Administrator:</t>
        </r>
        <r>
          <rPr>
            <sz val="8"/>
            <color rgb="FF000000"/>
            <rFont val="Tahoma"/>
            <family val="2"/>
          </rPr>
          <t xml:space="preserve">
</t>
        </r>
        <r>
          <rPr>
            <sz val="8"/>
            <color rgb="FF000000"/>
            <rFont val="Tahoma"/>
            <family val="2"/>
          </rPr>
          <t xml:space="preserve">các khoản thu nhập khác chưa tính thuế
</t>
        </r>
      </text>
    </comment>
    <comment ref="X4"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AZ5" authorId="4" shapeId="0" xr:uid="{A0FB0630-1AB9-475D-A9B8-7CA197A69579}">
      <text>
        <r>
          <rPr>
            <b/>
            <sz val="9"/>
            <color indexed="81"/>
            <rFont val="Tahoma"/>
            <family val="2"/>
          </rPr>
          <t xml:space="preserve">THEO BẢNG TÍNH BHXH THÁNG 10
</t>
        </r>
      </text>
    </comment>
    <comment ref="AZ6" authorId="4" shapeId="0" xr:uid="{18FA7F4B-E73B-469C-8781-BE958CB17931}">
      <text>
        <r>
          <rPr>
            <b/>
            <sz val="9"/>
            <color indexed="81"/>
            <rFont val="Tahoma"/>
            <family val="2"/>
          </rPr>
          <t xml:space="preserve">THEO BẢNG TÍNH BHXH THÁNG 10
</t>
        </r>
      </text>
    </comment>
    <comment ref="AZ7" authorId="4" shapeId="0" xr:uid="{150626A5-9672-466A-A497-0478A2FB4280}">
      <text>
        <r>
          <rPr>
            <b/>
            <sz val="9"/>
            <color indexed="81"/>
            <rFont val="Tahoma"/>
            <family val="2"/>
          </rPr>
          <t xml:space="preserve">THEO BẢNG TÍNH BHXH THÁNG 10
</t>
        </r>
      </text>
    </comment>
    <comment ref="AZ8" authorId="4" shapeId="0" xr:uid="{BA4C39AD-625B-40FF-9EE9-8DFB8DE5772F}">
      <text>
        <r>
          <rPr>
            <b/>
            <sz val="9"/>
            <color indexed="81"/>
            <rFont val="Tahoma"/>
            <family val="2"/>
          </rPr>
          <t xml:space="preserve">THEO BẢNG TÍNH BHXH THÁNG 10
</t>
        </r>
      </text>
    </comment>
    <comment ref="AZ9" authorId="4" shapeId="0" xr:uid="{914E97A8-2D84-4E44-8770-AEA9AC453476}">
      <text>
        <r>
          <rPr>
            <b/>
            <sz val="9"/>
            <color indexed="81"/>
            <rFont val="Tahoma"/>
            <family val="2"/>
          </rPr>
          <t xml:space="preserve">THEO BẢNG TÍNH BHXH THÁNG 10
</t>
        </r>
      </text>
    </comment>
    <comment ref="AZ10" authorId="4" shapeId="0" xr:uid="{7B329359-8C0F-4AAA-AFFA-83F95A479321}">
      <text>
        <r>
          <rPr>
            <b/>
            <sz val="9"/>
            <color indexed="81"/>
            <rFont val="Tahoma"/>
            <family val="2"/>
          </rPr>
          <t xml:space="preserve">THEO BẢNG TÍNH BHXH THÁNG 10
</t>
        </r>
      </text>
    </comment>
    <comment ref="AZ11" authorId="4"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<sst xmlns="http://schemas.openxmlformats.org/spreadsheetml/2006/main" count="229" uniqueCount="190">
  <si>
    <t>TT</t>
  </si>
  <si>
    <t>MSNV</t>
  </si>
  <si>
    <t>Họ và tên</t>
  </si>
  <si>
    <t>Mức lương HĐLĐ</t>
  </si>
  <si>
    <t>Phụ cấp (PCCC, ATVSV)</t>
  </si>
  <si>
    <t>Mức Lương HĐLĐ + Phụ cấp</t>
  </si>
  <si>
    <t>Mức lương HĐTV</t>
  </si>
  <si>
    <t>Định mức thưởng HQCV</t>
  </si>
  <si>
    <t>Định mức thưởng HQCV Bổ sung</t>
  </si>
  <si>
    <t>Tổng Định mức thưởng HQCV</t>
  </si>
  <si>
    <t>ML HĐLĐ+ PC + Định mức thưởng HQCV</t>
  </si>
  <si>
    <t>Tỷ lệ % tạm ứng thưởng HQCV</t>
  </si>
  <si>
    <t>Ngày công trong tháng</t>
  </si>
  <si>
    <t>Các khoản được hưởng trong tháng</t>
  </si>
  <si>
    <t>Tổng thu nhập</t>
  </si>
  <si>
    <t>Tổng thu nhập đã tạm ứng kỳ I</t>
  </si>
  <si>
    <t>Tổng thu nhập còn lại kỳ II</t>
  </si>
  <si>
    <t>Các khoản khấu trừ lương</t>
  </si>
  <si>
    <t>Các khoản thu hộ/thu khác</t>
  </si>
  <si>
    <t>Tổng giảm trừ kỳ II</t>
  </si>
  <si>
    <t>Thực nhận kỳ II</t>
  </si>
  <si>
    <t>VÙNG DỮ LIỆU PHỤ ĐỂ TÍNH LƯƠNG</t>
  </si>
  <si>
    <t>VÙNG TÍNH THUẾ TNCN</t>
  </si>
  <si>
    <t>VÙNG TÍNH PHỤ CẤP NHÂN SỰ BIỆT PHÁI</t>
  </si>
  <si>
    <t>VÙNG EMAIL LƯƠNG</t>
  </si>
  <si>
    <t>VÙNG LƯƠNG THỰC TẾ TỪ HRM</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</si>
  <si>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</si>
  <si>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</si>
  <si>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</si>
  <si>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</si>
  <si>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</si>
  <si>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</si>
  <si>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</si>
  <si>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</si>
  <si>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</si>
  <si>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</si>
  <si>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</si>
  <si>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</si>
  <si>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</si>
  <si>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</si>
  <si>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</si>
  <si>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Lương
Ngày thường</t>
  </si>
  <si>
    <t>Lương Tăng ca</t>
  </si>
  <si>
    <t>Lương chủ nhật</t>
  </si>
  <si>
    <t>Lương P/c ca đêm</t>
  </si>
  <si>
    <t>Để trống</t>
  </si>
  <si>
    <t>Lương Hiếu, Hỉ</t>
  </si>
  <si>
    <t>Lương làm việc ngày Lễ Tết</t>
  </si>
  <si>
    <t>Lương nghỉ Lễ/tết</t>
  </si>
  <si>
    <t>Chế độ thứ T7</t>
  </si>
  <si>
    <t>Phụ cấp công tác</t>
  </si>
  <si>
    <t>Tiền cơm</t>
  </si>
  <si>
    <t>Bồi dưỡng PHSK</t>
  </si>
  <si>
    <t>Truy lĩnh Bồi dưỡng PHSK</t>
  </si>
  <si>
    <t>Lương trả thêm cho LĐ nữ cho thời gian không nghỉ khi hành kinh)</t>
  </si>
  <si>
    <t>Phụ cấp PCCC (ĐT, ĐP), Phụ cấp AT-VSV</t>
  </si>
  <si>
    <t>Tiền lương ngừng việc</t>
  </si>
  <si>
    <t>Phép năm đã nghỉ</t>
  </si>
  <si>
    <t>Tiền phép năm tồn 2024</t>
  </si>
  <si>
    <t>Thưởng Nhân sự hỗ trợ</t>
  </si>
  <si>
    <t>Trả tiền bảo hiểm xã hội</t>
  </si>
  <si>
    <t>Trả tiền công đoàn thu dư</t>
  </si>
  <si>
    <t>Truy lĩnh lương/ Phép năm</t>
  </si>
  <si>
    <t>Tiền lương TNLĐ</t>
  </si>
  <si>
    <t>Trợ cấp TNLĐ</t>
  </si>
  <si>
    <t>Trợ cấp thôi việc/ mất việc làm</t>
  </si>
  <si>
    <t>Thanh toán Phép năm nghỉ việc</t>
  </si>
  <si>
    <t>Hỗ trợ Công ty</t>
  </si>
  <si>
    <t>….</t>
  </si>
  <si>
    <t>Tạm ứng thưởng HQCV</t>
  </si>
  <si>
    <t>BHXH</t>
  </si>
  <si>
    <t>BHYT</t>
  </si>
  <si>
    <t>BHTN</t>
  </si>
  <si>
    <t>BHXH, BHYT, BHTN (LCB*10,5%)</t>
  </si>
  <si>
    <t>Thu bổ sung BHXH</t>
  </si>
  <si>
    <t>Thu bổ sung phí công đoàn (0.5%)</t>
  </si>
  <si>
    <t>Thuế TNCN</t>
  </si>
  <si>
    <t>Thu bổ sung công đoàn</t>
  </si>
  <si>
    <t>Thu tiền điện thoại vượt mức</t>
  </si>
  <si>
    <t>Truy thu tiền lương/Phép năm</t>
  </si>
  <si>
    <t>Truy thu BD PHSK</t>
  </si>
  <si>
    <t>Tiền phúng điếu</t>
  </si>
  <si>
    <t>Thu bổ sung thuế TNCN</t>
  </si>
  <si>
    <t>Khấu trừ tiền mua xe ưu đãi</t>
  </si>
  <si>
    <t>Thu tiền nhà ở KBT</t>
  </si>
  <si>
    <t>Thu hộ tiền Bảo hiểm Công ty AEC</t>
  </si>
  <si>
    <t>Là Nữ (không bao gồm Nhân sự đang mang thai)</t>
  </si>
  <si>
    <t>MÃ ATVSV</t>
  </si>
  <si>
    <t>MA BH</t>
  </si>
  <si>
    <t>Ma KPCD</t>
  </si>
  <si>
    <t>Kiểm tra đối tượng hưởng lương</t>
  </si>
  <si>
    <t>Kiểm tra đối tượng hưởng tăng ca</t>
  </si>
  <si>
    <t>Thuộc đối tượng hưởng Tăng ca Cơ điện</t>
  </si>
  <si>
    <t>BD PHSK</t>
  </si>
  <si>
    <t>MỨC TIỀN</t>
  </si>
  <si>
    <t>Trừ tiền tang chế</t>
  </si>
  <si>
    <t>BHXH, BHYT, BHTN (NLĐ đóng 10.5%) - Thu ky I</t>
  </si>
  <si>
    <t>Thưởng khác</t>
  </si>
  <si>
    <t>Lương tháng 13 (Thưởng 2024)</t>
  </si>
  <si>
    <t>THU 
NHẬP CHỊU  THUẾ TNCN</t>
  </si>
  <si>
    <t>SỐ NGƯỜI PHỤ THUỘC</t>
  </si>
  <si>
    <t>GIẢM TRỪ GIA CẢNH</t>
  </si>
  <si>
    <t>GIẢM TRỪ BẢN THÂN</t>
  </si>
  <si>
    <t>TỔNG GIẢM TRỪ</t>
  </si>
  <si>
    <t>TỔNG THU 
NHẬP TÍNH
 THUẾ TNCN</t>
  </si>
  <si>
    <t>Thuế TNCN tháng</t>
  </si>
  <si>
    <t>Thuế TNCN đã trừ kỳ 1</t>
  </si>
  <si>
    <t>ĐỐI TƯỢNG BIỆT PHÁI</t>
  </si>
  <si>
    <t>Mức P/c Biệt phái Lào/ Cam</t>
  </si>
  <si>
    <t>Mức P/c Biệt phái Myanmar</t>
  </si>
  <si>
    <t>Mức P/c Biệt phái trong Nước</t>
  </si>
  <si>
    <t>Mức P/c Biệt phái Hàn Quốc</t>
  </si>
  <si>
    <t>Công chính Biệt phái</t>
  </si>
  <si>
    <t>Công Chủ nhật Biệt phái</t>
  </si>
  <si>
    <t>Phụ cấp Biệt phái</t>
  </si>
  <si>
    <t>Định mức điện thoại</t>
  </si>
  <si>
    <t>Phụ cấp Điện thoại</t>
  </si>
  <si>
    <t>Tiền lương Chủ nhật</t>
  </si>
  <si>
    <t>Số ngày TNV 14 ngày đầu</t>
  </si>
  <si>
    <t>Số ngày TNV từ ngày 15 trở đi</t>
  </si>
  <si>
    <t>Công đoàn thu kỳ 1</t>
  </si>
  <si>
    <t>Tang chế kỳ 1 (22 tin)</t>
  </si>
  <si>
    <t>Tổng giảm trừ kỳ 1</t>
  </si>
  <si>
    <t>Tổng giảm trừ cả tháng</t>
  </si>
  <si>
    <t>Thực nhận kỳ 1</t>
  </si>
  <si>
    <t>Thực nhận cả tháng</t>
  </si>
  <si>
    <t>MAIL LƯƠNG</t>
  </si>
  <si>
    <t>Ngày hiệu lực lương</t>
  </si>
  <si>
    <t>Ngạch</t>
  </si>
  <si>
    <t>Mức lương</t>
  </si>
  <si>
    <t>Các khoản phụ cấp được hưởng</t>
  </si>
  <si>
    <t>Tổng lương và các khoản PC khác</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</si>
  <si>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</si>
  <si>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</si>
  <si>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</si>
  <si>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</si>
  <si>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</si>
  <si>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</si>
  <si>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</si>
  <si>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</si>
  <si>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</si>
  <si>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</si>
  <si>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</si>
  <si>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</si>
  <si>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</si>
  <si>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</si>
  <si>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</si>
  <si>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</si>
  <si>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</si>
  <si>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</si>
  <si>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</si>
  <si>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Lương</t>
  </si>
  <si>
    <t>Tiền ĐT</t>
  </si>
  <si>
    <t>8%</t>
  </si>
  <si>
    <t>1%</t>
  </si>
  <si>
    <t>Lào/ Cam</t>
  </si>
  <si>
    <t>Myanmar</t>
  </si>
  <si>
    <t>Trong nước</t>
  </si>
  <si>
    <t>Hàn quốc</t>
  </si>
  <si>
    <t>PC chức danh</t>
  </si>
  <si>
    <t>PC kiêm nhiệm</t>
  </si>
  <si>
    <t>PC thâm niên</t>
  </si>
  <si>
    <t>Tổng PC</t>
  </si>
  <si>
    <t>X</t>
  </si>
  <si>
    <t>Trừ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</si>
  <si>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</si>
  <si>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</si>
  <si>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</si>
  <si>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</si>
  <si>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</si>
  <si>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</si>
  <si>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</si>
  <si>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</si>
  <si>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</si>
  <si>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</si>
  <si>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</si>
  <si>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</si>
  <si>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</si>
  <si>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</si>
  <si>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</si>
  <si>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</si>
  <si>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</si>
  <si>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</si>
  <si>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</si>
  <si>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</si>
  <si>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</si>
  <si>
    <t>Actual monthly workdays</t>
  </si>
  <si>
    <t>1.5%</t>
  </si>
  <si>
    <t>Collection on behalf …..</t>
  </si>
  <si>
    <t>Collection on behalf2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</si>
</sst>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19">
    <font>
      <sz val="11"/>
      <color theme="1"/>
      <name val="Calibri"/>
      <family val="2"/>
      <scheme val="minor"/>
    </font>
    <font>
      <sz val="11"/>
      <name val="VNI-Times"/>
    </font>
    <font>
      <sz val="11"/>
      <color theme="1"/>
      <name val="Calibri"/>
      <family val="2"/>
      <scheme val="minor"/>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
      <b/>
      <sz val="20"/>
      <color theme="1"/>
      <name val="Times New Roman"/>
      <family val="1"/>
    </font>
    <font>
      <sz val="20"/>
      <color rgb="FF00B0F0"/>
      <name val="Times New Roman"/>
      <family val="1"/>
    </font>
    <font>
      <sz val="20"/>
      <color theme="1"/>
      <name val="Times New Roman"/>
      <family val="1"/>
    </font>
    <font>
      <b/>
      <sz val="8"/>
      <color rgb="FF000000"/>
      <name val="Tahoma"/>
      <family val="2"/>
    </font>
    <font>
      <sz val="8"/>
      <color rgb="FF000000"/>
      <name val="Tahoma"/>
      <family val="2"/>
    </font>
    <font>
      <b/>
      <sz val="9"/>
      <color rgb="FF000000"/>
      <name val="Tahoma"/>
      <family val="2"/>
    </font>
    <font>
      <sz val="9"/>
      <color rgb="FF000000"/>
      <name val="Tahoma"/>
      <family val="2"/>
    </font>
    <font>
      <b/>
      <sz val="20"/>
      <color rgb="FFFF0000"/>
      <name val="Times New Roman"/>
      <family val="1"/>
    </font>
    <font>
      <b/>
      <sz val="20"/>
      <color rgb="FF00B0F0"/>
      <name val="Times New Roman"/>
      <family val="1"/>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6">
    <xf numFmtId="0" fontId="0" fillId="0" borderId="0"/>
    <xf numFmtId="43"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1" fillId="0" borderId="0"/>
    <xf numFmtId="165" fontId="3" fillId="0" borderId="0" applyFont="0" applyFill="0" applyBorder="0" applyAlignment="0" applyProtection="0"/>
  </cellStyleXfs>
  <cellXfs count="164">
    <xf numFmtId="0" fontId="0" fillId="0" borderId="0" xfId="0"/>
    <xf numFmtId="166" fontId="9" fillId="2" borderId="0" xfId="1" applyNumberFormat="1" applyFont="1" applyFill="1" applyAlignment="1">
      <alignment horizontal="left" vertical="center" wrapText="1"/>
    </xf>
    <xf numFmtId="166" fontId="10" fillId="0" borderId="0" xfId="1" applyNumberFormat="1" applyFont="1" applyFill="1" applyBorder="1" applyAlignment="1">
      <alignment horizontal="center" vertical="center"/>
    </xf>
    <xf numFmtId="0" fontId="11" fillId="0" borderId="0" xfId="4" applyFont="1" applyAlignment="1">
      <alignment horizontal="center" vertical="center"/>
    </xf>
    <xf numFmtId="165" fontId="11" fillId="0" borderId="0" xfId="4" applyNumberFormat="1" applyFont="1" applyAlignment="1">
      <alignment horizontal="center" vertical="center"/>
    </xf>
    <xf numFmtId="166" fontId="11" fillId="0" borderId="0" xfId="1" applyNumberFormat="1" applyFont="1" applyFill="1" applyBorder="1" applyAlignment="1">
      <alignment horizontal="center" vertical="center"/>
    </xf>
    <xf numFmtId="1" fontId="11" fillId="0" borderId="0" xfId="1" applyNumberFormat="1" applyFont="1" applyFill="1" applyBorder="1" applyAlignment="1">
      <alignment vertical="center" shrinkToFit="1"/>
    </xf>
    <xf numFmtId="43" fontId="11" fillId="0" borderId="0" xfId="1" applyFont="1" applyFill="1" applyBorder="1" applyAlignment="1">
      <alignment horizontal="center" vertical="center"/>
    </xf>
    <xf numFmtId="164" fontId="11" fillId="0" borderId="0" xfId="2" applyFont="1" applyFill="1" applyBorder="1" applyAlignment="1">
      <alignment horizontal="center" vertical="center"/>
    </xf>
    <xf numFmtId="9" fontId="11" fillId="0" borderId="0" xfId="3" applyFont="1" applyFill="1" applyBorder="1" applyAlignment="1">
      <alignment horizontal="center" vertical="center"/>
    </xf>
    <xf numFmtId="167" fontId="11" fillId="0" borderId="0" xfId="2" applyNumberFormat="1" applyFont="1" applyFill="1" applyBorder="1" applyAlignment="1">
      <alignment horizontal="center" vertical="center"/>
    </xf>
    <xf numFmtId="167" fontId="11" fillId="0" borderId="0" xfId="2" applyNumberFormat="1" applyFont="1" applyFill="1" applyBorder="1" applyAlignment="1">
      <alignment vertical="center"/>
    </xf>
    <xf numFmtId="164" fontId="11" fillId="0" borderId="0" xfId="2" applyFont="1" applyFill="1" applyBorder="1" applyAlignment="1">
      <alignment vertical="center"/>
    </xf>
    <xf numFmtId="166" fontId="11" fillId="0" borderId="0" xfId="1" applyNumberFormat="1" applyFont="1" applyFill="1" applyBorder="1" applyAlignment="1">
      <alignment vertical="center"/>
    </xf>
    <xf numFmtId="14" fontId="11" fillId="0" borderId="0" xfId="4" applyNumberFormat="1" applyFont="1" applyAlignment="1">
      <alignment horizontal="center" vertical="center"/>
    </xf>
    <xf numFmtId="0" fontId="11" fillId="0" borderId="0" xfId="4" applyFont="1" applyAlignment="1">
      <alignment horizontal="left" vertical="center"/>
    </xf>
    <xf numFmtId="166" fontId="11" fillId="0" borderId="0" xfId="1" applyNumberFormat="1" applyFont="1" applyFill="1" applyBorder="1" applyAlignment="1">
      <alignment horizontal="center" vertical="center" shrinkToFit="1"/>
    </xf>
    <xf numFmtId="3" fontId="11" fillId="0" borderId="1" xfId="5" applyNumberFormat="1" applyFont="1" applyFill="1" applyBorder="1" applyAlignment="1">
      <alignment horizontal="center" vertical="center"/>
    </xf>
    <xf numFmtId="0" fontId="11" fillId="0" borderId="1" xfId="0" applyFont="1" applyBorder="1" applyAlignment="1">
      <alignment horizontal="center" vertical="center" shrinkToFit="1"/>
    </xf>
    <xf numFmtId="0" fontId="11" fillId="0" borderId="1" xfId="0" applyFont="1" applyBorder="1" applyAlignment="1">
      <alignment horizontal="left" vertical="center" shrinkToFit="1"/>
    </xf>
    <xf numFmtId="166" fontId="11" fillId="0" borderId="1" xfId="1" applyNumberFormat="1" applyFont="1" applyFill="1" applyBorder="1" applyAlignment="1">
      <alignment horizontal="center" vertical="center" shrinkToFit="1"/>
    </xf>
    <xf numFmtId="164" fontId="11" fillId="0" borderId="1" xfId="2" applyFont="1" applyFill="1" applyBorder="1" applyAlignment="1">
      <alignment horizontal="left" vertical="center" shrinkToFit="1"/>
    </xf>
    <xf numFmtId="166" fontId="11" fillId="0" borderId="1" xfId="1" applyNumberFormat="1" applyFont="1" applyFill="1" applyBorder="1" applyAlignment="1">
      <alignment horizontal="left" vertical="center" shrinkToFit="1"/>
    </xf>
    <xf numFmtId="9" fontId="11" fillId="0" borderId="1" xfId="3" applyFont="1" applyFill="1" applyBorder="1" applyAlignment="1">
      <alignment horizontal="center" vertical="center" shrinkToFit="1"/>
    </xf>
    <xf numFmtId="167" fontId="11" fillId="0" borderId="1" xfId="2" applyNumberFormat="1" applyFont="1" applyFill="1" applyBorder="1" applyAlignment="1">
      <alignment horizontal="center" vertical="center" shrinkToFit="1"/>
    </xf>
    <xf numFmtId="167" fontId="11" fillId="0" borderId="1" xfId="2" applyNumberFormat="1" applyFont="1" applyFill="1" applyBorder="1" applyAlignment="1">
      <alignment horizontal="left" vertical="center" shrinkToFit="1"/>
    </xf>
    <xf numFmtId="166" fontId="11" fillId="0" borderId="1" xfId="1" applyNumberFormat="1" applyFont="1" applyFill="1" applyBorder="1" applyAlignment="1">
      <alignment vertical="center" shrinkToFit="1"/>
    </xf>
    <xf numFmtId="166" fontId="11" fillId="0" borderId="1" xfId="1" quotePrefix="1" applyNumberFormat="1" applyFont="1" applyFill="1" applyBorder="1" applyAlignment="1">
      <alignment horizontal="left" vertical="center" shrinkToFit="1"/>
    </xf>
    <xf numFmtId="166" fontId="11" fillId="0" borderId="1" xfId="1" quotePrefix="1" applyNumberFormat="1" applyFont="1" applyFill="1" applyBorder="1" applyAlignment="1">
      <alignment horizontal="center" vertical="center" shrinkToFit="1"/>
    </xf>
    <xf numFmtId="43" fontId="11" fillId="0" borderId="1" xfId="1" applyFont="1" applyFill="1" applyBorder="1" applyAlignment="1">
      <alignment horizontal="left" vertical="center" shrinkToFit="1"/>
    </xf>
    <xf numFmtId="166" fontId="11" fillId="0" borderId="1" xfId="1" applyNumberFormat="1" applyFont="1" applyFill="1" applyBorder="1" applyAlignment="1">
      <alignment horizontal="right" vertical="center" shrinkToFit="1"/>
    </xf>
    <xf numFmtId="164" fontId="11" fillId="0" borderId="1" xfId="2" applyFont="1" applyFill="1" applyBorder="1" applyAlignment="1">
      <alignment horizontal="center" vertical="center" shrinkToFit="1"/>
    </xf>
    <xf numFmtId="43" fontId="11" fillId="0" borderId="1" xfId="1" applyFont="1" applyFill="1" applyBorder="1" applyAlignment="1">
      <alignment vertical="center" shrinkToFit="1"/>
    </xf>
    <xf numFmtId="43" fontId="11" fillId="0" borderId="1" xfId="1" applyFont="1" applyFill="1" applyBorder="1" applyAlignment="1">
      <alignment horizontal="center" vertical="center" shrinkToFit="1"/>
    </xf>
    <xf numFmtId="43" fontId="11" fillId="0" borderId="1" xfId="2" applyNumberFormat="1" applyFont="1" applyFill="1" applyBorder="1" applyAlignment="1">
      <alignment horizontal="center" vertical="center" shrinkToFit="1"/>
    </xf>
    <xf numFmtId="166" fontId="11" fillId="0" borderId="1" xfId="2" applyNumberFormat="1" applyFont="1" applyFill="1" applyBorder="1" applyAlignment="1">
      <alignment horizontal="center" vertical="center" shrinkToFit="1"/>
    </xf>
    <xf numFmtId="43" fontId="11" fillId="0" borderId="1" xfId="2" applyNumberFormat="1" applyFont="1" applyFill="1" applyBorder="1" applyAlignment="1">
      <alignment vertical="center" shrinkToFit="1"/>
    </xf>
    <xf numFmtId="166" fontId="11" fillId="0" borderId="1" xfId="2" applyNumberFormat="1" applyFont="1" applyFill="1" applyBorder="1" applyAlignment="1">
      <alignment vertical="center" shrinkToFit="1"/>
    </xf>
    <xf numFmtId="167" fontId="11" fillId="0" borderId="1" xfId="2" applyNumberFormat="1" applyFont="1" applyFill="1" applyBorder="1" applyAlignment="1">
      <alignment vertical="center" shrinkToFit="1"/>
    </xf>
    <xf numFmtId="164" fontId="11" fillId="0" borderId="1" xfId="2" applyFont="1" applyFill="1" applyBorder="1" applyAlignment="1">
      <alignment vertical="center" shrinkToFit="1"/>
    </xf>
    <xf numFmtId="14" fontId="11" fillId="0" borderId="1" xfId="0" applyNumberFormat="1" applyFont="1" applyBorder="1" applyAlignment="1">
      <alignment vertical="center" shrinkToFit="1"/>
    </xf>
    <xf numFmtId="0" fontId="11" fillId="0" borderId="3" xfId="0" applyFont="1" applyBorder="1" applyAlignment="1">
      <alignment vertical="center" shrinkToFit="1"/>
    </xf>
    <xf numFmtId="166" fontId="11" fillId="0" borderId="1" xfId="0" applyNumberFormat="1" applyFont="1" applyBorder="1" applyAlignment="1">
      <alignment vertical="center" shrinkToFit="1"/>
    </xf>
    <xf numFmtId="169" fontId="11" fillId="0" borderId="1" xfId="1" applyNumberFormat="1" applyFont="1" applyFill="1" applyBorder="1" applyAlignment="1">
      <alignment horizontal="center" vertical="center" shrinkToFit="1"/>
    </xf>
    <xf numFmtId="0" fontId="11" fillId="0" borderId="2" xfId="1" applyNumberFormat="1" applyFont="1" applyFill="1" applyBorder="1" applyAlignment="1">
      <alignment vertical="center" shrinkToFit="1"/>
    </xf>
    <xf numFmtId="14" fontId="11" fillId="0" borderId="1" xfId="1" applyNumberFormat="1" applyFont="1" applyFill="1" applyBorder="1" applyAlignment="1">
      <alignment horizontal="center" vertical="center" shrinkToFit="1"/>
    </xf>
    <xf numFmtId="0" fontId="11" fillId="0" borderId="1" xfId="1" applyNumberFormat="1" applyFont="1" applyFill="1" applyBorder="1" applyAlignment="1">
      <alignment vertical="center" shrinkToFit="1"/>
    </xf>
    <xf numFmtId="0" fontId="11" fillId="0" borderId="1" xfId="0" applyFont="1" applyBorder="1" applyAlignment="1">
      <alignment vertical="center" shrinkToFit="1"/>
    </xf>
    <xf numFmtId="49" fontId="11" fillId="0" borderId="1" xfId="2" quotePrefix="1" applyNumberFormat="1" applyFont="1" applyFill="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166" fontId="11" fillId="0" borderId="0" xfId="1" applyNumberFormat="1" applyFont="1" applyFill="1" applyBorder="1" applyAlignment="1">
      <alignment vertical="center" wrapText="1"/>
    </xf>
    <xf numFmtId="168" fontId="11" fillId="0" borderId="0" xfId="2" applyNumberFormat="1" applyFont="1" applyFill="1" applyBorder="1" applyAlignment="1">
      <alignment horizontal="center" vertical="center"/>
    </xf>
    <xf numFmtId="166" fontId="11" fillId="0" borderId="0" xfId="1" applyNumberFormat="1" applyFont="1" applyFill="1" applyBorder="1" applyAlignment="1">
      <alignment horizontal="right" vertical="center"/>
    </xf>
    <xf numFmtId="1" fontId="11" fillId="0" borderId="0" xfId="1" applyNumberFormat="1" applyFont="1" applyFill="1" applyBorder="1" applyAlignment="1">
      <alignment vertical="center"/>
    </xf>
    <xf numFmtId="1" fontId="11" fillId="0" borderId="0" xfId="1" applyNumberFormat="1" applyFont="1" applyFill="1" applyBorder="1" applyAlignment="1">
      <alignment horizontal="center" vertical="center"/>
    </xf>
    <xf numFmtId="14" fontId="11" fillId="0" borderId="0" xfId="1" applyNumberFormat="1" applyFont="1" applyFill="1" applyBorder="1" applyAlignment="1">
      <alignment horizontal="center" vertical="center"/>
    </xf>
    <xf numFmtId="43" fontId="11" fillId="0" borderId="0" xfId="1" applyFont="1" applyFill="1" applyBorder="1" applyAlignment="1">
      <alignment vertical="center"/>
    </xf>
    <xf numFmtId="14" fontId="11" fillId="0" borderId="0" xfId="0" applyNumberFormat="1" applyFont="1" applyAlignment="1">
      <alignment vertical="center"/>
    </xf>
    <xf numFmtId="0" fontId="11" fillId="0" borderId="0" xfId="1" applyNumberFormat="1" applyFont="1" applyFill="1" applyBorder="1" applyAlignment="1">
      <alignment vertical="center"/>
    </xf>
    <xf numFmtId="0" fontId="11" fillId="0" borderId="0" xfId="1" applyNumberFormat="1" applyFont="1" applyFill="1" applyBorder="1" applyAlignment="1">
      <alignment horizontal="left" vertical="center"/>
    </xf>
    <xf numFmtId="166" fontId="11" fillId="0" borderId="0" xfId="0" applyNumberFormat="1" applyFont="1" applyAlignment="1">
      <alignment vertical="center"/>
    </xf>
    <xf numFmtId="0" fontId="11" fillId="0" borderId="0" xfId="0" applyFont="1" applyAlignment="1">
      <alignment horizontal="right" vertical="center"/>
    </xf>
    <xf numFmtId="1" fontId="11" fillId="0" borderId="0" xfId="0" applyNumberFormat="1" applyFont="1" applyAlignment="1">
      <alignment vertical="center"/>
    </xf>
    <xf numFmtId="3" fontId="11" fillId="4" borderId="1" xfId="5" applyNumberFormat="1" applyFont="1" applyFill="1" applyBorder="1" applyAlignment="1">
      <alignment horizontal="center" vertical="center"/>
    </xf>
    <xf numFmtId="0" fontId="11" fillId="4" borderId="1" xfId="0" applyFont="1" applyFill="1" applyBorder="1" applyAlignment="1">
      <alignment horizontal="center" vertical="center" shrinkToFit="1"/>
    </xf>
    <xf numFmtId="0" fontId="11" fillId="4" borderId="1" xfId="0" applyFont="1" applyFill="1" applyBorder="1" applyAlignment="1">
      <alignment horizontal="left" vertical="center" shrinkToFit="1"/>
    </xf>
    <xf numFmtId="166" fontId="11" fillId="4" borderId="1" xfId="1" applyNumberFormat="1" applyFont="1" applyFill="1" applyBorder="1" applyAlignment="1">
      <alignment horizontal="center" vertical="center" shrinkToFit="1"/>
    </xf>
    <xf numFmtId="164" fontId="11" fillId="4" borderId="1" xfId="2" applyFont="1" applyFill="1" applyBorder="1" applyAlignment="1">
      <alignment horizontal="left" vertical="center" shrinkToFit="1"/>
    </xf>
    <xf numFmtId="166" fontId="11" fillId="4" borderId="1" xfId="1" applyNumberFormat="1" applyFont="1" applyFill="1" applyBorder="1" applyAlignment="1">
      <alignment horizontal="left" vertical="center" shrinkToFit="1"/>
    </xf>
    <xf numFmtId="9" fontId="11" fillId="4" borderId="1" xfId="3" applyFont="1" applyFill="1" applyBorder="1" applyAlignment="1">
      <alignment horizontal="center" vertical="center" shrinkToFit="1"/>
    </xf>
    <xf numFmtId="167" fontId="11" fillId="4" borderId="1" xfId="2" applyNumberFormat="1" applyFont="1" applyFill="1" applyBorder="1" applyAlignment="1">
      <alignment horizontal="center" vertical="center" shrinkToFit="1"/>
    </xf>
    <xf numFmtId="167" fontId="11" fillId="4" borderId="1" xfId="2" applyNumberFormat="1" applyFont="1" applyFill="1" applyBorder="1" applyAlignment="1">
      <alignment horizontal="left" vertical="center" shrinkToFit="1"/>
    </xf>
    <xf numFmtId="166" fontId="11" fillId="4" borderId="1" xfId="1" applyNumberFormat="1" applyFont="1" applyFill="1" applyBorder="1" applyAlignment="1">
      <alignment vertical="center" shrinkToFit="1"/>
    </xf>
    <xf numFmtId="166" fontId="11" fillId="4" borderId="1" xfId="1" quotePrefix="1" applyNumberFormat="1" applyFont="1" applyFill="1" applyBorder="1" applyAlignment="1">
      <alignment horizontal="left" vertical="center" shrinkToFit="1"/>
    </xf>
    <xf numFmtId="166" fontId="11" fillId="4" borderId="1" xfId="1" quotePrefix="1" applyNumberFormat="1" applyFont="1" applyFill="1" applyBorder="1" applyAlignment="1">
      <alignment horizontal="center" vertical="center" shrinkToFit="1"/>
    </xf>
    <xf numFmtId="43" fontId="11" fillId="4" borderId="1" xfId="1" applyFont="1" applyFill="1" applyBorder="1" applyAlignment="1">
      <alignment horizontal="left" vertical="center" shrinkToFit="1"/>
    </xf>
    <xf numFmtId="166" fontId="11" fillId="4" borderId="1" xfId="1" applyNumberFormat="1" applyFont="1" applyFill="1" applyBorder="1" applyAlignment="1">
      <alignment horizontal="right" vertical="center" shrinkToFit="1"/>
    </xf>
    <xf numFmtId="164" fontId="11" fillId="4" borderId="1" xfId="2" applyFont="1" applyFill="1" applyBorder="1" applyAlignment="1">
      <alignment horizontal="center" vertical="center" shrinkToFit="1"/>
    </xf>
    <xf numFmtId="43" fontId="11" fillId="4" borderId="1" xfId="1" applyFont="1" applyFill="1" applyBorder="1" applyAlignment="1">
      <alignment vertical="center" shrinkToFit="1"/>
    </xf>
    <xf numFmtId="43" fontId="11" fillId="4" borderId="1" xfId="1" applyFont="1" applyFill="1" applyBorder="1" applyAlignment="1">
      <alignment horizontal="center" vertical="center" shrinkToFit="1"/>
    </xf>
    <xf numFmtId="43" fontId="11" fillId="4" borderId="1" xfId="2" applyNumberFormat="1" applyFont="1" applyFill="1" applyBorder="1" applyAlignment="1">
      <alignment horizontal="center" vertical="center" shrinkToFit="1"/>
    </xf>
    <xf numFmtId="166" fontId="11" fillId="4" borderId="1" xfId="2" applyNumberFormat="1" applyFont="1" applyFill="1" applyBorder="1" applyAlignment="1">
      <alignment horizontal="center" vertical="center" shrinkToFit="1"/>
    </xf>
    <xf numFmtId="43" fontId="11" fillId="4" borderId="1" xfId="2" applyNumberFormat="1" applyFont="1" applyFill="1" applyBorder="1" applyAlignment="1">
      <alignment vertical="center" shrinkToFit="1"/>
    </xf>
    <xf numFmtId="166" fontId="11" fillId="4" borderId="1" xfId="2" applyNumberFormat="1" applyFont="1" applyFill="1" applyBorder="1" applyAlignment="1">
      <alignment vertical="center" shrinkToFit="1"/>
    </xf>
    <xf numFmtId="167" fontId="11" fillId="4" borderId="1" xfId="2" applyNumberFormat="1" applyFont="1" applyFill="1" applyBorder="1" applyAlignment="1">
      <alignment vertical="center" shrinkToFit="1"/>
    </xf>
    <xf numFmtId="164" fontId="11" fillId="4" borderId="1" xfId="2" applyFont="1" applyFill="1" applyBorder="1" applyAlignment="1">
      <alignment vertical="center" shrinkToFit="1"/>
    </xf>
    <xf numFmtId="14" fontId="11" fillId="4" borderId="1" xfId="0" applyNumberFormat="1" applyFont="1" applyFill="1" applyBorder="1" applyAlignment="1">
      <alignment vertical="center" shrinkToFit="1"/>
    </xf>
    <xf numFmtId="0" fontId="11" fillId="4" borderId="3" xfId="0" applyFont="1" applyFill="1" applyBorder="1" applyAlignment="1">
      <alignment vertical="center" shrinkToFit="1"/>
    </xf>
    <xf numFmtId="166" fontId="11" fillId="4" borderId="1" xfId="0" applyNumberFormat="1" applyFont="1" applyFill="1" applyBorder="1" applyAlignment="1">
      <alignment vertical="center" shrinkToFit="1"/>
    </xf>
    <xf numFmtId="169" fontId="11" fillId="4" borderId="1" xfId="1" applyNumberFormat="1" applyFont="1" applyFill="1" applyBorder="1" applyAlignment="1">
      <alignment horizontal="center" vertical="center" shrinkToFit="1"/>
    </xf>
    <xf numFmtId="0" fontId="11" fillId="4" borderId="2" xfId="1" applyNumberFormat="1" applyFont="1" applyFill="1" applyBorder="1" applyAlignment="1">
      <alignment vertical="center" shrinkToFit="1"/>
    </xf>
    <xf numFmtId="14" fontId="11" fillId="4" borderId="1" xfId="1" applyNumberFormat="1" applyFont="1" applyFill="1" applyBorder="1" applyAlignment="1">
      <alignment horizontal="center" vertical="center" shrinkToFit="1"/>
    </xf>
    <xf numFmtId="0" fontId="11" fillId="4" borderId="1" xfId="1" applyNumberFormat="1" applyFont="1" applyFill="1" applyBorder="1" applyAlignment="1">
      <alignment vertical="center" shrinkToFit="1"/>
    </xf>
    <xf numFmtId="0" fontId="11" fillId="4" borderId="1" xfId="0" applyFont="1" applyFill="1" applyBorder="1" applyAlignment="1">
      <alignment vertical="center" shrinkToFit="1"/>
    </xf>
    <xf numFmtId="49" fontId="11" fillId="4" borderId="1" xfId="2" quotePrefix="1" applyNumberFormat="1" applyFont="1" applyFill="1" applyBorder="1" applyAlignment="1">
      <alignment vertical="center"/>
    </xf>
    <xf numFmtId="166" fontId="9" fillId="2" borderId="1" xfId="1" applyNumberFormat="1" applyFont="1" applyFill="1" applyBorder="1" applyAlignment="1">
      <alignment horizontal="center" vertical="center" wrapText="1"/>
    </xf>
    <xf numFmtId="168" fontId="9" fillId="2" borderId="1" xfId="2"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166" fontId="9" fillId="2" borderId="1" xfId="1" applyNumberFormat="1" applyFont="1" applyFill="1" applyBorder="1" applyAlignment="1">
      <alignment vertical="center" wrapText="1"/>
    </xf>
    <xf numFmtId="49" fontId="10" fillId="2" borderId="1" xfId="1" applyNumberFormat="1" applyFont="1" applyFill="1" applyBorder="1" applyAlignment="1">
      <alignment horizontal="center" vertical="center" wrapText="1"/>
    </xf>
    <xf numFmtId="166" fontId="17" fillId="2" borderId="1" xfId="1" applyNumberFormat="1" applyFont="1" applyFill="1" applyBorder="1" applyAlignment="1">
      <alignment horizontal="center" vertical="center" wrapText="1"/>
    </xf>
    <xf numFmtId="167" fontId="16" fillId="2" borderId="1" xfId="2" applyNumberFormat="1" applyFont="1" applyFill="1" applyBorder="1" applyAlignment="1">
      <alignment horizontal="center" vertical="center" wrapText="1"/>
    </xf>
    <xf numFmtId="43" fontId="16" fillId="2" borderId="1" xfId="1" applyFont="1" applyFill="1" applyBorder="1" applyAlignment="1">
      <alignment horizontal="center" vertical="center" wrapText="1"/>
    </xf>
    <xf numFmtId="43" fontId="9" fillId="3" borderId="7" xfId="1" applyFont="1" applyFill="1" applyBorder="1" applyAlignment="1">
      <alignment horizontal="center" vertical="center"/>
    </xf>
    <xf numFmtId="43" fontId="9" fillId="3" borderId="8" xfId="1" applyFont="1" applyFill="1" applyBorder="1" applyAlignment="1">
      <alignment horizontal="center" vertical="center"/>
    </xf>
    <xf numFmtId="43" fontId="9" fillId="3" borderId="9" xfId="1" applyFont="1" applyFill="1" applyBorder="1" applyAlignment="1">
      <alignment horizontal="center" vertical="center"/>
    </xf>
    <xf numFmtId="166" fontId="9" fillId="3" borderId="3" xfId="1" applyNumberFormat="1" applyFont="1" applyFill="1" applyBorder="1" applyAlignment="1">
      <alignment horizontal="center" vertical="center" wrapText="1"/>
    </xf>
    <xf numFmtId="166" fontId="9" fillId="3" borderId="10" xfId="1" applyNumberFormat="1" applyFont="1" applyFill="1" applyBorder="1" applyAlignment="1">
      <alignment horizontal="center" vertical="center" wrapText="1"/>
    </xf>
    <xf numFmtId="166" fontId="9" fillId="3" borderId="2" xfId="1" applyNumberFormat="1"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3" borderId="7" xfId="1" applyNumberFormat="1" applyFont="1" applyFill="1" applyBorder="1" applyAlignment="1">
      <alignment horizontal="center" vertical="center" wrapText="1"/>
    </xf>
    <xf numFmtId="0" fontId="9" fillId="3" borderId="8" xfId="1" applyNumberFormat="1" applyFont="1" applyFill="1" applyBorder="1" applyAlignment="1">
      <alignment horizontal="center" vertical="center" wrapText="1"/>
    </xf>
    <xf numFmtId="166" fontId="9" fillId="2" borderId="4" xfId="1" applyNumberFormat="1" applyFont="1" applyFill="1" applyBorder="1" applyAlignment="1">
      <alignment horizontal="center" vertical="center" wrapText="1"/>
    </xf>
    <xf numFmtId="166" fontId="9" fillId="2" borderId="6" xfId="1" applyNumberFormat="1" applyFont="1" applyFill="1" applyBorder="1" applyAlignment="1">
      <alignment horizontal="center" vertical="center" wrapText="1"/>
    </xf>
    <xf numFmtId="166" fontId="9" fillId="2" borderId="5" xfId="1" applyNumberFormat="1" applyFont="1" applyFill="1" applyBorder="1" applyAlignment="1">
      <alignment horizontal="center" vertical="center" wrapText="1"/>
    </xf>
    <xf numFmtId="166" fontId="9" fillId="3" borderId="7" xfId="1" applyNumberFormat="1" applyFont="1" applyFill="1" applyBorder="1" applyAlignment="1">
      <alignment horizontal="center" vertical="center" wrapText="1"/>
    </xf>
    <xf numFmtId="166" fontId="9" fillId="3" borderId="8" xfId="1" applyNumberFormat="1" applyFont="1" applyFill="1" applyBorder="1" applyAlignment="1">
      <alignment horizontal="center" vertical="center" wrapText="1"/>
    </xf>
    <xf numFmtId="166" fontId="9" fillId="3" borderId="9" xfId="1" applyNumberFormat="1" applyFont="1" applyFill="1" applyBorder="1" applyAlignment="1">
      <alignment horizontal="center" vertical="center" wrapText="1"/>
    </xf>
    <xf numFmtId="1" fontId="9" fillId="3" borderId="7" xfId="1" applyNumberFormat="1" applyFont="1" applyFill="1" applyBorder="1" applyAlignment="1">
      <alignment horizontal="center" vertical="center"/>
    </xf>
    <xf numFmtId="1" fontId="9" fillId="3" borderId="8" xfId="1" applyNumberFormat="1" applyFont="1" applyFill="1" applyBorder="1" applyAlignment="1">
      <alignment horizontal="center" vertical="center"/>
    </xf>
    <xf numFmtId="1" fontId="9" fillId="3" borderId="9" xfId="1" applyNumberFormat="1" applyFont="1" applyFill="1" applyBorder="1" applyAlignment="1">
      <alignment horizontal="center" vertical="center"/>
    </xf>
    <xf numFmtId="166" fontId="11" fillId="0" borderId="0" xfId="1" applyNumberFormat="1" applyFont="1" applyFill="1" applyBorder="1" applyAlignment="1">
      <alignment horizontal="center" vertical="center"/>
    </xf>
    <xf numFmtId="9" fontId="11" fillId="0" borderId="0" xfId="3" applyFont="1" applyFill="1" applyBorder="1" applyAlignment="1">
      <alignment horizontal="center" vertical="center"/>
    </xf>
    <xf numFmtId="0" fontId="11" fillId="0" borderId="0" xfId="0" applyFont="1" applyAlignment="1">
      <alignment horizontal="center" vertical="center"/>
    </xf>
    <xf numFmtId="0" fontId="9" fillId="2" borderId="1" xfId="4" applyFont="1" applyFill="1" applyBorder="1" applyAlignment="1">
      <alignment horizontal="center" vertical="center"/>
    </xf>
    <xf numFmtId="166" fontId="9" fillId="2" borderId="1" xfId="1" applyNumberFormat="1" applyFont="1" applyFill="1" applyBorder="1" applyAlignment="1">
      <alignment horizontal="center" vertical="center" wrapText="1"/>
    </xf>
    <xf numFmtId="166" fontId="16" fillId="2" borderId="1" xfId="1" applyNumberFormat="1" applyFont="1" applyFill="1" applyBorder="1" applyAlignment="1">
      <alignment horizontal="center" vertical="center" wrapText="1"/>
    </xf>
    <xf numFmtId="0" fontId="9" fillId="2" borderId="4" xfId="1" applyNumberFormat="1" applyFont="1" applyFill="1" applyBorder="1" applyAlignment="1">
      <alignment horizontal="center" vertical="center" wrapText="1"/>
    </xf>
    <xf numFmtId="0" fontId="9" fillId="2" borderId="5" xfId="1" applyNumberFormat="1" applyFont="1" applyFill="1" applyBorder="1" applyAlignment="1">
      <alignment horizontal="center" vertical="center" wrapText="1"/>
    </xf>
    <xf numFmtId="0" fontId="16" fillId="2" borderId="4" xfId="1" applyNumberFormat="1" applyFont="1" applyFill="1" applyBorder="1" applyAlignment="1">
      <alignment horizontal="center" vertical="center" wrapText="1"/>
    </xf>
    <xf numFmtId="0" fontId="16" fillId="2" borderId="5" xfId="1" applyNumberFormat="1" applyFont="1" applyFill="1" applyBorder="1" applyAlignment="1">
      <alignment horizontal="center" vertical="center" wrapText="1"/>
    </xf>
    <xf numFmtId="166" fontId="16" fillId="2" borderId="4" xfId="1" applyNumberFormat="1" applyFont="1" applyFill="1" applyBorder="1" applyAlignment="1">
      <alignment horizontal="center" vertical="center" wrapText="1"/>
    </xf>
    <xf numFmtId="166" fontId="16" fillId="2" borderId="5" xfId="1" applyNumberFormat="1" applyFont="1" applyFill="1" applyBorder="1" applyAlignment="1">
      <alignment horizontal="center" vertical="center" wrapText="1"/>
    </xf>
    <xf numFmtId="168" fontId="9" fillId="3" borderId="1" xfId="2" applyNumberFormat="1" applyFont="1" applyFill="1" applyBorder="1" applyAlignment="1">
      <alignment horizontal="center" vertical="center" wrapText="1"/>
    </xf>
    <xf numFmtId="168" fontId="9" fillId="2" borderId="1" xfId="2"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1" fontId="9" fillId="2" borderId="4" xfId="1" applyNumberFormat="1" applyFont="1" applyFill="1" applyBorder="1" applyAlignment="1">
      <alignment horizontal="center" vertical="center" wrapText="1"/>
    </xf>
    <xf numFmtId="1" fontId="9" fillId="2" borderId="5" xfId="1" applyNumberFormat="1" applyFont="1" applyFill="1" applyBorder="1" applyAlignment="1">
      <alignment horizontal="center" vertical="center" wrapText="1"/>
    </xf>
    <xf numFmtId="0" fontId="18" fillId="2" borderId="5" xfId="0" applyFont="1" applyFill="1" applyBorder="1"/>
    <xf numFmtId="9" fontId="9" fillId="2" borderId="4" xfId="3" applyFont="1" applyFill="1" applyBorder="1" applyAlignment="1">
      <alignment horizontal="center" vertical="center" wrapText="1"/>
    </xf>
    <xf numFmtId="9" fontId="9" fillId="2" borderId="5" xfId="3" applyFont="1" applyFill="1" applyBorder="1" applyAlignment="1">
      <alignment horizontal="center" vertical="center" wrapText="1"/>
    </xf>
    <xf numFmtId="164" fontId="9" fillId="2" borderId="4" xfId="2" applyFont="1" applyFill="1" applyBorder="1" applyAlignment="1">
      <alignment horizontal="center" vertical="center" wrapText="1"/>
    </xf>
    <xf numFmtId="164" fontId="9" fillId="2" borderId="5" xfId="2" applyFont="1" applyFill="1" applyBorder="1" applyAlignment="1">
      <alignment horizontal="center" vertical="center" wrapText="1"/>
    </xf>
    <xf numFmtId="166" fontId="9" fillId="2" borderId="4" xfId="0" applyNumberFormat="1" applyFont="1" applyFill="1" applyBorder="1" applyAlignment="1">
      <alignment horizontal="center" vertical="center" wrapText="1"/>
    </xf>
    <xf numFmtId="166" fontId="9" fillId="2" borderId="5" xfId="0" applyNumberFormat="1"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43" fontId="9" fillId="2" borderId="1" xfId="1" applyFont="1" applyFill="1" applyBorder="1" applyAlignment="1">
      <alignment horizontal="center" vertical="center"/>
    </xf>
    <xf numFmtId="43" fontId="9" fillId="2" borderId="4" xfId="1" applyFont="1" applyFill="1" applyBorder="1" applyAlignment="1">
      <alignment horizontal="center" vertical="center" wrapText="1"/>
    </xf>
    <xf numFmtId="43" fontId="9" fillId="2" borderId="5" xfId="1" applyFont="1" applyFill="1" applyBorder="1" applyAlignment="1">
      <alignment horizontal="center" vertical="center" wrapText="1"/>
    </xf>
    <xf numFmtId="49" fontId="9" fillId="2" borderId="4" xfId="2" applyNumberFormat="1" applyFont="1" applyFill="1" applyBorder="1" applyAlignment="1">
      <alignment horizontal="center" vertical="center" wrapText="1"/>
    </xf>
    <xf numFmtId="49" fontId="9" fillId="2" borderId="5" xfId="2" applyNumberFormat="1" applyFont="1" applyFill="1" applyBorder="1" applyAlignment="1">
      <alignment horizontal="center" vertical="center" wrapText="1"/>
    </xf>
    <xf numFmtId="0" fontId="9" fillId="2" borderId="4" xfId="2" applyNumberFormat="1" applyFont="1" applyFill="1" applyBorder="1" applyAlignment="1">
      <alignment horizontal="center" vertical="center" wrapText="1"/>
    </xf>
    <xf numFmtId="0" fontId="9" fillId="2" borderId="5" xfId="2" applyNumberFormat="1" applyFont="1" applyFill="1" applyBorder="1" applyAlignment="1">
      <alignment horizontal="center" vertical="center" wrapText="1"/>
    </xf>
    <xf numFmtId="14" fontId="9" fillId="2" borderId="4" xfId="2" applyNumberFormat="1" applyFont="1" applyFill="1" applyBorder="1" applyAlignment="1">
      <alignment horizontal="center" vertical="center" wrapText="1"/>
    </xf>
    <xf numFmtId="14" fontId="9" fillId="2" borderId="5" xfId="2" applyNumberFormat="1" applyFont="1" applyFill="1" applyBorder="1" applyAlignment="1">
      <alignment horizontal="center" vertical="center" wrapText="1"/>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 val="Danh sach"/>
      <sheetName val="Danh_sach"/>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refreshError="1"/>
      <sheetData sheetId="6" refreshError="1"/>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 val="Danh_sách_thép1"/>
      <sheetName val="PL_1020-16_TG1"/>
      <sheetName val="CP_suamaybom1"/>
      <sheetName val="Giá_TB1"/>
      <sheetName val="Lcau_-_Lxuc1"/>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sheetData sheetId="27"/>
      <sheetData sheetId="28"/>
      <sheetData sheetId="29"/>
      <sheetData sheetId="3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refreshError="1"/>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EV11"/>
  <sheetViews>
    <sheetView tabSelected="1" zoomScale="60" zoomScaleNormal="60" zoomScaleSheetLayoutView="40" workbookViewId="0">
      <pane xSplit="3" ySplit="4" topLeftCell="EG5" activePane="bottomRight" state="frozen"/>
      <selection pane="topRight" activeCell="D1" sqref="D1"/>
      <selection pane="bottomLeft" activeCell="A11" sqref="A11"/>
      <selection pane="bottomRight" activeCell="A5" sqref="A5"/>
    </sheetView>
  </sheetViews>
  <sheetFormatPr baseColWidth="10" defaultColWidth="9.1640625" defaultRowHeight="25" outlineLevelRow="1" outlineLevelCol="2"/>
  <cols>
    <col min="1" max="1" width="14.6640625" style="50" customWidth="1"/>
    <col min="2" max="2" width="17.83203125" style="5" customWidth="1"/>
    <col min="3" max="3" width="49.83203125" style="51" bestFit="1" customWidth="1"/>
    <col min="4" max="4" width="23.6640625" style="13" customWidth="1" outlineLevel="1"/>
    <col min="5" max="5" width="21.83203125" style="13" customWidth="1" outlineLevel="1"/>
    <col min="6" max="6" width="22.83203125" style="13" customWidth="1"/>
    <col min="7" max="7" width="19.1640625" style="13" customWidth="1"/>
    <col min="8" max="8" width="25.1640625" style="13" customWidth="1" outlineLevel="1"/>
    <col min="9" max="9" width="19.1640625" style="13" customWidth="1" outlineLevel="1"/>
    <col min="10" max="10" width="20.6640625" style="49" customWidth="1"/>
    <col min="11" max="11" width="23.6640625" style="49" customWidth="1"/>
    <col min="12" max="12" width="15.6640625" style="49" customWidth="1" outlineLevel="1"/>
    <col min="13" max="15" width="15.83203125" style="52" customWidth="1"/>
    <col min="16" max="16" width="15.83203125" style="10" customWidth="1"/>
    <col min="17" max="17" width="19.83203125" style="10" customWidth="1"/>
    <col min="18" max="18" width="19.33203125" style="10" customWidth="1" outlineLevel="1"/>
    <col min="19" max="19" width="15.6640625" style="10" customWidth="1" outlineLevel="1"/>
    <col min="20" max="20" width="15.83203125" style="10" customWidth="1"/>
    <col min="21" max="22" width="13.83203125" style="10" customWidth="1" outlineLevel="1"/>
    <col min="23" max="23" width="15.83203125" style="10" customWidth="1" outlineLevel="1"/>
    <col min="24" max="25" width="14.83203125" style="52" customWidth="1"/>
    <col min="26" max="28" width="15.83203125" style="52" customWidth="1" outlineLevel="1"/>
    <col min="29" max="29" width="18.83203125" style="52" customWidth="1"/>
    <col min="30" max="30" width="15.83203125" style="52" customWidth="1" outlineLevel="1"/>
    <col min="31" max="31" width="15.83203125" style="52" customWidth="1"/>
    <col min="32" max="34" width="24.1640625" style="13" customWidth="1"/>
    <col min="35" max="35" width="19.6640625" style="5" customWidth="1"/>
    <col min="36" max="37" width="19.1640625" style="5" customWidth="1" outlineLevel="1"/>
    <col min="38" max="38" width="19.33203125" style="13" customWidth="1"/>
    <col min="39" max="40" width="19.33203125" style="13" customWidth="1" outlineLevel="1"/>
    <col min="41" max="41" width="23.6640625" style="13" customWidth="1"/>
    <col min="42" max="42" width="24.6640625" style="13" customWidth="1" outlineLevel="1"/>
    <col min="43" max="43" width="21.1640625" style="13" customWidth="1" outlineLevel="1"/>
    <col min="44" max="44" width="19.33203125" style="13" customWidth="1" outlineLevel="1"/>
    <col min="45" max="45" width="19.33203125" style="13" customWidth="1"/>
    <col min="46" max="46" width="19.1640625" style="13" customWidth="1"/>
    <col min="47" max="47" width="30.1640625" style="13" customWidth="1"/>
    <col min="48" max="51" width="18.1640625" style="13" customWidth="1"/>
    <col min="52" max="52" width="16.1640625" style="13" customWidth="1" outlineLevel="1"/>
    <col min="53" max="53" width="17.1640625" style="13" customWidth="1"/>
    <col min="54" max="54" width="19.1640625" style="13" customWidth="1" outlineLevel="1"/>
    <col min="55" max="55" width="19.33203125" style="13" customWidth="1"/>
    <col min="56" max="56" width="19.83203125" style="13" customWidth="1" outlineLevel="1"/>
    <col min="57" max="57" width="19.1640625" style="13" customWidth="1" outlineLevel="1"/>
    <col min="58" max="58" width="21.33203125" style="13" customWidth="1" outlineLevel="1"/>
    <col min="59" max="59" width="19.83203125" style="13" customWidth="1" outlineLevel="1"/>
    <col min="60" max="61" width="19.1640625" style="13" customWidth="1" outlineLevel="1"/>
    <col min="62" max="63" width="25.83203125" style="13" customWidth="1"/>
    <col min="64" max="64" width="26.83203125" style="13" customWidth="1"/>
    <col min="65" max="65" width="23.33203125" style="13" customWidth="1"/>
    <col min="66" max="69" width="19.83203125" style="13" customWidth="1" outlineLevel="1"/>
    <col min="70" max="70" width="19.6640625" style="13" customWidth="1"/>
    <col min="71" max="71" width="20.33203125" style="5" customWidth="1" outlineLevel="1"/>
    <col min="72" max="72" width="22.6640625" style="53" customWidth="1"/>
    <col min="73" max="73" width="17.83203125" style="13" customWidth="1" outlineLevel="1"/>
    <col min="74" max="74" width="17.83203125" style="13" customWidth="1"/>
    <col min="75" max="75" width="21.33203125" style="13" customWidth="1"/>
    <col min="76" max="76" width="17.83203125" style="13" customWidth="1" outlineLevel="1"/>
    <col min="77" max="77" width="20.1640625" style="13" customWidth="1"/>
    <col min="78" max="83" width="17.83203125" style="13" customWidth="1" outlineLevel="1"/>
    <col min="84" max="84" width="24.1640625" style="5" customWidth="1"/>
    <col min="85" max="85" width="24.1640625" style="10" customWidth="1"/>
    <col min="86" max="86" width="20.83203125" style="5" customWidth="1" outlineLevel="1"/>
    <col min="87" max="87" width="19" style="5" customWidth="1" outlineLevel="1"/>
    <col min="88" max="89" width="19" style="54" customWidth="1" outlineLevel="1"/>
    <col min="90" max="90" width="24.1640625" style="13" customWidth="1" outlineLevel="1"/>
    <col min="91" max="91" width="16.6640625" style="13" customWidth="1" outlineLevel="1"/>
    <col min="92" max="92" width="20.6640625" style="13" customWidth="1" outlineLevel="1"/>
    <col min="93" max="93" width="17.33203125" style="55" customWidth="1" outlineLevel="1"/>
    <col min="94" max="94" width="18.6640625" style="13" customWidth="1" outlineLevel="1"/>
    <col min="95" max="95" width="19" style="56" customWidth="1" outlineLevel="1"/>
    <col min="96" max="96" width="26.1640625" style="5" customWidth="1" outlineLevel="1"/>
    <col min="97" max="97" width="22.1640625" style="7" customWidth="1" outlineLevel="1"/>
    <col min="98" max="98" width="24.1640625" style="5" customWidth="1" outlineLevel="1"/>
    <col min="99" max="99" width="23.83203125" style="5" customWidth="1" outlineLevel="1"/>
    <col min="100" max="100" width="24.1640625" style="8" customWidth="1" outlineLevel="1"/>
    <col min="101" max="105" width="24.83203125" style="5" customWidth="1" outlineLevel="1"/>
    <col min="106" max="106" width="24.1640625" style="5" customWidth="1" outlineLevel="1"/>
    <col min="107" max="107" width="18.83203125" style="5" customWidth="1" outlineLevel="1"/>
    <col min="108" max="111" width="18.83203125" style="9" customWidth="1" outlineLevel="1"/>
    <col min="112" max="115" width="18.83203125" style="10" customWidth="1" outlineLevel="1"/>
    <col min="116" max="119" width="18.83203125" style="11" customWidth="1" outlineLevel="1"/>
    <col min="120" max="120" width="23.33203125" style="12" customWidth="1" outlineLevel="1"/>
    <col min="121" max="122" width="18.83203125" style="13" customWidth="1" outlineLevel="1"/>
    <col min="123" max="123" width="15.33203125" style="57" customWidth="1" outlineLevel="1"/>
    <col min="124" max="124" width="15.33203125" style="58" customWidth="1" outlineLevel="1"/>
    <col min="125" max="125" width="15.33203125" style="49" customWidth="1" outlineLevel="1"/>
    <col min="126" max="132" width="22.33203125" style="13" customWidth="1" outlineLevel="1"/>
    <col min="133" max="133" width="58.33203125" style="49" customWidth="1" outlineLevel="1"/>
    <col min="134" max="134" width="24.1640625" style="5" customWidth="1" outlineLevel="1"/>
    <col min="135" max="135" width="17.6640625" style="13" customWidth="1" outlineLevel="1"/>
    <col min="136" max="136" width="25.1640625" style="13" customWidth="1" outlineLevel="2"/>
    <col min="137" max="138" width="16.6640625" style="7" customWidth="1" outlineLevel="2"/>
    <col min="139" max="139" width="16.6640625" style="11" customWidth="1" outlineLevel="2"/>
    <col min="140" max="140" width="26" style="13" customWidth="1" outlineLevel="2"/>
    <col min="141" max="141" width="24.6640625" style="57" customWidth="1" outlineLevel="2"/>
    <col min="142" max="142" width="18.6640625" style="59" customWidth="1" outlineLevel="1"/>
    <col min="143" max="144" width="18.6640625" style="56" customWidth="1" outlineLevel="1"/>
    <col min="145" max="145" width="18.6640625" style="13" customWidth="1" outlineLevel="1"/>
    <col min="146" max="148" width="18.6640625" style="59" customWidth="1" outlineLevel="1"/>
    <col min="149" max="149" width="18.6640625" style="49" customWidth="1" outlineLevel="1"/>
    <col min="150" max="150" width="73.6640625" style="59" customWidth="1" outlineLevel="1"/>
    <col min="151" max="151" width="76" style="60" customWidth="1" outlineLevel="1"/>
    <col min="152" max="152" width="17.1640625" style="49" customWidth="1"/>
    <col min="153" max="153" width="27.1640625" style="49" bestFit="1" customWidth="1"/>
    <col min="154" max="154" width="17.1640625" style="49" customWidth="1"/>
    <col min="155" max="16384" width="9.1640625" style="49"/>
  </cols>
  <sheetData>
    <row r="1" spans="1:152" s="3" customFormat="1" ht="39" customHeight="1" outlineLevel="1">
      <c r="A1" s="49"/>
      <c r="B1" s="16"/>
      <c r="D1" s="49"/>
      <c r="E1" s="49"/>
      <c r="F1" s="49"/>
      <c r="G1" s="49"/>
      <c r="H1" s="49"/>
      <c r="I1" s="49"/>
      <c r="K1" s="4"/>
      <c r="M1" s="11"/>
      <c r="N1" s="11"/>
      <c r="O1" s="11"/>
      <c r="P1" s="11"/>
      <c r="Q1" s="10"/>
      <c r="R1" s="10"/>
      <c r="S1" s="10"/>
      <c r="T1" s="11"/>
      <c r="U1" s="11"/>
      <c r="V1" s="11"/>
      <c r="W1" s="11"/>
      <c r="X1" s="11"/>
      <c r="Y1" s="11"/>
      <c r="Z1" s="11"/>
      <c r="AA1" s="11"/>
      <c r="AB1" s="11"/>
      <c r="AC1" s="11"/>
      <c r="AD1" s="11"/>
      <c r="AE1" s="11"/>
      <c r="AF1" s="61"/>
      <c r="AG1" s="49"/>
      <c r="AH1" s="49"/>
      <c r="AI1" s="50"/>
      <c r="AJ1" s="50"/>
      <c r="AK1" s="50"/>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50"/>
      <c r="BT1" s="62"/>
      <c r="BU1" s="49"/>
      <c r="BV1" s="49"/>
      <c r="BW1" s="49"/>
      <c r="BX1" s="49"/>
      <c r="BY1" s="49"/>
      <c r="BZ1" s="49"/>
      <c r="CA1" s="49"/>
      <c r="CB1" s="49"/>
      <c r="CC1" s="49"/>
      <c r="CD1" s="49"/>
      <c r="CE1" s="49"/>
      <c r="CF1" s="50"/>
      <c r="CG1" s="10"/>
      <c r="CH1" s="5"/>
      <c r="CI1" s="5"/>
      <c r="CJ1" s="6"/>
      <c r="CK1" s="63"/>
      <c r="CL1" s="49"/>
      <c r="CM1" s="49"/>
      <c r="CN1" s="49"/>
      <c r="CO1" s="55"/>
      <c r="CP1" s="5"/>
      <c r="CQ1" s="5"/>
      <c r="CR1" s="5"/>
      <c r="CS1" s="7"/>
      <c r="CU1" s="5"/>
      <c r="CV1" s="8"/>
      <c r="CW1" s="5"/>
      <c r="CX1" s="5"/>
      <c r="CY1" s="5"/>
      <c r="CZ1" s="5"/>
      <c r="DA1" s="5"/>
      <c r="DB1" s="5"/>
      <c r="DC1" s="5"/>
      <c r="DD1" s="9"/>
      <c r="DE1" s="9"/>
      <c r="DF1" s="9"/>
      <c r="DG1" s="9"/>
      <c r="DH1" s="10"/>
      <c r="DI1" s="10"/>
      <c r="DJ1" s="10"/>
      <c r="DK1" s="10"/>
      <c r="DL1" s="11"/>
      <c r="DM1" s="11"/>
      <c r="DN1" s="11"/>
      <c r="DO1" s="11"/>
      <c r="DP1" s="12"/>
      <c r="DQ1" s="13"/>
      <c r="DR1" s="13"/>
      <c r="DS1" s="50"/>
      <c r="ED1" s="50"/>
      <c r="EE1" s="49"/>
      <c r="EF1" s="129"/>
      <c r="EG1" s="130"/>
      <c r="EH1" s="130"/>
      <c r="EI1" s="131"/>
      <c r="EJ1" s="131"/>
      <c r="EK1" s="131"/>
      <c r="EM1" s="14"/>
      <c r="EN1" s="14"/>
      <c r="EU1" s="15"/>
    </row>
    <row r="2" spans="1:152" s="50" customFormat="1" ht="60" customHeight="1">
      <c r="A2" s="132" t="s">
        <v>0</v>
      </c>
      <c r="B2" s="133" t="s">
        <v>1</v>
      </c>
      <c r="C2" s="133" t="s">
        <v>2</v>
      </c>
      <c r="D2" s="133" t="s">
        <v>3</v>
      </c>
      <c r="E2" s="133" t="s">
        <v>4</v>
      </c>
      <c r="F2" s="133" t="s">
        <v>5</v>
      </c>
      <c r="G2" s="134" t="s">
        <v>6</v>
      </c>
      <c r="H2" s="133" t="s">
        <v>7</v>
      </c>
      <c r="I2" s="133" t="s">
        <v>8</v>
      </c>
      <c r="J2" s="133" t="s">
        <v>9</v>
      </c>
      <c r="K2" s="133" t="s">
        <v>10</v>
      </c>
      <c r="L2" s="134" t="s">
        <v>11</v>
      </c>
      <c r="M2" s="141" t="s">
        <v>12</v>
      </c>
      <c r="N2" s="141"/>
      <c r="O2" s="141"/>
      <c r="P2" s="141"/>
      <c r="Q2" s="141"/>
      <c r="R2" s="141"/>
      <c r="S2" s="141"/>
      <c r="T2" s="141"/>
      <c r="U2" s="141"/>
      <c r="V2" s="141"/>
      <c r="W2" s="141"/>
      <c r="X2" s="141"/>
      <c r="Y2" s="141"/>
      <c r="Z2" s="141"/>
      <c r="AA2" s="141"/>
      <c r="AB2" s="141"/>
      <c r="AC2" s="141"/>
      <c r="AD2" s="141"/>
      <c r="AE2" s="141"/>
      <c r="AF2" s="107" t="s">
        <v>13</v>
      </c>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9"/>
      <c r="BJ2" s="120" t="s">
        <v>14</v>
      </c>
      <c r="BK2" s="120" t="s">
        <v>15</v>
      </c>
      <c r="BL2" s="120" t="s">
        <v>16</v>
      </c>
      <c r="BM2" s="123" t="s">
        <v>17</v>
      </c>
      <c r="BN2" s="124"/>
      <c r="BO2" s="124"/>
      <c r="BP2" s="124"/>
      <c r="BQ2" s="124"/>
      <c r="BR2" s="124"/>
      <c r="BS2" s="124"/>
      <c r="BT2" s="125"/>
      <c r="BU2" s="123" t="s">
        <v>18</v>
      </c>
      <c r="BV2" s="124"/>
      <c r="BW2" s="124"/>
      <c r="BX2" s="124"/>
      <c r="BY2" s="124"/>
      <c r="BZ2" s="124"/>
      <c r="CA2" s="124"/>
      <c r="CB2" s="124"/>
      <c r="CC2" s="124"/>
      <c r="CD2" s="125"/>
      <c r="CE2" s="120" t="s">
        <v>19</v>
      </c>
      <c r="CF2" s="120" t="s">
        <v>20</v>
      </c>
      <c r="CG2" s="126" t="s">
        <v>21</v>
      </c>
      <c r="CH2" s="127"/>
      <c r="CI2" s="127"/>
      <c r="CJ2" s="127"/>
      <c r="CK2" s="127"/>
      <c r="CL2" s="127"/>
      <c r="CM2" s="127"/>
      <c r="CN2" s="127"/>
      <c r="CO2" s="127"/>
      <c r="CP2" s="128"/>
      <c r="CQ2" s="123" t="s">
        <v>22</v>
      </c>
      <c r="CR2" s="124"/>
      <c r="CS2" s="124"/>
      <c r="CT2" s="124"/>
      <c r="CU2" s="124"/>
      <c r="CV2" s="124"/>
      <c r="CW2" s="124"/>
      <c r="CX2" s="124"/>
      <c r="CY2" s="124"/>
      <c r="CZ2" s="124"/>
      <c r="DA2" s="125"/>
      <c r="DB2" s="110" t="s">
        <v>23</v>
      </c>
      <c r="DC2" s="111"/>
      <c r="DD2" s="111"/>
      <c r="DE2" s="111"/>
      <c r="DF2" s="111"/>
      <c r="DG2" s="111"/>
      <c r="DH2" s="111"/>
      <c r="DI2" s="111"/>
      <c r="DJ2" s="111"/>
      <c r="DK2" s="111"/>
      <c r="DL2" s="111"/>
      <c r="DM2" s="111"/>
      <c r="DN2" s="111"/>
      <c r="DO2" s="111"/>
      <c r="DP2" s="111"/>
      <c r="DQ2" s="112" t="s">
        <v>116</v>
      </c>
      <c r="DR2" s="112" t="s">
        <v>117</v>
      </c>
      <c r="DS2" s="112" t="s">
        <v>118</v>
      </c>
      <c r="DT2" s="115" t="s">
        <v>119</v>
      </c>
      <c r="DU2" s="123" t="s">
        <v>24</v>
      </c>
      <c r="DV2" s="124"/>
      <c r="DW2" s="124"/>
      <c r="DX2" s="124"/>
      <c r="DY2" s="124"/>
      <c r="DZ2" s="124"/>
      <c r="EA2" s="124"/>
      <c r="EB2" s="125"/>
      <c r="EC2" s="104" t="s">
        <v>25</v>
      </c>
      <c r="ED2" s="105"/>
      <c r="EE2" s="105"/>
      <c r="EF2" s="105"/>
      <c r="EG2" s="105"/>
      <c r="EH2" s="105"/>
      <c r="EI2" s="105"/>
      <c r="EJ2" s="106"/>
      <c r="EK2" s="118" t="s">
        <v>26</v>
      </c>
      <c r="EL2" s="119"/>
      <c r="EM2" s="119"/>
      <c r="EN2" s="119"/>
      <c r="EO2" s="119"/>
      <c r="EP2" s="119"/>
      <c r="EQ2" s="119"/>
      <c r="ER2" s="119"/>
      <c r="ES2" s="119"/>
      <c r="ET2" s="119"/>
      <c r="EU2" s="11"/>
    </row>
    <row r="3" spans="1:152" s="50" customFormat="1" ht="67" customHeight="1">
      <c r="A3" s="132"/>
      <c r="B3" s="133"/>
      <c r="C3" s="133"/>
      <c r="D3" s="133"/>
      <c r="E3" s="133"/>
      <c r="F3" s="133"/>
      <c r="G3" s="134"/>
      <c r="H3" s="133"/>
      <c r="I3" s="133"/>
      <c r="J3" s="133"/>
      <c r="K3" s="133"/>
      <c r="L3" s="134"/>
      <c r="M3" s="142" t="s">
        <v>27</v>
      </c>
      <c r="N3" s="142" t="s">
        <v>28</v>
      </c>
      <c r="O3" s="142" t="s">
        <v>29</v>
      </c>
      <c r="P3" s="143" t="s">
        <v>30</v>
      </c>
      <c r="Q3" s="143" t="s">
        <v>31</v>
      </c>
      <c r="R3" s="143"/>
      <c r="S3" s="143"/>
      <c r="T3" s="143" t="s">
        <v>32</v>
      </c>
      <c r="U3" s="143" t="s">
        <v>33</v>
      </c>
      <c r="V3" s="143"/>
      <c r="W3" s="143" t="s">
        <v>34</v>
      </c>
      <c r="X3" s="142" t="s">
        <v>35</v>
      </c>
      <c r="Y3" s="142"/>
      <c r="Z3" s="142" t="s">
        <v>36</v>
      </c>
      <c r="AA3" s="142"/>
      <c r="AB3" s="142" t="s">
        <v>37</v>
      </c>
      <c r="AC3" s="142" t="s">
        <v>38</v>
      </c>
      <c r="AD3" s="142" t="s">
        <v>39</v>
      </c>
      <c r="AE3" s="142" t="s">
        <v>40</v>
      </c>
      <c r="AF3" s="133" t="s">
        <v>41</v>
      </c>
      <c r="AG3" s="133" t="s">
        <v>42</v>
      </c>
      <c r="AH3" s="133" t="s">
        <v>43</v>
      </c>
      <c r="AI3" s="133" t="s">
        <v>44</v>
      </c>
      <c r="AJ3" s="99" t="s">
        <v>45</v>
      </c>
      <c r="AK3" s="120" t="s">
        <v>46</v>
      </c>
      <c r="AL3" s="120" t="s">
        <v>47</v>
      </c>
      <c r="AM3" s="120" t="s">
        <v>48</v>
      </c>
      <c r="AN3" s="120" t="s">
        <v>49</v>
      </c>
      <c r="AO3" s="133" t="s">
        <v>50</v>
      </c>
      <c r="AP3" s="133"/>
      <c r="AQ3" s="139" t="s">
        <v>51</v>
      </c>
      <c r="AR3" s="120" t="s">
        <v>52</v>
      </c>
      <c r="AS3" s="139" t="s">
        <v>53</v>
      </c>
      <c r="AT3" s="120" t="s">
        <v>54</v>
      </c>
      <c r="AU3" s="120" t="s">
        <v>55</v>
      </c>
      <c r="AV3" s="120" t="s">
        <v>56</v>
      </c>
      <c r="AW3" s="120" t="s">
        <v>57</v>
      </c>
      <c r="AX3" s="120" t="s">
        <v>58</v>
      </c>
      <c r="AY3" s="139" t="s">
        <v>59</v>
      </c>
      <c r="AZ3" s="139" t="s">
        <v>60</v>
      </c>
      <c r="BA3" s="139" t="s">
        <v>61</v>
      </c>
      <c r="BB3" s="139" t="s">
        <v>62</v>
      </c>
      <c r="BC3" s="139" t="s">
        <v>63</v>
      </c>
      <c r="BD3" s="139" t="s">
        <v>64</v>
      </c>
      <c r="BE3" s="139" t="s">
        <v>65</v>
      </c>
      <c r="BF3" s="120" t="s">
        <v>66</v>
      </c>
      <c r="BG3" s="139" t="s">
        <v>67</v>
      </c>
      <c r="BH3" s="139" t="s">
        <v>68</v>
      </c>
      <c r="BI3" s="120" t="s">
        <v>69</v>
      </c>
      <c r="BJ3" s="121"/>
      <c r="BK3" s="121"/>
      <c r="BL3" s="121"/>
      <c r="BM3" s="96" t="s">
        <v>70</v>
      </c>
      <c r="BN3" s="96" t="s">
        <v>71</v>
      </c>
      <c r="BO3" s="96" t="s">
        <v>72</v>
      </c>
      <c r="BP3" s="120" t="s">
        <v>73</v>
      </c>
      <c r="BQ3" s="137" t="s">
        <v>74</v>
      </c>
      <c r="BR3" s="135" t="s">
        <v>75</v>
      </c>
      <c r="BS3" s="135" t="s">
        <v>76</v>
      </c>
      <c r="BT3" s="139" t="s">
        <v>77</v>
      </c>
      <c r="BU3" s="135" t="s">
        <v>78</v>
      </c>
      <c r="BV3" s="137" t="s">
        <v>79</v>
      </c>
      <c r="BW3" s="137" t="s">
        <v>80</v>
      </c>
      <c r="BX3" s="96" t="s">
        <v>81</v>
      </c>
      <c r="BY3" s="139" t="s">
        <v>82</v>
      </c>
      <c r="BZ3" s="139" t="s">
        <v>83</v>
      </c>
      <c r="CA3" s="139" t="s">
        <v>84</v>
      </c>
      <c r="CB3" s="139" t="s">
        <v>85</v>
      </c>
      <c r="CC3" s="134" t="s">
        <v>188</v>
      </c>
      <c r="CD3" s="134" t="s">
        <v>189</v>
      </c>
      <c r="CE3" s="121"/>
      <c r="CF3" s="121"/>
      <c r="CG3" s="120" t="s">
        <v>86</v>
      </c>
      <c r="CH3" s="120" t="s">
        <v>87</v>
      </c>
      <c r="CI3" s="120" t="s">
        <v>88</v>
      </c>
      <c r="CJ3" s="120" t="s">
        <v>89</v>
      </c>
      <c r="CK3" s="120" t="s">
        <v>90</v>
      </c>
      <c r="CL3" s="120" t="s">
        <v>91</v>
      </c>
      <c r="CM3" s="120" t="s">
        <v>92</v>
      </c>
      <c r="CN3" s="144" t="s">
        <v>93</v>
      </c>
      <c r="CO3" s="120" t="s">
        <v>94</v>
      </c>
      <c r="CP3" s="120" t="s">
        <v>95</v>
      </c>
      <c r="CQ3" s="139" t="s">
        <v>96</v>
      </c>
      <c r="CR3" s="139" t="s">
        <v>97</v>
      </c>
      <c r="CS3" s="139" t="s">
        <v>98</v>
      </c>
      <c r="CT3" s="120" t="s">
        <v>99</v>
      </c>
      <c r="CU3" s="149" t="s">
        <v>100</v>
      </c>
      <c r="CV3" s="120" t="s">
        <v>101</v>
      </c>
      <c r="CW3" s="139" t="s">
        <v>102</v>
      </c>
      <c r="CX3" s="120" t="s">
        <v>103</v>
      </c>
      <c r="CY3" s="120" t="s">
        <v>104</v>
      </c>
      <c r="CZ3" s="120" t="s">
        <v>105</v>
      </c>
      <c r="DA3" s="139" t="s">
        <v>106</v>
      </c>
      <c r="DB3" s="112" t="s">
        <v>107</v>
      </c>
      <c r="DC3" s="147" t="s">
        <v>108</v>
      </c>
      <c r="DD3" s="147" t="s">
        <v>109</v>
      </c>
      <c r="DE3" s="147" t="s">
        <v>110</v>
      </c>
      <c r="DF3" s="112" t="s">
        <v>111</v>
      </c>
      <c r="DG3" s="143" t="s">
        <v>112</v>
      </c>
      <c r="DH3" s="143"/>
      <c r="DI3" s="143"/>
      <c r="DJ3" s="143"/>
      <c r="DK3" s="143" t="s">
        <v>113</v>
      </c>
      <c r="DL3" s="143"/>
      <c r="DM3" s="143"/>
      <c r="DN3" s="143"/>
      <c r="DO3" s="149" t="s">
        <v>114</v>
      </c>
      <c r="DP3" s="151" t="s">
        <v>115</v>
      </c>
      <c r="DQ3" s="113"/>
      <c r="DR3" s="113"/>
      <c r="DS3" s="113"/>
      <c r="DT3" s="116"/>
      <c r="DU3" s="139" t="s">
        <v>120</v>
      </c>
      <c r="DV3" s="139" t="s">
        <v>121</v>
      </c>
      <c r="DW3" s="120" t="s">
        <v>70</v>
      </c>
      <c r="DX3" s="120" t="s">
        <v>122</v>
      </c>
      <c r="DY3" s="120" t="s">
        <v>123</v>
      </c>
      <c r="DZ3" s="120" t="s">
        <v>124</v>
      </c>
      <c r="EA3" s="120" t="s">
        <v>125</v>
      </c>
      <c r="EB3" s="153" t="s">
        <v>126</v>
      </c>
      <c r="EC3" s="120" t="s">
        <v>127</v>
      </c>
      <c r="ED3" s="120" t="s">
        <v>128</v>
      </c>
      <c r="EE3" s="120" t="s">
        <v>129</v>
      </c>
      <c r="EF3" s="155" t="s">
        <v>130</v>
      </c>
      <c r="EG3" s="155"/>
      <c r="EH3" s="155"/>
      <c r="EI3" s="155"/>
      <c r="EJ3" s="156" t="s">
        <v>131</v>
      </c>
      <c r="EK3" s="160" t="s">
        <v>132</v>
      </c>
      <c r="EL3" s="162" t="s">
        <v>133</v>
      </c>
      <c r="EM3" s="162" t="s">
        <v>134</v>
      </c>
      <c r="EN3" s="112" t="s">
        <v>135</v>
      </c>
      <c r="EO3" s="112" t="s">
        <v>136</v>
      </c>
      <c r="EP3" s="112" t="s">
        <v>137</v>
      </c>
      <c r="EQ3" s="135" t="s">
        <v>138</v>
      </c>
      <c r="ER3" s="112" t="s">
        <v>139</v>
      </c>
      <c r="ES3" s="135" t="s">
        <v>140</v>
      </c>
      <c r="ET3" s="158" t="s">
        <v>141</v>
      </c>
      <c r="EU3" s="1" t="s">
        <v>186</v>
      </c>
    </row>
    <row r="4" spans="1:152" s="50" customFormat="1" ht="78" customHeight="1">
      <c r="A4" s="132"/>
      <c r="B4" s="133"/>
      <c r="C4" s="133"/>
      <c r="D4" s="133"/>
      <c r="E4" s="133"/>
      <c r="F4" s="133"/>
      <c r="G4" s="134"/>
      <c r="H4" s="133"/>
      <c r="I4" s="133"/>
      <c r="J4" s="133"/>
      <c r="K4" s="133"/>
      <c r="L4" s="134"/>
      <c r="M4" s="142"/>
      <c r="N4" s="142"/>
      <c r="O4" s="142"/>
      <c r="P4" s="143"/>
      <c r="Q4" s="98" t="s">
        <v>142</v>
      </c>
      <c r="R4" s="98" t="s">
        <v>143</v>
      </c>
      <c r="S4" s="98" t="s">
        <v>144</v>
      </c>
      <c r="T4" s="143"/>
      <c r="U4" s="98" t="s">
        <v>145</v>
      </c>
      <c r="V4" s="98" t="s">
        <v>146</v>
      </c>
      <c r="W4" s="143"/>
      <c r="X4" s="97" t="s">
        <v>147</v>
      </c>
      <c r="Y4" s="97" t="s">
        <v>148</v>
      </c>
      <c r="Z4" s="97" t="s">
        <v>149</v>
      </c>
      <c r="AA4" s="97" t="s">
        <v>150</v>
      </c>
      <c r="AB4" s="142"/>
      <c r="AC4" s="142"/>
      <c r="AD4" s="142"/>
      <c r="AE4" s="142"/>
      <c r="AF4" s="133"/>
      <c r="AG4" s="133"/>
      <c r="AH4" s="133"/>
      <c r="AI4" s="133"/>
      <c r="AJ4" s="96"/>
      <c r="AK4" s="122"/>
      <c r="AL4" s="122"/>
      <c r="AM4" s="122"/>
      <c r="AN4" s="122"/>
      <c r="AO4" s="96" t="s">
        <v>151</v>
      </c>
      <c r="AP4" s="96" t="s">
        <v>152</v>
      </c>
      <c r="AQ4" s="140"/>
      <c r="AR4" s="122"/>
      <c r="AS4" s="140"/>
      <c r="AT4" s="122"/>
      <c r="AU4" s="122"/>
      <c r="AV4" s="122"/>
      <c r="AW4" s="122"/>
      <c r="AX4" s="122"/>
      <c r="AY4" s="140"/>
      <c r="AZ4" s="140"/>
      <c r="BA4" s="140"/>
      <c r="BB4" s="140"/>
      <c r="BC4" s="140"/>
      <c r="BD4" s="140"/>
      <c r="BE4" s="140"/>
      <c r="BF4" s="122"/>
      <c r="BG4" s="140"/>
      <c r="BH4" s="140"/>
      <c r="BI4" s="122"/>
      <c r="BJ4" s="122"/>
      <c r="BK4" s="122"/>
      <c r="BL4" s="122"/>
      <c r="BM4" s="100" t="s">
        <v>153</v>
      </c>
      <c r="BN4" s="100" t="s">
        <v>187</v>
      </c>
      <c r="BO4" s="100" t="s">
        <v>154</v>
      </c>
      <c r="BP4" s="122"/>
      <c r="BQ4" s="138"/>
      <c r="BR4" s="136"/>
      <c r="BS4" s="136"/>
      <c r="BT4" s="140"/>
      <c r="BU4" s="136"/>
      <c r="BV4" s="138"/>
      <c r="BW4" s="138"/>
      <c r="BX4" s="101">
        <v>23</v>
      </c>
      <c r="BY4" s="140"/>
      <c r="BZ4" s="140"/>
      <c r="CA4" s="140"/>
      <c r="CB4" s="140"/>
      <c r="CC4" s="146"/>
      <c r="CD4" s="146"/>
      <c r="CE4" s="122"/>
      <c r="CF4" s="122"/>
      <c r="CG4" s="122"/>
      <c r="CH4" s="122"/>
      <c r="CI4" s="122"/>
      <c r="CJ4" s="122"/>
      <c r="CK4" s="122"/>
      <c r="CL4" s="122"/>
      <c r="CM4" s="122"/>
      <c r="CN4" s="145"/>
      <c r="CO4" s="122"/>
      <c r="CP4" s="122"/>
      <c r="CQ4" s="140"/>
      <c r="CR4" s="140"/>
      <c r="CS4" s="140"/>
      <c r="CT4" s="122"/>
      <c r="CU4" s="150"/>
      <c r="CV4" s="122"/>
      <c r="CW4" s="140"/>
      <c r="CX4" s="122"/>
      <c r="CY4" s="122"/>
      <c r="CZ4" s="122"/>
      <c r="DA4" s="140"/>
      <c r="DB4" s="114"/>
      <c r="DC4" s="148"/>
      <c r="DD4" s="148"/>
      <c r="DE4" s="148"/>
      <c r="DF4" s="114"/>
      <c r="DG4" s="102" t="s">
        <v>155</v>
      </c>
      <c r="DH4" s="102" t="s">
        <v>156</v>
      </c>
      <c r="DI4" s="102" t="s">
        <v>157</v>
      </c>
      <c r="DJ4" s="102" t="s">
        <v>158</v>
      </c>
      <c r="DK4" s="102" t="s">
        <v>155</v>
      </c>
      <c r="DL4" s="102" t="s">
        <v>156</v>
      </c>
      <c r="DM4" s="102" t="s">
        <v>157</v>
      </c>
      <c r="DN4" s="102" t="s">
        <v>158</v>
      </c>
      <c r="DO4" s="150"/>
      <c r="DP4" s="152"/>
      <c r="DQ4" s="114"/>
      <c r="DR4" s="114"/>
      <c r="DS4" s="114"/>
      <c r="DT4" s="117"/>
      <c r="DU4" s="140"/>
      <c r="DV4" s="140"/>
      <c r="DW4" s="122"/>
      <c r="DX4" s="122"/>
      <c r="DY4" s="122"/>
      <c r="DZ4" s="122"/>
      <c r="EA4" s="122"/>
      <c r="EB4" s="154"/>
      <c r="EC4" s="122"/>
      <c r="ED4" s="122"/>
      <c r="EE4" s="122"/>
      <c r="EF4" s="103" t="s">
        <v>159</v>
      </c>
      <c r="EG4" s="103" t="s">
        <v>160</v>
      </c>
      <c r="EH4" s="102" t="s">
        <v>161</v>
      </c>
      <c r="EI4" s="99" t="s">
        <v>162</v>
      </c>
      <c r="EJ4" s="157"/>
      <c r="EK4" s="161"/>
      <c r="EL4" s="163"/>
      <c r="EM4" s="163"/>
      <c r="EN4" s="114"/>
      <c r="EO4" s="114"/>
      <c r="EP4" s="114"/>
      <c r="EQ4" s="136"/>
      <c r="ER4" s="114"/>
      <c r="ES4" s="136"/>
      <c r="ET4" s="159"/>
      <c r="EU4" s="2">
        <v>25</v>
      </c>
    </row>
    <row r="5" spans="1:152" ht="45" customHeight="1" outlineLevel="1">
      <c r="A5" s="64">
        <v>1</v>
      </c>
      <c r="B5" s="65">
        <v>2104107</v>
      </c>
      <c r="C5" s="66" t="s">
        <v>179</v>
      </c>
      <c r="D5" s="67">
        <v>4090000</v>
      </c>
      <c r="E5" s="68">
        <f t="shared" ref="E5:E11" si="0">IF(CH5="ATVSV",300000,0)</f>
        <v>0</v>
      </c>
      <c r="F5" s="69">
        <f t="shared" ref="F5:F11" si="1">D5+E5</f>
        <v>4090000</v>
      </c>
      <c r="G5" s="69">
        <v>0</v>
      </c>
      <c r="H5" s="69">
        <f t="shared" ref="H5:H11" si="2">IF(D5&gt;0,EE5-F5,EE5-G5)</f>
        <v>3010000</v>
      </c>
      <c r="I5" s="69">
        <f t="shared" ref="I5:I11" si="3">EI5</f>
        <v>0</v>
      </c>
      <c r="J5" s="69">
        <f t="shared" ref="J5:J11" si="4">SUM(H5:I5)</f>
        <v>3010000</v>
      </c>
      <c r="K5" s="69">
        <f t="shared" ref="K5:K11" si="5">IF(D5&gt;0,F5+J5,G5+J5)</f>
        <v>7100000</v>
      </c>
      <c r="L5" s="70">
        <v>1</v>
      </c>
      <c r="M5" s="71">
        <v>24</v>
      </c>
      <c r="N5" s="71">
        <v>8.36</v>
      </c>
      <c r="O5" s="71">
        <v>2</v>
      </c>
      <c r="P5" s="71"/>
      <c r="Q5" s="71">
        <v>0</v>
      </c>
      <c r="R5" s="71">
        <v>0</v>
      </c>
      <c r="S5" s="71"/>
      <c r="T5" s="71">
        <v>0</v>
      </c>
      <c r="U5" s="71"/>
      <c r="V5" s="71"/>
      <c r="W5" s="71"/>
      <c r="X5" s="71">
        <v>1</v>
      </c>
      <c r="Y5" s="71">
        <v>1</v>
      </c>
      <c r="Z5" s="72"/>
      <c r="AA5" s="72"/>
      <c r="AB5" s="71"/>
      <c r="AC5" s="71">
        <v>0</v>
      </c>
      <c r="AD5" s="71"/>
      <c r="AE5" s="71">
        <v>0</v>
      </c>
      <c r="AF5" s="69">
        <f t="shared" ref="AF5:AF11" si="6">MAX(ROUND(IF(M5=0,0,IF(CK5="Lương tháng",MAX((D5-D5/26*($EU$4-M5))*L5,(G5-G5/26*($EU$4-M5))*L5),MAX(D5/26*M5*L5,G5/26*M5*L5))),0),0)</f>
        <v>3775385</v>
      </c>
      <c r="AG5" s="69">
        <f t="shared" ref="AG5:AG11" si="7">ROUND(MAX((F5+H5)*L5/26*N5,(G5+H5)*L5/26*N5,F5/26*N5*150%,G5/26*N5*150%)*CL5,0)</f>
        <v>2282923</v>
      </c>
      <c r="AH5" s="69">
        <f t="shared" ref="AH5:AH11" si="8">ROUND(MAX((F5+H5)*L5/26*O5,(G5+H5)*L5/26*O5,F5/26*O5*200%,G5/26*O5*200%)*CL5,0)+DR5</f>
        <v>629231</v>
      </c>
      <c r="AI5" s="67">
        <f t="shared" ref="AI5:AI11" si="9">ROUND(IF(CK5="lương tháng",0,MAX((F5+H5)/26*SUM(Q5:S5)*30%,(G5+H5)/26*SUM(Q5:S5)*30%)*CL5),0)</f>
        <v>0</v>
      </c>
      <c r="AJ5" s="67"/>
      <c r="AK5" s="69">
        <f t="shared" ref="AK5:AK11" si="10">ROUND(IF(D5&gt;0,D5/26*T5,G5/26*T5),0)</f>
        <v>0</v>
      </c>
      <c r="AL5" s="69">
        <f t="shared" ref="AL5:AL11" si="11">ROUND(IF(CK5="Lương tháng",K5/26*U5,MAX((F5+H5)/26*(U5+V5)*200%,(G5+H5)/26*(U5+V5)*200%,F5/26*(U5+V5)*300%,G5/26*(U5+V5)*300%)),0)</f>
        <v>0</v>
      </c>
      <c r="AM5" s="69">
        <f t="shared" ref="AM5:AM11" si="12">ROUND(IF(CK5="Lương tháng",MAX((F5+H5)/26*W5,(G5+H5)/26*W5),IF(CM5="BV",MAX(F5/26,G5/26)*W5,IF((U5+W5)&gt;0,MAX(F5/26,G5/26)*(U5+W5),0))),0)</f>
        <v>0</v>
      </c>
      <c r="AN5" s="69">
        <f t="shared" ref="AN5:AN11" si="13">ROUND(IF(CK5="Lương tháng",K5/26*Y5,(K5/26*Y5+K5/26*X5)*CL5),0)-AT5</f>
        <v>516659</v>
      </c>
      <c r="AO5" s="73">
        <f t="shared" ref="AO5:AO11" si="14">DO5</f>
        <v>0</v>
      </c>
      <c r="AP5" s="73">
        <f t="shared" ref="AP5:AP11" si="15">DQ5</f>
        <v>0</v>
      </c>
      <c r="AQ5" s="73"/>
      <c r="AR5" s="69">
        <f t="shared" ref="AR5:AR11" si="16">ROUND(CO5*(M5+N5+O5+U5+V5+DK5+DL5+DM5+DN5),0)</f>
        <v>0</v>
      </c>
      <c r="AS5" s="73">
        <v>0</v>
      </c>
      <c r="AT5" s="69">
        <f t="shared" ref="AT5:AT11" si="17">ROUND(IF(AND(CK5="Lương tháng",Y5=0),0,IF(AND(CG5="X",SUM(X5:Y5)&gt;0),MAX(D5/26*(1.5/8),G5/26*(1.5/8)),0)),0)</f>
        <v>29495</v>
      </c>
      <c r="AU5" s="74">
        <f t="shared" ref="AU5:AU11" si="18">ROUND(IF(CK5="Lương tháng",E5-E5/26*($EU$4-M5),E5/26*M5),0)</f>
        <v>0</v>
      </c>
      <c r="AV5" s="69">
        <f t="shared" ref="AV5:AV11" si="19">ROUND(MAX((F5/26*(Z5+AA5+AC5)),(G5/26*(Z5+AA5+AC5))),0)</f>
        <v>0</v>
      </c>
      <c r="AW5" s="75">
        <f t="shared" ref="AW5:AW11" si="20">IF(D5="",0,ROUND((F5+50%*H5)/26*AE5,0))</f>
        <v>0</v>
      </c>
      <c r="AX5" s="69">
        <f t="shared" ref="AX5:AX11" si="21">IF(G5&gt;0,0,ROUND((F5+H5)/26*AB5,0))</f>
        <v>0</v>
      </c>
      <c r="AY5" s="69"/>
      <c r="AZ5" s="73">
        <v>0</v>
      </c>
      <c r="BA5" s="69"/>
      <c r="BB5" s="73">
        <v>0</v>
      </c>
      <c r="BC5" s="76"/>
      <c r="BD5" s="69"/>
      <c r="BE5" s="69"/>
      <c r="BF5" s="69">
        <f t="shared" ref="BF5:BF11" si="22">ROUND(D5/26*AD5,0)</f>
        <v>0</v>
      </c>
      <c r="BG5" s="69"/>
      <c r="BH5" s="69"/>
      <c r="BI5" s="69">
        <f t="shared" ref="BI5:BI11" si="23">ROUND(IF(M5=0,0,IF(CK5="Lương tháng",((J5-J5/26*($EU$4-M5))*L5),J5/26*M5*L5)),0)</f>
        <v>2778462</v>
      </c>
      <c r="BJ5" s="69">
        <f t="shared" ref="BJ5:BJ11" si="24">ROUND(SUM(AF5:BI5),0)</f>
        <v>10012155</v>
      </c>
      <c r="BK5" s="69">
        <v>3823077</v>
      </c>
      <c r="BL5" s="69">
        <f t="shared" ref="BL5:BL11" si="25">ROUND(BJ5-BK5,0)</f>
        <v>6189078</v>
      </c>
      <c r="BM5" s="69">
        <f t="shared" ref="BM5:BM11" si="26">ROUND(IF($CI5=1,$F5*$BM$4,0),0)</f>
        <v>0</v>
      </c>
      <c r="BN5" s="69">
        <f t="shared" ref="BN5:BN11" si="27">ROUND(IF($CI5=1,$F5*$BN$4,0),0)</f>
        <v>0</v>
      </c>
      <c r="BO5" s="69">
        <f t="shared" ref="BO5:BO11" si="28">ROUND(IF($CI5=1,$F5*$BO$4,0),0)</f>
        <v>0</v>
      </c>
      <c r="BP5" s="69">
        <f t="shared" ref="BP5:BP11" si="29">MAX(SUM(BM5:BO5)-CQ5,0)</f>
        <v>0</v>
      </c>
      <c r="BQ5" s="69"/>
      <c r="BR5" s="67">
        <f t="shared" ref="BR5:BR11" si="30">MAX(ROUND(IF($CJ5="1X",$F5*0.5%,0),0)-DU5,0)</f>
        <v>0</v>
      </c>
      <c r="BS5" s="77">
        <f t="shared" ref="BS5:BS11" si="31">CZ5-DA5</f>
        <v>0</v>
      </c>
      <c r="BT5" s="69"/>
      <c r="BU5" s="69" t="str">
        <f t="shared" ref="BU5:BU11" si="32">IF(BS5&gt;0,"OK","")</f>
        <v/>
      </c>
      <c r="BV5" s="69"/>
      <c r="BW5" s="69"/>
      <c r="BX5" s="69">
        <f t="shared" ref="BX5:BX11" si="33">IF(CP5="",0,IF(EE5&lt;11000000,5000,IF(AND(EE5&gt;=11000000,EE5&lt;25000000),10000,IF(AND(EE5&gt;=25000000,EE5&lt;40000000),15000,IF(AND(EE5&gt;=40000000,EE5&lt;120000000),20000,IF(AND(EE5&gt;=120000000,EE5&lt;240000000),25000,IF(EE5&gt;=240000000,30000))))))*$BX$4)</f>
        <v>115000</v>
      </c>
      <c r="BY5" s="69"/>
      <c r="BZ5" s="69"/>
      <c r="CA5" s="69"/>
      <c r="CB5" s="69">
        <v>0</v>
      </c>
      <c r="CC5" s="69"/>
      <c r="CD5" s="69"/>
      <c r="CE5" s="67">
        <f t="shared" ref="CE5:CE11" si="34">SUM(BP5:CD5)</f>
        <v>115000</v>
      </c>
      <c r="CF5" s="78">
        <f t="shared" ref="CF5:CF11" si="35">ROUND(BL5-CE5,0)</f>
        <v>6074078</v>
      </c>
      <c r="CG5" s="67" t="s">
        <v>163</v>
      </c>
      <c r="CH5" s="67">
        <v>0</v>
      </c>
      <c r="CI5" s="73"/>
      <c r="CJ5" s="73"/>
      <c r="CK5" s="79">
        <f t="shared" ref="CK5:CK11" si="36">IF(EE5&gt;=18000000,"Lương tháng",0)</f>
        <v>0</v>
      </c>
      <c r="CL5" s="67">
        <f t="shared" ref="CL5:CL11" si="37">IF(CM5="TC CĐ",1,IF(CK5="Lương tháng",0,1))</f>
        <v>1</v>
      </c>
      <c r="CM5" s="67"/>
      <c r="CN5" s="67">
        <v>0</v>
      </c>
      <c r="CO5" s="73">
        <f t="shared" ref="CO5:CO11" si="38">IF(CN5="M1",13000,IF(CN5="M2",20000,IF(CN5="M3",26000,IF(CN5="M4",32000,0))))</f>
        <v>0</v>
      </c>
      <c r="CP5" s="67" t="s">
        <v>164</v>
      </c>
      <c r="CQ5" s="67">
        <v>429450</v>
      </c>
      <c r="CR5" s="80"/>
      <c r="CS5" s="67"/>
      <c r="CT5" s="75">
        <f t="shared" ref="CT5:CT11" si="39">+BJ5-AI5-AO5-AP5-BA5-BD5-BE5-BV5+CR5+CS5-AQ5+IF(AQ5&lt;=730000,0,AQ5-730000)</f>
        <v>10012155</v>
      </c>
      <c r="CU5" s="78">
        <v>2</v>
      </c>
      <c r="CV5" s="67">
        <f t="shared" ref="CV5:CV11" si="40">CU5*4400000</f>
        <v>8800000</v>
      </c>
      <c r="CW5" s="67">
        <v>11000000</v>
      </c>
      <c r="CX5" s="67">
        <f t="shared" ref="CX5:CX11" si="41">CV5+CW5</f>
        <v>19800000</v>
      </c>
      <c r="CY5" s="67">
        <f t="shared" ref="CY5:CY11" si="42">MAX(CT5-CX5-CQ5-BP5-BQ5,0)</f>
        <v>0</v>
      </c>
      <c r="CZ5" s="67">
        <f t="shared" ref="CZ5:CZ11" si="43">IF(CY5&gt;0,ROUND(IF(CY5&gt;=80000000,CY5*35%-9850000,IF(CY5&gt;=52000000,CY5*30%-5850000,IF(CY5&gt;=32000000,CY5*25%-3250000,IF(CY5&gt;=18000000,CY5*20%-1650000,IF(CY5&gt;=10000000,CY5*15%-750000,IF(CY5&gt;5000000,CY5*10%-250000,CY5*5%)))))),0),0)</f>
        <v>0</v>
      </c>
      <c r="DA5" s="67"/>
      <c r="DB5" s="67"/>
      <c r="DC5" s="70">
        <f t="shared" ref="DC5:DC11" si="44">IF(DB5="",0,IF(EE5&lt;=10000000,30%,IF(EE5&lt;22000000,25%,IF(EE5&lt;40000000,20%,IF(EE5&gt;=40000000,15%)))))</f>
        <v>0</v>
      </c>
      <c r="DD5" s="70">
        <f t="shared" ref="DD5:DD11" si="45">IF(DB5="",0,IF(EE5&lt;=15000000,35%,IF(EE5&lt;22000000,30%,IF(EE5&lt;30000000,25%,IF(EE5&lt;40000000,20%,IF(EE5&gt;=40000000,15%))))))</f>
        <v>0</v>
      </c>
      <c r="DE5" s="70">
        <f t="shared" ref="DE5:DE11" si="46">IF(DB5="",0,IF(EE5&lt;15000000,25%,IF(EE5&lt;22000000,20%,IF(EE5&lt;30000000,15%,IF(EE5&lt;40000000,10%,IF(EE5&gt;=40000000,5%))))))</f>
        <v>0</v>
      </c>
      <c r="DF5" s="70">
        <f t="shared" ref="DF5:DF11" si="47">IF(DB5="x",50%,0)</f>
        <v>0</v>
      </c>
      <c r="DG5" s="81"/>
      <c r="DH5" s="82"/>
      <c r="DI5" s="81"/>
      <c r="DJ5" s="71"/>
      <c r="DK5" s="83"/>
      <c r="DL5" s="84"/>
      <c r="DM5" s="83"/>
      <c r="DN5" s="85"/>
      <c r="DO5" s="86">
        <f t="shared" ref="DO5:DO11" si="48">ROUND(EE5*DC5/26*DG5,0)+ROUND(EE5*DD5/26*DH5,0)+ROUND(EE5*DE5/26*DI5,0)+ROUND(EE5*DF5/26*DJ5,0)</f>
        <v>0</v>
      </c>
      <c r="DP5" s="73">
        <f t="shared" ref="DP5:DP11" si="49">IF(AND(SUM(DG5:DH5)&gt;0,ED5="B3"),300000,IF(AND(SUM(DG5:DH5)&gt;0,ED5="B2"),350000,IF(AND(SUM(DG5:DH5)&gt;0,ED5="B1"),400000,0)))</f>
        <v>0</v>
      </c>
      <c r="DQ5" s="86">
        <f t="shared" ref="DQ5:DQ11" si="50">ROUND(DP5/26*SUM(DG5:DH5),0)</f>
        <v>0</v>
      </c>
      <c r="DR5" s="86">
        <f t="shared" ref="DR5:DR11" si="51">ROUND(MAX((F5+H5)/26*SUM(DK5:DM5)*CL5*120%,(G5+H5)/26*SUM(DK5:DM5)*CL5*120%,F5/26*SUM(DK5:DM5)*200%,G5/26*SUM(DK5:DM5)*200%)*CL5,0)</f>
        <v>0</v>
      </c>
      <c r="DS5" s="87"/>
      <c r="DT5" s="88"/>
      <c r="DU5" s="73">
        <v>20450</v>
      </c>
      <c r="DV5" s="73">
        <v>110000</v>
      </c>
      <c r="DW5" s="73">
        <f t="shared" ref="DW5:DW11" si="52">CQ5+BP5+BQ5</f>
        <v>429450</v>
      </c>
      <c r="DX5" s="73">
        <f t="shared" ref="DX5:DX11" si="53">SUM(DV5,DU5,CQ5)</f>
        <v>559900</v>
      </c>
      <c r="DY5" s="73">
        <f t="shared" ref="DY5:DY11" si="54">SUM(DX5,CE5)</f>
        <v>674900</v>
      </c>
      <c r="DZ5" s="73">
        <v>3263177</v>
      </c>
      <c r="EA5" s="73">
        <f t="shared" ref="EA5:EA11" si="55">SUM(DZ5,CF5)</f>
        <v>9337255</v>
      </c>
      <c r="EB5" s="89"/>
      <c r="EC5" s="90">
        <v>45292</v>
      </c>
      <c r="ED5" s="67" t="str">
        <f t="shared" ref="ED5:ED11" si="56">IF(EE5&lt;12000000,"B3",IF(EE5&lt;25000000,"B2",IF(EE5&lt;40000000,"B1",IF(EE5&lt;90000000,"A7",IF(EE5&lt;120000000,"A6",IF(EE5&lt;180000000,"A5",IF(EE5&lt;240000000,"A4",IF(EE5&lt;300000000,"A3",IF(EE5&lt;400000000,"A2","A1")))))))))</f>
        <v>B3</v>
      </c>
      <c r="EE5" s="73">
        <v>7100000</v>
      </c>
      <c r="EF5" s="67">
        <v>0</v>
      </c>
      <c r="EG5" s="67">
        <v>0</v>
      </c>
      <c r="EH5" s="71">
        <v>0</v>
      </c>
      <c r="EI5" s="69">
        <f t="shared" ref="EI5:EI11" si="57">EF5+EG5+EH5%*EE5</f>
        <v>0</v>
      </c>
      <c r="EJ5" s="67">
        <f t="shared" ref="EJ5:EJ11" si="58">EE5+EI5</f>
        <v>7100000</v>
      </c>
      <c r="EK5" s="91"/>
      <c r="EL5" s="92"/>
      <c r="EM5" s="92"/>
      <c r="EN5" s="73" t="s">
        <v>168</v>
      </c>
      <c r="EO5" s="93" t="s">
        <v>176</v>
      </c>
      <c r="EP5" s="93" t="s">
        <v>177</v>
      </c>
      <c r="EQ5" s="93" t="s">
        <v>166</v>
      </c>
      <c r="ER5" s="94" t="s">
        <v>167</v>
      </c>
      <c r="ES5" s="73"/>
      <c r="ET5" s="95"/>
      <c r="EU5" s="11"/>
      <c r="EV5" s="12"/>
    </row>
    <row r="6" spans="1:152" ht="45" customHeight="1" outlineLevel="1">
      <c r="A6" s="17">
        <f t="shared" ref="A6:A11" si="59">A5+1</f>
        <v>2</v>
      </c>
      <c r="B6" s="18">
        <v>22081340</v>
      </c>
      <c r="C6" s="19" t="s">
        <v>180</v>
      </c>
      <c r="D6" s="20">
        <v>8510000</v>
      </c>
      <c r="E6" s="21">
        <f t="shared" si="0"/>
        <v>0</v>
      </c>
      <c r="F6" s="22">
        <f t="shared" si="1"/>
        <v>8510000</v>
      </c>
      <c r="G6" s="22">
        <v>0</v>
      </c>
      <c r="H6" s="22">
        <f t="shared" si="2"/>
        <v>15490000</v>
      </c>
      <c r="I6" s="22">
        <f t="shared" si="3"/>
        <v>1200000</v>
      </c>
      <c r="J6" s="22">
        <f t="shared" si="4"/>
        <v>16690000</v>
      </c>
      <c r="K6" s="22">
        <f t="shared" si="5"/>
        <v>25200000</v>
      </c>
      <c r="L6" s="23">
        <v>1</v>
      </c>
      <c r="M6" s="24">
        <v>25</v>
      </c>
      <c r="N6" s="24">
        <v>0</v>
      </c>
      <c r="O6" s="24">
        <v>0</v>
      </c>
      <c r="P6" s="24"/>
      <c r="Q6" s="24">
        <v>0</v>
      </c>
      <c r="R6" s="24">
        <v>0</v>
      </c>
      <c r="S6" s="24"/>
      <c r="T6" s="24">
        <v>0</v>
      </c>
      <c r="U6" s="24"/>
      <c r="V6" s="24"/>
      <c r="W6" s="24"/>
      <c r="X6" s="24">
        <v>0</v>
      </c>
      <c r="Y6" s="24">
        <v>0</v>
      </c>
      <c r="Z6" s="25"/>
      <c r="AA6" s="25"/>
      <c r="AB6" s="24"/>
      <c r="AC6" s="24">
        <v>0</v>
      </c>
      <c r="AD6" s="24"/>
      <c r="AE6" s="24">
        <v>0</v>
      </c>
      <c r="AF6" s="22">
        <f t="shared" si="6"/>
        <v>8510000</v>
      </c>
      <c r="AG6" s="22">
        <f t="shared" si="7"/>
        <v>0</v>
      </c>
      <c r="AH6" s="22">
        <f t="shared" si="8"/>
        <v>0</v>
      </c>
      <c r="AI6" s="20">
        <f t="shared" si="9"/>
        <v>0</v>
      </c>
      <c r="AJ6" s="20"/>
      <c r="AK6" s="22">
        <f t="shared" si="10"/>
        <v>0</v>
      </c>
      <c r="AL6" s="22">
        <f t="shared" si="11"/>
        <v>0</v>
      </c>
      <c r="AM6" s="22">
        <f t="shared" si="12"/>
        <v>0</v>
      </c>
      <c r="AN6" s="22">
        <f t="shared" si="13"/>
        <v>0</v>
      </c>
      <c r="AO6" s="26">
        <f t="shared" si="14"/>
        <v>0</v>
      </c>
      <c r="AP6" s="26">
        <f t="shared" si="15"/>
        <v>0</v>
      </c>
      <c r="AQ6" s="26"/>
      <c r="AR6" s="22">
        <f t="shared" si="16"/>
        <v>0</v>
      </c>
      <c r="AS6" s="26">
        <v>0</v>
      </c>
      <c r="AT6" s="22">
        <f t="shared" si="17"/>
        <v>0</v>
      </c>
      <c r="AU6" s="27">
        <f t="shared" si="18"/>
        <v>0</v>
      </c>
      <c r="AV6" s="22">
        <f t="shared" si="19"/>
        <v>0</v>
      </c>
      <c r="AW6" s="28">
        <f t="shared" si="20"/>
        <v>0</v>
      </c>
      <c r="AX6" s="22">
        <f t="shared" si="21"/>
        <v>0</v>
      </c>
      <c r="AY6" s="22"/>
      <c r="AZ6" s="26">
        <v>0</v>
      </c>
      <c r="BA6" s="22"/>
      <c r="BB6" s="26">
        <v>0</v>
      </c>
      <c r="BC6" s="29"/>
      <c r="BD6" s="22"/>
      <c r="BE6" s="22"/>
      <c r="BF6" s="22">
        <f t="shared" si="22"/>
        <v>0</v>
      </c>
      <c r="BG6" s="22"/>
      <c r="BH6" s="22"/>
      <c r="BI6" s="22">
        <f t="shared" si="23"/>
        <v>16690000</v>
      </c>
      <c r="BJ6" s="22">
        <f t="shared" si="24"/>
        <v>25200000</v>
      </c>
      <c r="BK6" s="22">
        <v>10080000</v>
      </c>
      <c r="BL6" s="22">
        <f t="shared" si="25"/>
        <v>15120000</v>
      </c>
      <c r="BM6" s="22">
        <f t="shared" si="26"/>
        <v>0</v>
      </c>
      <c r="BN6" s="22">
        <f t="shared" si="27"/>
        <v>0</v>
      </c>
      <c r="BO6" s="22">
        <f t="shared" si="28"/>
        <v>0</v>
      </c>
      <c r="BP6" s="22">
        <f t="shared" si="29"/>
        <v>0</v>
      </c>
      <c r="BQ6" s="22"/>
      <c r="BR6" s="20">
        <f t="shared" si="30"/>
        <v>0</v>
      </c>
      <c r="BS6" s="30">
        <f t="shared" si="31"/>
        <v>225323</v>
      </c>
      <c r="BT6" s="22"/>
      <c r="BU6" s="22" t="str">
        <f t="shared" si="32"/>
        <v>OK</v>
      </c>
      <c r="BV6" s="22"/>
      <c r="BW6" s="22"/>
      <c r="BX6" s="22">
        <f t="shared" si="33"/>
        <v>230000</v>
      </c>
      <c r="BY6" s="22"/>
      <c r="BZ6" s="22"/>
      <c r="CA6" s="22"/>
      <c r="CB6" s="22">
        <v>0</v>
      </c>
      <c r="CC6" s="22"/>
      <c r="CD6" s="22"/>
      <c r="CE6" s="20">
        <f t="shared" si="34"/>
        <v>455323</v>
      </c>
      <c r="CF6" s="31">
        <f t="shared" si="35"/>
        <v>14664677</v>
      </c>
      <c r="CG6" s="20"/>
      <c r="CH6" s="20"/>
      <c r="CI6" s="26"/>
      <c r="CJ6" s="26"/>
      <c r="CK6" s="32" t="str">
        <f t="shared" si="36"/>
        <v>Lương tháng</v>
      </c>
      <c r="CL6" s="20">
        <f t="shared" si="37"/>
        <v>0</v>
      </c>
      <c r="CM6" s="20"/>
      <c r="CN6" s="20"/>
      <c r="CO6" s="26">
        <f t="shared" si="38"/>
        <v>0</v>
      </c>
      <c r="CP6" s="20" t="s">
        <v>164</v>
      </c>
      <c r="CQ6" s="20">
        <v>893550</v>
      </c>
      <c r="CR6" s="33"/>
      <c r="CS6" s="20"/>
      <c r="CT6" s="28">
        <f t="shared" si="39"/>
        <v>25200000</v>
      </c>
      <c r="CU6" s="31">
        <v>2</v>
      </c>
      <c r="CV6" s="20">
        <f t="shared" si="40"/>
        <v>8800000</v>
      </c>
      <c r="CW6" s="20">
        <v>11000000</v>
      </c>
      <c r="CX6" s="20">
        <f t="shared" si="41"/>
        <v>19800000</v>
      </c>
      <c r="CY6" s="20">
        <f t="shared" si="42"/>
        <v>4506450</v>
      </c>
      <c r="CZ6" s="20">
        <f t="shared" si="43"/>
        <v>225323</v>
      </c>
      <c r="DA6" s="20"/>
      <c r="DB6" s="20"/>
      <c r="DC6" s="23">
        <f t="shared" si="44"/>
        <v>0</v>
      </c>
      <c r="DD6" s="23">
        <f t="shared" si="45"/>
        <v>0</v>
      </c>
      <c r="DE6" s="23">
        <f t="shared" si="46"/>
        <v>0</v>
      </c>
      <c r="DF6" s="23">
        <f t="shared" si="47"/>
        <v>0</v>
      </c>
      <c r="DG6" s="34"/>
      <c r="DH6" s="35"/>
      <c r="DI6" s="34"/>
      <c r="DJ6" s="24"/>
      <c r="DK6" s="36"/>
      <c r="DL6" s="37"/>
      <c r="DM6" s="36"/>
      <c r="DN6" s="38"/>
      <c r="DO6" s="39">
        <f t="shared" si="48"/>
        <v>0</v>
      </c>
      <c r="DP6" s="26">
        <f t="shared" si="49"/>
        <v>0</v>
      </c>
      <c r="DQ6" s="39">
        <f t="shared" si="50"/>
        <v>0</v>
      </c>
      <c r="DR6" s="39">
        <f t="shared" si="51"/>
        <v>0</v>
      </c>
      <c r="DS6" s="40"/>
      <c r="DT6" s="41"/>
      <c r="DU6" s="26">
        <v>42550</v>
      </c>
      <c r="DV6" s="26">
        <v>220000</v>
      </c>
      <c r="DW6" s="26">
        <f t="shared" si="52"/>
        <v>893550</v>
      </c>
      <c r="DX6" s="26">
        <f t="shared" si="53"/>
        <v>1156100</v>
      </c>
      <c r="DY6" s="26">
        <f t="shared" si="54"/>
        <v>1611423</v>
      </c>
      <c r="DZ6" s="26">
        <v>8923900</v>
      </c>
      <c r="EA6" s="26">
        <f t="shared" si="55"/>
        <v>23588577</v>
      </c>
      <c r="EB6" s="42"/>
      <c r="EC6" s="43">
        <v>45793</v>
      </c>
      <c r="ED6" s="20" t="str">
        <f t="shared" si="56"/>
        <v>B2</v>
      </c>
      <c r="EE6" s="26">
        <v>24000000</v>
      </c>
      <c r="EF6" s="20">
        <v>0</v>
      </c>
      <c r="EG6" s="20">
        <v>0</v>
      </c>
      <c r="EH6" s="24">
        <v>5</v>
      </c>
      <c r="EI6" s="22">
        <f t="shared" si="57"/>
        <v>1200000</v>
      </c>
      <c r="EJ6" s="20">
        <f t="shared" si="58"/>
        <v>25200000</v>
      </c>
      <c r="EK6" s="44"/>
      <c r="EL6" s="45"/>
      <c r="EM6" s="45"/>
      <c r="EN6" s="26" t="s">
        <v>165</v>
      </c>
      <c r="EO6" s="46" t="s">
        <v>178</v>
      </c>
      <c r="EP6" s="46" t="s">
        <v>175</v>
      </c>
      <c r="EQ6" s="46" t="s">
        <v>166</v>
      </c>
      <c r="ER6" s="47" t="s">
        <v>167</v>
      </c>
      <c r="ES6" s="26"/>
      <c r="ET6" s="48"/>
      <c r="EU6" s="11"/>
      <c r="EV6" s="12"/>
    </row>
    <row r="7" spans="1:152" ht="45" customHeight="1" outlineLevel="1">
      <c r="A7" s="17">
        <v>3</v>
      </c>
      <c r="B7" s="18">
        <v>2202819</v>
      </c>
      <c r="C7" s="19" t="s">
        <v>181</v>
      </c>
      <c r="D7" s="20">
        <v>4750000</v>
      </c>
      <c r="E7" s="21">
        <f t="shared" si="0"/>
        <v>0</v>
      </c>
      <c r="F7" s="22">
        <f t="shared" si="1"/>
        <v>4750000</v>
      </c>
      <c r="G7" s="22">
        <v>0</v>
      </c>
      <c r="H7" s="22">
        <f t="shared" si="2"/>
        <v>4550000</v>
      </c>
      <c r="I7" s="22">
        <f t="shared" si="3"/>
        <v>930000</v>
      </c>
      <c r="J7" s="22">
        <f t="shared" si="4"/>
        <v>5480000</v>
      </c>
      <c r="K7" s="22">
        <f t="shared" si="5"/>
        <v>10230000</v>
      </c>
      <c r="L7" s="23">
        <v>1</v>
      </c>
      <c r="M7" s="24">
        <v>21.5</v>
      </c>
      <c r="N7" s="24">
        <v>2.8499999999999996</v>
      </c>
      <c r="O7" s="24">
        <v>0</v>
      </c>
      <c r="P7" s="24"/>
      <c r="Q7" s="24">
        <v>9.75</v>
      </c>
      <c r="R7" s="24">
        <v>0</v>
      </c>
      <c r="S7" s="24"/>
      <c r="T7" s="24">
        <v>0</v>
      </c>
      <c r="U7" s="24"/>
      <c r="V7" s="24"/>
      <c r="W7" s="24"/>
      <c r="X7" s="24">
        <v>0</v>
      </c>
      <c r="Y7" s="24">
        <v>2</v>
      </c>
      <c r="Z7" s="25"/>
      <c r="AA7" s="25"/>
      <c r="AB7" s="24"/>
      <c r="AC7" s="24">
        <v>0</v>
      </c>
      <c r="AD7" s="24"/>
      <c r="AE7" s="24">
        <v>1.5</v>
      </c>
      <c r="AF7" s="22">
        <f t="shared" si="6"/>
        <v>3927885</v>
      </c>
      <c r="AG7" s="22">
        <f t="shared" si="7"/>
        <v>1019423</v>
      </c>
      <c r="AH7" s="22">
        <f t="shared" si="8"/>
        <v>0</v>
      </c>
      <c r="AI7" s="20">
        <f t="shared" si="9"/>
        <v>1046250</v>
      </c>
      <c r="AJ7" s="20"/>
      <c r="AK7" s="22">
        <f t="shared" si="10"/>
        <v>0</v>
      </c>
      <c r="AL7" s="22">
        <f t="shared" si="11"/>
        <v>0</v>
      </c>
      <c r="AM7" s="22">
        <f t="shared" si="12"/>
        <v>0</v>
      </c>
      <c r="AN7" s="22">
        <f t="shared" si="13"/>
        <v>786923</v>
      </c>
      <c r="AO7" s="26">
        <f t="shared" si="14"/>
        <v>0</v>
      </c>
      <c r="AP7" s="26">
        <f t="shared" si="15"/>
        <v>0</v>
      </c>
      <c r="AQ7" s="26"/>
      <c r="AR7" s="22">
        <f t="shared" si="16"/>
        <v>487000</v>
      </c>
      <c r="AS7" s="26">
        <v>0</v>
      </c>
      <c r="AT7" s="22">
        <f t="shared" si="17"/>
        <v>0</v>
      </c>
      <c r="AU7" s="27">
        <f t="shared" si="18"/>
        <v>0</v>
      </c>
      <c r="AV7" s="22">
        <f t="shared" si="19"/>
        <v>0</v>
      </c>
      <c r="AW7" s="28">
        <f t="shared" si="20"/>
        <v>405288</v>
      </c>
      <c r="AX7" s="22">
        <f t="shared" si="21"/>
        <v>0</v>
      </c>
      <c r="AY7" s="22"/>
      <c r="AZ7" s="26">
        <v>0</v>
      </c>
      <c r="BA7" s="22"/>
      <c r="BB7" s="26">
        <v>0</v>
      </c>
      <c r="BC7" s="29"/>
      <c r="BD7" s="22"/>
      <c r="BE7" s="22"/>
      <c r="BF7" s="22">
        <f t="shared" si="22"/>
        <v>0</v>
      </c>
      <c r="BG7" s="22"/>
      <c r="BH7" s="22"/>
      <c r="BI7" s="22">
        <f t="shared" si="23"/>
        <v>4531538</v>
      </c>
      <c r="BJ7" s="22">
        <f t="shared" si="24"/>
        <v>12204307</v>
      </c>
      <c r="BK7" s="22">
        <v>6070665</v>
      </c>
      <c r="BL7" s="22">
        <f t="shared" si="25"/>
        <v>6133642</v>
      </c>
      <c r="BM7" s="22">
        <f t="shared" si="26"/>
        <v>0</v>
      </c>
      <c r="BN7" s="22">
        <f t="shared" si="27"/>
        <v>0</v>
      </c>
      <c r="BO7" s="22">
        <f t="shared" si="28"/>
        <v>0</v>
      </c>
      <c r="BP7" s="22">
        <f t="shared" si="29"/>
        <v>0</v>
      </c>
      <c r="BQ7" s="22"/>
      <c r="BR7" s="20">
        <f t="shared" si="30"/>
        <v>0</v>
      </c>
      <c r="BS7" s="30">
        <f t="shared" si="31"/>
        <v>0</v>
      </c>
      <c r="BT7" s="22"/>
      <c r="BU7" s="22" t="str">
        <f t="shared" si="32"/>
        <v/>
      </c>
      <c r="BV7" s="22"/>
      <c r="BW7" s="22"/>
      <c r="BX7" s="22">
        <f t="shared" si="33"/>
        <v>115000</v>
      </c>
      <c r="BY7" s="22"/>
      <c r="BZ7" s="22"/>
      <c r="CA7" s="22"/>
      <c r="CB7" s="22">
        <v>0</v>
      </c>
      <c r="CC7" s="22"/>
      <c r="CD7" s="22"/>
      <c r="CE7" s="20">
        <f t="shared" si="34"/>
        <v>115000</v>
      </c>
      <c r="CF7" s="31">
        <f t="shared" si="35"/>
        <v>6018642</v>
      </c>
      <c r="CG7" s="20"/>
      <c r="CH7" s="20">
        <v>0</v>
      </c>
      <c r="CI7" s="26"/>
      <c r="CJ7" s="26"/>
      <c r="CK7" s="32">
        <f t="shared" si="36"/>
        <v>0</v>
      </c>
      <c r="CL7" s="20">
        <f t="shared" si="37"/>
        <v>1</v>
      </c>
      <c r="CM7" s="20"/>
      <c r="CN7" s="20" t="s">
        <v>170</v>
      </c>
      <c r="CO7" s="26">
        <f t="shared" si="38"/>
        <v>20000</v>
      </c>
      <c r="CP7" s="20" t="s">
        <v>164</v>
      </c>
      <c r="CQ7" s="20">
        <v>498750</v>
      </c>
      <c r="CR7" s="33"/>
      <c r="CS7" s="20"/>
      <c r="CT7" s="28">
        <f t="shared" si="39"/>
        <v>11158057</v>
      </c>
      <c r="CU7" s="31">
        <v>1</v>
      </c>
      <c r="CV7" s="20">
        <f t="shared" si="40"/>
        <v>4400000</v>
      </c>
      <c r="CW7" s="20">
        <v>11000000</v>
      </c>
      <c r="CX7" s="20">
        <f t="shared" si="41"/>
        <v>15400000</v>
      </c>
      <c r="CY7" s="20">
        <f t="shared" si="42"/>
        <v>0</v>
      </c>
      <c r="CZ7" s="20">
        <f t="shared" si="43"/>
        <v>0</v>
      </c>
      <c r="DA7" s="20"/>
      <c r="DB7" s="20"/>
      <c r="DC7" s="23">
        <f t="shared" si="44"/>
        <v>0</v>
      </c>
      <c r="DD7" s="23">
        <f t="shared" si="45"/>
        <v>0</v>
      </c>
      <c r="DE7" s="23">
        <f t="shared" si="46"/>
        <v>0</v>
      </c>
      <c r="DF7" s="23">
        <f t="shared" si="47"/>
        <v>0</v>
      </c>
      <c r="DG7" s="34"/>
      <c r="DH7" s="35"/>
      <c r="DI7" s="34"/>
      <c r="DJ7" s="24"/>
      <c r="DK7" s="36"/>
      <c r="DL7" s="37"/>
      <c r="DM7" s="36"/>
      <c r="DN7" s="38"/>
      <c r="DO7" s="39">
        <f t="shared" si="48"/>
        <v>0</v>
      </c>
      <c r="DP7" s="26">
        <f t="shared" si="49"/>
        <v>0</v>
      </c>
      <c r="DQ7" s="39">
        <f t="shared" si="50"/>
        <v>0</v>
      </c>
      <c r="DR7" s="39">
        <f t="shared" si="51"/>
        <v>0</v>
      </c>
      <c r="DS7" s="40"/>
      <c r="DT7" s="41"/>
      <c r="DU7" s="26">
        <v>23750</v>
      </c>
      <c r="DV7" s="26">
        <v>110000</v>
      </c>
      <c r="DW7" s="26">
        <f t="shared" si="52"/>
        <v>498750</v>
      </c>
      <c r="DX7" s="26">
        <f t="shared" si="53"/>
        <v>632500</v>
      </c>
      <c r="DY7" s="26">
        <f t="shared" si="54"/>
        <v>747500</v>
      </c>
      <c r="DZ7" s="26">
        <v>5438165</v>
      </c>
      <c r="EA7" s="26">
        <f t="shared" si="55"/>
        <v>11456807</v>
      </c>
      <c r="EB7" s="42"/>
      <c r="EC7" s="43">
        <v>45627</v>
      </c>
      <c r="ED7" s="20" t="str">
        <f t="shared" si="56"/>
        <v>B3</v>
      </c>
      <c r="EE7" s="26">
        <v>9300000</v>
      </c>
      <c r="EF7" s="20">
        <v>0</v>
      </c>
      <c r="EG7" s="20">
        <v>0</v>
      </c>
      <c r="EH7" s="24">
        <v>10</v>
      </c>
      <c r="EI7" s="22">
        <f t="shared" si="57"/>
        <v>930000</v>
      </c>
      <c r="EJ7" s="20">
        <f t="shared" si="58"/>
        <v>10230000</v>
      </c>
      <c r="EK7" s="44"/>
      <c r="EL7" s="45"/>
      <c r="EM7" s="45"/>
      <c r="EN7" s="26" t="s">
        <v>165</v>
      </c>
      <c r="EO7" s="46" t="s">
        <v>171</v>
      </c>
      <c r="EP7" s="46" t="s">
        <v>175</v>
      </c>
      <c r="EQ7" s="46" t="s">
        <v>166</v>
      </c>
      <c r="ER7" s="47" t="s">
        <v>167</v>
      </c>
      <c r="ES7" s="26"/>
      <c r="ET7" s="48"/>
      <c r="EU7" s="11"/>
      <c r="EV7" s="12"/>
    </row>
    <row r="8" spans="1:152" ht="45" customHeight="1" outlineLevel="1">
      <c r="A8" s="17">
        <v>4</v>
      </c>
      <c r="B8" s="18">
        <v>22101933</v>
      </c>
      <c r="C8" s="19" t="s">
        <v>182</v>
      </c>
      <c r="D8" s="20">
        <v>4520000</v>
      </c>
      <c r="E8" s="21">
        <f t="shared" si="0"/>
        <v>0</v>
      </c>
      <c r="F8" s="22">
        <f t="shared" si="1"/>
        <v>4520000</v>
      </c>
      <c r="G8" s="22">
        <v>0</v>
      </c>
      <c r="H8" s="22">
        <f t="shared" si="2"/>
        <v>5380000</v>
      </c>
      <c r="I8" s="22">
        <f t="shared" si="3"/>
        <v>990000</v>
      </c>
      <c r="J8" s="22">
        <f t="shared" si="4"/>
        <v>6370000</v>
      </c>
      <c r="K8" s="22">
        <f t="shared" si="5"/>
        <v>10890000</v>
      </c>
      <c r="L8" s="23">
        <v>1</v>
      </c>
      <c r="M8" s="24">
        <v>25</v>
      </c>
      <c r="N8" s="24">
        <v>13.18</v>
      </c>
      <c r="O8" s="24">
        <v>3</v>
      </c>
      <c r="P8" s="24"/>
      <c r="Q8" s="24">
        <v>0.31</v>
      </c>
      <c r="R8" s="24">
        <v>0</v>
      </c>
      <c r="S8" s="24"/>
      <c r="T8" s="24">
        <v>0</v>
      </c>
      <c r="U8" s="24"/>
      <c r="V8" s="24"/>
      <c r="W8" s="24"/>
      <c r="X8" s="24">
        <v>2</v>
      </c>
      <c r="Y8" s="24">
        <v>0</v>
      </c>
      <c r="Z8" s="25"/>
      <c r="AA8" s="25"/>
      <c r="AB8" s="24"/>
      <c r="AC8" s="24">
        <v>0</v>
      </c>
      <c r="AD8" s="24"/>
      <c r="AE8" s="24">
        <v>0</v>
      </c>
      <c r="AF8" s="22">
        <f t="shared" si="6"/>
        <v>4346154</v>
      </c>
      <c r="AG8" s="22">
        <f t="shared" si="7"/>
        <v>5018538</v>
      </c>
      <c r="AH8" s="22">
        <f t="shared" si="8"/>
        <v>1142308</v>
      </c>
      <c r="AI8" s="20">
        <f t="shared" si="9"/>
        <v>35412</v>
      </c>
      <c r="AJ8" s="20"/>
      <c r="AK8" s="22">
        <f t="shared" si="10"/>
        <v>0</v>
      </c>
      <c r="AL8" s="22">
        <f t="shared" si="11"/>
        <v>0</v>
      </c>
      <c r="AM8" s="22">
        <f t="shared" si="12"/>
        <v>0</v>
      </c>
      <c r="AN8" s="22">
        <f t="shared" si="13"/>
        <v>837692</v>
      </c>
      <c r="AO8" s="26">
        <f t="shared" si="14"/>
        <v>0</v>
      </c>
      <c r="AP8" s="26">
        <f t="shared" si="15"/>
        <v>0</v>
      </c>
      <c r="AQ8" s="26"/>
      <c r="AR8" s="22">
        <f t="shared" si="16"/>
        <v>823600</v>
      </c>
      <c r="AS8" s="26">
        <v>0</v>
      </c>
      <c r="AT8" s="22">
        <f t="shared" si="17"/>
        <v>0</v>
      </c>
      <c r="AU8" s="27">
        <f t="shared" si="18"/>
        <v>0</v>
      </c>
      <c r="AV8" s="22">
        <f t="shared" si="19"/>
        <v>0</v>
      </c>
      <c r="AW8" s="28">
        <f t="shared" si="20"/>
        <v>0</v>
      </c>
      <c r="AX8" s="22">
        <f t="shared" si="21"/>
        <v>0</v>
      </c>
      <c r="AY8" s="22"/>
      <c r="AZ8" s="26">
        <v>0</v>
      </c>
      <c r="BA8" s="22"/>
      <c r="BB8" s="26">
        <v>0</v>
      </c>
      <c r="BC8" s="29"/>
      <c r="BD8" s="22"/>
      <c r="BE8" s="22"/>
      <c r="BF8" s="22">
        <f t="shared" si="22"/>
        <v>0</v>
      </c>
      <c r="BG8" s="22"/>
      <c r="BH8" s="22"/>
      <c r="BI8" s="22">
        <f t="shared" si="23"/>
        <v>6125000</v>
      </c>
      <c r="BJ8" s="22">
        <f t="shared" si="24"/>
        <v>18328704</v>
      </c>
      <c r="BK8" s="22">
        <v>8790266</v>
      </c>
      <c r="BL8" s="22">
        <f t="shared" si="25"/>
        <v>9538438</v>
      </c>
      <c r="BM8" s="22">
        <f t="shared" si="26"/>
        <v>0</v>
      </c>
      <c r="BN8" s="22">
        <f t="shared" si="27"/>
        <v>0</v>
      </c>
      <c r="BO8" s="22">
        <f t="shared" si="28"/>
        <v>0</v>
      </c>
      <c r="BP8" s="22">
        <f t="shared" si="29"/>
        <v>0</v>
      </c>
      <c r="BQ8" s="22"/>
      <c r="BR8" s="20">
        <f t="shared" si="30"/>
        <v>0</v>
      </c>
      <c r="BS8" s="30">
        <f t="shared" si="31"/>
        <v>0</v>
      </c>
      <c r="BT8" s="22"/>
      <c r="BU8" s="22" t="str">
        <f t="shared" si="32"/>
        <v/>
      </c>
      <c r="BV8" s="22"/>
      <c r="BW8" s="22"/>
      <c r="BX8" s="22">
        <f t="shared" si="33"/>
        <v>115000</v>
      </c>
      <c r="BY8" s="22"/>
      <c r="BZ8" s="22"/>
      <c r="CA8" s="22"/>
      <c r="CB8" s="22">
        <v>0</v>
      </c>
      <c r="CC8" s="22"/>
      <c r="CD8" s="22"/>
      <c r="CE8" s="20">
        <f t="shared" si="34"/>
        <v>115000</v>
      </c>
      <c r="CF8" s="31">
        <f t="shared" si="35"/>
        <v>9423438</v>
      </c>
      <c r="CG8" s="20"/>
      <c r="CH8" s="20">
        <v>0</v>
      </c>
      <c r="CI8" s="26"/>
      <c r="CJ8" s="26"/>
      <c r="CK8" s="32">
        <f t="shared" si="36"/>
        <v>0</v>
      </c>
      <c r="CL8" s="20">
        <f t="shared" si="37"/>
        <v>1</v>
      </c>
      <c r="CM8" s="20"/>
      <c r="CN8" s="20" t="s">
        <v>170</v>
      </c>
      <c r="CO8" s="26">
        <f t="shared" si="38"/>
        <v>20000</v>
      </c>
      <c r="CP8" s="20" t="s">
        <v>164</v>
      </c>
      <c r="CQ8" s="20">
        <v>474600</v>
      </c>
      <c r="CR8" s="33"/>
      <c r="CS8" s="20"/>
      <c r="CT8" s="28">
        <f t="shared" si="39"/>
        <v>18293292</v>
      </c>
      <c r="CU8" s="31">
        <v>2</v>
      </c>
      <c r="CV8" s="20">
        <f t="shared" si="40"/>
        <v>8800000</v>
      </c>
      <c r="CW8" s="20">
        <v>11000000</v>
      </c>
      <c r="CX8" s="20">
        <f t="shared" si="41"/>
        <v>19800000</v>
      </c>
      <c r="CY8" s="20">
        <f t="shared" si="42"/>
        <v>0</v>
      </c>
      <c r="CZ8" s="20">
        <f t="shared" si="43"/>
        <v>0</v>
      </c>
      <c r="DA8" s="20"/>
      <c r="DB8" s="20"/>
      <c r="DC8" s="23">
        <f t="shared" si="44"/>
        <v>0</v>
      </c>
      <c r="DD8" s="23">
        <f t="shared" si="45"/>
        <v>0</v>
      </c>
      <c r="DE8" s="23">
        <f t="shared" si="46"/>
        <v>0</v>
      </c>
      <c r="DF8" s="23">
        <f t="shared" si="47"/>
        <v>0</v>
      </c>
      <c r="DG8" s="34"/>
      <c r="DH8" s="35"/>
      <c r="DI8" s="34"/>
      <c r="DJ8" s="24"/>
      <c r="DK8" s="36"/>
      <c r="DL8" s="37"/>
      <c r="DM8" s="36"/>
      <c r="DN8" s="38"/>
      <c r="DO8" s="39">
        <f t="shared" si="48"/>
        <v>0</v>
      </c>
      <c r="DP8" s="26">
        <f t="shared" si="49"/>
        <v>0</v>
      </c>
      <c r="DQ8" s="39">
        <f t="shared" si="50"/>
        <v>0</v>
      </c>
      <c r="DR8" s="39">
        <f t="shared" si="51"/>
        <v>0</v>
      </c>
      <c r="DS8" s="40"/>
      <c r="DT8" s="41"/>
      <c r="DU8" s="26">
        <v>22600</v>
      </c>
      <c r="DV8" s="26">
        <v>110000</v>
      </c>
      <c r="DW8" s="26">
        <f t="shared" si="52"/>
        <v>474600</v>
      </c>
      <c r="DX8" s="26">
        <f t="shared" si="53"/>
        <v>607200</v>
      </c>
      <c r="DY8" s="26">
        <f t="shared" si="54"/>
        <v>722200</v>
      </c>
      <c r="DZ8" s="26">
        <v>8183066</v>
      </c>
      <c r="EA8" s="26">
        <f t="shared" si="55"/>
        <v>17606504</v>
      </c>
      <c r="EB8" s="42"/>
      <c r="EC8" s="43">
        <v>45292</v>
      </c>
      <c r="ED8" s="20" t="str">
        <f t="shared" si="56"/>
        <v>B3</v>
      </c>
      <c r="EE8" s="26">
        <v>9900000</v>
      </c>
      <c r="EF8" s="20">
        <v>0</v>
      </c>
      <c r="EG8" s="20">
        <v>0</v>
      </c>
      <c r="EH8" s="24">
        <v>10</v>
      </c>
      <c r="EI8" s="22">
        <f t="shared" si="57"/>
        <v>990000</v>
      </c>
      <c r="EJ8" s="20">
        <f t="shared" si="58"/>
        <v>10890000</v>
      </c>
      <c r="EK8" s="44"/>
      <c r="EL8" s="45"/>
      <c r="EM8" s="45"/>
      <c r="EN8" s="26" t="s">
        <v>165</v>
      </c>
      <c r="EO8" s="46" t="s">
        <v>171</v>
      </c>
      <c r="EP8" s="46" t="s">
        <v>175</v>
      </c>
      <c r="EQ8" s="46" t="s">
        <v>166</v>
      </c>
      <c r="ER8" s="47" t="s">
        <v>167</v>
      </c>
      <c r="ES8" s="26"/>
      <c r="ET8" s="48"/>
      <c r="EU8" s="11"/>
      <c r="EV8" s="12"/>
    </row>
    <row r="9" spans="1:152" ht="45" customHeight="1" outlineLevel="1">
      <c r="A9" s="17">
        <v>5</v>
      </c>
      <c r="B9" s="18">
        <v>2208415</v>
      </c>
      <c r="C9" s="19" t="s">
        <v>183</v>
      </c>
      <c r="D9" s="20">
        <v>4300000</v>
      </c>
      <c r="E9" s="21">
        <f t="shared" si="0"/>
        <v>0</v>
      </c>
      <c r="F9" s="22">
        <f t="shared" si="1"/>
        <v>4300000</v>
      </c>
      <c r="G9" s="22">
        <v>0</v>
      </c>
      <c r="H9" s="22">
        <f t="shared" si="2"/>
        <v>3200000</v>
      </c>
      <c r="I9" s="22">
        <f t="shared" si="3"/>
        <v>0</v>
      </c>
      <c r="J9" s="22">
        <f t="shared" si="4"/>
        <v>3200000</v>
      </c>
      <c r="K9" s="22">
        <f t="shared" si="5"/>
        <v>7500000</v>
      </c>
      <c r="L9" s="23">
        <v>1</v>
      </c>
      <c r="M9" s="24">
        <v>25</v>
      </c>
      <c r="N9" s="24">
        <v>13.9</v>
      </c>
      <c r="O9" s="24">
        <v>4</v>
      </c>
      <c r="P9" s="24"/>
      <c r="Q9" s="24">
        <v>0</v>
      </c>
      <c r="R9" s="24">
        <v>0</v>
      </c>
      <c r="S9" s="24"/>
      <c r="T9" s="24">
        <v>0</v>
      </c>
      <c r="U9" s="24"/>
      <c r="V9" s="24"/>
      <c r="W9" s="24"/>
      <c r="X9" s="24">
        <v>2</v>
      </c>
      <c r="Y9" s="24">
        <v>0</v>
      </c>
      <c r="Z9" s="25"/>
      <c r="AA9" s="25"/>
      <c r="AB9" s="24"/>
      <c r="AC9" s="24">
        <v>0</v>
      </c>
      <c r="AD9" s="24"/>
      <c r="AE9" s="24">
        <v>0</v>
      </c>
      <c r="AF9" s="22">
        <f t="shared" si="6"/>
        <v>4134615</v>
      </c>
      <c r="AG9" s="22">
        <f t="shared" si="7"/>
        <v>4009615</v>
      </c>
      <c r="AH9" s="22">
        <f t="shared" si="8"/>
        <v>1323077</v>
      </c>
      <c r="AI9" s="20">
        <f t="shared" si="9"/>
        <v>0</v>
      </c>
      <c r="AJ9" s="20"/>
      <c r="AK9" s="22">
        <f t="shared" si="10"/>
        <v>0</v>
      </c>
      <c r="AL9" s="22">
        <f t="shared" si="11"/>
        <v>0</v>
      </c>
      <c r="AM9" s="22">
        <f t="shared" si="12"/>
        <v>0</v>
      </c>
      <c r="AN9" s="22">
        <f t="shared" si="13"/>
        <v>545913</v>
      </c>
      <c r="AO9" s="26">
        <f t="shared" si="14"/>
        <v>0</v>
      </c>
      <c r="AP9" s="26">
        <f t="shared" si="15"/>
        <v>0</v>
      </c>
      <c r="AQ9" s="26"/>
      <c r="AR9" s="22">
        <f t="shared" si="16"/>
        <v>1372800</v>
      </c>
      <c r="AS9" s="26">
        <v>0</v>
      </c>
      <c r="AT9" s="22">
        <f t="shared" si="17"/>
        <v>31010</v>
      </c>
      <c r="AU9" s="27">
        <f t="shared" si="18"/>
        <v>0</v>
      </c>
      <c r="AV9" s="22">
        <f t="shared" si="19"/>
        <v>0</v>
      </c>
      <c r="AW9" s="28">
        <f t="shared" si="20"/>
        <v>0</v>
      </c>
      <c r="AX9" s="22">
        <f t="shared" si="21"/>
        <v>0</v>
      </c>
      <c r="AY9" s="22"/>
      <c r="AZ9" s="26">
        <v>0</v>
      </c>
      <c r="BA9" s="22"/>
      <c r="BB9" s="26">
        <v>245078</v>
      </c>
      <c r="BC9" s="29">
        <v>0</v>
      </c>
      <c r="BD9" s="22"/>
      <c r="BE9" s="22"/>
      <c r="BF9" s="22">
        <f t="shared" si="22"/>
        <v>0</v>
      </c>
      <c r="BG9" s="22"/>
      <c r="BH9" s="22"/>
      <c r="BI9" s="22">
        <f t="shared" si="23"/>
        <v>3076923</v>
      </c>
      <c r="BJ9" s="22">
        <f t="shared" si="24"/>
        <v>14739031</v>
      </c>
      <c r="BK9" s="22">
        <v>6764943</v>
      </c>
      <c r="BL9" s="22">
        <f t="shared" si="25"/>
        <v>7974088</v>
      </c>
      <c r="BM9" s="22">
        <f t="shared" si="26"/>
        <v>0</v>
      </c>
      <c r="BN9" s="22">
        <f t="shared" si="27"/>
        <v>0</v>
      </c>
      <c r="BO9" s="22">
        <f t="shared" si="28"/>
        <v>0</v>
      </c>
      <c r="BP9" s="22">
        <f t="shared" si="29"/>
        <v>0</v>
      </c>
      <c r="BQ9" s="22"/>
      <c r="BR9" s="20">
        <f t="shared" si="30"/>
        <v>0</v>
      </c>
      <c r="BS9" s="30">
        <f t="shared" si="31"/>
        <v>164377</v>
      </c>
      <c r="BT9" s="22"/>
      <c r="BU9" s="22" t="str">
        <f t="shared" si="32"/>
        <v>OK</v>
      </c>
      <c r="BV9" s="22"/>
      <c r="BW9" s="22"/>
      <c r="BX9" s="22">
        <f t="shared" si="33"/>
        <v>115000</v>
      </c>
      <c r="BY9" s="22"/>
      <c r="BZ9" s="22"/>
      <c r="CA9" s="22"/>
      <c r="CB9" s="22">
        <v>0</v>
      </c>
      <c r="CC9" s="22"/>
      <c r="CD9" s="22"/>
      <c r="CE9" s="20">
        <f t="shared" si="34"/>
        <v>279377</v>
      </c>
      <c r="CF9" s="31">
        <f t="shared" si="35"/>
        <v>7694711</v>
      </c>
      <c r="CG9" s="20" t="s">
        <v>163</v>
      </c>
      <c r="CH9" s="20">
        <v>0</v>
      </c>
      <c r="CI9" s="26"/>
      <c r="CJ9" s="26"/>
      <c r="CK9" s="32">
        <f t="shared" si="36"/>
        <v>0</v>
      </c>
      <c r="CL9" s="20">
        <f t="shared" si="37"/>
        <v>1</v>
      </c>
      <c r="CM9" s="20"/>
      <c r="CN9" s="20" t="s">
        <v>173</v>
      </c>
      <c r="CO9" s="26">
        <f t="shared" si="38"/>
        <v>32000</v>
      </c>
      <c r="CP9" s="20" t="s">
        <v>164</v>
      </c>
      <c r="CQ9" s="20">
        <v>451500</v>
      </c>
      <c r="CR9" s="33"/>
      <c r="CS9" s="20"/>
      <c r="CT9" s="28">
        <f t="shared" si="39"/>
        <v>14739031</v>
      </c>
      <c r="CU9" s="31">
        <v>0</v>
      </c>
      <c r="CV9" s="20">
        <f t="shared" si="40"/>
        <v>0</v>
      </c>
      <c r="CW9" s="20">
        <v>11000000</v>
      </c>
      <c r="CX9" s="20">
        <f t="shared" si="41"/>
        <v>11000000</v>
      </c>
      <c r="CY9" s="20">
        <f t="shared" si="42"/>
        <v>3287531</v>
      </c>
      <c r="CZ9" s="20">
        <f t="shared" si="43"/>
        <v>164377</v>
      </c>
      <c r="DA9" s="20"/>
      <c r="DB9" s="20"/>
      <c r="DC9" s="23">
        <f t="shared" si="44"/>
        <v>0</v>
      </c>
      <c r="DD9" s="23">
        <f t="shared" si="45"/>
        <v>0</v>
      </c>
      <c r="DE9" s="23">
        <f t="shared" si="46"/>
        <v>0</v>
      </c>
      <c r="DF9" s="23">
        <f t="shared" si="47"/>
        <v>0</v>
      </c>
      <c r="DG9" s="34"/>
      <c r="DH9" s="35"/>
      <c r="DI9" s="34"/>
      <c r="DJ9" s="24"/>
      <c r="DK9" s="36"/>
      <c r="DL9" s="37"/>
      <c r="DM9" s="36"/>
      <c r="DN9" s="38"/>
      <c r="DO9" s="39">
        <f t="shared" si="48"/>
        <v>0</v>
      </c>
      <c r="DP9" s="26">
        <f t="shared" si="49"/>
        <v>0</v>
      </c>
      <c r="DQ9" s="39">
        <f t="shared" si="50"/>
        <v>0</v>
      </c>
      <c r="DR9" s="39">
        <f t="shared" si="51"/>
        <v>0</v>
      </c>
      <c r="DS9" s="40"/>
      <c r="DT9" s="41"/>
      <c r="DU9" s="26">
        <v>21500</v>
      </c>
      <c r="DV9" s="26">
        <v>110000</v>
      </c>
      <c r="DW9" s="26">
        <f t="shared" si="52"/>
        <v>451500</v>
      </c>
      <c r="DX9" s="26">
        <f t="shared" si="53"/>
        <v>583000</v>
      </c>
      <c r="DY9" s="26">
        <f t="shared" si="54"/>
        <v>862377</v>
      </c>
      <c r="DZ9" s="26">
        <v>6181943</v>
      </c>
      <c r="EA9" s="26">
        <f t="shared" si="55"/>
        <v>13876654</v>
      </c>
      <c r="EB9" s="42"/>
      <c r="EC9" s="43">
        <v>45968</v>
      </c>
      <c r="ED9" s="20" t="str">
        <f t="shared" si="56"/>
        <v>B3</v>
      </c>
      <c r="EE9" s="26">
        <v>7500000</v>
      </c>
      <c r="EF9" s="20">
        <v>0</v>
      </c>
      <c r="EG9" s="20">
        <v>0</v>
      </c>
      <c r="EH9" s="24">
        <v>0</v>
      </c>
      <c r="EI9" s="22">
        <f t="shared" si="57"/>
        <v>0</v>
      </c>
      <c r="EJ9" s="20">
        <f t="shared" si="58"/>
        <v>7500000</v>
      </c>
      <c r="EK9" s="44"/>
      <c r="EL9" s="45"/>
      <c r="EM9" s="45"/>
      <c r="EN9" s="26" t="s">
        <v>168</v>
      </c>
      <c r="EO9" s="46" t="s">
        <v>174</v>
      </c>
      <c r="EP9" s="46" t="s">
        <v>169</v>
      </c>
      <c r="EQ9" s="46" t="s">
        <v>166</v>
      </c>
      <c r="ER9" s="47" t="s">
        <v>167</v>
      </c>
      <c r="ES9" s="26"/>
      <c r="ET9" s="48"/>
      <c r="EU9" s="11"/>
      <c r="EV9" s="12"/>
    </row>
    <row r="10" spans="1:152" ht="45" customHeight="1" outlineLevel="1">
      <c r="A10" s="17">
        <v>6</v>
      </c>
      <c r="B10" s="18">
        <v>1611253</v>
      </c>
      <c r="C10" s="19" t="s">
        <v>184</v>
      </c>
      <c r="D10" s="20">
        <v>4300000</v>
      </c>
      <c r="E10" s="21">
        <f t="shared" si="0"/>
        <v>0</v>
      </c>
      <c r="F10" s="22">
        <f t="shared" si="1"/>
        <v>4300000</v>
      </c>
      <c r="G10" s="22">
        <v>0</v>
      </c>
      <c r="H10" s="22">
        <f t="shared" si="2"/>
        <v>3500000</v>
      </c>
      <c r="I10" s="22">
        <f t="shared" si="3"/>
        <v>0</v>
      </c>
      <c r="J10" s="22">
        <f t="shared" si="4"/>
        <v>3500000</v>
      </c>
      <c r="K10" s="22">
        <f t="shared" si="5"/>
        <v>7800000</v>
      </c>
      <c r="L10" s="23">
        <v>1</v>
      </c>
      <c r="M10" s="24">
        <v>24</v>
      </c>
      <c r="N10" s="24">
        <v>8.5</v>
      </c>
      <c r="O10" s="24">
        <v>3</v>
      </c>
      <c r="P10" s="24"/>
      <c r="Q10" s="24">
        <v>0</v>
      </c>
      <c r="R10" s="24">
        <v>0</v>
      </c>
      <c r="S10" s="24"/>
      <c r="T10" s="24">
        <v>0</v>
      </c>
      <c r="U10" s="24"/>
      <c r="V10" s="24"/>
      <c r="W10" s="24"/>
      <c r="X10" s="24">
        <v>1</v>
      </c>
      <c r="Y10" s="24">
        <v>1</v>
      </c>
      <c r="Z10" s="25"/>
      <c r="AA10" s="25"/>
      <c r="AB10" s="24"/>
      <c r="AC10" s="24">
        <v>0</v>
      </c>
      <c r="AD10" s="24"/>
      <c r="AE10" s="24">
        <v>0</v>
      </c>
      <c r="AF10" s="22">
        <f t="shared" si="6"/>
        <v>3969231</v>
      </c>
      <c r="AG10" s="22">
        <f t="shared" si="7"/>
        <v>2550000</v>
      </c>
      <c r="AH10" s="22">
        <f t="shared" si="8"/>
        <v>992308</v>
      </c>
      <c r="AI10" s="20">
        <f t="shared" si="9"/>
        <v>0</v>
      </c>
      <c r="AJ10" s="20"/>
      <c r="AK10" s="22">
        <f t="shared" si="10"/>
        <v>0</v>
      </c>
      <c r="AL10" s="22">
        <f t="shared" si="11"/>
        <v>0</v>
      </c>
      <c r="AM10" s="22">
        <f t="shared" si="12"/>
        <v>0</v>
      </c>
      <c r="AN10" s="22">
        <f t="shared" si="13"/>
        <v>600000</v>
      </c>
      <c r="AO10" s="26">
        <f t="shared" si="14"/>
        <v>0</v>
      </c>
      <c r="AP10" s="26">
        <f t="shared" si="15"/>
        <v>0</v>
      </c>
      <c r="AQ10" s="26"/>
      <c r="AR10" s="22">
        <f t="shared" si="16"/>
        <v>710000</v>
      </c>
      <c r="AS10" s="26">
        <v>0</v>
      </c>
      <c r="AT10" s="22">
        <f t="shared" si="17"/>
        <v>0</v>
      </c>
      <c r="AU10" s="27">
        <f t="shared" si="18"/>
        <v>0</v>
      </c>
      <c r="AV10" s="22">
        <f t="shared" si="19"/>
        <v>0</v>
      </c>
      <c r="AW10" s="28">
        <f t="shared" si="20"/>
        <v>0</v>
      </c>
      <c r="AX10" s="22">
        <f t="shared" si="21"/>
        <v>0</v>
      </c>
      <c r="AY10" s="22"/>
      <c r="AZ10" s="26">
        <v>0</v>
      </c>
      <c r="BA10" s="22"/>
      <c r="BB10" s="26">
        <v>0</v>
      </c>
      <c r="BC10" s="29"/>
      <c r="BD10" s="22"/>
      <c r="BE10" s="22"/>
      <c r="BF10" s="22">
        <f t="shared" si="22"/>
        <v>0</v>
      </c>
      <c r="BG10" s="22"/>
      <c r="BH10" s="22"/>
      <c r="BI10" s="22">
        <f t="shared" si="23"/>
        <v>3230769</v>
      </c>
      <c r="BJ10" s="22">
        <f t="shared" si="24"/>
        <v>12052308</v>
      </c>
      <c r="BK10" s="22">
        <v>5920000</v>
      </c>
      <c r="BL10" s="22">
        <f t="shared" si="25"/>
        <v>6132308</v>
      </c>
      <c r="BM10" s="22">
        <f t="shared" si="26"/>
        <v>0</v>
      </c>
      <c r="BN10" s="22">
        <f t="shared" si="27"/>
        <v>0</v>
      </c>
      <c r="BO10" s="22">
        <f t="shared" si="28"/>
        <v>0</v>
      </c>
      <c r="BP10" s="22">
        <f t="shared" si="29"/>
        <v>0</v>
      </c>
      <c r="BQ10" s="22"/>
      <c r="BR10" s="20">
        <f t="shared" si="30"/>
        <v>0</v>
      </c>
      <c r="BS10" s="30">
        <f t="shared" si="31"/>
        <v>30040</v>
      </c>
      <c r="BT10" s="22"/>
      <c r="BU10" s="22" t="str">
        <f t="shared" si="32"/>
        <v>OK</v>
      </c>
      <c r="BV10" s="22"/>
      <c r="BW10" s="22"/>
      <c r="BX10" s="22">
        <f t="shared" si="33"/>
        <v>115000</v>
      </c>
      <c r="BY10" s="22"/>
      <c r="BZ10" s="22"/>
      <c r="CA10" s="22"/>
      <c r="CB10" s="22">
        <v>0</v>
      </c>
      <c r="CC10" s="22"/>
      <c r="CD10" s="22"/>
      <c r="CE10" s="20">
        <f t="shared" si="34"/>
        <v>145040</v>
      </c>
      <c r="CF10" s="31">
        <f t="shared" si="35"/>
        <v>5987268</v>
      </c>
      <c r="CG10" s="20"/>
      <c r="CH10" s="20">
        <v>0</v>
      </c>
      <c r="CI10" s="26"/>
      <c r="CJ10" s="26"/>
      <c r="CK10" s="32">
        <f t="shared" si="36"/>
        <v>0</v>
      </c>
      <c r="CL10" s="20">
        <f t="shared" si="37"/>
        <v>1</v>
      </c>
      <c r="CM10" s="20"/>
      <c r="CN10" s="20" t="s">
        <v>170</v>
      </c>
      <c r="CO10" s="26">
        <f t="shared" si="38"/>
        <v>20000</v>
      </c>
      <c r="CP10" s="20" t="s">
        <v>164</v>
      </c>
      <c r="CQ10" s="20">
        <v>451500</v>
      </c>
      <c r="CR10" s="33"/>
      <c r="CS10" s="20"/>
      <c r="CT10" s="28">
        <f t="shared" si="39"/>
        <v>12052308</v>
      </c>
      <c r="CU10" s="31">
        <v>0</v>
      </c>
      <c r="CV10" s="20">
        <f t="shared" si="40"/>
        <v>0</v>
      </c>
      <c r="CW10" s="20">
        <v>11000000</v>
      </c>
      <c r="CX10" s="20">
        <f t="shared" si="41"/>
        <v>11000000</v>
      </c>
      <c r="CY10" s="20">
        <f t="shared" si="42"/>
        <v>600808</v>
      </c>
      <c r="CZ10" s="20">
        <f t="shared" si="43"/>
        <v>30040</v>
      </c>
      <c r="DA10" s="20"/>
      <c r="DB10" s="20"/>
      <c r="DC10" s="23">
        <f t="shared" si="44"/>
        <v>0</v>
      </c>
      <c r="DD10" s="23">
        <f t="shared" si="45"/>
        <v>0</v>
      </c>
      <c r="DE10" s="23">
        <f t="shared" si="46"/>
        <v>0</v>
      </c>
      <c r="DF10" s="23">
        <f t="shared" si="47"/>
        <v>0</v>
      </c>
      <c r="DG10" s="34"/>
      <c r="DH10" s="35"/>
      <c r="DI10" s="34"/>
      <c r="DJ10" s="24"/>
      <c r="DK10" s="36"/>
      <c r="DL10" s="37"/>
      <c r="DM10" s="36"/>
      <c r="DN10" s="38"/>
      <c r="DO10" s="39">
        <f t="shared" si="48"/>
        <v>0</v>
      </c>
      <c r="DP10" s="26">
        <f t="shared" si="49"/>
        <v>0</v>
      </c>
      <c r="DQ10" s="39">
        <f t="shared" si="50"/>
        <v>0</v>
      </c>
      <c r="DR10" s="39">
        <f t="shared" si="51"/>
        <v>0</v>
      </c>
      <c r="DS10" s="40"/>
      <c r="DT10" s="41"/>
      <c r="DU10" s="26">
        <v>21500</v>
      </c>
      <c r="DV10" s="26">
        <v>110000</v>
      </c>
      <c r="DW10" s="26">
        <f t="shared" si="52"/>
        <v>451500</v>
      </c>
      <c r="DX10" s="26">
        <f t="shared" si="53"/>
        <v>583000</v>
      </c>
      <c r="DY10" s="26">
        <f t="shared" si="54"/>
        <v>728040</v>
      </c>
      <c r="DZ10" s="26">
        <v>5337000</v>
      </c>
      <c r="EA10" s="26">
        <f t="shared" si="55"/>
        <v>11324268</v>
      </c>
      <c r="EB10" s="42"/>
      <c r="EC10" s="43">
        <v>45292</v>
      </c>
      <c r="ED10" s="20" t="str">
        <f t="shared" si="56"/>
        <v>B3</v>
      </c>
      <c r="EE10" s="26">
        <v>7800000</v>
      </c>
      <c r="EF10" s="20">
        <v>0</v>
      </c>
      <c r="EG10" s="20">
        <v>0</v>
      </c>
      <c r="EH10" s="24">
        <v>0</v>
      </c>
      <c r="EI10" s="22">
        <f t="shared" si="57"/>
        <v>0</v>
      </c>
      <c r="EJ10" s="20">
        <f t="shared" si="58"/>
        <v>7800000</v>
      </c>
      <c r="EK10" s="44"/>
      <c r="EL10" s="45"/>
      <c r="EM10" s="45"/>
      <c r="EN10" s="26" t="s">
        <v>165</v>
      </c>
      <c r="EO10" s="46" t="s">
        <v>172</v>
      </c>
      <c r="EP10" s="46" t="s">
        <v>175</v>
      </c>
      <c r="EQ10" s="46" t="s">
        <v>166</v>
      </c>
      <c r="ER10" s="47" t="s">
        <v>167</v>
      </c>
      <c r="ES10" s="26"/>
      <c r="ET10" s="48"/>
      <c r="EU10" s="11"/>
      <c r="EV10" s="12"/>
    </row>
    <row r="11" spans="1:152" ht="45" customHeight="1" outlineLevel="1">
      <c r="A11" s="17">
        <v>7</v>
      </c>
      <c r="B11" s="18">
        <v>1505922</v>
      </c>
      <c r="C11" s="19" t="s">
        <v>185</v>
      </c>
      <c r="D11" s="20">
        <v>4520000</v>
      </c>
      <c r="E11" s="21">
        <f t="shared" si="0"/>
        <v>0</v>
      </c>
      <c r="F11" s="22">
        <f t="shared" si="1"/>
        <v>4520000</v>
      </c>
      <c r="G11" s="22">
        <v>0</v>
      </c>
      <c r="H11" s="22">
        <f t="shared" si="2"/>
        <v>3480000</v>
      </c>
      <c r="I11" s="22">
        <f t="shared" si="3"/>
        <v>0</v>
      </c>
      <c r="J11" s="22">
        <f t="shared" si="4"/>
        <v>3480000</v>
      </c>
      <c r="K11" s="22">
        <f t="shared" si="5"/>
        <v>8000000</v>
      </c>
      <c r="L11" s="23">
        <v>1</v>
      </c>
      <c r="M11" s="24">
        <v>23</v>
      </c>
      <c r="N11" s="24">
        <v>3</v>
      </c>
      <c r="O11" s="24">
        <v>0</v>
      </c>
      <c r="P11" s="24"/>
      <c r="Q11" s="24">
        <v>10.19</v>
      </c>
      <c r="R11" s="24">
        <v>0</v>
      </c>
      <c r="S11" s="24"/>
      <c r="T11" s="24">
        <v>0</v>
      </c>
      <c r="U11" s="24"/>
      <c r="V11" s="24"/>
      <c r="W11" s="24"/>
      <c r="X11" s="24">
        <v>0</v>
      </c>
      <c r="Y11" s="24">
        <v>2</v>
      </c>
      <c r="Z11" s="25"/>
      <c r="AA11" s="25"/>
      <c r="AB11" s="24"/>
      <c r="AC11" s="24">
        <v>0</v>
      </c>
      <c r="AD11" s="24"/>
      <c r="AE11" s="24">
        <v>0</v>
      </c>
      <c r="AF11" s="22">
        <f t="shared" si="6"/>
        <v>3998462</v>
      </c>
      <c r="AG11" s="22">
        <f t="shared" si="7"/>
        <v>923077</v>
      </c>
      <c r="AH11" s="22">
        <f t="shared" si="8"/>
        <v>0</v>
      </c>
      <c r="AI11" s="20">
        <f t="shared" si="9"/>
        <v>940615</v>
      </c>
      <c r="AJ11" s="20"/>
      <c r="AK11" s="22">
        <f t="shared" si="10"/>
        <v>0</v>
      </c>
      <c r="AL11" s="22">
        <f t="shared" si="11"/>
        <v>0</v>
      </c>
      <c r="AM11" s="22">
        <f t="shared" si="12"/>
        <v>0</v>
      </c>
      <c r="AN11" s="22">
        <f t="shared" si="13"/>
        <v>582789</v>
      </c>
      <c r="AO11" s="26">
        <f t="shared" si="14"/>
        <v>0</v>
      </c>
      <c r="AP11" s="26">
        <f t="shared" si="15"/>
        <v>0</v>
      </c>
      <c r="AQ11" s="26"/>
      <c r="AR11" s="22">
        <f t="shared" si="16"/>
        <v>520000</v>
      </c>
      <c r="AS11" s="26">
        <v>0</v>
      </c>
      <c r="AT11" s="22">
        <f t="shared" si="17"/>
        <v>32596</v>
      </c>
      <c r="AU11" s="27">
        <f t="shared" si="18"/>
        <v>0</v>
      </c>
      <c r="AV11" s="22">
        <f t="shared" si="19"/>
        <v>0</v>
      </c>
      <c r="AW11" s="28">
        <f t="shared" si="20"/>
        <v>0</v>
      </c>
      <c r="AX11" s="22">
        <f t="shared" si="21"/>
        <v>0</v>
      </c>
      <c r="AY11" s="22"/>
      <c r="AZ11" s="26">
        <v>0</v>
      </c>
      <c r="BA11" s="22"/>
      <c r="BB11" s="26">
        <v>0</v>
      </c>
      <c r="BC11" s="29"/>
      <c r="BD11" s="22"/>
      <c r="BE11" s="22"/>
      <c r="BF11" s="22">
        <f t="shared" si="22"/>
        <v>0</v>
      </c>
      <c r="BG11" s="22"/>
      <c r="BH11" s="22"/>
      <c r="BI11" s="22">
        <f t="shared" si="23"/>
        <v>3078462</v>
      </c>
      <c r="BJ11" s="22">
        <f t="shared" si="24"/>
        <v>10076001</v>
      </c>
      <c r="BK11" s="22">
        <v>4805216</v>
      </c>
      <c r="BL11" s="22">
        <f t="shared" si="25"/>
        <v>5270785</v>
      </c>
      <c r="BM11" s="22">
        <f t="shared" si="26"/>
        <v>0</v>
      </c>
      <c r="BN11" s="22">
        <f t="shared" si="27"/>
        <v>0</v>
      </c>
      <c r="BO11" s="22">
        <f t="shared" si="28"/>
        <v>0</v>
      </c>
      <c r="BP11" s="22">
        <f t="shared" si="29"/>
        <v>0</v>
      </c>
      <c r="BQ11" s="22"/>
      <c r="BR11" s="20">
        <f t="shared" si="30"/>
        <v>0</v>
      </c>
      <c r="BS11" s="30">
        <f t="shared" si="31"/>
        <v>0</v>
      </c>
      <c r="BT11" s="22"/>
      <c r="BU11" s="22" t="str">
        <f t="shared" si="32"/>
        <v/>
      </c>
      <c r="BV11" s="22"/>
      <c r="BW11" s="22"/>
      <c r="BX11" s="22">
        <f t="shared" si="33"/>
        <v>115000</v>
      </c>
      <c r="BY11" s="22"/>
      <c r="BZ11" s="22"/>
      <c r="CA11" s="22"/>
      <c r="CB11" s="22">
        <v>0</v>
      </c>
      <c r="CC11" s="22"/>
      <c r="CD11" s="22"/>
      <c r="CE11" s="20">
        <f t="shared" si="34"/>
        <v>115000</v>
      </c>
      <c r="CF11" s="31">
        <f t="shared" si="35"/>
        <v>5155785</v>
      </c>
      <c r="CG11" s="20" t="s">
        <v>163</v>
      </c>
      <c r="CH11" s="20">
        <v>0</v>
      </c>
      <c r="CI11" s="26"/>
      <c r="CJ11" s="26"/>
      <c r="CK11" s="32">
        <f t="shared" si="36"/>
        <v>0</v>
      </c>
      <c r="CL11" s="20">
        <f t="shared" si="37"/>
        <v>1</v>
      </c>
      <c r="CM11" s="20"/>
      <c r="CN11" s="20" t="s">
        <v>170</v>
      </c>
      <c r="CO11" s="26">
        <f t="shared" si="38"/>
        <v>20000</v>
      </c>
      <c r="CP11" s="20" t="s">
        <v>164</v>
      </c>
      <c r="CQ11" s="20">
        <v>474600</v>
      </c>
      <c r="CR11" s="33"/>
      <c r="CS11" s="20"/>
      <c r="CT11" s="28">
        <f t="shared" si="39"/>
        <v>9135386</v>
      </c>
      <c r="CU11" s="31">
        <v>1</v>
      </c>
      <c r="CV11" s="20">
        <f t="shared" si="40"/>
        <v>4400000</v>
      </c>
      <c r="CW11" s="20">
        <v>11000000</v>
      </c>
      <c r="CX11" s="20">
        <f t="shared" si="41"/>
        <v>15400000</v>
      </c>
      <c r="CY11" s="20">
        <f t="shared" si="42"/>
        <v>0</v>
      </c>
      <c r="CZ11" s="20">
        <f t="shared" si="43"/>
        <v>0</v>
      </c>
      <c r="DA11" s="20"/>
      <c r="DB11" s="20"/>
      <c r="DC11" s="23">
        <f t="shared" si="44"/>
        <v>0</v>
      </c>
      <c r="DD11" s="23">
        <f t="shared" si="45"/>
        <v>0</v>
      </c>
      <c r="DE11" s="23">
        <f t="shared" si="46"/>
        <v>0</v>
      </c>
      <c r="DF11" s="23">
        <f t="shared" si="47"/>
        <v>0</v>
      </c>
      <c r="DG11" s="34"/>
      <c r="DH11" s="35"/>
      <c r="DI11" s="34"/>
      <c r="DJ11" s="24"/>
      <c r="DK11" s="36"/>
      <c r="DL11" s="37"/>
      <c r="DM11" s="36"/>
      <c r="DN11" s="38"/>
      <c r="DO11" s="39">
        <f t="shared" si="48"/>
        <v>0</v>
      </c>
      <c r="DP11" s="26">
        <f t="shared" si="49"/>
        <v>0</v>
      </c>
      <c r="DQ11" s="39">
        <f t="shared" si="50"/>
        <v>0</v>
      </c>
      <c r="DR11" s="39">
        <f t="shared" si="51"/>
        <v>0</v>
      </c>
      <c r="DS11" s="40"/>
      <c r="DT11" s="41"/>
      <c r="DU11" s="26">
        <v>22600</v>
      </c>
      <c r="DV11" s="26">
        <v>110000</v>
      </c>
      <c r="DW11" s="26">
        <f t="shared" si="52"/>
        <v>474600</v>
      </c>
      <c r="DX11" s="26">
        <f t="shared" si="53"/>
        <v>607200</v>
      </c>
      <c r="DY11" s="26">
        <f t="shared" si="54"/>
        <v>722200</v>
      </c>
      <c r="DZ11" s="26">
        <v>4198016</v>
      </c>
      <c r="EA11" s="26">
        <f t="shared" si="55"/>
        <v>9353801</v>
      </c>
      <c r="EB11" s="42"/>
      <c r="EC11" s="43">
        <v>45916</v>
      </c>
      <c r="ED11" s="20" t="str">
        <f t="shared" si="56"/>
        <v>B3</v>
      </c>
      <c r="EE11" s="26">
        <v>8000000</v>
      </c>
      <c r="EF11" s="20">
        <v>0</v>
      </c>
      <c r="EG11" s="20">
        <v>0</v>
      </c>
      <c r="EH11" s="24">
        <v>0</v>
      </c>
      <c r="EI11" s="22">
        <f t="shared" si="57"/>
        <v>0</v>
      </c>
      <c r="EJ11" s="20">
        <f t="shared" si="58"/>
        <v>8000000</v>
      </c>
      <c r="EK11" s="44"/>
      <c r="EL11" s="45"/>
      <c r="EM11" s="45"/>
      <c r="EN11" s="26" t="s">
        <v>168</v>
      </c>
      <c r="EO11" s="46" t="s">
        <v>171</v>
      </c>
      <c r="EP11" s="46" t="s">
        <v>175</v>
      </c>
      <c r="EQ11" s="46" t="s">
        <v>166</v>
      </c>
      <c r="ER11" s="47" t="s">
        <v>167</v>
      </c>
      <c r="ES11" s="26"/>
      <c r="ET11" s="48"/>
      <c r="EU11" s="11"/>
      <c r="EV11" s="12"/>
    </row>
  </sheetData>
  <dataConsolidate/>
  <mergeCells count="141">
    <mergeCell ref="EQ3:EQ4"/>
    <mergeCell ref="ER3:ER4"/>
    <mergeCell ref="ES3:ES4"/>
    <mergeCell ref="ET3:ET4"/>
    <mergeCell ref="EK3:EK4"/>
    <mergeCell ref="EL3:EL4"/>
    <mergeCell ref="EM3:EM4"/>
    <mergeCell ref="EN3:EN4"/>
    <mergeCell ref="EO3:EO4"/>
    <mergeCell ref="EP3:EP4"/>
    <mergeCell ref="EC3:EC4"/>
    <mergeCell ref="ED3:ED4"/>
    <mergeCell ref="EE3:EE4"/>
    <mergeCell ref="EF3:EI3"/>
    <mergeCell ref="EJ3:EJ4"/>
    <mergeCell ref="DV3:DV4"/>
    <mergeCell ref="DW3:DW4"/>
    <mergeCell ref="DX3:DX4"/>
    <mergeCell ref="DY3:DY4"/>
    <mergeCell ref="DZ3:DZ4"/>
    <mergeCell ref="EA3:EA4"/>
    <mergeCell ref="DP3:DP4"/>
    <mergeCell ref="DD3:DD4"/>
    <mergeCell ref="DE3:DE4"/>
    <mergeCell ref="DF3:DF4"/>
    <mergeCell ref="DG3:DJ3"/>
    <mergeCell ref="DK3:DN3"/>
    <mergeCell ref="DO3:DO4"/>
    <mergeCell ref="DU3:DU4"/>
    <mergeCell ref="EB3:EB4"/>
    <mergeCell ref="CX3:CX4"/>
    <mergeCell ref="CY3:CY4"/>
    <mergeCell ref="CZ3:CZ4"/>
    <mergeCell ref="DA3:DA4"/>
    <mergeCell ref="DB3:DB4"/>
    <mergeCell ref="DC3:DC4"/>
    <mergeCell ref="CR3:CR4"/>
    <mergeCell ref="CS3:CS4"/>
    <mergeCell ref="CT3:CT4"/>
    <mergeCell ref="CU3:CU4"/>
    <mergeCell ref="CV3:CV4"/>
    <mergeCell ref="CW3:CW4"/>
    <mergeCell ref="CL3:CL4"/>
    <mergeCell ref="CM3:CM4"/>
    <mergeCell ref="CN3:CN4"/>
    <mergeCell ref="CO3:CO4"/>
    <mergeCell ref="CP3:CP4"/>
    <mergeCell ref="CQ3:CQ4"/>
    <mergeCell ref="BZ3:BZ4"/>
    <mergeCell ref="CA3:CA4"/>
    <mergeCell ref="CB3:CB4"/>
    <mergeCell ref="CC3:CC4"/>
    <mergeCell ref="CD3:CD4"/>
    <mergeCell ref="CG3:CG4"/>
    <mergeCell ref="CJ3:CJ4"/>
    <mergeCell ref="CK3:CK4"/>
    <mergeCell ref="BQ3:BQ4"/>
    <mergeCell ref="BR3:BR4"/>
    <mergeCell ref="BS3:BS4"/>
    <mergeCell ref="BT3:BT4"/>
    <mergeCell ref="BC3:BC4"/>
    <mergeCell ref="BD3:BD4"/>
    <mergeCell ref="BE3:BE4"/>
    <mergeCell ref="BF3:BF4"/>
    <mergeCell ref="BG3:BG4"/>
    <mergeCell ref="BH3:BH4"/>
    <mergeCell ref="BK2:BK4"/>
    <mergeCell ref="BL2:BL4"/>
    <mergeCell ref="AD3:AD4"/>
    <mergeCell ref="AE3:AE4"/>
    <mergeCell ref="AF3:AF4"/>
    <mergeCell ref="AG3:AG4"/>
    <mergeCell ref="AH3:AH4"/>
    <mergeCell ref="AI3:AI4"/>
    <mergeCell ref="AU3:AU4"/>
    <mergeCell ref="AV3:AV4"/>
    <mergeCell ref="BI3:BI4"/>
    <mergeCell ref="AW3:AW4"/>
    <mergeCell ref="AX3:AX4"/>
    <mergeCell ref="AY3:AY4"/>
    <mergeCell ref="AZ3:AZ4"/>
    <mergeCell ref="BA3:BA4"/>
    <mergeCell ref="BB3:BB4"/>
    <mergeCell ref="AB3:AB4"/>
    <mergeCell ref="AC3:AC4"/>
    <mergeCell ref="M3:M4"/>
    <mergeCell ref="N3:N4"/>
    <mergeCell ref="O3:O4"/>
    <mergeCell ref="P3:P4"/>
    <mergeCell ref="Q3:S3"/>
    <mergeCell ref="T3:T4"/>
    <mergeCell ref="U3:V3"/>
    <mergeCell ref="W3:W4"/>
    <mergeCell ref="EF1:EK1"/>
    <mergeCell ref="A2:A4"/>
    <mergeCell ref="B2:B4"/>
    <mergeCell ref="C2:C4"/>
    <mergeCell ref="D2:D4"/>
    <mergeCell ref="E2:E4"/>
    <mergeCell ref="F2:F4"/>
    <mergeCell ref="G2:G4"/>
    <mergeCell ref="H2:H4"/>
    <mergeCell ref="CF2:CF4"/>
    <mergeCell ref="BU3:BU4"/>
    <mergeCell ref="BV3:BV4"/>
    <mergeCell ref="BW3:BW4"/>
    <mergeCell ref="BY3:BY4"/>
    <mergeCell ref="I2:I4"/>
    <mergeCell ref="J2:J4"/>
    <mergeCell ref="K2:K4"/>
    <mergeCell ref="L2:L4"/>
    <mergeCell ref="M2:AE2"/>
    <mergeCell ref="X3:Y3"/>
    <mergeCell ref="Z3:AA3"/>
    <mergeCell ref="AQ3:AQ4"/>
    <mergeCell ref="AR3:AR4"/>
    <mergeCell ref="AS3:AS4"/>
    <mergeCell ref="EC2:EJ2"/>
    <mergeCell ref="AF2:BI2"/>
    <mergeCell ref="DB2:DP2"/>
    <mergeCell ref="DQ2:DQ4"/>
    <mergeCell ref="DR2:DR4"/>
    <mergeCell ref="DS2:DS4"/>
    <mergeCell ref="DT2:DT4"/>
    <mergeCell ref="EK2:ET2"/>
    <mergeCell ref="BJ2:BJ4"/>
    <mergeCell ref="BM2:BT2"/>
    <mergeCell ref="BU2:CD2"/>
    <mergeCell ref="CE2:CE4"/>
    <mergeCell ref="CG2:CP2"/>
    <mergeCell ref="CQ2:DA2"/>
    <mergeCell ref="DU2:EB2"/>
    <mergeCell ref="AT3:AT4"/>
    <mergeCell ref="CH3:CH4"/>
    <mergeCell ref="CI3:CI4"/>
    <mergeCell ref="AK3:AK4"/>
    <mergeCell ref="AL3:AL4"/>
    <mergeCell ref="AM3:AM4"/>
    <mergeCell ref="AN3:AN4"/>
    <mergeCell ref="AO3:AP3"/>
    <mergeCell ref="BP3:BP4"/>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2026-02-20T22:55:25Z</dcterms:modified>
</cp:coreProperties>
</file>