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kan\Desktop\"/>
    </mc:Choice>
  </mc:AlternateContent>
  <xr:revisionPtr revIDLastSave="0" documentId="13_ncr:1_{39ADB4FA-80E3-4F4B-8C70-20C3196F9109}" xr6:coauthVersionLast="47" xr6:coauthVersionMax="47" xr10:uidLastSave="{00000000-0000-0000-0000-000000000000}"/>
  <bookViews>
    <workbookView xWindow="-108" yWindow="-108" windowWidth="23256" windowHeight="12576" xr2:uid="{92FBC67C-AEDA-4F52-A399-5065F3FE2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11" i="1"/>
  <c r="U12" i="1"/>
  <c r="U13" i="1"/>
  <c r="S21" i="1"/>
  <c r="T33" i="1" l="1"/>
  <c r="T28" i="1" s="1"/>
  <c r="N5" i="1"/>
  <c r="C22" i="1"/>
  <c r="K4" i="1" s="1"/>
  <c r="L4" i="1" s="1"/>
  <c r="M5" i="1"/>
  <c r="U33" i="1" s="1"/>
  <c r="U28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P21" i="1"/>
  <c r="P32" i="1"/>
  <c r="Q32" i="1" s="1"/>
  <c r="P31" i="1"/>
  <c r="Q31" i="1" s="1"/>
  <c r="P30" i="1"/>
  <c r="Q30" i="1" s="1"/>
  <c r="P29" i="1"/>
  <c r="Q29" i="1" s="1"/>
  <c r="N31" i="1"/>
  <c r="O31" i="1" s="1"/>
  <c r="N6" i="1"/>
  <c r="N7" i="1"/>
  <c r="N8" i="1"/>
  <c r="N9" i="1"/>
  <c r="N4" i="1"/>
  <c r="K5" i="1"/>
  <c r="L5" i="1" s="1"/>
  <c r="K6" i="1"/>
  <c r="L6" i="1" s="1"/>
  <c r="K7" i="1"/>
  <c r="L7" i="1" s="1"/>
  <c r="K9" i="1"/>
  <c r="L9" i="1" s="1"/>
  <c r="K10" i="1"/>
  <c r="L10" i="1" s="1"/>
  <c r="K13" i="1"/>
  <c r="L13" i="1" s="1"/>
  <c r="K14" i="1"/>
  <c r="L14" i="1" s="1"/>
  <c r="K15" i="1"/>
  <c r="L15" i="1" s="1"/>
  <c r="K17" i="1"/>
  <c r="L17" i="1" s="1"/>
  <c r="K18" i="1"/>
  <c r="L18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10" i="1"/>
  <c r="N10" i="1" s="1"/>
  <c r="K16" i="1" l="1"/>
  <c r="L16" i="1" s="1"/>
  <c r="K8" i="1"/>
  <c r="L8" i="1" s="1"/>
  <c r="N30" i="1"/>
  <c r="O30" i="1" s="1"/>
  <c r="R21" i="1"/>
  <c r="V21" i="1"/>
  <c r="U25" i="1"/>
  <c r="S28" i="1" s="1"/>
  <c r="V28" i="1" s="1"/>
  <c r="W28" i="1" s="1"/>
  <c r="V33" i="1" s="1"/>
  <c r="N34" i="1"/>
  <c r="O34" i="1" s="1"/>
  <c r="K20" i="1"/>
  <c r="L20" i="1" s="1"/>
  <c r="K12" i="1"/>
  <c r="L12" i="1" s="1"/>
  <c r="K19" i="1"/>
  <c r="L19" i="1" s="1"/>
  <c r="K11" i="1"/>
  <c r="L11" i="1" s="1"/>
  <c r="N33" i="1"/>
  <c r="O33" i="1" s="1"/>
  <c r="N32" i="1"/>
  <c r="O32" i="1" s="1"/>
  <c r="P33" i="1"/>
  <c r="Q33" i="1" s="1"/>
  <c r="P34" i="1"/>
  <c r="Q34" i="1" s="1"/>
  <c r="N29" i="1"/>
  <c r="O29" i="1" s="1"/>
</calcChain>
</file>

<file path=xl/sharedStrings.xml><?xml version="1.0" encoding="utf-8"?>
<sst xmlns="http://schemas.openxmlformats.org/spreadsheetml/2006/main" count="94" uniqueCount="60">
  <si>
    <t>Rotameter</t>
  </si>
  <si>
    <t>Reading</t>
  </si>
  <si>
    <t>Type</t>
  </si>
  <si>
    <t>Flow Rate [L/min]</t>
  </si>
  <si>
    <t>Pressure Drop, dH [cm H20]</t>
  </si>
  <si>
    <t>24A</t>
  </si>
  <si>
    <t>14XA</t>
  </si>
  <si>
    <t>Avg.</t>
  </si>
  <si>
    <t>Bed Height [cm]</t>
  </si>
  <si>
    <t>Mass Transfer</t>
  </si>
  <si>
    <t>Voltage [V]</t>
  </si>
  <si>
    <t>Current [A]</t>
  </si>
  <si>
    <t>Flow Rate</t>
  </si>
  <si>
    <t>Pressure Drop</t>
  </si>
  <si>
    <t>Bed Beight</t>
  </si>
  <si>
    <t>Temp [C]</t>
  </si>
  <si>
    <t>t1</t>
  </si>
  <si>
    <t>t2</t>
  </si>
  <si>
    <t>t3</t>
  </si>
  <si>
    <t>below</t>
  </si>
  <si>
    <t>min.</t>
  </si>
  <si>
    <t>above</t>
  </si>
  <si>
    <t>Dimensions of  the equipment</t>
  </si>
  <si>
    <t>Heating Element</t>
  </si>
  <si>
    <t>Diameter</t>
  </si>
  <si>
    <t>Length</t>
  </si>
  <si>
    <t>S.A.</t>
  </si>
  <si>
    <t>m</t>
  </si>
  <si>
    <t>m^2</t>
  </si>
  <si>
    <t>Fluidised Bed</t>
  </si>
  <si>
    <t>Nominal diameter</t>
  </si>
  <si>
    <t>Nominal length</t>
  </si>
  <si>
    <t>Internal diameter</t>
  </si>
  <si>
    <t>Granular material</t>
  </si>
  <si>
    <t>Area:</t>
  </si>
  <si>
    <t>m2</t>
  </si>
  <si>
    <t>u (ms-1)</t>
  </si>
  <si>
    <t>log PD [Pa]</t>
  </si>
  <si>
    <t>log u [ms-1]</t>
  </si>
  <si>
    <t>log PD/bed [Pa m-1]</t>
  </si>
  <si>
    <t>h</t>
  </si>
  <si>
    <t>q [W]</t>
  </si>
  <si>
    <t>Pressure drop at MF</t>
  </si>
  <si>
    <r>
      <t>ε</t>
    </r>
    <r>
      <rPr>
        <sz val="8"/>
        <color theme="1"/>
        <rFont val="Calibri"/>
        <family val="2"/>
      </rPr>
      <t>mf</t>
    </r>
  </si>
  <si>
    <r>
      <rPr>
        <sz val="11"/>
        <color theme="1"/>
        <rFont val="Calibri"/>
        <family val="2"/>
      </rPr>
      <t>μ</t>
    </r>
    <r>
      <rPr>
        <sz val="8"/>
        <color theme="1"/>
        <rFont val="Calibri"/>
        <family val="2"/>
      </rPr>
      <t>mf</t>
    </r>
  </si>
  <si>
    <r>
      <rPr>
        <sz val="11"/>
        <color theme="1"/>
        <rFont val="Calibri"/>
        <family val="2"/>
      </rPr>
      <t>ρ</t>
    </r>
    <r>
      <rPr>
        <sz val="8"/>
        <color theme="1"/>
        <rFont val="Calibri"/>
        <family val="2"/>
      </rPr>
      <t>porosity</t>
    </r>
  </si>
  <si>
    <t>d</t>
  </si>
  <si>
    <t>minus Dp/L</t>
  </si>
  <si>
    <t>3.61*10^(-4)</t>
  </si>
  <si>
    <t>LHS-RHS</t>
  </si>
  <si>
    <t>u,m.f.</t>
  </si>
  <si>
    <t>emf</t>
  </si>
  <si>
    <t>DeltaP m.f.</t>
  </si>
  <si>
    <t>Heat Transfer</t>
  </si>
  <si>
    <t>dp^2</t>
  </si>
  <si>
    <t>P1</t>
  </si>
  <si>
    <t>P2</t>
  </si>
  <si>
    <t>P3</t>
  </si>
  <si>
    <t>dp (um)</t>
  </si>
  <si>
    <t>dp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</si>
</sst>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Border="1" applyAlignment="1"/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2" borderId="3" xfId="0" applyFill="1" applyBorder="1"/>
    <xf numFmtId="0" fontId="0" fillId="2" borderId="8" xfId="0" applyFill="1" applyBorder="1"/>
    <xf numFmtId="0" fontId="0" fillId="0" borderId="3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13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44598495801337E-2"/>
          <c:y val="5.3030722895682454E-2"/>
          <c:w val="0.86621293970625446"/>
          <c:h val="0.7279546691710429"/>
        </c:manualLayout>
      </c:layout>
      <c:scatterChart>
        <c:scatterStyle val="lineMarker"/>
        <c:varyColors val="0"/>
        <c:ser>
          <c:idx val="0"/>
          <c:order val="0"/>
          <c:tx>
            <c:v>Increasing flow 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dash"/>
                <a:tailEnd type="none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Sheet1!$L$5:$L$15</c:f>
              <c:numCache>
                <c:formatCode>General</c:formatCode>
                <c:ptCount val="11"/>
                <c:pt idx="0">
                  <c:v>-0.79540628822644777</c:v>
                </c:pt>
                <c:pt idx="1">
                  <c:v>-1.412706246111147</c:v>
                </c:pt>
                <c:pt idx="2">
                  <c:v>-1.0817130270697226</c:v>
                </c:pt>
                <c:pt idx="3">
                  <c:v>-0.90562176801404137</c:v>
                </c:pt>
                <c:pt idx="4">
                  <c:v>-0.88673642385366769</c:v>
                </c:pt>
                <c:pt idx="5">
                  <c:v>-0.8264405219664166</c:v>
                </c:pt>
                <c:pt idx="6">
                  <c:v>-0.62433583054581743</c:v>
                </c:pt>
                <c:pt idx="7">
                  <c:v>-0.52541052630243545</c:v>
                </c:pt>
                <c:pt idx="8">
                  <c:v>-0.55023411002746758</c:v>
                </c:pt>
                <c:pt idx="9">
                  <c:v>-0.46541259662715007</c:v>
                </c:pt>
                <c:pt idx="10">
                  <c:v>-0.41270624611114703</c:v>
                </c:pt>
              </c:numCache>
            </c:numRef>
          </c:xVal>
          <c:yVal>
            <c:numRef>
              <c:f>Sheet1!$M$5:$M$15</c:f>
              <c:numCache>
                <c:formatCode>General</c:formatCode>
                <c:ptCount val="11"/>
                <c:pt idx="0">
                  <c:v>3.3532418686871912</c:v>
                </c:pt>
                <c:pt idx="1">
                  <c:v>2.8044273893124538</c:v>
                </c:pt>
                <c:pt idx="2">
                  <c:v>3.1956340153255232</c:v>
                </c:pt>
                <c:pt idx="3">
                  <c:v>3.2586857610726123</c:v>
                </c:pt>
                <c:pt idx="4">
                  <c:v>3.3137333274035177</c:v>
                </c:pt>
                <c:pt idx="5">
                  <c:v>3.3894540413416361</c:v>
                </c:pt>
                <c:pt idx="6">
                  <c:v>3.4064873806404163</c:v>
                </c:pt>
                <c:pt idx="7">
                  <c:v>3.4147599066064065</c:v>
                </c:pt>
                <c:pt idx="8">
                  <c:v>3.430846726499861</c:v>
                </c:pt>
                <c:pt idx="9">
                  <c:v>3.4463588926781088</c:v>
                </c:pt>
                <c:pt idx="10">
                  <c:v>3.4686352873892607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3-44CC-8EB4-A201D9DAAEFB}"/>
            </c:ext>
          </c:extLst>
        </c:ser>
        <c:ser>
          <c:idx val="1"/>
          <c:order val="1"/>
          <c:tx>
            <c:v>Decreasing flow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Sheet1!$L$16:$L$20</c:f>
              <c:numCache>
                <c:formatCode>General</c:formatCode>
                <c:ptCount val="5"/>
                <c:pt idx="0">
                  <c:v>-0.49437629256246662</c:v>
                </c:pt>
                <c:pt idx="1">
                  <c:v>-0.52541052630243545</c:v>
                </c:pt>
                <c:pt idx="2">
                  <c:v>-0.51744159663116007</c:v>
                </c:pt>
                <c:pt idx="3">
                  <c:v>-0.60459177235006023</c:v>
                </c:pt>
                <c:pt idx="4">
                  <c:v>-0.66673967909890475</c:v>
                </c:pt>
              </c:numCache>
            </c:numRef>
          </c:xVal>
          <c:yVal>
            <c:numRef>
              <c:f>Sheet1!$M$16:$M$20</c:f>
              <c:numCache>
                <c:formatCode>General</c:formatCode>
                <c:ptCount val="5"/>
                <c:pt idx="0">
                  <c:v>3.4539120305685547</c:v>
                </c:pt>
                <c:pt idx="1">
                  <c:v>3.4386720640118176</c:v>
                </c:pt>
                <c:pt idx="2">
                  <c:v>3.4147599066064065</c:v>
                </c:pt>
                <c:pt idx="3">
                  <c:v>3.3980542131035536</c:v>
                </c:pt>
                <c:pt idx="4">
                  <c:v>3.3717252743812045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3-44CC-8EB4-A201D9DA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23232"/>
        <c:axId val="1090824064"/>
      </c:scatterChart>
      <c:valAx>
        <c:axId val="10908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Log Superficial Velocity (m s</a:t>
                </a:r>
                <a:r>
                  <a:rPr lang="en-GB" baseline="30000"/>
                  <a:t>-1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1746362618149199"/>
              <c:y val="0.8628455443184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0824064"/>
        <c:crosses val="autoZero"/>
        <c:crossBetween val="midCat"/>
      </c:valAx>
      <c:valAx>
        <c:axId val="1090824064"/>
        <c:scaling>
          <c:orientation val="minMax"/>
          <c:min val="2.5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Log Pressure Drop (Pa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6269585688011772"/>
              <c:y val="0.22274687756470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082323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3272092955887927"/>
          <c:y val="0.92310772942715436"/>
          <c:w val="0.54999433803529618"/>
          <c:h val="7.6892270572845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52949303055988E-2"/>
          <c:y val="5.2986512524084775E-2"/>
          <c:w val="0.83727588644139572"/>
          <c:h val="0.74744928921457077"/>
        </c:manualLayout>
      </c:layout>
      <c:scatterChart>
        <c:scatterStyle val="lineMarker"/>
        <c:varyColors val="0"/>
        <c:ser>
          <c:idx val="0"/>
          <c:order val="0"/>
          <c:tx>
            <c:v>Increasing flow 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Sheet1!$L$5:$L$16</c:f>
              <c:numCache>
                <c:formatCode>General</c:formatCode>
                <c:ptCount val="12"/>
                <c:pt idx="0">
                  <c:v>-0.79540628822644777</c:v>
                </c:pt>
                <c:pt idx="1">
                  <c:v>-1.412706246111147</c:v>
                </c:pt>
                <c:pt idx="2">
                  <c:v>-1.0817130270697226</c:v>
                </c:pt>
                <c:pt idx="3">
                  <c:v>-0.90562176801404137</c:v>
                </c:pt>
                <c:pt idx="4">
                  <c:v>-0.88673642385366769</c:v>
                </c:pt>
                <c:pt idx="5">
                  <c:v>-0.8264405219664166</c:v>
                </c:pt>
                <c:pt idx="6">
                  <c:v>-0.62433583054581743</c:v>
                </c:pt>
                <c:pt idx="7">
                  <c:v>-0.52541052630243545</c:v>
                </c:pt>
                <c:pt idx="8">
                  <c:v>-0.55023411002746758</c:v>
                </c:pt>
                <c:pt idx="9">
                  <c:v>-0.46541259662715007</c:v>
                </c:pt>
                <c:pt idx="10">
                  <c:v>-0.41270624611114703</c:v>
                </c:pt>
                <c:pt idx="11">
                  <c:v>-0.49437629256246662</c:v>
                </c:pt>
              </c:numCache>
            </c:numRef>
          </c:xVal>
          <c:yVal>
            <c:numRef>
              <c:f>Sheet1!$N$5:$N$16</c:f>
              <c:numCache>
                <c:formatCode>General</c:formatCode>
                <c:ptCount val="12"/>
                <c:pt idx="0">
                  <c:v>4.3079188899005336</c:v>
                </c:pt>
                <c:pt idx="1">
                  <c:v>3.7630347041542289</c:v>
                </c:pt>
                <c:pt idx="2">
                  <c:v>4.1542413301672978</c:v>
                </c:pt>
                <c:pt idx="3">
                  <c:v>4.2172930759143874</c:v>
                </c:pt>
                <c:pt idx="4">
                  <c:v>4.2723406422452923</c:v>
                </c:pt>
                <c:pt idx="5">
                  <c:v>4.3287562009880247</c:v>
                </c:pt>
                <c:pt idx="6">
                  <c:v>4.3333802823049847</c:v>
                </c:pt>
                <c:pt idx="7">
                  <c:v>4.2898211699981061</c:v>
                </c:pt>
                <c:pt idx="8">
                  <c:v>4.3005129580048553</c:v>
                </c:pt>
                <c:pt idx="9">
                  <c:v>4.2950912173474594</c:v>
                </c:pt>
                <c:pt idx="10">
                  <c:v>4.3032920218668016</c:v>
                </c:pt>
                <c:pt idx="11">
                  <c:v>4.293543555775706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4-4E97-9448-6096A1DEC036}"/>
            </c:ext>
          </c:extLst>
        </c:ser>
        <c:ser>
          <c:idx val="1"/>
          <c:order val="1"/>
          <c:tx>
            <c:v>Decreasing flow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Sheet1!$L$16:$L$20</c:f>
              <c:numCache>
                <c:formatCode>General</c:formatCode>
                <c:ptCount val="5"/>
                <c:pt idx="0">
                  <c:v>-0.49437629256246662</c:v>
                </c:pt>
                <c:pt idx="1">
                  <c:v>-0.52541052630243545</c:v>
                </c:pt>
                <c:pt idx="2">
                  <c:v>-0.51744159663116007</c:v>
                </c:pt>
                <c:pt idx="3">
                  <c:v>-0.60459177235006023</c:v>
                </c:pt>
                <c:pt idx="4">
                  <c:v>-0.66673967909890475</c:v>
                </c:pt>
              </c:numCache>
            </c:numRef>
          </c:xVal>
          <c:yVal>
            <c:numRef>
              <c:f>Sheet1!$N$16:$N$20</c:f>
              <c:numCache>
                <c:formatCode>General</c:formatCode>
                <c:ptCount val="5"/>
                <c:pt idx="0">
                  <c:v>4.293543555775706</c:v>
                </c:pt>
                <c:pt idx="1">
                  <c:v>4.3083382955168119</c:v>
                </c:pt>
                <c:pt idx="2">
                  <c:v>4.295284065699609</c:v>
                </c:pt>
                <c:pt idx="3">
                  <c:v>4.3188729670559285</c:v>
                </c:pt>
                <c:pt idx="4">
                  <c:v>4.3238017220640215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34-4E97-9448-6096A1DEC036}"/>
            </c:ext>
          </c:extLst>
        </c:ser>
        <c:ser>
          <c:idx val="2"/>
          <c:order val="2"/>
          <c:tx>
            <c:v>Intercept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355-4677-A477-29A15EE2A682}"/>
              </c:ext>
            </c:extLst>
          </c:dPt>
          <c:xVal>
            <c:numRef>
              <c:f>Sheet1!$L$21</c:f>
              <c:numCache>
                <c:formatCode>General</c:formatCode>
                <c:ptCount val="1"/>
                <c:pt idx="0">
                  <c:v>-0.92</c:v>
                </c:pt>
              </c:numCache>
            </c:numRef>
          </c:xVal>
          <c:yVal>
            <c:numRef>
              <c:f>Sheet1!$N$21</c:f>
              <c:numCache>
                <c:formatCode>General</c:formatCode>
                <c:ptCount val="1"/>
                <c:pt idx="0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55-4677-A477-29A15EE2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94112"/>
        <c:axId val="1042890784"/>
      </c:scatterChart>
      <c:valAx>
        <c:axId val="10428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baseline="0">
                    <a:solidFill>
                      <a:schemeClr val="tx1"/>
                    </a:solidFill>
                    <a:effectLst/>
                  </a:rPr>
                  <a:t>Log Superficial Velocity (m s</a:t>
                </a:r>
                <a:r>
                  <a:rPr lang="en-GB" sz="1000" b="0" i="0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GB" sz="1000" b="0" i="0" baseline="0">
                    <a:solidFill>
                      <a:schemeClr val="tx1"/>
                    </a:solidFill>
                    <a:effectLst/>
                  </a:rPr>
                  <a:t>)</a:t>
                </a:r>
                <a:endParaRPr lang="en-GB" sz="400" b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2482556474931989"/>
              <c:y val="0.8677768422010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890784"/>
        <c:crosses val="autoZero"/>
        <c:crossBetween val="midCat"/>
      </c:valAx>
      <c:valAx>
        <c:axId val="1042890784"/>
        <c:scaling>
          <c:orientation val="minMax"/>
          <c:min val="3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baseline="0">
                    <a:effectLst/>
                  </a:rPr>
                  <a:t>Log Pressure Drop / Bed Height  (Pa m</a:t>
                </a:r>
                <a:r>
                  <a:rPr lang="en-GB" sz="1000" b="0" i="0" baseline="30000">
                    <a:effectLst/>
                  </a:rPr>
                  <a:t>-1</a:t>
                </a:r>
                <a:r>
                  <a:rPr lang="en-GB" sz="1000" b="0" i="0" baseline="0">
                    <a:effectLst/>
                  </a:rPr>
                  <a:t>)</a:t>
                </a:r>
                <a:endParaRPr lang="en-GB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11302734367507"/>
              <c:y val="0.13724568749715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894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122020234711027"/>
          <c:y val="0.92317183256717184"/>
          <c:w val="0.54780951374023756"/>
          <c:h val="7.6828167432828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0212324547984"/>
          <c:y val="5.331843317849233E-2"/>
          <c:w val="0.82074799801838405"/>
          <c:h val="0.73617298835505574"/>
        </c:manualLayout>
      </c:layout>
      <c:scatterChart>
        <c:scatterStyle val="lineMarker"/>
        <c:varyColors val="0"/>
        <c:ser>
          <c:idx val="0"/>
          <c:order val="0"/>
          <c:tx>
            <c:v>14V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Sheet1!$N$29:$N$31</c:f>
              <c:numCache>
                <c:formatCode>General</c:formatCode>
                <c:ptCount val="3"/>
                <c:pt idx="0">
                  <c:v>0.11046525757184107</c:v>
                </c:pt>
                <c:pt idx="1">
                  <c:v>0.18779093787212986</c:v>
                </c:pt>
                <c:pt idx="2">
                  <c:v>0.28720966968678679</c:v>
                </c:pt>
              </c:numCache>
            </c:numRef>
          </c:xVal>
          <c:yVal>
            <c:numRef>
              <c:f>Sheet1!$Q$29:$Q$31</c:f>
              <c:numCache>
                <c:formatCode>General</c:formatCode>
                <c:ptCount val="3"/>
                <c:pt idx="0">
                  <c:v>62.98828125</c:v>
                </c:pt>
                <c:pt idx="1">
                  <c:v>85.771276595744681</c:v>
                </c:pt>
                <c:pt idx="2">
                  <c:v>191.96428571428569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3-4850-BAD4-D7451078D77F}"/>
            </c:ext>
          </c:extLst>
        </c:ser>
        <c:ser>
          <c:idx val="1"/>
          <c:order val="1"/>
          <c:tx>
            <c:v>24V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Sheet1!$N$32:$N$34</c:f>
              <c:numCache>
                <c:formatCode>General</c:formatCode>
                <c:ptCount val="3"/>
                <c:pt idx="0">
                  <c:v>0.11598852045043313</c:v>
                </c:pt>
                <c:pt idx="1">
                  <c:v>0.18779093787212986</c:v>
                </c:pt>
                <c:pt idx="2">
                  <c:v>0.23750030377945833</c:v>
                </c:pt>
              </c:numCache>
            </c:numRef>
          </c:xVal>
          <c:yVal>
            <c:numRef>
              <c:f>Sheet1!$Q$32:$Q$34</c:f>
              <c:numCache>
                <c:formatCode>General</c:formatCode>
                <c:ptCount val="3"/>
                <c:pt idx="0">
                  <c:v>76.552013422818789</c:v>
                </c:pt>
                <c:pt idx="1">
                  <c:v>90.525793650793645</c:v>
                </c:pt>
                <c:pt idx="2">
                  <c:v>237.63020833333331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5-40B4-B83C-F4A3AFF2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06703"/>
        <c:axId val="1478105455"/>
      </c:scatterChart>
      <c:valAx>
        <c:axId val="147810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baseline="0">
                    <a:effectLst/>
                  </a:rPr>
                  <a:t>Superficial Velocity (m s</a:t>
                </a:r>
                <a:r>
                  <a:rPr lang="en-GB" sz="1000" b="0" i="0" baseline="30000">
                    <a:effectLst/>
                  </a:rPr>
                  <a:t>-1</a:t>
                </a:r>
                <a:r>
                  <a:rPr lang="en-GB" sz="1000" b="0" i="0" baseline="0">
                    <a:effectLst/>
                  </a:rPr>
                  <a:t>)</a:t>
                </a:r>
                <a:endParaRPr lang="en-GB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905245274151699"/>
              <c:y val="0.85725430297312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8105455"/>
        <c:crosses val="autoZero"/>
        <c:crossBetween val="midCat"/>
      </c:valAx>
      <c:valAx>
        <c:axId val="147810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Heat</a:t>
                </a:r>
                <a:r>
                  <a:rPr lang="en-GB" baseline="0"/>
                  <a:t> Transfer Coefficient                    (W m</a:t>
                </a:r>
                <a:r>
                  <a:rPr lang="en-GB" baseline="30000"/>
                  <a:t>-2</a:t>
                </a:r>
                <a:r>
                  <a:rPr lang="en-GB" baseline="0"/>
                  <a:t> </a:t>
                </a:r>
                <a:r>
                  <a:rPr lang="en-GB" sz="1000" b="0" i="0" u="none" strike="noStrike" baseline="0">
                    <a:effectLst/>
                  </a:rPr>
                  <a:t>K</a:t>
                </a:r>
                <a:r>
                  <a:rPr lang="en-GB" sz="1000" b="0" i="0" u="none" strike="noStrike" baseline="30000">
                    <a:effectLst/>
                  </a:rPr>
                  <a:t>-1</a:t>
                </a:r>
                <a:r>
                  <a:rPr lang="en-GB" baseline="0"/>
                  <a:t>)</a:t>
                </a:r>
              </a:p>
            </c:rich>
          </c:tx>
          <c:layout>
            <c:manualLayout>
              <c:xMode val="edge"/>
              <c:yMode val="edge"/>
              <c:x val="5.0566699829014011E-4"/>
              <c:y val="0.20938457856873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810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006477669082539"/>
          <c:y val="0.92269056187399978"/>
          <c:w val="0.1633171840612907"/>
          <c:h val="7.730943812600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59462</xdr:colOff>
      <xdr:row>35</xdr:row>
      <xdr:rowOff>96121</xdr:rowOff>
    </xdr:from>
    <xdr:to>
      <xdr:col>12</xdr:col>
      <xdr:colOff>957311</xdr:colOff>
      <xdr:row>49</xdr:row>
      <xdr:rowOff>170123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9FF57-D67A-4376-97CA-EB9B393A5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728382</xdr:colOff>
      <xdr:row>35</xdr:row>
      <xdr:rowOff>51546</xdr:rowOff>
    </xdr:from>
    <xdr:to>
      <xdr:col>20</xdr:col>
      <xdr:colOff>380999</xdr:colOff>
      <xdr:row>49</xdr:row>
      <xdr:rowOff>127746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2D88B3-B29B-42AD-8661-5B762DA78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552276</xdr:colOff>
      <xdr:row>50</xdr:row>
      <xdr:rowOff>167743</xdr:rowOff>
    </xdr:from>
    <xdr:to>
      <xdr:col>18</xdr:col>
      <xdr:colOff>182482</xdr:colOff>
      <xdr:row>65</xdr:row>
      <xdr:rowOff>62235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CBD31-65AD-48FB-85FC-EE904DD53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282388</xdr:colOff>
      <xdr:row>17</xdr:row>
      <xdr:rowOff>159123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56073EA-2C68-4B44-B52B-320D07DFE1BC}"/>
            </a:ext>
          </a:extLst>
        </xdr:cNvPr>
        <xdr:cNvSpPr txBox="1"/>
      </xdr:nvSpPr>
      <xdr:spPr>
        <a:xfrm>
          <a:off x="11824447" y="3420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15</xdr:col>
      <xdr:colOff>602050</xdr:colOff>
      <xdr:row>37</xdr:row>
      <xdr:rowOff>151470</xdr:rowOff>
    </xdr:from>
    <xdr:to>
      <xdr:col>19</xdr:col>
      <xdr:colOff>421075</xdr:colOff>
      <xdr:row>37</xdr:row>
      <xdr:rowOff>160995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2D2E807-BFA8-4B02-BB6F-5F3A4417AAC6}"/>
            </a:ext>
          </a:extLst>
        </xdr:cNvPr>
        <xdr:cNvCxnSpPr/>
      </xdr:nvCxnSpPr>
      <xdr:spPr>
        <a:xfrm flipV="1">
          <a:off x="13005923" y="6905392"/>
          <a:ext cx="22574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159834</xdr:rowOff>
    </xdr:from>
    <xdr:to>
      <xdr:col>16</xdr:col>
      <xdr:colOff>8362</xdr:colOff>
      <xdr:row>46</xdr:row>
      <xdr:rowOff>143921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2DE8319-F97E-4099-A1CB-AE31F007EA98}"/>
            </a:ext>
          </a:extLst>
        </xdr:cNvPr>
        <xdr:cNvCxnSpPr/>
      </xdr:nvCxnSpPr>
      <xdr:spPr>
        <a:xfrm>
          <a:off x="13013473" y="6913756"/>
          <a:ext cx="8362" cy="16233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D276-E1DA-4F09-A10B-251BC8C5ACCE}">
  <dimension ref="A1:X75"/>
  <sheetViews>
    <sheetView tabSelected="1" topLeftCell="F1" zoomScale="85" zoomScaleNormal="85" workbookViewId="0">
      <selection activeCell="Y35" sqref="Y35"/>
    </sheetView>
  </sheetViews>
  <sheetFormatPr defaultRowHeight="14.4" x14ac:dyDescent="0.3"/>
  <cols>
    <col min="2" max="2" width="12.33203125" customWidth="1"/>
    <col min="3" max="3" width="11.109375" customWidth="1"/>
    <col min="6" max="6" width="25" customWidth="1"/>
    <col min="7" max="7" width="9.6640625" customWidth="1"/>
    <col min="12" max="12" width="13.6640625" customWidth="1"/>
    <col min="13" max="13" width="14" customWidth="1"/>
    <col min="14" max="14" width="19.33203125" customWidth="1"/>
    <col min="15" max="15" width="13.5546875" customWidth="1"/>
    <col min="23" max="23" width="12.44140625" bestFit="1" customWidth="1"/>
  </cols>
  <sheetData>
    <row r="1" spans="1:22" x14ac:dyDescent="0.3">
      <c r="B1" s="40" t="s">
        <v>9</v>
      </c>
      <c r="C1" s="40"/>
      <c r="D1" s="40"/>
      <c r="E1" s="40"/>
      <c r="F1" s="40"/>
      <c r="G1" s="40"/>
      <c r="H1" s="40"/>
      <c r="I1" s="40"/>
      <c r="J1" s="40"/>
      <c r="K1" s="27"/>
      <c r="L1" s="27"/>
      <c r="M1" s="27"/>
    </row>
    <row r="2" spans="1:22" x14ac:dyDescent="0.3">
      <c r="B2" s="40" t="s">
        <v>0</v>
      </c>
      <c r="C2" s="40"/>
      <c r="D2" s="40" t="s">
        <v>3</v>
      </c>
      <c r="E2" s="40"/>
      <c r="F2" s="40" t="s">
        <v>4</v>
      </c>
      <c r="G2" s="40" t="s">
        <v>8</v>
      </c>
      <c r="H2" s="40"/>
      <c r="I2" s="40"/>
      <c r="J2" s="40"/>
      <c r="K2" s="40" t="s">
        <v>36</v>
      </c>
      <c r="L2" s="43" t="s">
        <v>38</v>
      </c>
      <c r="M2" s="43" t="s">
        <v>37</v>
      </c>
      <c r="N2" s="55" t="s">
        <v>39</v>
      </c>
      <c r="S2" s="37" t="s">
        <v>22</v>
      </c>
      <c r="T2" s="38"/>
      <c r="U2" s="38"/>
      <c r="V2" s="39"/>
    </row>
    <row r="3" spans="1:22" x14ac:dyDescent="0.3">
      <c r="B3" s="17" t="s">
        <v>1</v>
      </c>
      <c r="C3" s="17" t="s">
        <v>2</v>
      </c>
      <c r="D3" s="40"/>
      <c r="E3" s="40"/>
      <c r="F3" s="40"/>
      <c r="G3" s="17">
        <v>1</v>
      </c>
      <c r="H3" s="17">
        <v>2</v>
      </c>
      <c r="I3" s="17">
        <v>3</v>
      </c>
      <c r="J3" s="17" t="s">
        <v>7</v>
      </c>
      <c r="K3" s="43"/>
      <c r="L3" s="44"/>
      <c r="M3" s="54"/>
      <c r="N3" s="56"/>
      <c r="S3" s="1"/>
      <c r="T3" s="1"/>
      <c r="U3" s="1"/>
      <c r="V3" s="1"/>
    </row>
    <row r="4" spans="1:22" x14ac:dyDescent="0.3">
      <c r="B4" s="8">
        <v>0.4</v>
      </c>
      <c r="C4" s="8" t="s">
        <v>5</v>
      </c>
      <c r="D4" s="50">
        <v>26</v>
      </c>
      <c r="E4" s="51"/>
      <c r="F4" s="8">
        <v>0</v>
      </c>
      <c r="G4" s="8">
        <v>11</v>
      </c>
      <c r="H4" s="8">
        <v>11</v>
      </c>
      <c r="I4" s="8">
        <v>11</v>
      </c>
      <c r="J4" s="4">
        <v>11</v>
      </c>
      <c r="K4" s="8">
        <f>(D4/60000)/$C$22</f>
        <v>0.1436048348433934</v>
      </c>
      <c r="L4" s="28">
        <f>LOG(K4)</f>
        <v>-0.84283093815458598</v>
      </c>
      <c r="M4" s="32" t="e">
        <f>LOG(F4)</f>
        <v>#NUM!</v>
      </c>
      <c r="N4" s="33" t="e">
        <f>LOG((F4*98.065)/(J4/100))</f>
        <v>#NUM!</v>
      </c>
      <c r="S4" s="37" t="s">
        <v>23</v>
      </c>
      <c r="T4" s="38"/>
      <c r="U4" s="38"/>
      <c r="V4" s="39"/>
    </row>
    <row r="5" spans="1:22" x14ac:dyDescent="0.3">
      <c r="A5" t="s">
        <v>20</v>
      </c>
      <c r="B5" s="15">
        <v>1.1000000000000001</v>
      </c>
      <c r="C5" s="15" t="s">
        <v>5</v>
      </c>
      <c r="D5" s="52">
        <v>29</v>
      </c>
      <c r="E5" s="53"/>
      <c r="F5" s="15">
        <v>23</v>
      </c>
      <c r="G5" s="15">
        <v>11.1</v>
      </c>
      <c r="H5" s="15">
        <v>11.1</v>
      </c>
      <c r="I5" s="15">
        <v>11</v>
      </c>
      <c r="J5" s="16">
        <v>11.1</v>
      </c>
      <c r="K5" s="9">
        <f t="shared" ref="K5:K20" si="0">(D5/60000)/$C$22</f>
        <v>0.16017462347916958</v>
      </c>
      <c r="L5" s="22">
        <f t="shared" ref="L5:L20" si="1">LOG(K5)</f>
        <v>-0.79540628822644777</v>
      </c>
      <c r="M5" s="25">
        <f t="shared" ref="M5:M20" si="2">LOG(F5*98.065)</f>
        <v>3.3532418686871912</v>
      </c>
      <c r="N5" s="30">
        <f t="shared" ref="N5:N20" si="3">LOG((F5*98.065)/(J5/100))</f>
        <v>4.3079188899005336</v>
      </c>
      <c r="S5" s="37" t="s">
        <v>24</v>
      </c>
      <c r="T5" s="39"/>
      <c r="U5" s="3">
        <f>12.7*10^(-3)</f>
        <v>1.2699999999999999E-2</v>
      </c>
      <c r="V5" s="3" t="s">
        <v>27</v>
      </c>
    </row>
    <row r="6" spans="1:22" x14ac:dyDescent="0.3">
      <c r="B6" s="9">
        <v>5.7</v>
      </c>
      <c r="C6" s="9" t="s">
        <v>6</v>
      </c>
      <c r="D6" s="46">
        <v>7</v>
      </c>
      <c r="E6" s="47"/>
      <c r="F6" s="9">
        <v>6.5</v>
      </c>
      <c r="G6" s="9">
        <v>11</v>
      </c>
      <c r="H6" s="9">
        <v>11</v>
      </c>
      <c r="I6" s="9">
        <v>11</v>
      </c>
      <c r="J6" s="5">
        <v>11</v>
      </c>
      <c r="K6" s="9">
        <f t="shared" si="0"/>
        <v>3.866284015014438E-2</v>
      </c>
      <c r="L6" s="22">
        <f t="shared" si="1"/>
        <v>-1.412706246111147</v>
      </c>
      <c r="M6" s="25">
        <f t="shared" si="2"/>
        <v>2.8044273893124538</v>
      </c>
      <c r="N6" s="30">
        <f t="shared" si="3"/>
        <v>3.7630347041542289</v>
      </c>
      <c r="S6" s="37" t="s">
        <v>25</v>
      </c>
      <c r="T6" s="39"/>
      <c r="U6" s="3">
        <f>37*10^(-3)</f>
        <v>3.6999999999999998E-2</v>
      </c>
      <c r="V6" s="3" t="s">
        <v>27</v>
      </c>
    </row>
    <row r="7" spans="1:22" x14ac:dyDescent="0.3">
      <c r="B7" s="9">
        <v>13.6</v>
      </c>
      <c r="C7" s="9" t="s">
        <v>6</v>
      </c>
      <c r="D7" s="46">
        <v>15</v>
      </c>
      <c r="E7" s="47"/>
      <c r="F7" s="9">
        <v>16</v>
      </c>
      <c r="G7" s="9">
        <v>11</v>
      </c>
      <c r="H7" s="9">
        <v>11</v>
      </c>
      <c r="I7" s="9">
        <v>11</v>
      </c>
      <c r="J7" s="5">
        <v>11</v>
      </c>
      <c r="K7" s="9">
        <f t="shared" si="0"/>
        <v>8.2848943178880807E-2</v>
      </c>
      <c r="L7" s="22">
        <f t="shared" si="1"/>
        <v>-1.0817130270697226</v>
      </c>
      <c r="M7" s="25">
        <f t="shared" si="2"/>
        <v>3.1956340153255232</v>
      </c>
      <c r="N7" s="30">
        <f t="shared" si="3"/>
        <v>4.1542413301672978</v>
      </c>
      <c r="S7" s="37" t="s">
        <v>26</v>
      </c>
      <c r="T7" s="39"/>
      <c r="U7" s="3">
        <f>16*10^(-4)</f>
        <v>1.6000000000000001E-3</v>
      </c>
      <c r="V7" s="3" t="s">
        <v>28</v>
      </c>
    </row>
    <row r="8" spans="1:22" x14ac:dyDescent="0.3">
      <c r="B8" s="9">
        <v>17.899999999999999</v>
      </c>
      <c r="C8" s="9" t="s">
        <v>6</v>
      </c>
      <c r="D8" s="46">
        <v>22.5</v>
      </c>
      <c r="E8" s="47"/>
      <c r="F8" s="9">
        <v>18.5</v>
      </c>
      <c r="G8" s="9">
        <v>11</v>
      </c>
      <c r="H8" s="9">
        <v>11</v>
      </c>
      <c r="I8" s="9">
        <v>11</v>
      </c>
      <c r="J8" s="5">
        <v>11</v>
      </c>
      <c r="K8" s="9">
        <f t="shared" si="0"/>
        <v>0.12427341476832122</v>
      </c>
      <c r="L8" s="22">
        <f t="shared" si="1"/>
        <v>-0.90562176801404137</v>
      </c>
      <c r="M8" s="25">
        <f t="shared" si="2"/>
        <v>3.2586857610726123</v>
      </c>
      <c r="N8" s="30">
        <f t="shared" si="3"/>
        <v>4.2172930759143874</v>
      </c>
      <c r="S8" s="1"/>
      <c r="T8" s="1"/>
      <c r="U8" s="1"/>
      <c r="V8" s="1"/>
    </row>
    <row r="9" spans="1:22" ht="15" thickBot="1" x14ac:dyDescent="0.35">
      <c r="B9" s="10">
        <v>19.8</v>
      </c>
      <c r="C9" s="10" t="s">
        <v>6</v>
      </c>
      <c r="D9" s="48">
        <v>23.5</v>
      </c>
      <c r="E9" s="49"/>
      <c r="F9" s="10">
        <v>21</v>
      </c>
      <c r="G9" s="10">
        <v>11</v>
      </c>
      <c r="H9" s="10">
        <v>11</v>
      </c>
      <c r="I9" s="10">
        <v>11</v>
      </c>
      <c r="J9" s="6">
        <v>11</v>
      </c>
      <c r="K9" s="9">
        <f t="shared" si="0"/>
        <v>0.12979667764691327</v>
      </c>
      <c r="L9" s="22">
        <f t="shared" si="1"/>
        <v>-0.88673642385366769</v>
      </c>
      <c r="M9" s="25">
        <f t="shared" si="2"/>
        <v>3.3137333274035177</v>
      </c>
      <c r="N9" s="30">
        <f t="shared" si="3"/>
        <v>4.2723406422452923</v>
      </c>
      <c r="S9" s="1"/>
      <c r="T9" s="1"/>
      <c r="U9" s="1"/>
      <c r="V9" s="1"/>
    </row>
    <row r="10" spans="1:22" x14ac:dyDescent="0.3">
      <c r="B10" s="9">
        <v>25.1</v>
      </c>
      <c r="C10" s="9" t="s">
        <v>6</v>
      </c>
      <c r="D10" s="46">
        <v>27</v>
      </c>
      <c r="E10" s="47"/>
      <c r="F10" s="9">
        <v>25</v>
      </c>
      <c r="G10" s="11">
        <v>11.5</v>
      </c>
      <c r="H10" s="11">
        <v>11.4</v>
      </c>
      <c r="I10" s="11">
        <v>11.6</v>
      </c>
      <c r="J10" s="5">
        <f>(G10+H10+I10)/3</f>
        <v>11.5</v>
      </c>
      <c r="K10" s="9">
        <f t="shared" si="0"/>
        <v>0.14912809772198546</v>
      </c>
      <c r="L10" s="22">
        <f t="shared" si="1"/>
        <v>-0.8264405219664166</v>
      </c>
      <c r="M10" s="25">
        <f t="shared" si="2"/>
        <v>3.3894540413416361</v>
      </c>
      <c r="N10" s="30">
        <f t="shared" si="3"/>
        <v>4.3287562009880247</v>
      </c>
      <c r="S10" s="37" t="s">
        <v>29</v>
      </c>
      <c r="T10" s="38"/>
      <c r="U10" s="38"/>
      <c r="V10" s="39"/>
    </row>
    <row r="11" spans="1:22" x14ac:dyDescent="0.3">
      <c r="B11" s="9">
        <v>3</v>
      </c>
      <c r="C11" s="9" t="s">
        <v>5</v>
      </c>
      <c r="D11" s="46">
        <v>43</v>
      </c>
      <c r="E11" s="47"/>
      <c r="F11" s="9">
        <v>26</v>
      </c>
      <c r="G11" s="11">
        <v>12</v>
      </c>
      <c r="H11" s="11">
        <v>12</v>
      </c>
      <c r="I11" s="11">
        <v>11.5</v>
      </c>
      <c r="J11" s="5">
        <f t="shared" ref="J11:J20" si="4">(G11+H11+I11)/3</f>
        <v>11.833333333333334</v>
      </c>
      <c r="K11" s="9">
        <f t="shared" si="0"/>
        <v>0.23750030377945833</v>
      </c>
      <c r="L11" s="22">
        <f t="shared" si="1"/>
        <v>-0.62433583054581743</v>
      </c>
      <c r="M11" s="25">
        <f t="shared" si="2"/>
        <v>3.4064873806404163</v>
      </c>
      <c r="N11" s="30">
        <f>LOG((F11*98.065)/(J11/100))</f>
        <v>4.3333802823049847</v>
      </c>
      <c r="S11" s="37" t="s">
        <v>30</v>
      </c>
      <c r="T11" s="39"/>
      <c r="U11" s="3">
        <f>105*10^(-3)</f>
        <v>0.105</v>
      </c>
      <c r="V11" s="3" t="s">
        <v>27</v>
      </c>
    </row>
    <row r="12" spans="1:22" x14ac:dyDescent="0.3">
      <c r="B12" s="9">
        <v>5.2</v>
      </c>
      <c r="C12" s="9" t="s">
        <v>5</v>
      </c>
      <c r="D12" s="46">
        <v>54</v>
      </c>
      <c r="E12" s="47"/>
      <c r="F12" s="9">
        <v>26.5</v>
      </c>
      <c r="G12" s="11">
        <v>13.5</v>
      </c>
      <c r="H12" s="11">
        <v>13.5</v>
      </c>
      <c r="I12" s="11">
        <v>13</v>
      </c>
      <c r="J12" s="5">
        <f t="shared" si="4"/>
        <v>13.333333333333334</v>
      </c>
      <c r="K12" s="9">
        <f t="shared" si="0"/>
        <v>0.29825619544397092</v>
      </c>
      <c r="L12" s="22">
        <f t="shared" si="1"/>
        <v>-0.52541052630243545</v>
      </c>
      <c r="M12" s="25">
        <f t="shared" si="2"/>
        <v>3.4147599066064065</v>
      </c>
      <c r="N12" s="30">
        <f t="shared" si="3"/>
        <v>4.2898211699981061</v>
      </c>
      <c r="S12" s="37" t="s">
        <v>31</v>
      </c>
      <c r="T12" s="39"/>
      <c r="U12" s="3">
        <f>220*10^(-3)</f>
        <v>0.22</v>
      </c>
      <c r="V12" s="3" t="s">
        <v>27</v>
      </c>
    </row>
    <row r="13" spans="1:22" x14ac:dyDescent="0.3">
      <c r="B13" s="9">
        <v>5.65</v>
      </c>
      <c r="C13" s="9" t="s">
        <v>5</v>
      </c>
      <c r="D13" s="46">
        <v>51</v>
      </c>
      <c r="E13" s="47"/>
      <c r="F13" s="9">
        <v>27.5</v>
      </c>
      <c r="G13" s="11">
        <v>13.5</v>
      </c>
      <c r="H13" s="11">
        <v>13.5</v>
      </c>
      <c r="I13" s="11">
        <v>13.5</v>
      </c>
      <c r="J13" s="5">
        <f t="shared" si="4"/>
        <v>13.5</v>
      </c>
      <c r="K13" s="9">
        <f t="shared" si="0"/>
        <v>0.28168640680819473</v>
      </c>
      <c r="L13" s="22">
        <f t="shared" si="1"/>
        <v>-0.55023411002746758</v>
      </c>
      <c r="M13" s="25">
        <f t="shared" si="2"/>
        <v>3.430846726499861</v>
      </c>
      <c r="N13" s="30">
        <f t="shared" si="3"/>
        <v>4.3005129580048553</v>
      </c>
      <c r="S13" s="37" t="s">
        <v>32</v>
      </c>
      <c r="T13" s="39"/>
      <c r="U13" s="3">
        <f>62*10^(-3)</f>
        <v>6.2E-2</v>
      </c>
      <c r="V13" s="3" t="s">
        <v>27</v>
      </c>
    </row>
    <row r="14" spans="1:22" x14ac:dyDescent="0.3">
      <c r="B14" s="9">
        <v>7.45</v>
      </c>
      <c r="C14" s="9" t="s">
        <v>5</v>
      </c>
      <c r="D14" s="46">
        <v>62</v>
      </c>
      <c r="E14" s="47"/>
      <c r="F14" s="9">
        <v>28.5</v>
      </c>
      <c r="G14" s="11">
        <v>14</v>
      </c>
      <c r="H14" s="11">
        <v>14.5</v>
      </c>
      <c r="I14" s="11">
        <v>14</v>
      </c>
      <c r="J14" s="5">
        <f t="shared" si="4"/>
        <v>14.166666666666666</v>
      </c>
      <c r="K14" s="9">
        <f t="shared" si="0"/>
        <v>0.34244229847270735</v>
      </c>
      <c r="L14" s="22">
        <f t="shared" si="1"/>
        <v>-0.46541259662715007</v>
      </c>
      <c r="M14" s="25">
        <f t="shared" si="2"/>
        <v>3.4463588926781088</v>
      </c>
      <c r="N14" s="30">
        <f t="shared" si="3"/>
        <v>4.2950912173474594</v>
      </c>
      <c r="S14" s="1"/>
      <c r="T14" s="1"/>
      <c r="U14" s="1"/>
      <c r="V14" s="1"/>
    </row>
    <row r="15" spans="1:22" ht="15" thickBot="1" x14ac:dyDescent="0.35">
      <c r="B15" s="10">
        <v>8.1</v>
      </c>
      <c r="C15" s="10" t="s">
        <v>5</v>
      </c>
      <c r="D15" s="48">
        <v>70</v>
      </c>
      <c r="E15" s="49"/>
      <c r="F15" s="10">
        <v>30</v>
      </c>
      <c r="G15" s="10">
        <v>14.5</v>
      </c>
      <c r="H15" s="10">
        <v>15</v>
      </c>
      <c r="I15" s="10">
        <v>14.4</v>
      </c>
      <c r="J15" s="6">
        <f t="shared" si="4"/>
        <v>14.633333333333333</v>
      </c>
      <c r="K15" s="9">
        <f t="shared" si="0"/>
        <v>0.38662840150144384</v>
      </c>
      <c r="L15" s="22">
        <f t="shared" si="1"/>
        <v>-0.41270624611114703</v>
      </c>
      <c r="M15" s="25">
        <f t="shared" si="2"/>
        <v>3.4686352873892607</v>
      </c>
      <c r="N15" s="30">
        <f t="shared" si="3"/>
        <v>4.3032920218668016</v>
      </c>
      <c r="S15" s="1"/>
      <c r="T15" s="1"/>
      <c r="U15" s="1"/>
      <c r="V15" s="1"/>
    </row>
    <row r="16" spans="1:22" x14ac:dyDescent="0.3">
      <c r="B16" s="9">
        <v>7.2</v>
      </c>
      <c r="C16" s="9" t="s">
        <v>5</v>
      </c>
      <c r="D16" s="46">
        <v>58</v>
      </c>
      <c r="E16" s="47"/>
      <c r="F16" s="9">
        <v>29</v>
      </c>
      <c r="G16" s="11">
        <v>14.5</v>
      </c>
      <c r="H16" s="11">
        <v>14.3</v>
      </c>
      <c r="I16" s="11">
        <v>14.6</v>
      </c>
      <c r="J16" s="5">
        <f t="shared" si="4"/>
        <v>14.466666666666667</v>
      </c>
      <c r="K16" s="9">
        <f t="shared" si="0"/>
        <v>0.32034924695833916</v>
      </c>
      <c r="L16" s="22">
        <f t="shared" si="1"/>
        <v>-0.49437629256246662</v>
      </c>
      <c r="M16" s="25">
        <f t="shared" si="2"/>
        <v>3.4539120305685547</v>
      </c>
      <c r="N16" s="30">
        <f t="shared" si="3"/>
        <v>4.293543555775706</v>
      </c>
      <c r="S16" s="37" t="s">
        <v>33</v>
      </c>
      <c r="T16" s="38"/>
      <c r="U16" s="38"/>
      <c r="V16" s="39"/>
    </row>
    <row r="17" spans="1:24" x14ac:dyDescent="0.3">
      <c r="B17" s="9">
        <v>6.5</v>
      </c>
      <c r="C17" s="9" t="s">
        <v>5</v>
      </c>
      <c r="D17" s="46">
        <v>54</v>
      </c>
      <c r="E17" s="47"/>
      <c r="F17" s="9">
        <v>28</v>
      </c>
      <c r="G17" s="11">
        <v>14</v>
      </c>
      <c r="H17" s="11">
        <v>13</v>
      </c>
      <c r="I17" s="11">
        <v>13.5</v>
      </c>
      <c r="J17" s="5">
        <f t="shared" si="4"/>
        <v>13.5</v>
      </c>
      <c r="K17" s="9">
        <f t="shared" si="0"/>
        <v>0.29825619544397092</v>
      </c>
      <c r="L17" s="22">
        <f t="shared" si="1"/>
        <v>-0.52541052630243545</v>
      </c>
      <c r="M17" s="25">
        <f t="shared" si="2"/>
        <v>3.4386720640118176</v>
      </c>
      <c r="N17" s="30">
        <f t="shared" si="3"/>
        <v>4.3083382955168119</v>
      </c>
    </row>
    <row r="18" spans="1:24" x14ac:dyDescent="0.3">
      <c r="B18" s="9">
        <v>5.4</v>
      </c>
      <c r="C18" s="9" t="s">
        <v>5</v>
      </c>
      <c r="D18" s="46">
        <v>55</v>
      </c>
      <c r="E18" s="47"/>
      <c r="F18" s="9">
        <v>26.5</v>
      </c>
      <c r="G18" s="11">
        <v>13</v>
      </c>
      <c r="H18" s="11">
        <v>13</v>
      </c>
      <c r="I18" s="11">
        <v>13.5</v>
      </c>
      <c r="J18" s="5">
        <f t="shared" si="4"/>
        <v>13.166666666666666</v>
      </c>
      <c r="K18" s="9">
        <f t="shared" si="0"/>
        <v>0.30377945832256298</v>
      </c>
      <c r="L18" s="22">
        <f t="shared" si="1"/>
        <v>-0.51744159663116007</v>
      </c>
      <c r="M18" s="25">
        <f t="shared" si="2"/>
        <v>3.4147599066064065</v>
      </c>
      <c r="N18" s="30">
        <f t="shared" si="3"/>
        <v>4.295284065699609</v>
      </c>
    </row>
    <row r="19" spans="1:24" x14ac:dyDescent="0.3">
      <c r="B19" s="9">
        <v>3.3</v>
      </c>
      <c r="C19" s="9" t="s">
        <v>5</v>
      </c>
      <c r="D19" s="46">
        <v>45</v>
      </c>
      <c r="E19" s="47"/>
      <c r="F19" s="9">
        <v>25.5</v>
      </c>
      <c r="G19" s="11">
        <v>12</v>
      </c>
      <c r="H19" s="11">
        <v>12</v>
      </c>
      <c r="I19" s="11">
        <v>12</v>
      </c>
      <c r="J19" s="5">
        <f t="shared" si="4"/>
        <v>12</v>
      </c>
      <c r="K19" s="9">
        <f t="shared" si="0"/>
        <v>0.24854682953664245</v>
      </c>
      <c r="L19" s="22">
        <f t="shared" si="1"/>
        <v>-0.60459177235006023</v>
      </c>
      <c r="M19" s="25">
        <f t="shared" si="2"/>
        <v>3.3980542131035536</v>
      </c>
      <c r="N19" s="30">
        <f t="shared" si="3"/>
        <v>4.3188729670559285</v>
      </c>
    </row>
    <row r="20" spans="1:24" x14ac:dyDescent="0.3">
      <c r="B20" s="12">
        <v>2.4</v>
      </c>
      <c r="C20" s="12" t="s">
        <v>5</v>
      </c>
      <c r="D20" s="41">
        <v>39</v>
      </c>
      <c r="E20" s="42"/>
      <c r="F20" s="12">
        <v>24</v>
      </c>
      <c r="G20" s="13">
        <v>11</v>
      </c>
      <c r="H20" s="13">
        <v>11</v>
      </c>
      <c r="I20" s="13">
        <v>11.5</v>
      </c>
      <c r="J20" s="7">
        <f t="shared" si="4"/>
        <v>11.166666666666666</v>
      </c>
      <c r="K20" s="12">
        <f t="shared" si="0"/>
        <v>0.21540725226509011</v>
      </c>
      <c r="L20" s="29">
        <f t="shared" si="1"/>
        <v>-0.66673967909890475</v>
      </c>
      <c r="M20" s="26">
        <f t="shared" si="2"/>
        <v>3.3717252743812045</v>
      </c>
      <c r="N20" s="31">
        <f t="shared" si="3"/>
        <v>4.3238017220640215</v>
      </c>
      <c r="P20" s="45" t="s">
        <v>42</v>
      </c>
      <c r="Q20" s="45"/>
      <c r="R20" s="36" t="s">
        <v>43</v>
      </c>
      <c r="S20" s="36" t="s">
        <v>44</v>
      </c>
      <c r="T20" s="35" t="s">
        <v>45</v>
      </c>
      <c r="U20" t="s">
        <v>46</v>
      </c>
      <c r="V20" t="s">
        <v>47</v>
      </c>
      <c r="W20" t="s">
        <v>49</v>
      </c>
    </row>
    <row r="21" spans="1:24" x14ac:dyDescent="0.3">
      <c r="F21" s="14"/>
      <c r="L21">
        <v>-0.92</v>
      </c>
      <c r="N21">
        <v>4.28</v>
      </c>
      <c r="P21" s="45">
        <f>F5</f>
        <v>23</v>
      </c>
      <c r="Q21" s="45"/>
      <c r="R21">
        <f>1-(10^(M5))/(3965-1.184)*(11.1*10^(-2)*9.81)</f>
        <v>0.38038721765843808</v>
      </c>
      <c r="S21">
        <f>10^(L21)</f>
        <v>0.12022644346174129</v>
      </c>
      <c r="U21" t="s">
        <v>48</v>
      </c>
      <c r="V21">
        <f>(10^(M5))/(11.1*10^(-2))</f>
        <v>20319.774774774778</v>
      </c>
      <c r="W21">
        <v>0</v>
      </c>
    </row>
    <row r="22" spans="1:24" x14ac:dyDescent="0.3">
      <c r="B22" t="s">
        <v>34</v>
      </c>
      <c r="C22">
        <f>3.14*(0.062/2)^2</f>
        <v>3.01754E-3</v>
      </c>
      <c r="D22" t="s">
        <v>35</v>
      </c>
      <c r="F22" s="2"/>
    </row>
    <row r="23" spans="1:24" x14ac:dyDescent="0.3">
      <c r="F23" s="2"/>
    </row>
    <row r="24" spans="1:24" x14ac:dyDescent="0.3">
      <c r="F24" s="2"/>
    </row>
    <row r="25" spans="1:24" x14ac:dyDescent="0.3">
      <c r="F25" s="2"/>
      <c r="U25">
        <f>10^(M5)</f>
        <v>2255.4950000000003</v>
      </c>
    </row>
    <row r="26" spans="1:24" x14ac:dyDescent="0.3">
      <c r="A26" s="18"/>
      <c r="B26" s="40" t="s">
        <v>53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24" x14ac:dyDescent="0.3">
      <c r="A27" s="18"/>
      <c r="B27" s="40" t="s">
        <v>10</v>
      </c>
      <c r="C27" s="40" t="s">
        <v>11</v>
      </c>
      <c r="D27" s="40" t="s">
        <v>0</v>
      </c>
      <c r="E27" s="40"/>
      <c r="F27" s="40" t="s">
        <v>12</v>
      </c>
      <c r="G27" s="40" t="s">
        <v>13</v>
      </c>
      <c r="H27" s="40" t="s">
        <v>14</v>
      </c>
      <c r="I27" s="40"/>
      <c r="J27" s="40"/>
      <c r="K27" s="40" t="s">
        <v>15</v>
      </c>
      <c r="L27" s="40"/>
      <c r="M27" s="40"/>
      <c r="N27" s="40" t="s">
        <v>36</v>
      </c>
      <c r="O27" s="43" t="s">
        <v>38</v>
      </c>
      <c r="P27" s="43" t="s">
        <v>41</v>
      </c>
      <c r="Q27" s="43" t="s">
        <v>40</v>
      </c>
      <c r="S27" t="s">
        <v>55</v>
      </c>
      <c r="T27" t="s">
        <v>56</v>
      </c>
      <c r="U27" t="s">
        <v>57</v>
      </c>
      <c r="V27" t="s">
        <v>54</v>
      </c>
      <c r="W27" t="s">
        <v>59</v>
      </c>
      <c r="X27" t="s">
        <v>52</v>
      </c>
    </row>
    <row r="28" spans="1:24" x14ac:dyDescent="0.3">
      <c r="A28" s="18"/>
      <c r="B28" s="40"/>
      <c r="C28" s="40"/>
      <c r="D28" s="17" t="s">
        <v>1</v>
      </c>
      <c r="E28" s="17" t="s">
        <v>2</v>
      </c>
      <c r="F28" s="40"/>
      <c r="G28" s="40"/>
      <c r="H28" s="17">
        <v>1</v>
      </c>
      <c r="I28" s="17">
        <v>2</v>
      </c>
      <c r="J28" s="17">
        <v>3</v>
      </c>
      <c r="K28" s="17" t="s">
        <v>16</v>
      </c>
      <c r="L28" s="17" t="s">
        <v>17</v>
      </c>
      <c r="M28" s="17" t="s">
        <v>18</v>
      </c>
      <c r="N28" s="43"/>
      <c r="O28" s="44"/>
      <c r="P28" s="44"/>
      <c r="Q28" s="44"/>
      <c r="S28">
        <f>180/(U25)</f>
        <v>7.9805098215690998E-2</v>
      </c>
      <c r="T28">
        <f>(1.81*(10^-5)*T33*J5)</f>
        <v>2.588222174306675E-5</v>
      </c>
      <c r="U28">
        <f>((1-U33)^2)/(U33^3)</f>
        <v>7.0362213823364099</v>
      </c>
      <c r="V28">
        <f>S28*T28*U28</f>
        <v>1.4533549207233422E-5</v>
      </c>
      <c r="W28">
        <f>SQRT(V28)*0.1</f>
        <v>3.8122892344670577E-4</v>
      </c>
      <c r="X28">
        <v>23</v>
      </c>
    </row>
    <row r="29" spans="1:24" x14ac:dyDescent="0.3">
      <c r="A29" s="17" t="s">
        <v>19</v>
      </c>
      <c r="B29" s="40">
        <v>15</v>
      </c>
      <c r="C29" s="19">
        <v>0.215</v>
      </c>
      <c r="D29" s="19">
        <v>17</v>
      </c>
      <c r="E29" s="19" t="s">
        <v>6</v>
      </c>
      <c r="F29" s="19">
        <v>20</v>
      </c>
      <c r="G29" s="19">
        <v>19</v>
      </c>
      <c r="H29" s="19">
        <v>11</v>
      </c>
      <c r="I29" s="19">
        <v>11</v>
      </c>
      <c r="J29" s="19">
        <v>11</v>
      </c>
      <c r="K29" s="19">
        <v>27</v>
      </c>
      <c r="L29" s="19">
        <v>59</v>
      </c>
      <c r="M29" s="19">
        <v>23</v>
      </c>
      <c r="N29" s="23">
        <f>(F29/60000)/$C$22</f>
        <v>0.11046525757184107</v>
      </c>
      <c r="O29" s="23">
        <f>LOG(N29)</f>
        <v>-0.95677429046142282</v>
      </c>
      <c r="P29" s="34">
        <f>B29*C29</f>
        <v>3.2250000000000001</v>
      </c>
      <c r="Q29" s="34">
        <f>P29/($U$7*(L29-K29))</f>
        <v>62.98828125</v>
      </c>
    </row>
    <row r="30" spans="1:24" x14ac:dyDescent="0.3">
      <c r="A30" s="17" t="s">
        <v>20</v>
      </c>
      <c r="B30" s="40"/>
      <c r="C30" s="20">
        <v>0.215</v>
      </c>
      <c r="D30" s="20">
        <v>2</v>
      </c>
      <c r="E30" s="20" t="s">
        <v>5</v>
      </c>
      <c r="F30" s="20">
        <v>34</v>
      </c>
      <c r="G30" s="20">
        <v>23.5</v>
      </c>
      <c r="H30" s="20">
        <v>11.1</v>
      </c>
      <c r="I30" s="20">
        <v>11.1</v>
      </c>
      <c r="J30" s="20">
        <v>11.1</v>
      </c>
      <c r="K30" s="20">
        <v>29.5</v>
      </c>
      <c r="L30" s="20">
        <v>53</v>
      </c>
      <c r="M30" s="20">
        <v>27</v>
      </c>
      <c r="N30" s="23">
        <f t="shared" ref="N30:N34" si="5">(F30/60000)/$C$22</f>
        <v>0.18779093787212986</v>
      </c>
      <c r="O30" s="9">
        <f t="shared" ref="O30:O34" si="6">LOG(N30)</f>
        <v>-0.72632536908314871</v>
      </c>
      <c r="P30" s="25">
        <f>B29*C30</f>
        <v>3.2250000000000001</v>
      </c>
      <c r="Q30" s="25">
        <f>P30/($U$7*(L30-K30))</f>
        <v>85.771276595744681</v>
      </c>
    </row>
    <row r="31" spans="1:24" x14ac:dyDescent="0.3">
      <c r="A31" s="17" t="s">
        <v>21</v>
      </c>
      <c r="B31" s="40"/>
      <c r="C31" s="20">
        <v>0.215</v>
      </c>
      <c r="D31" s="20">
        <v>5</v>
      </c>
      <c r="E31" s="20" t="s">
        <v>5</v>
      </c>
      <c r="F31" s="20">
        <v>52</v>
      </c>
      <c r="G31" s="20">
        <v>27</v>
      </c>
      <c r="H31" s="20">
        <v>13</v>
      </c>
      <c r="I31" s="20">
        <v>13</v>
      </c>
      <c r="J31" s="20">
        <v>13</v>
      </c>
      <c r="K31" s="20">
        <v>30</v>
      </c>
      <c r="L31" s="20">
        <v>40.5</v>
      </c>
      <c r="M31" s="20">
        <v>29</v>
      </c>
      <c r="N31" s="23">
        <f t="shared" si="5"/>
        <v>0.28720966968678679</v>
      </c>
      <c r="O31" s="9">
        <f t="shared" si="6"/>
        <v>-0.54180094249060473</v>
      </c>
      <c r="P31" s="25">
        <f>B29*C31</f>
        <v>3.2250000000000001</v>
      </c>
      <c r="Q31" s="25">
        <f>P31/($U$7*(L31-K31))</f>
        <v>191.96428571428569</v>
      </c>
    </row>
    <row r="32" spans="1:24" x14ac:dyDescent="0.3">
      <c r="A32" s="17" t="s">
        <v>19</v>
      </c>
      <c r="B32" s="40">
        <v>25</v>
      </c>
      <c r="C32" s="20">
        <v>0.36499999999999999</v>
      </c>
      <c r="D32" s="20">
        <v>18.5</v>
      </c>
      <c r="E32" s="20" t="s">
        <v>6</v>
      </c>
      <c r="F32" s="20">
        <v>21</v>
      </c>
      <c r="G32" s="20">
        <v>19</v>
      </c>
      <c r="H32" s="20">
        <v>11</v>
      </c>
      <c r="I32" s="20">
        <v>11</v>
      </c>
      <c r="J32" s="20">
        <v>11</v>
      </c>
      <c r="K32" s="20">
        <v>32</v>
      </c>
      <c r="L32" s="20">
        <v>106.5</v>
      </c>
      <c r="M32" s="20">
        <v>27.5</v>
      </c>
      <c r="N32" s="23">
        <f t="shared" si="5"/>
        <v>0.11598852045043313</v>
      </c>
      <c r="O32" s="9">
        <f t="shared" si="6"/>
        <v>-0.93558499139148465</v>
      </c>
      <c r="P32" s="25">
        <f>B32*C32</f>
        <v>9.125</v>
      </c>
      <c r="Q32" s="25">
        <f>P32/($U$7*(L32-K32))</f>
        <v>76.552013422818789</v>
      </c>
      <c r="T32" s="57" t="s">
        <v>50</v>
      </c>
      <c r="U32" s="58" t="s">
        <v>51</v>
      </c>
      <c r="V32" s="59" t="s">
        <v>58</v>
      </c>
    </row>
    <row r="33" spans="1:22" x14ac:dyDescent="0.3">
      <c r="A33" s="17" t="s">
        <v>20</v>
      </c>
      <c r="B33" s="40"/>
      <c r="C33" s="20">
        <v>0.36499999999999999</v>
      </c>
      <c r="D33" s="20">
        <v>2</v>
      </c>
      <c r="E33" s="20" t="s">
        <v>5</v>
      </c>
      <c r="F33" s="20">
        <v>34</v>
      </c>
      <c r="G33" s="20">
        <v>25</v>
      </c>
      <c r="H33" s="20">
        <v>11.1</v>
      </c>
      <c r="I33" s="20">
        <v>11</v>
      </c>
      <c r="J33" s="20">
        <v>11.1</v>
      </c>
      <c r="K33" s="20">
        <v>34</v>
      </c>
      <c r="L33" s="20">
        <v>97</v>
      </c>
      <c r="M33" s="20">
        <v>26</v>
      </c>
      <c r="N33" s="23">
        <f t="shared" si="5"/>
        <v>0.18779093787212986</v>
      </c>
      <c r="O33" s="9">
        <f t="shared" si="6"/>
        <v>-0.72632536908314871</v>
      </c>
      <c r="P33" s="25">
        <f>P32</f>
        <v>9.125</v>
      </c>
      <c r="Q33" s="25">
        <f>P33/($U$7*(L33-K33))</f>
        <v>90.525793650793645</v>
      </c>
      <c r="T33" s="60">
        <f>10^-0.89</f>
        <v>0.12882495516931336</v>
      </c>
      <c r="U33" s="61">
        <f>1-(10^(M5))/(3960-1.18)*(11.1*10^(-2)*9.81)</f>
        <v>0.37960527115403064</v>
      </c>
      <c r="V33" s="31">
        <f>W28*10^6</f>
        <v>381.22892344670578</v>
      </c>
    </row>
    <row r="34" spans="1:22" x14ac:dyDescent="0.3">
      <c r="A34" s="17" t="s">
        <v>21</v>
      </c>
      <c r="B34" s="40"/>
      <c r="C34" s="21">
        <v>0.36499999999999999</v>
      </c>
      <c r="D34" s="21">
        <v>4.5</v>
      </c>
      <c r="E34" s="21" t="s">
        <v>5</v>
      </c>
      <c r="F34" s="21">
        <v>43</v>
      </c>
      <c r="G34" s="21">
        <v>30</v>
      </c>
      <c r="H34" s="21">
        <v>13.1</v>
      </c>
      <c r="I34" s="21">
        <v>13.2</v>
      </c>
      <c r="J34" s="21">
        <v>13.3</v>
      </c>
      <c r="K34" s="21">
        <v>37</v>
      </c>
      <c r="L34" s="21">
        <v>61</v>
      </c>
      <c r="M34" s="21">
        <v>25</v>
      </c>
      <c r="N34" s="3">
        <f t="shared" si="5"/>
        <v>0.23750030377945833</v>
      </c>
      <c r="O34" s="24">
        <f t="shared" si="6"/>
        <v>-0.62433583054581743</v>
      </c>
      <c r="P34" s="26">
        <f>P32</f>
        <v>9.125</v>
      </c>
      <c r="Q34" s="26">
        <f>P34/($U$7*(L34-K34))</f>
        <v>237.63020833333331</v>
      </c>
    </row>
    <row r="35" spans="1:22" x14ac:dyDescent="0.3">
      <c r="F35" s="2"/>
    </row>
    <row r="36" spans="1:22" x14ac:dyDescent="0.3">
      <c r="F36" s="2"/>
    </row>
    <row r="37" spans="1:22" x14ac:dyDescent="0.3">
      <c r="F37" s="2"/>
    </row>
    <row r="38" spans="1:22" x14ac:dyDescent="0.3">
      <c r="F38" s="2"/>
    </row>
    <row r="39" spans="1:22" x14ac:dyDescent="0.3">
      <c r="F39" s="2"/>
    </row>
    <row r="40" spans="1:22" x14ac:dyDescent="0.3">
      <c r="F40" s="2"/>
    </row>
    <row r="41" spans="1:22" x14ac:dyDescent="0.3">
      <c r="F41" s="2"/>
    </row>
    <row r="42" spans="1:22" x14ac:dyDescent="0.3">
      <c r="F42" s="2"/>
    </row>
    <row r="43" spans="1:22" x14ac:dyDescent="0.3">
      <c r="F43" s="2"/>
    </row>
    <row r="44" spans="1:22" x14ac:dyDescent="0.3">
      <c r="F44" s="2"/>
    </row>
    <row r="45" spans="1:22" x14ac:dyDescent="0.3">
      <c r="F45" s="2"/>
    </row>
    <row r="46" spans="1:22" x14ac:dyDescent="0.3">
      <c r="F46" s="2"/>
    </row>
    <row r="47" spans="1:22" x14ac:dyDescent="0.3">
      <c r="F47" s="2"/>
    </row>
    <row r="48" spans="1:22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60" spans="6:6" x14ac:dyDescent="0.3">
      <c r="F60" s="2"/>
    </row>
    <row r="61" spans="6:6" x14ac:dyDescent="0.3">
      <c r="F61" s="2"/>
    </row>
    <row r="62" spans="6:6" x14ac:dyDescent="0.3">
      <c r="F62" s="2"/>
    </row>
    <row r="63" spans="6:6" x14ac:dyDescent="0.3">
      <c r="F63" s="2"/>
    </row>
    <row r="64" spans="6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</sheetData>
  <mergeCells count="52">
    <mergeCell ref="K2:K3"/>
    <mergeCell ref="L2:L3"/>
    <mergeCell ref="M2:M3"/>
    <mergeCell ref="N2:N3"/>
    <mergeCell ref="N27:N28"/>
    <mergeCell ref="D12:E12"/>
    <mergeCell ref="B2:C2"/>
    <mergeCell ref="D2:E3"/>
    <mergeCell ref="F2:F3"/>
    <mergeCell ref="G2:J2"/>
    <mergeCell ref="D6:E6"/>
    <mergeCell ref="D7:E7"/>
    <mergeCell ref="D9:E9"/>
    <mergeCell ref="D10:E10"/>
    <mergeCell ref="D11:E11"/>
    <mergeCell ref="D8:E8"/>
    <mergeCell ref="B1:J1"/>
    <mergeCell ref="D27:E27"/>
    <mergeCell ref="H27:J27"/>
    <mergeCell ref="B27:B28"/>
    <mergeCell ref="C27:C28"/>
    <mergeCell ref="F27:F28"/>
    <mergeCell ref="G27:G28"/>
    <mergeCell ref="D13:E13"/>
    <mergeCell ref="D14:E14"/>
    <mergeCell ref="D15:E15"/>
    <mergeCell ref="D16:E16"/>
    <mergeCell ref="D17:E17"/>
    <mergeCell ref="D19:E19"/>
    <mergeCell ref="D18:E18"/>
    <mergeCell ref="D4:E4"/>
    <mergeCell ref="D5:E5"/>
    <mergeCell ref="S13:T13"/>
    <mergeCell ref="K27:M27"/>
    <mergeCell ref="B29:B31"/>
    <mergeCell ref="B32:B34"/>
    <mergeCell ref="B26:M26"/>
    <mergeCell ref="S16:V16"/>
    <mergeCell ref="D20:E20"/>
    <mergeCell ref="O27:O28"/>
    <mergeCell ref="P27:P28"/>
    <mergeCell ref="Q27:Q28"/>
    <mergeCell ref="P20:Q20"/>
    <mergeCell ref="P21:Q21"/>
    <mergeCell ref="S2:V2"/>
    <mergeCell ref="S4:V4"/>
    <mergeCell ref="S10:V10"/>
    <mergeCell ref="S11:T11"/>
    <mergeCell ref="S12:T12"/>
    <mergeCell ref="S5:T5"/>
    <mergeCell ref="S6:T6"/>
    <mergeCell ref="S7:T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Cope</dc:creator>
  <cp:lastModifiedBy>Baran Anil</cp:lastModifiedBy>
  <cp:lastPrinted>2022-03-05T13:23:15Z</cp:lastPrinted>
  <dcterms:created xsi:type="dcterms:W3CDTF">2021-11-26T19:41:44Z</dcterms:created>
  <dcterms:modified xsi:type="dcterms:W3CDTF">2022-03-05T14:38:10Z</dcterms:modified>
</cp:coreProperties>
</file>