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bjkan\Desktop\"/>
    </mc:Choice>
  </mc:AlternateContent>
  <xr:revisionPtr revIDLastSave="0" documentId="13_ncr:1_{F9627EB7-7C49-4897-8E86-4E5CA69C1952}" xr6:coauthVersionLast="47" xr6:coauthVersionMax="47" xr10:uidLastSave="{00000000-0000-0000-0000-000000000000}"/>
  <bookViews>
    <workbookView minimized="1" xWindow="-120" yWindow="84" windowWidth="13188" windowHeight="896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3" i="1"/>
  <c r="Z13" i="1"/>
  <c r="Z12" i="1"/>
  <c r="Z11" i="1"/>
  <c r="Z10" i="1"/>
  <c r="Z9" i="1"/>
  <c r="Y10" i="1"/>
  <c r="Y11" i="1"/>
  <c r="Y12" i="1"/>
  <c r="Y13" i="1"/>
  <c r="Y9" i="1"/>
  <c r="M23" i="1"/>
  <c r="M24" i="1"/>
  <c r="M25" i="1"/>
  <c r="M26" i="1"/>
  <c r="M27" i="1"/>
  <c r="J11" i="1"/>
  <c r="J12" i="1"/>
  <c r="G9" i="1"/>
  <c r="X10" i="1"/>
  <c r="X11" i="1"/>
  <c r="X12" i="1"/>
  <c r="X13" i="1"/>
  <c r="X9" i="1"/>
  <c r="W10" i="1"/>
  <c r="W11" i="1"/>
  <c r="W12" i="1"/>
  <c r="W13" i="1"/>
  <c r="W9" i="1"/>
  <c r="T13" i="1"/>
  <c r="T12" i="1"/>
  <c r="T11" i="1"/>
  <c r="T10" i="1"/>
  <c r="T9" i="1"/>
  <c r="U10" i="1"/>
  <c r="U9" i="1"/>
  <c r="U13" i="1"/>
  <c r="U12" i="1"/>
  <c r="U11" i="1"/>
  <c r="G13" i="1"/>
  <c r="G12" i="1"/>
  <c r="G11" i="1"/>
  <c r="G10" i="1"/>
  <c r="R11" i="1"/>
  <c r="S9" i="1"/>
  <c r="V10" i="1"/>
  <c r="V11" i="1"/>
  <c r="V12" i="1"/>
  <c r="V13" i="1"/>
  <c r="V9" i="1"/>
  <c r="S13" i="1"/>
  <c r="S12" i="1"/>
  <c r="S11" i="1"/>
  <c r="S10" i="1"/>
  <c r="R13" i="1"/>
  <c r="R12" i="1"/>
  <c r="R10" i="1"/>
  <c r="R9" i="1"/>
  <c r="F12" i="1"/>
  <c r="F11" i="1"/>
  <c r="F10" i="1"/>
  <c r="F9" i="1"/>
  <c r="O9" i="1"/>
  <c r="N9" i="1" s="1"/>
  <c r="O10" i="1"/>
  <c r="P12" i="1"/>
  <c r="Q12" i="1" s="1"/>
  <c r="P11" i="1"/>
  <c r="Q11" i="1" s="1"/>
  <c r="O12" i="1"/>
  <c r="N12" i="1" s="1"/>
  <c r="O11" i="1"/>
  <c r="N11" i="1" s="1"/>
  <c r="P10" i="1"/>
  <c r="Q10" i="1" s="1"/>
  <c r="P13" i="1"/>
  <c r="Q13" i="1" s="1"/>
  <c r="P9" i="1"/>
  <c r="O13" i="1"/>
  <c r="J18" i="1"/>
  <c r="J19" i="1"/>
  <c r="J20" i="1"/>
  <c r="J21" i="1"/>
  <c r="J22" i="1"/>
  <c r="J23" i="1"/>
  <c r="J24" i="1"/>
  <c r="J17" i="1"/>
  <c r="G36" i="1"/>
  <c r="H36" i="1" s="1"/>
  <c r="I36" i="1" s="1"/>
  <c r="J36" i="1" s="1"/>
  <c r="G35" i="1"/>
  <c r="H35" i="1" s="1"/>
  <c r="I35" i="1" s="1"/>
  <c r="J35" i="1" s="1"/>
  <c r="G34" i="1"/>
  <c r="H34" i="1" s="1"/>
  <c r="I34" i="1" s="1"/>
  <c r="J34" i="1" s="1"/>
  <c r="G33" i="1"/>
  <c r="H33" i="1" s="1"/>
  <c r="I33" i="1" s="1"/>
  <c r="J33" i="1" s="1"/>
  <c r="G32" i="1"/>
  <c r="H32" i="1" s="1"/>
  <c r="I32" i="1" s="1"/>
  <c r="J32" i="1" s="1"/>
  <c r="G31" i="1"/>
  <c r="H31" i="1" s="1"/>
  <c r="I31" i="1" s="1"/>
  <c r="J31" i="1" s="1"/>
  <c r="G30" i="1"/>
  <c r="H30" i="1" s="1"/>
  <c r="I30" i="1" s="1"/>
  <c r="J30" i="1" s="1"/>
  <c r="B36" i="1"/>
  <c r="C36" i="1" s="1"/>
  <c r="D36" i="1" s="1"/>
  <c r="E36" i="1" s="1"/>
  <c r="B35" i="1"/>
  <c r="C35" i="1" s="1"/>
  <c r="D35" i="1" s="1"/>
  <c r="E35" i="1" s="1"/>
  <c r="B34" i="1"/>
  <c r="C34" i="1" s="1"/>
  <c r="D34" i="1" s="1"/>
  <c r="E34" i="1" s="1"/>
  <c r="B33" i="1"/>
  <c r="C33" i="1" s="1"/>
  <c r="D33" i="1" s="1"/>
  <c r="E33" i="1" s="1"/>
  <c r="B32" i="1"/>
  <c r="C32" i="1" s="1"/>
  <c r="D32" i="1" s="1"/>
  <c r="E32" i="1" s="1"/>
  <c r="B31" i="1"/>
  <c r="C31" i="1" s="1"/>
  <c r="D31" i="1" s="1"/>
  <c r="E31" i="1" s="1"/>
  <c r="B30" i="1"/>
  <c r="C30" i="1" s="1"/>
  <c r="D30" i="1" s="1"/>
  <c r="E30" i="1" s="1"/>
  <c r="I41" i="1" s="1"/>
  <c r="J41" i="1"/>
  <c r="J42" i="1"/>
  <c r="J43" i="1"/>
  <c r="J44" i="1"/>
  <c r="J45" i="1"/>
  <c r="J46" i="1"/>
  <c r="J47" i="1"/>
  <c r="J40" i="1"/>
  <c r="J13" i="1"/>
  <c r="J10" i="1"/>
  <c r="J9" i="1"/>
  <c r="I47" i="1" l="1"/>
  <c r="I46" i="1"/>
  <c r="Q9" i="1"/>
  <c r="N13" i="1"/>
  <c r="N10" i="1"/>
  <c r="I45" i="1"/>
  <c r="I43" i="1"/>
  <c r="I44" i="1"/>
  <c r="I42" i="1"/>
</calcChain>
</file>

<file path=xl/sharedStrings.xml><?xml version="1.0" encoding="utf-8"?>
<sst xmlns="http://schemas.openxmlformats.org/spreadsheetml/2006/main" count="59" uniqueCount="53">
  <si>
    <t>Reboiler RI</t>
  </si>
  <si>
    <t>Power (kW)</t>
  </si>
  <si>
    <t>Pressure Drop (mmH2O)</t>
  </si>
  <si>
    <t>T(bottom) (C)</t>
  </si>
  <si>
    <t xml:space="preserve">Volume (ml) </t>
  </si>
  <si>
    <t>Time (s)</t>
  </si>
  <si>
    <t>T(top) (C)</t>
  </si>
  <si>
    <t>Mol%</t>
  </si>
  <si>
    <t>EthOH vol%</t>
  </si>
  <si>
    <t>Reading 1</t>
  </si>
  <si>
    <t>Reading 2</t>
  </si>
  <si>
    <t>Reading 3</t>
  </si>
  <si>
    <t>DATA POINTS</t>
  </si>
  <si>
    <t>CALIBRATION CURVE</t>
  </si>
  <si>
    <t>PARAMETERS</t>
  </si>
  <si>
    <t>Mr</t>
  </si>
  <si>
    <t>EthOH</t>
  </si>
  <si>
    <t>Water</t>
  </si>
  <si>
    <t>density</t>
  </si>
  <si>
    <t>volume(m3)</t>
  </si>
  <si>
    <t>mass(kg)</t>
  </si>
  <si>
    <t>mass(g)</t>
  </si>
  <si>
    <t>moles</t>
  </si>
  <si>
    <t>ETHANOL</t>
  </si>
  <si>
    <t>WATER</t>
  </si>
  <si>
    <t>GRAPH DATA</t>
  </si>
  <si>
    <t>STDEV</t>
  </si>
  <si>
    <t>FURTHER DATA POINTS</t>
  </si>
  <si>
    <t>(xa)d</t>
  </si>
  <si>
    <t>Distillate RI</t>
  </si>
  <si>
    <t>Average RI</t>
  </si>
  <si>
    <t>Boil-up rate (ml/s)</t>
  </si>
  <si>
    <t>Plates</t>
  </si>
  <si>
    <t>(xa)b</t>
  </si>
  <si>
    <t>(xw)d</t>
  </si>
  <si>
    <t>(xw)b</t>
  </si>
  <si>
    <t>(alphaAB)d</t>
  </si>
  <si>
    <t>(alphaAB)b</t>
  </si>
  <si>
    <t>(alpha)avg</t>
  </si>
  <si>
    <t>n(min)</t>
  </si>
  <si>
    <t>ANTOINE COEFFICIENTS AND RELATIVE PRESSURES</t>
  </si>
  <si>
    <t>Ethanol</t>
  </si>
  <si>
    <t>(Pa)d</t>
  </si>
  <si>
    <t>(Pw)d</t>
  </si>
  <si>
    <t>(Pa)b</t>
  </si>
  <si>
    <t>(Pw)b</t>
  </si>
  <si>
    <t>Column Efficiency</t>
  </si>
  <si>
    <t>LOG GRAPH DATA</t>
  </si>
  <si>
    <t>Boil-up Rate (ml/s)</t>
  </si>
  <si>
    <t>Pressure Drop (Pa)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</si>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</sst>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0" fillId="0" borderId="2" xfId="0" applyFill="1" applyBorder="1"/>
    <xf numFmtId="0" fontId="1" fillId="0" borderId="0" xfId="0" applyFont="1"/>
    <xf numFmtId="164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165" fontId="0" fillId="0" borderId="2" xfId="0" applyNumberFormat="1" applyBorder="1"/>
    <xf numFmtId="0" fontId="0" fillId="2" borderId="2" xfId="0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567084392253"/>
          <c:y val="2.7392168499940864E-2"/>
          <c:w val="0.84416111646656722"/>
          <c:h val="0.842313214479054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18373314205302E-2"/>
                  <c:y val="0.276486363117653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0.0006x + 1.3426</a:t>
                    </a:r>
                    <a:br>
                      <a:rPr lang="en-US" b="1" baseline="0"/>
                    </a:br>
                    <a:r>
                      <a:rPr lang="en-US" b="1" baseline="0"/>
                      <a:t>R² = 0.8512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Sheet1!$J$17:$J$24</c:f>
                <c:numCache>
                  <c:formatCode>General</c:formatCode>
                  <c:ptCount val="8"/>
                  <c:pt idx="0">
                    <c:v>1.1547005383791244E-4</c:v>
                  </c:pt>
                  <c:pt idx="1">
                    <c:v>1.5275252316517785E-4</c:v>
                  </c:pt>
                  <c:pt idx="2">
                    <c:v>1.7320508075686865E-4</c:v>
                  </c:pt>
                  <c:pt idx="3">
                    <c:v>1.5275252316517785E-4</c:v>
                  </c:pt>
                  <c:pt idx="4">
                    <c:v>1.1547005383804064E-4</c:v>
                  </c:pt>
                  <c:pt idx="5">
                    <c:v>5.7735026918956222E-5</c:v>
                  </c:pt>
                  <c:pt idx="6">
                    <c:v>1.1547005383791243E-4</c:v>
                  </c:pt>
                  <c:pt idx="7">
                    <c:v>5.7735026918956222E-5</c:v>
                  </c:pt>
                </c:numCache>
              </c:numRef>
            </c:plus>
            <c:minus>
              <c:numRef>
                <c:f>Sheet1!$J$17:$J$24</c:f>
                <c:numCache>
                  <c:formatCode>General</c:formatCode>
                  <c:ptCount val="8"/>
                  <c:pt idx="0">
                    <c:v>1.1547005383791244E-4</c:v>
                  </c:pt>
                  <c:pt idx="1">
                    <c:v>1.5275252316517785E-4</c:v>
                  </c:pt>
                  <c:pt idx="2">
                    <c:v>1.7320508075686865E-4</c:v>
                  </c:pt>
                  <c:pt idx="3">
                    <c:v>1.5275252316517785E-4</c:v>
                  </c:pt>
                  <c:pt idx="4">
                    <c:v>1.1547005383804064E-4</c:v>
                  </c:pt>
                  <c:pt idx="5">
                    <c:v>5.7735026918956222E-5</c:v>
                  </c:pt>
                  <c:pt idx="6">
                    <c:v>1.1547005383791243E-4</c:v>
                  </c:pt>
                  <c:pt idx="7">
                    <c:v>5.7735026918956222E-5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Sheet1!$I$41:$I$47</c:f>
              <c:numCache>
                <c:formatCode>General</c:formatCode>
                <c:ptCount val="7"/>
                <c:pt idx="0">
                  <c:v>3.3482985776024834</c:v>
                </c:pt>
                <c:pt idx="1">
                  <c:v>7.2310263587120689</c:v>
                </c:pt>
                <c:pt idx="2">
                  <c:v>11.78723241297438</c:v>
                </c:pt>
                <c:pt idx="3">
                  <c:v>17.208784099486039</c:v>
                </c:pt>
                <c:pt idx="4">
                  <c:v>23.768077572227554</c:v>
                </c:pt>
                <c:pt idx="5">
                  <c:v>31.865238996687179</c:v>
                </c:pt>
                <c:pt idx="6">
                  <c:v>42.112934435704773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1.3401333333333334</c:v>
                </c:pt>
                <c:pt idx="1">
                  <c:v>1.3447000000000002</c:v>
                </c:pt>
                <c:pt idx="2">
                  <c:v>1.3522333333333334</c:v>
                </c:pt>
                <c:pt idx="3">
                  <c:v>1.3557666666666666</c:v>
                </c:pt>
                <c:pt idx="4">
                  <c:v>1.3583666666666669</c:v>
                </c:pt>
                <c:pt idx="5">
                  <c:v>1.3608333333333331</c:v>
                </c:pt>
                <c:pt idx="6">
                  <c:v>1.3626333333333331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4-4D25-9673-DE8B25CE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50240"/>
        <c:axId val="951250656"/>
      </c:scatterChart>
      <c:valAx>
        <c:axId val="951250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Mol %</a:t>
                </a:r>
              </a:p>
            </c:rich>
          </c:tx>
          <c:layout>
            <c:manualLayout>
              <c:xMode val="edge"/>
              <c:yMode val="edge"/>
              <c:x val="0.46872644816405223"/>
              <c:y val="0.930168163967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50656"/>
        <c:crosses val="autoZero"/>
        <c:crossBetween val="midCat"/>
      </c:valAx>
      <c:valAx>
        <c:axId val="951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Refractive Index</a:t>
                </a:r>
              </a:p>
            </c:rich>
          </c:tx>
          <c:layout>
            <c:manualLayout>
              <c:xMode val="edge"/>
              <c:yMode val="edge"/>
              <c:x val="2.7666286916133557E-3"/>
              <c:y val="0.33771662497316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1776027996496E-2"/>
          <c:y val="5.0218957530650817E-2"/>
          <c:w val="0.87450000000000006"/>
          <c:h val="0.79271756815147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7073490813648"/>
                  <c:y val="-0.618625443284551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-17.473x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+ 0.6313x + 1.5085</a:t>
                    </a:r>
                    <a:br>
                      <a:rPr lang="en-US" b="1" baseline="0"/>
                    </a:br>
                    <a:r>
                      <a:rPr lang="en-US" b="1" baseline="0"/>
                      <a:t>R² = 0.9488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Sheet1!$M$23:$M$27</c:f>
              <c:numCache>
                <c:formatCode>General</c:formatCode>
                <c:ptCount val="5"/>
                <c:pt idx="0">
                  <c:v>-3.5829825252828101E-2</c:v>
                </c:pt>
                <c:pt idx="1">
                  <c:v>-5.2638985331170597E-2</c:v>
                </c:pt>
                <c:pt idx="2">
                  <c:v>2.8724151261894763E-2</c:v>
                </c:pt>
                <c:pt idx="3">
                  <c:v>7.9485358636785561E-2</c:v>
                </c:pt>
                <c:pt idx="4">
                  <c:v>0.11421487121652683</c:v>
                </c:pt>
              </c:numCache>
            </c:numRef>
          </c:xVal>
          <c:yVal>
            <c:numRef>
              <c:f>Sheet1!$N$23:$N$27</c:f>
              <c:numCache>
                <c:formatCode>General</c:formatCode>
                <c:ptCount val="5"/>
                <c:pt idx="0">
                  <c:v>2.4687902620996112</c:v>
                </c:pt>
                <c:pt idx="1">
                  <c:v>2.4066423553507663</c:v>
                </c:pt>
                <c:pt idx="2">
                  <c:v>2.5101829472578361</c:v>
                </c:pt>
                <c:pt idx="3">
                  <c:v>2.4230327715389359</c:v>
                </c:pt>
                <c:pt idx="4">
                  <c:v>2.3533968433975416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45C8-9075-4DE289E6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03679"/>
        <c:axId val="1253109919"/>
      </c:scatterChart>
      <c:valAx>
        <c:axId val="12531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Log(Boil Up Rate)</a:t>
                </a:r>
              </a:p>
            </c:rich>
          </c:tx>
          <c:layout>
            <c:manualLayout>
              <c:xMode val="edge"/>
              <c:yMode val="edge"/>
              <c:x val="0.40675"/>
              <c:y val="0.9279043416930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09919"/>
        <c:crosses val="autoZero"/>
        <c:crossBetween val="midCat"/>
      </c:valAx>
      <c:valAx>
        <c:axId val="12531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(Pressure Difference)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20437390224666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403412</xdr:colOff>
      <xdr:row>37</xdr:row>
      <xdr:rowOff>34962</xdr:rowOff>
    </xdr:from>
    <xdr:to>
      <xdr:col>6</xdr:col>
      <xdr:colOff>679077</xdr:colOff>
      <xdr:row>52</xdr:row>
      <xdr:rowOff>95922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FD42E-4D16-453C-A4B8-9D20628B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403860</xdr:colOff>
      <xdr:row>12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2A6E7-649C-421A-B152-25729C5C98D8}"/>
            </a:ext>
          </a:extLst>
        </xdr:cNvPr>
        <xdr:cNvSpPr txBox="1"/>
      </xdr:nvSpPr>
      <xdr:spPr>
        <a:xfrm>
          <a:off x="10546080" y="2644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11</xdr:col>
      <xdr:colOff>19998</xdr:colOff>
      <xdr:row>28</xdr:row>
      <xdr:rowOff>18619</xdr:rowOff>
    </xdr:from>
    <xdr:to>
      <xdr:col>18</xdr:col>
      <xdr:colOff>324798</xdr:colOff>
      <xdr:row>43</xdr:row>
      <xdr:rowOff>74821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004E0-6DB1-4F7B-BD01-D09ECB7D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ADE-6668-AD4D-92A2-A7D6819464DE}">
  <dimension ref="B7:Z47"/>
  <sheetViews>
    <sheetView tabSelected="1" zoomScaleNormal="100" zoomScaleSheetLayoutView="100" workbookViewId="0">
      <selection activeCell="B8" sqref="B8:I13"/>
    </sheetView>
  </sheetViews>
  <sheetFormatPr defaultRowHeight="14.4" x14ac:dyDescent="0.3"/>
  <cols>
    <col min="2" max="3" width="10.6640625" bestFit="1" customWidth="1"/>
    <col min="4" max="4" width="10.44140625" bestFit="1" customWidth="1"/>
    <col min="5" max="5" width="20.77734375" bestFit="1" customWidth="1"/>
    <col min="6" max="6" width="11.6640625" bestFit="1" customWidth="1"/>
    <col min="7" max="7" width="12.109375" bestFit="1" customWidth="1"/>
    <col min="8" max="8" width="11.21875" bestFit="1" customWidth="1"/>
    <col min="9" max="10" width="9" bestFit="1" customWidth="1"/>
    <col min="21" max="21" width="13" bestFit="1" customWidth="1"/>
  </cols>
  <sheetData>
    <row r="7" spans="2:26" x14ac:dyDescent="0.3">
      <c r="B7" s="7" t="s">
        <v>12</v>
      </c>
      <c r="L7" s="7" t="s">
        <v>27</v>
      </c>
    </row>
    <row r="8" spans="2:26" x14ac:dyDescent="0.3">
      <c r="B8" s="1" t="s">
        <v>1</v>
      </c>
      <c r="C8" s="1" t="s">
        <v>0</v>
      </c>
      <c r="D8" s="1" t="s">
        <v>29</v>
      </c>
      <c r="E8" s="1" t="s">
        <v>2</v>
      </c>
      <c r="F8" s="1" t="s">
        <v>3</v>
      </c>
      <c r="G8" s="1" t="s">
        <v>6</v>
      </c>
      <c r="H8" s="1" t="s">
        <v>4</v>
      </c>
      <c r="I8" s="3" t="s">
        <v>5</v>
      </c>
      <c r="J8" s="5" t="s">
        <v>31</v>
      </c>
      <c r="L8" s="5" t="s">
        <v>1</v>
      </c>
      <c r="M8" s="6" t="s">
        <v>32</v>
      </c>
      <c r="N8" s="6" t="s">
        <v>28</v>
      </c>
      <c r="O8" s="6" t="s">
        <v>34</v>
      </c>
      <c r="P8" s="6" t="s">
        <v>33</v>
      </c>
      <c r="Q8" s="6" t="s">
        <v>35</v>
      </c>
      <c r="R8" s="6" t="s">
        <v>44</v>
      </c>
      <c r="S8" s="6" t="s">
        <v>45</v>
      </c>
      <c r="T8" s="6" t="s">
        <v>42</v>
      </c>
      <c r="U8" s="6" t="s">
        <v>43</v>
      </c>
      <c r="V8" s="6" t="s">
        <v>37</v>
      </c>
      <c r="W8" s="6" t="s">
        <v>36</v>
      </c>
      <c r="X8" s="6" t="s">
        <v>38</v>
      </c>
      <c r="Y8" s="6" t="s">
        <v>39</v>
      </c>
      <c r="Z8" s="6" t="s">
        <v>46</v>
      </c>
    </row>
    <row r="9" spans="2:26" x14ac:dyDescent="0.3">
      <c r="B9" s="2">
        <v>0.6</v>
      </c>
      <c r="C9" s="2">
        <v>1.3551</v>
      </c>
      <c r="D9" s="2">
        <v>1.361</v>
      </c>
      <c r="E9">
        <v>30</v>
      </c>
      <c r="F9" s="2">
        <f>273.15+83.3</f>
        <v>356.45</v>
      </c>
      <c r="G9" s="2">
        <f>77.9+273.15</f>
        <v>351.04999999999995</v>
      </c>
      <c r="H9" s="2">
        <v>40</v>
      </c>
      <c r="I9" s="4">
        <v>43.44</v>
      </c>
      <c r="J9" s="5">
        <f>H9/I9</f>
        <v>0.92081031307550654</v>
      </c>
      <c r="L9" s="12">
        <v>0.6</v>
      </c>
      <c r="M9" s="12">
        <v>8</v>
      </c>
      <c r="N9" s="5">
        <f>1-O9</f>
        <v>0.6933333333333338</v>
      </c>
      <c r="O9" s="5">
        <f>(D9-1.3426)/0.06</f>
        <v>0.3066666666666662</v>
      </c>
      <c r="P9" s="5">
        <f>(C9-1.3426)/0.06</f>
        <v>0.20833333333333259</v>
      </c>
      <c r="Q9" s="5">
        <f>1-P9</f>
        <v>0.79166666666666741</v>
      </c>
      <c r="R9" s="5">
        <f>10^(M17-(M18/(M19+F9)))</f>
        <v>1.2308150831086622</v>
      </c>
      <c r="S9" s="5">
        <f>10^(N17-(N18/(N19+F9)))</f>
        <v>0.54064476229168557</v>
      </c>
      <c r="T9" s="5">
        <f>10^(M17-(M18/(M19+F9)))</f>
        <v>1.2308150831086622</v>
      </c>
      <c r="U9" s="5">
        <f>10^(N17-(N18/(N19+G9)))</f>
        <v>0.43482281120393429</v>
      </c>
      <c r="V9" s="5">
        <f>R9/S9</f>
        <v>2.2765689579447361</v>
      </c>
      <c r="W9" s="5">
        <f>T9/U9</f>
        <v>2.8306129563460347</v>
      </c>
      <c r="X9" s="5">
        <f>SQRT(V9*W9)</f>
        <v>2.5385203541381269</v>
      </c>
      <c r="Y9" s="5">
        <f>((LOG10((O9/N9)*(Q9/P9)))/LOG10(X9))-1</f>
        <v>-0.44261276703916186</v>
      </c>
      <c r="Z9" s="5">
        <f>ABS((Y9/M9)*100)</f>
        <v>5.5326595879895235</v>
      </c>
    </row>
    <row r="10" spans="2:26" x14ac:dyDescent="0.3">
      <c r="B10" s="1">
        <v>0.7</v>
      </c>
      <c r="C10" s="13">
        <v>1.3576999999999999</v>
      </c>
      <c r="D10" s="1">
        <v>1.3664000000000001</v>
      </c>
      <c r="E10">
        <v>26</v>
      </c>
      <c r="F10" s="1">
        <f>273.15+83.5</f>
        <v>356.65</v>
      </c>
      <c r="G10" s="1">
        <f>273.15+77.4</f>
        <v>350.54999999999995</v>
      </c>
      <c r="H10" s="1">
        <v>35</v>
      </c>
      <c r="I10" s="3">
        <v>39.51</v>
      </c>
      <c r="J10" s="5">
        <f>H10/I10</f>
        <v>0.88585168311819795</v>
      </c>
      <c r="L10" s="5">
        <v>0.7</v>
      </c>
      <c r="M10" s="6">
        <v>8</v>
      </c>
      <c r="N10" s="5">
        <f>1-O10</f>
        <v>0.60333333333333261</v>
      </c>
      <c r="O10" s="5">
        <f>(D10-1.3426)/0.06</f>
        <v>0.39666666666666739</v>
      </c>
      <c r="P10" s="5">
        <f t="shared" ref="P10" si="0">(C10-1.3426)/0.06</f>
        <v>0.25166666666666487</v>
      </c>
      <c r="Q10" s="5">
        <f t="shared" ref="Q10:Q11" si="1">1-P10</f>
        <v>0.74833333333333507</v>
      </c>
      <c r="R10" s="5">
        <f>10^(M17-(M18/(M19+F10)))</f>
        <v>1.2402727733224452</v>
      </c>
      <c r="S10" s="5">
        <f>10^(N17-(N18/(N19+F10)))</f>
        <v>0.54494492010755724</v>
      </c>
      <c r="T10" s="5">
        <f>10^(M17-(M18/(M19+F10)))</f>
        <v>1.2402727733224452</v>
      </c>
      <c r="U10" s="5">
        <f>10^(N17-(N18/(N19+G10)))</f>
        <v>0.42597450702200618</v>
      </c>
      <c r="V10" s="5">
        <f t="shared" ref="V10:V13" si="2">R10/S10</f>
        <v>2.2759598769682068</v>
      </c>
      <c r="W10" s="5">
        <f t="shared" ref="W10:W13" si="3">T10/U10</f>
        <v>2.9116126737095369</v>
      </c>
      <c r="X10" s="5">
        <f t="shared" ref="X10:X13" si="4">SQRT(V10*W10)</f>
        <v>2.5742403972113852</v>
      </c>
      <c r="Y10" s="5">
        <f t="shared" ref="Y10:Y13" si="5">((LOG10((O10/N10)*(Q10/P10)))/LOG10(X10))-1</f>
        <v>-0.29103027554314465</v>
      </c>
      <c r="Z10" s="5">
        <f t="shared" ref="Z10:Z13" si="6">ABS((Y10/M10)*100)</f>
        <v>3.6378784442893082</v>
      </c>
    </row>
    <row r="11" spans="2:26" x14ac:dyDescent="0.3">
      <c r="B11" s="1">
        <v>0.8</v>
      </c>
      <c r="C11" s="1">
        <v>1.3551</v>
      </c>
      <c r="D11" s="1">
        <v>1.3658999999999999</v>
      </c>
      <c r="E11">
        <v>33</v>
      </c>
      <c r="F11" s="1">
        <f>273.15+84</f>
        <v>357.15</v>
      </c>
      <c r="G11" s="1">
        <f>77.1+273.15</f>
        <v>350.25</v>
      </c>
      <c r="H11" s="1">
        <v>40</v>
      </c>
      <c r="I11" s="3">
        <v>37.44</v>
      </c>
      <c r="J11" s="5">
        <f>H11/I11</f>
        <v>1.0683760683760684</v>
      </c>
      <c r="L11" s="5">
        <v>0.8</v>
      </c>
      <c r="M11" s="6">
        <v>8</v>
      </c>
      <c r="N11" s="5">
        <f>1-O11</f>
        <v>0.61166666666666869</v>
      </c>
      <c r="O11" s="5">
        <f>(D11-1.3426)/0.06</f>
        <v>0.38833333333333131</v>
      </c>
      <c r="P11" s="5">
        <f>(C11-1.3426)/0.06</f>
        <v>0.20833333333333259</v>
      </c>
      <c r="Q11" s="5">
        <f t="shared" si="1"/>
        <v>0.79166666666666741</v>
      </c>
      <c r="R11" s="5">
        <f>10^(M17-(M18/(M19+F11)))</f>
        <v>1.2641816676163871</v>
      </c>
      <c r="S11" s="5">
        <f>10^(N17-(N18/(N19+F11)))</f>
        <v>0.55582080949881674</v>
      </c>
      <c r="T11" s="5">
        <f>10^(M17-(M18/(M19+F11)))</f>
        <v>1.2641816676163871</v>
      </c>
      <c r="U11" s="5">
        <f>10^(N17-(N18/(N19+G11)))</f>
        <v>0.42073855763015716</v>
      </c>
      <c r="V11" s="5">
        <f t="shared" si="2"/>
        <v>2.2744410536847277</v>
      </c>
      <c r="W11" s="5">
        <f t="shared" si="3"/>
        <v>3.0046727229778729</v>
      </c>
      <c r="X11" s="5">
        <f t="shared" si="4"/>
        <v>2.614182662712679</v>
      </c>
      <c r="Y11" s="5">
        <f t="shared" si="5"/>
        <v>-8.3535766224613672E-2</v>
      </c>
      <c r="Z11" s="5">
        <f t="shared" si="6"/>
        <v>1.044197077807671</v>
      </c>
    </row>
    <row r="12" spans="2:26" x14ac:dyDescent="0.3">
      <c r="B12" s="1">
        <v>0.9</v>
      </c>
      <c r="C12" s="1">
        <v>1.3548</v>
      </c>
      <c r="D12" s="1">
        <v>1.3649</v>
      </c>
      <c r="E12" s="1">
        <v>27</v>
      </c>
      <c r="F12" s="1">
        <f>273.15+84.2</f>
        <v>357.34999999999997</v>
      </c>
      <c r="G12" s="1">
        <f>273.15+77.4</f>
        <v>350.54999999999995</v>
      </c>
      <c r="H12" s="1">
        <v>40</v>
      </c>
      <c r="I12" s="3">
        <v>33.31</v>
      </c>
      <c r="J12" s="6">
        <f>H12/I12</f>
        <v>1.2008405884118882</v>
      </c>
      <c r="L12" s="5">
        <v>0.9</v>
      </c>
      <c r="M12" s="5">
        <v>8</v>
      </c>
      <c r="N12" s="5">
        <f>1-O12</f>
        <v>0.62833333333333352</v>
      </c>
      <c r="O12" s="5">
        <f>(D12-1.3426)/0.06</f>
        <v>0.37166666666666648</v>
      </c>
      <c r="P12" s="5">
        <f>(C12-1.3426)/0.06</f>
        <v>0.20333333333333314</v>
      </c>
      <c r="Q12" s="5">
        <f>1-P12</f>
        <v>0.79666666666666686</v>
      </c>
      <c r="R12" s="5">
        <f>10^(M17-(M18/(M19+F12)))</f>
        <v>1.2738518786373454</v>
      </c>
      <c r="S12" s="5">
        <f>10^(N17-(N18/(N19+F12)))</f>
        <v>0.56022175700617882</v>
      </c>
      <c r="T12" s="5">
        <f>10^(M17-(M18/(M19+F12)))</f>
        <v>1.2738518786373454</v>
      </c>
      <c r="U12" s="5">
        <f>10^(N17-(N18/(N19+G12)))</f>
        <v>0.42597450702200618</v>
      </c>
      <c r="V12" s="5">
        <f t="shared" si="2"/>
        <v>2.2738350710347293</v>
      </c>
      <c r="W12" s="5">
        <f t="shared" si="3"/>
        <v>2.9904415819220307</v>
      </c>
      <c r="X12" s="5">
        <f t="shared" si="4"/>
        <v>2.6076370427754871</v>
      </c>
      <c r="Y12" s="5">
        <f t="shared" si="5"/>
        <v>-0.12304123646681664</v>
      </c>
      <c r="Z12" s="5">
        <f t="shared" si="6"/>
        <v>1.5380154558352079</v>
      </c>
    </row>
    <row r="13" spans="2:26" x14ac:dyDescent="0.3">
      <c r="B13" s="1">
        <v>1</v>
      </c>
      <c r="C13" s="1">
        <v>1.3542000000000001</v>
      </c>
      <c r="D13" s="1">
        <v>1.3646</v>
      </c>
      <c r="E13" s="1">
        <v>23</v>
      </c>
      <c r="F13" s="1">
        <v>357.35</v>
      </c>
      <c r="G13" s="1">
        <f>273.15+78.1</f>
        <v>351.25</v>
      </c>
      <c r="H13" s="1">
        <v>40</v>
      </c>
      <c r="I13" s="3">
        <v>30.75</v>
      </c>
      <c r="J13" s="5">
        <f>H13/I13</f>
        <v>1.3008130081300813</v>
      </c>
      <c r="L13" s="5">
        <v>1</v>
      </c>
      <c r="M13" s="6">
        <v>8</v>
      </c>
      <c r="N13" s="5">
        <f>1-O13</f>
        <v>0.63333333333333297</v>
      </c>
      <c r="O13" s="5">
        <f>(D13-1.3426)/0.06</f>
        <v>0.36666666666666703</v>
      </c>
      <c r="P13" s="5">
        <f>(C13-1.3426)/0.06</f>
        <v>0.19333333333333425</v>
      </c>
      <c r="Q13" s="5">
        <f>1-P13</f>
        <v>0.80666666666666575</v>
      </c>
      <c r="R13" s="5">
        <f>10^(M17-(M18/(M19+F13)))</f>
        <v>1.2738518786373481</v>
      </c>
      <c r="S13" s="5">
        <f>10^(N17-(N18/(N19+F13)))</f>
        <v>0.56022175700617993</v>
      </c>
      <c r="T13" s="5">
        <f>10^(M17-(M18/(M19+F13)))</f>
        <v>1.2738518786373481</v>
      </c>
      <c r="U13" s="5">
        <f>10^(N17-(N18/(N19+G13)))</f>
        <v>0.43840512625904793</v>
      </c>
      <c r="V13" s="5">
        <f t="shared" si="2"/>
        <v>2.2738350710347293</v>
      </c>
      <c r="W13" s="5">
        <f t="shared" si="3"/>
        <v>2.9056500536552701</v>
      </c>
      <c r="X13" s="5">
        <f t="shared" si="4"/>
        <v>2.5704024969166399</v>
      </c>
      <c r="Y13" s="5">
        <f t="shared" si="5"/>
        <v>-6.5791715033028497E-2</v>
      </c>
      <c r="Z13" s="5">
        <f t="shared" si="6"/>
        <v>0.82239643791285622</v>
      </c>
    </row>
    <row r="15" spans="2:26" x14ac:dyDescent="0.3">
      <c r="B15" s="7" t="s">
        <v>14</v>
      </c>
      <c r="F15" s="9" t="s">
        <v>13</v>
      </c>
      <c r="G15" s="10"/>
      <c r="H15" s="10"/>
      <c r="I15" s="10"/>
      <c r="L15" s="7" t="s">
        <v>40</v>
      </c>
    </row>
    <row r="16" spans="2:26" x14ac:dyDescent="0.3">
      <c r="C16" s="5" t="s">
        <v>16</v>
      </c>
      <c r="D16" s="5" t="s">
        <v>17</v>
      </c>
      <c r="F16" s="5" t="s">
        <v>8</v>
      </c>
      <c r="G16" s="5" t="s">
        <v>9</v>
      </c>
      <c r="H16" s="5" t="s">
        <v>10</v>
      </c>
      <c r="I16" s="5" t="s">
        <v>11</v>
      </c>
      <c r="J16" s="6" t="s">
        <v>26</v>
      </c>
      <c r="M16" s="5" t="s">
        <v>41</v>
      </c>
      <c r="N16" s="5" t="s">
        <v>17</v>
      </c>
    </row>
    <row r="17" spans="2:14" x14ac:dyDescent="0.3">
      <c r="B17" s="5" t="s">
        <v>15</v>
      </c>
      <c r="C17" s="5">
        <v>46.07</v>
      </c>
      <c r="D17" s="5">
        <v>18</v>
      </c>
      <c r="F17" s="5">
        <v>0</v>
      </c>
      <c r="G17" s="5">
        <v>1.3332999999999999</v>
      </c>
      <c r="H17" s="5">
        <v>1.3331</v>
      </c>
      <c r="I17" s="5">
        <v>1.3331</v>
      </c>
      <c r="J17" s="5">
        <f>STDEV(G17:I17)</f>
        <v>1.1547005383791244E-4</v>
      </c>
      <c r="L17" s="5" t="s">
        <v>50</v>
      </c>
      <c r="M17" s="5">
        <v>5.2467699999999997</v>
      </c>
      <c r="N17" s="5">
        <v>5.0835400000000002</v>
      </c>
    </row>
    <row r="18" spans="2:14" x14ac:dyDescent="0.3">
      <c r="B18" s="5" t="s">
        <v>18</v>
      </c>
      <c r="C18" s="5">
        <v>798</v>
      </c>
      <c r="D18" s="5">
        <v>1000</v>
      </c>
      <c r="F18" s="5">
        <v>10</v>
      </c>
      <c r="G18" s="5">
        <v>1.3403</v>
      </c>
      <c r="H18" s="5">
        <v>1.3401000000000001</v>
      </c>
      <c r="I18" s="11">
        <v>1.34</v>
      </c>
      <c r="J18" s="5">
        <f t="shared" ref="J18:J24" si="7">STDEV(G18:I18)</f>
        <v>1.5275252316517785E-4</v>
      </c>
      <c r="L18" s="5" t="s">
        <v>51</v>
      </c>
      <c r="M18" s="5">
        <v>1598.673</v>
      </c>
      <c r="N18" s="5">
        <v>1663.125</v>
      </c>
    </row>
    <row r="19" spans="2:14" x14ac:dyDescent="0.3">
      <c r="F19" s="5">
        <v>20</v>
      </c>
      <c r="G19" s="5">
        <v>1.3445</v>
      </c>
      <c r="H19" s="5">
        <v>1.3448</v>
      </c>
      <c r="I19" s="8">
        <v>1.3448</v>
      </c>
      <c r="J19" s="5">
        <f t="shared" si="7"/>
        <v>1.7320508075686865E-4</v>
      </c>
      <c r="L19" s="5" t="s">
        <v>52</v>
      </c>
      <c r="M19" s="5">
        <v>-46.423999999999999</v>
      </c>
      <c r="N19" s="5">
        <v>-45.622</v>
      </c>
    </row>
    <row r="20" spans="2:14" x14ac:dyDescent="0.3">
      <c r="F20" s="5">
        <v>30</v>
      </c>
      <c r="G20" s="5">
        <v>1.3524</v>
      </c>
      <c r="H20" s="5">
        <v>1.3522000000000001</v>
      </c>
      <c r="I20" s="5">
        <v>1.3521000000000001</v>
      </c>
      <c r="J20" s="5">
        <f t="shared" si="7"/>
        <v>1.5275252316517785E-4</v>
      </c>
    </row>
    <row r="21" spans="2:14" x14ac:dyDescent="0.3">
      <c r="F21" s="5">
        <v>40</v>
      </c>
      <c r="G21" s="5">
        <v>1.3556999999999999</v>
      </c>
      <c r="H21" s="5">
        <v>1.3556999999999999</v>
      </c>
      <c r="I21" s="5">
        <v>1.3559000000000001</v>
      </c>
      <c r="J21" s="5">
        <f t="shared" si="7"/>
        <v>1.1547005383804064E-4</v>
      </c>
      <c r="L21" s="7" t="s">
        <v>47</v>
      </c>
    </row>
    <row r="22" spans="2:14" x14ac:dyDescent="0.3">
      <c r="F22" s="5">
        <v>50</v>
      </c>
      <c r="G22" s="5">
        <v>1.3584000000000001</v>
      </c>
      <c r="H22" s="5">
        <v>1.3583000000000001</v>
      </c>
      <c r="I22" s="5">
        <v>1.3584000000000001</v>
      </c>
      <c r="J22" s="5">
        <f t="shared" si="7"/>
        <v>5.7735026918956222E-5</v>
      </c>
      <c r="M22" s="5" t="s">
        <v>48</v>
      </c>
      <c r="N22" s="5" t="s">
        <v>49</v>
      </c>
    </row>
    <row r="23" spans="2:14" x14ac:dyDescent="0.3">
      <c r="F23" s="5">
        <v>60</v>
      </c>
      <c r="G23" s="5">
        <v>1.3609</v>
      </c>
      <c r="H23" s="5">
        <v>1.3609</v>
      </c>
      <c r="I23" s="5">
        <v>1.3607</v>
      </c>
      <c r="J23" s="5">
        <f t="shared" si="7"/>
        <v>1.1547005383791243E-4</v>
      </c>
      <c r="M23" s="5">
        <f>LOG10(H9/I9)</f>
        <v>-3.5829825252828101E-2</v>
      </c>
      <c r="N23" s="5">
        <f>LOG10(E9*9.81)</f>
        <v>2.4687902620996112</v>
      </c>
    </row>
    <row r="24" spans="2:14" x14ac:dyDescent="0.3">
      <c r="F24" s="5">
        <v>70</v>
      </c>
      <c r="G24" s="5">
        <v>1.3626</v>
      </c>
      <c r="H24" s="5">
        <v>1.3627</v>
      </c>
      <c r="I24" s="5">
        <v>1.3626</v>
      </c>
      <c r="J24" s="5">
        <f t="shared" si="7"/>
        <v>5.7735026918956222E-5</v>
      </c>
      <c r="M24" s="5">
        <f t="shared" ref="M24:M27" si="8">LOG10(H10/I10)</f>
        <v>-5.2638985331170597E-2</v>
      </c>
      <c r="N24" s="5">
        <f t="shared" ref="N24:N27" si="9">LOG10(E10*9.81)</f>
        <v>2.4066423553507663</v>
      </c>
    </row>
    <row r="25" spans="2:14" x14ac:dyDescent="0.3">
      <c r="M25" s="5">
        <f t="shared" si="8"/>
        <v>2.8724151261894763E-2</v>
      </c>
      <c r="N25" s="5">
        <f t="shared" si="9"/>
        <v>2.5101829472578361</v>
      </c>
    </row>
    <row r="26" spans="2:14" x14ac:dyDescent="0.3">
      <c r="M26" s="5">
        <f t="shared" si="8"/>
        <v>7.9485358636785561E-2</v>
      </c>
      <c r="N26" s="5">
        <f t="shared" si="9"/>
        <v>2.4230327715389359</v>
      </c>
    </row>
    <row r="27" spans="2:14" x14ac:dyDescent="0.3">
      <c r="M27" s="5">
        <f t="shared" si="8"/>
        <v>0.11421487121652683</v>
      </c>
      <c r="N27" s="5">
        <f t="shared" si="9"/>
        <v>2.3533968433975416</v>
      </c>
    </row>
    <row r="28" spans="2:14" x14ac:dyDescent="0.3">
      <c r="B28" s="7" t="s">
        <v>23</v>
      </c>
      <c r="G28" s="7" t="s">
        <v>24</v>
      </c>
    </row>
    <row r="29" spans="2:14" x14ac:dyDescent="0.3">
      <c r="B29" s="5" t="s">
        <v>19</v>
      </c>
      <c r="C29" s="5" t="s">
        <v>20</v>
      </c>
      <c r="D29" s="5" t="s">
        <v>21</v>
      </c>
      <c r="E29" s="5" t="s">
        <v>22</v>
      </c>
      <c r="G29" s="5" t="s">
        <v>19</v>
      </c>
      <c r="H29" s="5" t="s">
        <v>20</v>
      </c>
      <c r="I29" s="5" t="s">
        <v>21</v>
      </c>
      <c r="J29" s="5" t="s">
        <v>22</v>
      </c>
    </row>
    <row r="30" spans="2:14" x14ac:dyDescent="0.3">
      <c r="B30" s="5">
        <f>1*10^-7</f>
        <v>9.9999999999999995E-8</v>
      </c>
      <c r="C30" s="5">
        <f>B30*C18</f>
        <v>7.9800000000000002E-5</v>
      </c>
      <c r="D30" s="5">
        <f>C30*1000</f>
        <v>7.9799999999999996E-2</v>
      </c>
      <c r="E30" s="5">
        <f>D30/C17</f>
        <v>1.7321467332320382E-3</v>
      </c>
      <c r="G30" s="5">
        <f>9*10^-7</f>
        <v>8.9999999999999996E-7</v>
      </c>
      <c r="H30" s="5">
        <f>G30*1000</f>
        <v>8.9999999999999998E-4</v>
      </c>
      <c r="I30" s="5">
        <f>H30*1000</f>
        <v>0.9</v>
      </c>
      <c r="J30" s="5">
        <f>I30/18</f>
        <v>0.05</v>
      </c>
    </row>
    <row r="31" spans="2:14" x14ac:dyDescent="0.3">
      <c r="B31" s="5">
        <f>2*10^-7</f>
        <v>1.9999999999999999E-7</v>
      </c>
      <c r="C31" s="5">
        <f>C18*B31</f>
        <v>1.596E-4</v>
      </c>
      <c r="D31" s="5">
        <f t="shared" ref="D31:D36" si="10">C31*1000</f>
        <v>0.15959999999999999</v>
      </c>
      <c r="E31" s="5">
        <f>D31/C17</f>
        <v>3.4642934664640764E-3</v>
      </c>
      <c r="G31" s="5">
        <f>8*10^-7</f>
        <v>7.9999999999999996E-7</v>
      </c>
      <c r="H31" s="5">
        <f t="shared" ref="H31:I36" si="11">G31*1000</f>
        <v>7.9999999999999993E-4</v>
      </c>
      <c r="I31" s="5">
        <f t="shared" si="11"/>
        <v>0.79999999999999993</v>
      </c>
      <c r="J31" s="5">
        <f t="shared" ref="J31:J36" si="12">I31/18</f>
        <v>4.4444444444444439E-2</v>
      </c>
    </row>
    <row r="32" spans="2:14" x14ac:dyDescent="0.3">
      <c r="B32" s="5">
        <f>3*10^-7</f>
        <v>2.9999999999999999E-7</v>
      </c>
      <c r="C32" s="5">
        <f>C18*B32</f>
        <v>2.3939999999999999E-4</v>
      </c>
      <c r="D32" s="5">
        <f t="shared" si="10"/>
        <v>0.2394</v>
      </c>
      <c r="E32" s="5">
        <f>D32/C17</f>
        <v>5.1964401996961148E-3</v>
      </c>
      <c r="G32" s="5">
        <f>7*10^-7</f>
        <v>6.9999999999999997E-7</v>
      </c>
      <c r="H32" s="5">
        <f t="shared" si="11"/>
        <v>6.9999999999999999E-4</v>
      </c>
      <c r="I32" s="5">
        <f t="shared" si="11"/>
        <v>0.7</v>
      </c>
      <c r="J32" s="5">
        <f t="shared" si="12"/>
        <v>3.888888888888889E-2</v>
      </c>
    </row>
    <row r="33" spans="2:10" x14ac:dyDescent="0.3">
      <c r="B33" s="5">
        <f>4*10^-7</f>
        <v>3.9999999999999998E-7</v>
      </c>
      <c r="C33" s="5">
        <f>C18*B33</f>
        <v>3.1920000000000001E-4</v>
      </c>
      <c r="D33" s="5">
        <f t="shared" si="10"/>
        <v>0.31919999999999998</v>
      </c>
      <c r="E33" s="5">
        <f>D33/C17</f>
        <v>6.9285869329281527E-3</v>
      </c>
      <c r="G33" s="5">
        <f>6*10^-7</f>
        <v>5.9999999999999997E-7</v>
      </c>
      <c r="H33" s="5">
        <f t="shared" si="11"/>
        <v>5.9999999999999995E-4</v>
      </c>
      <c r="I33" s="5">
        <f t="shared" si="11"/>
        <v>0.6</v>
      </c>
      <c r="J33" s="5">
        <f t="shared" si="12"/>
        <v>3.3333333333333333E-2</v>
      </c>
    </row>
    <row r="34" spans="2:10" x14ac:dyDescent="0.3">
      <c r="B34" s="5">
        <f>5*10^-7</f>
        <v>4.9999999999999998E-7</v>
      </c>
      <c r="C34" s="5">
        <f>C18*B34</f>
        <v>3.9899999999999999E-4</v>
      </c>
      <c r="D34" s="5">
        <f t="shared" si="10"/>
        <v>0.39900000000000002</v>
      </c>
      <c r="E34" s="5">
        <f>D34/C17</f>
        <v>8.6607336661601916E-3</v>
      </c>
      <c r="G34" s="5">
        <f>5*10^-7</f>
        <v>4.9999999999999998E-7</v>
      </c>
      <c r="H34" s="5">
        <f t="shared" si="11"/>
        <v>5.0000000000000001E-4</v>
      </c>
      <c r="I34" s="5">
        <f t="shared" si="11"/>
        <v>0.5</v>
      </c>
      <c r="J34" s="5">
        <f t="shared" si="12"/>
        <v>2.7777777777777776E-2</v>
      </c>
    </row>
    <row r="35" spans="2:10" x14ac:dyDescent="0.3">
      <c r="B35" s="5">
        <f>6*10^-7</f>
        <v>5.9999999999999997E-7</v>
      </c>
      <c r="C35" s="5">
        <f>C18*B35</f>
        <v>4.7879999999999998E-4</v>
      </c>
      <c r="D35" s="5">
        <f t="shared" si="10"/>
        <v>0.4788</v>
      </c>
      <c r="E35" s="5">
        <f>D35/C17</f>
        <v>1.039288039939223E-2</v>
      </c>
      <c r="G35" s="5">
        <f>4*10^-7</f>
        <v>3.9999999999999998E-7</v>
      </c>
      <c r="H35" s="5">
        <f t="shared" si="11"/>
        <v>3.9999999999999996E-4</v>
      </c>
      <c r="I35" s="5">
        <f t="shared" si="11"/>
        <v>0.39999999999999997</v>
      </c>
      <c r="J35" s="5">
        <f t="shared" si="12"/>
        <v>2.222222222222222E-2</v>
      </c>
    </row>
    <row r="36" spans="2:10" x14ac:dyDescent="0.3">
      <c r="B36" s="5">
        <f>7*10^-7</f>
        <v>6.9999999999999997E-7</v>
      </c>
      <c r="C36" s="5">
        <f>C18*B36</f>
        <v>5.5860000000000003E-4</v>
      </c>
      <c r="D36" s="5">
        <f t="shared" si="10"/>
        <v>0.55859999999999999</v>
      </c>
      <c r="E36" s="5">
        <f>D36/C17</f>
        <v>1.2125027132624267E-2</v>
      </c>
      <c r="G36" s="5">
        <f>3*10^-7</f>
        <v>2.9999999999999999E-7</v>
      </c>
      <c r="H36" s="5">
        <f t="shared" si="11"/>
        <v>2.9999999999999997E-4</v>
      </c>
      <c r="I36" s="5">
        <f t="shared" si="11"/>
        <v>0.3</v>
      </c>
      <c r="J36" s="5">
        <f t="shared" si="12"/>
        <v>1.6666666666666666E-2</v>
      </c>
    </row>
    <row r="38" spans="2:10" x14ac:dyDescent="0.3">
      <c r="I38" s="7" t="s">
        <v>25</v>
      </c>
    </row>
    <row r="39" spans="2:10" x14ac:dyDescent="0.3">
      <c r="I39" s="6" t="s">
        <v>7</v>
      </c>
      <c r="J39" s="6" t="s">
        <v>30</v>
      </c>
    </row>
    <row r="40" spans="2:10" x14ac:dyDescent="0.3">
      <c r="I40" s="5">
        <v>0</v>
      </c>
      <c r="J40" s="5">
        <f t="shared" ref="J40:J47" si="13">(G17+H17+I17)/3</f>
        <v>1.3331666666666666</v>
      </c>
    </row>
    <row r="41" spans="2:10" x14ac:dyDescent="0.3">
      <c r="I41" s="5">
        <f t="shared" ref="I41:I47" si="14">E30/(E30+J30)*100</f>
        <v>3.3482985776024834</v>
      </c>
      <c r="J41" s="5">
        <f t="shared" si="13"/>
        <v>1.3401333333333334</v>
      </c>
    </row>
    <row r="42" spans="2:10" x14ac:dyDescent="0.3">
      <c r="I42" s="5">
        <f t="shared" si="14"/>
        <v>7.2310263587120689</v>
      </c>
      <c r="J42" s="5">
        <f t="shared" si="13"/>
        <v>1.3447000000000002</v>
      </c>
    </row>
    <row r="43" spans="2:10" x14ac:dyDescent="0.3">
      <c r="I43" s="5">
        <f t="shared" si="14"/>
        <v>11.78723241297438</v>
      </c>
      <c r="J43" s="5">
        <f t="shared" si="13"/>
        <v>1.3522333333333334</v>
      </c>
    </row>
    <row r="44" spans="2:10" x14ac:dyDescent="0.3">
      <c r="I44" s="5">
        <f t="shared" si="14"/>
        <v>17.208784099486039</v>
      </c>
      <c r="J44" s="5">
        <f t="shared" si="13"/>
        <v>1.3557666666666666</v>
      </c>
    </row>
    <row r="45" spans="2:10" x14ac:dyDescent="0.3">
      <c r="I45" s="5">
        <f t="shared" si="14"/>
        <v>23.768077572227554</v>
      </c>
      <c r="J45" s="5">
        <f t="shared" si="13"/>
        <v>1.3583666666666669</v>
      </c>
    </row>
    <row r="46" spans="2:10" x14ac:dyDescent="0.3">
      <c r="I46" s="5">
        <f t="shared" si="14"/>
        <v>31.865238996687179</v>
      </c>
      <c r="J46" s="5">
        <f t="shared" si="13"/>
        <v>1.3608333333333331</v>
      </c>
    </row>
    <row r="47" spans="2:10" x14ac:dyDescent="0.3">
      <c r="I47" s="5">
        <f t="shared" si="14"/>
        <v>42.112934435704773</v>
      </c>
      <c r="J47" s="5">
        <f t="shared" si="13"/>
        <v>1.3626333333333331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Fabi</dc:creator>
  <cp:lastModifiedBy>Baran Anil</cp:lastModifiedBy>
  <dcterms:created xsi:type="dcterms:W3CDTF">2021-10-28T14:46:20Z</dcterms:created>
  <dcterms:modified xsi:type="dcterms:W3CDTF">2021-11-04T09:04:01Z</dcterms:modified>
</cp:coreProperties>
</file>