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8949F8BF-EF90-4547-834E-9F6A49E987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definedNames>
    <definedName name="micromultiplier">Overall!$C$10</definedName>
    <definedName name="unit">Overall!$B$10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I15" i="4"/>
  <c r="I16" i="4"/>
  <c r="I17" i="4"/>
  <c r="I18" i="4"/>
  <c r="I19" i="4"/>
  <c r="B23" i="4"/>
  <c r="E15" i="4"/>
  <c r="E16" i="4"/>
  <c r="E17" i="4"/>
  <c r="E18" i="4"/>
  <c r="E19" i="4"/>
  <c r="F15" i="4"/>
  <c r="F16" i="4"/>
  <c r="F17" i="4"/>
  <c r="F18" i="4"/>
  <c r="F19" i="4"/>
  <c r="B31" i="1"/>
  <c r="B32" i="1"/>
  <c r="B33" i="1"/>
  <c r="B34" i="1"/>
  <c r="B35" i="1"/>
  <c r="B36" i="1"/>
  <c r="B37" i="1"/>
  <c r="B38" i="1"/>
  <c r="B39" i="1"/>
  <c r="B40" i="1"/>
  <c r="G33" i="4"/>
  <c r="B41" i="1" s="1"/>
  <c r="C10" i="1"/>
  <c r="G16" i="1" s="1"/>
  <c r="D18" i="1"/>
  <c r="D17" i="1"/>
  <c r="D16" i="1"/>
  <c r="H15" i="1"/>
  <c r="G15" i="1"/>
  <c r="F15" i="1"/>
  <c r="E15" i="1"/>
  <c r="E14" i="1"/>
  <c r="F20" i="4" l="1"/>
  <c r="E16" i="1"/>
  <c r="F16" i="1" s="1"/>
  <c r="E17" i="1"/>
  <c r="F17" i="1" s="1"/>
  <c r="G18" i="1"/>
  <c r="H18" i="1" s="1"/>
  <c r="E18" i="1"/>
  <c r="F18" i="1" s="1"/>
  <c r="G17" i="1"/>
  <c r="H17" i="1" s="1"/>
  <c r="L16" i="1"/>
  <c r="C28" i="1"/>
  <c r="D28" i="1"/>
  <c r="E28" i="1"/>
  <c r="B28" i="1"/>
  <c r="C26" i="1"/>
  <c r="D26" i="1"/>
  <c r="B26" i="1"/>
  <c r="H20" i="4"/>
  <c r="I20" i="4" s="1"/>
  <c r="D20" i="4"/>
  <c r="E20" i="4" s="1"/>
  <c r="C20" i="4"/>
  <c r="G15" i="4"/>
  <c r="G20" i="4" s="1"/>
  <c r="E27" i="1"/>
  <c r="E26" i="1"/>
  <c r="C27" i="1"/>
  <c r="D27" i="1"/>
  <c r="B27" i="1"/>
  <c r="C18" i="1"/>
  <c r="C17" i="1"/>
  <c r="C16" i="1"/>
  <c r="J16" i="1" s="1"/>
  <c r="B18" i="1"/>
  <c r="B17" i="1"/>
  <c r="B16" i="1"/>
  <c r="I16" i="1" s="1"/>
  <c r="L24" i="1" l="1"/>
  <c r="J24" i="1"/>
  <c r="J23" i="1"/>
  <c r="K17" i="1"/>
  <c r="M17" i="1" s="1"/>
  <c r="L22" i="1"/>
  <c r="L23" i="1"/>
  <c r="J22" i="1"/>
  <c r="L18" i="1"/>
  <c r="L17" i="1"/>
  <c r="K18" i="1"/>
  <c r="M18" i="1" s="1"/>
  <c r="K22" i="1"/>
  <c r="K24" i="1"/>
  <c r="K16" i="1"/>
  <c r="M16" i="1" s="1"/>
  <c r="J17" i="1"/>
  <c r="J18" i="1"/>
  <c r="I17" i="1"/>
  <c r="I18" i="1"/>
  <c r="K23" i="1" l="1"/>
</calcChain>
</file>

<file path=xl/sharedStrings.xml><?xml version="1.0" encoding="utf-8"?>
<sst xmlns="http://schemas.openxmlformats.org/spreadsheetml/2006/main" count="100" uniqueCount="69">
  <si>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</si>
  <si>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</si>
  <si>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</si>
  <si>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</si>
  <si>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</si>
  <si>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</si>
  <si>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</si>
  <si>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</si>
  <si>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</si>
  <si>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</si>
  <si>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</si>
  <si>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</si>
  <si>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</si>
  <si>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</si>
  <si>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</si>
  <si>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</si>
  <si>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</si>
  <si>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</si>
  <si>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</si>
  <si>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</si>
  <si>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</si>
  <si>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</si>
  <si>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</si>
  <si>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</si>
  <si>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</si>
  <si>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</si>
  <si>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</si>
  <si>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</si>
  <si>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</si>
  <si>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</si>
  <si>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</si>
  <si>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</si>
  <si>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</si>
  <si>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</si>
  <si>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</si>
  <si>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</si>
  <si>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</si>
  <si>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</si>
  <si>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</si>
  <si>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</si>
  <si>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</si>
  <si>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</si>
  <si>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</si>
  <si>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</si>
  <si>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</si>
  <si>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</si>
  <si>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</si>
  <si>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</si>
  <si>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</si>
  <si>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</si>
  <si>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</si>
  <si>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</si>
  <si>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</si>
  <si>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recall_score</t>
  </si>
  <si>
    <t>sensitivity (recall_score)</t>
  </si>
  <si>
    <t>Prediction is 
how many times slower?</t>
  </si>
  <si>
    <t>128-bit security required to match concrete-ml security level</t>
  </si>
  <si>
    <t>Linux Compatibility Layer</t>
  </si>
  <si>
    <t>Windows Subsystem for Linux 2 (using Ubuntu 22.04 LTS)</t>
  </si>
  <si>
    <t>nanoseconds</t>
  </si>
  <si>
    <t>run no.</t>
  </si>
  <si>
    <t>compilation time in seconds</t>
  </si>
  <si>
    <t>compilation time in nanoseconds</t>
  </si>
  <si>
    <t>Percentage Increase vs RSA Ciphertext</t>
  </si>
  <si>
    <t>128-bit security RSA Private Key File Size (in kB)</t>
  </si>
  <si>
    <t>RSA Ciphertext File Size (in kB)</t>
  </si>
  <si>
    <t>Ciphertext File Size (kB)</t>
  </si>
  <si>
    <t>Plaintext File Size (kB)</t>
  </si>
  <si>
    <t>Percentage Increase vs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</si>
</sst>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00000%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7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CFD89E-23B4-4900-868A-D7C63CC3629E}" name="Table10" displayName="Table10" ref="A30:B41" totalsRowShown="0" headerRowDxfId="56" dataDxfId="55">
  <autoFilter ref="A30:B41" xr:uid="{E9CFD89E-23B4-4900-868A-D7C63CC3629E}"/>
  <tableColumns count="2">
    <tableColumn id="1" xr3:uid="{FDD77692-0B2D-40D7-9D09-720C76DC1D39}" name="run no." dataDxfId="54"/>
    <tableColumn id="2" xr3:uid="{BE378DC4-90AA-4B9F-B636-DD04BF9D4413}" name="compilation time in nanoseconds" dataDxfId="53">
      <calculatedColumnFormula>'fhe (+ sizes)'!G23*micromultiplier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52" dataDxfId="51">
  <autoFilter ref="A2:E12" xr:uid="{394116DB-3FC4-462F-A6EA-93CE28E8DEFC}"/>
  <tableColumns count="5">
    <tableColumn id="1" xr3:uid="{CFED003A-DA1B-4CE5-8524-E8936E3DBC3E}" name="accuracy" dataDxfId="50"/>
    <tableColumn id="2" xr3:uid="{E1948511-7D29-400B-AA26-A9E601B91AEC}" name="roc_auc_score" dataDxfId="49"/>
    <tableColumn id="3" xr3:uid="{7A51BA68-3B03-403B-89BD-9395BC2871EB}" name="test_set_prediction_time" dataDxfId="48"/>
    <tableColumn id="4" xr3:uid="{832497D3-116A-4DE3-A927-E67DAAF345F9}" name="training_time" dataDxfId="47"/>
    <tableColumn id="5" xr3:uid="{6BF1096A-6B0A-4B1A-BD35-2A1207399D49}" name="recall_score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45" dataDxfId="44">
  <autoFilter ref="G2:J12" xr:uid="{4BDC63FC-A3D1-4A76-971A-2D7E1A53E2E0}"/>
  <tableColumns count="4">
    <tableColumn id="1" xr3:uid="{590571B2-7F3A-4AB4-82F6-490D3ABC5319}" name="Linear Regression" dataDxfId="43" dataCellStyle="Percent"/>
    <tableColumn id="2" xr3:uid="{07D40D9A-323F-4837-9150-E888FA1F58E4}" name="Random Forest" dataDxfId="42" dataCellStyle="Percent"/>
    <tableColumn id="3" xr3:uid="{852582AB-50FA-439E-807C-CDA24D4C70C4}" name="SVC" dataDxfId="41" dataCellStyle="Percent"/>
    <tableColumn id="4" xr3:uid="{799C5940-B5F5-4EC3-89E0-C94AD8F231A7}" name="Logistic Regression" dataDxfId="40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39" dataDxfId="38">
  <autoFilter ref="A2:E12" xr:uid="{51C47605-6D87-4135-B9CB-CCDCB9C5785B}"/>
  <tableColumns count="5">
    <tableColumn id="1" xr3:uid="{D1463535-C8C0-4CDA-8D2E-CC2600120E02}" name="accuracy" dataDxfId="37"/>
    <tableColumn id="2" xr3:uid="{B5EFEA31-5244-404F-A004-FB2C24EF05C5}" name="roc_auc_score" dataDxfId="36"/>
    <tableColumn id="3" xr3:uid="{4ECC1606-A197-4F05-B01C-AE05A7881542}" name="test_set_prediction_time" dataDxfId="35"/>
    <tableColumn id="4" xr3:uid="{5607816E-855A-4944-AF8F-D298454F5A6B}" name="training_time" dataDxfId="34"/>
    <tableColumn id="5" xr3:uid="{6C282614-58D3-469E-8D4B-11E62AD2B121}" name="recall_score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2" dataDxfId="31">
  <autoFilter ref="G2:J12" xr:uid="{E7F5510B-26CB-48F1-9BD1-CC49FC0D68B6}"/>
  <tableColumns count="4">
    <tableColumn id="1" xr3:uid="{E9413FF7-271E-469E-BCC5-DC52D55F3A3A}" name="Linear Regression" dataDxfId="30" dataCellStyle="Percent"/>
    <tableColumn id="2" xr3:uid="{D6DB89F1-F914-4459-8D10-40E13FB298B0}" name="Random Forest" dataDxfId="29" dataCellStyle="Percent"/>
    <tableColumn id="3" xr3:uid="{C4F7B31F-A9DC-4D0B-B72F-83D8E4B839D1}" name="SVC" dataDxfId="28" dataCellStyle="Percent"/>
    <tableColumn id="4" xr3:uid="{546CB1C7-04D1-48CD-81F4-0F71D956336F}" name="Logistic Regression" dataDxfId="4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27" dataDxfId="26">
  <autoFilter ref="A2:D12" xr:uid="{274CBF2D-66AB-4A51-A1D7-B37000717CE9}"/>
  <tableColumns count="4">
    <tableColumn id="1" xr3:uid="{CF2700D2-A674-464D-946D-1F615B6D91A7}" name="accuracy" dataDxfId="25"/>
    <tableColumn id="2" xr3:uid="{2EA8A39C-2C3A-4F0F-9292-AEF706305A49}" name="roc_auc_score" dataDxfId="24"/>
    <tableColumn id="3" xr3:uid="{C2D54946-E516-44E8-911A-9CDEC9118CD9}" name="test_set_prediction_time" dataDxfId="23"/>
    <tableColumn id="4" xr3:uid="{32534789-56F1-416C-9548-79FD73103C70}" name="recall_score" dataDxfId="22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I20" totalsRowShown="0" headerRowDxfId="21" dataDxfId="20">
  <autoFilter ref="A14:I20" xr:uid="{E5D7C54E-16E1-4754-8032-313998CAF65E}"/>
  <tableColumns count="9">
    <tableColumn id="1" xr3:uid="{E078801A-15C7-4980-8156-8BD235967CEF}" name="Run no." dataDxfId="19"/>
    <tableColumn id="7" xr3:uid="{EFC1765B-5F55-4EA2-8F83-E8A7E7C44F75}" name="Strain" dataDxfId="18"/>
    <tableColumn id="2" xr3:uid="{F62F3C7A-45AD-49AC-B959-B08E20AA523B}" name="Plaintext File Size (kB)" dataDxfId="17"/>
    <tableColumn id="3" xr3:uid="{C782FB93-D156-4C46-B517-3AE650180077}" name="Ciphertext File Size (kB)" dataDxfId="16"/>
    <tableColumn id="10" xr3:uid="{9BA734C7-F6A6-4FCB-BB59-8D1BDD20BF6A}" name="Percentage Increase vs RSA Ciphertext" dataDxfId="15" dataCellStyle="Percent">
      <calculatedColumnFormula>ABS(1-Table4[[#This Row],[Ciphertext File Size (kB)]]/$D$23)</calculatedColumnFormula>
    </tableColumn>
    <tableColumn id="4" xr3:uid="{F4080A86-E0E6-428D-9973-84C9B618A1A8}" name="Percentage Increase vs Plaintext" dataDxfId="14">
      <calculatedColumnFormula>(Table4[[#This Row],[Ciphertext File Size (kB)]]/Table4[[#This Row],[Plaintext File Size (kB)]])*100</calculatedColumnFormula>
    </tableColumn>
    <tableColumn id="5" xr3:uid="{30A9C073-FC8D-4D3E-B3F4-A25F0535FC84}" name="Eval Key Size (kB)" dataDxfId="13">
      <calculatedColumnFormula>0.023</calculatedColumnFormula>
    </tableColumn>
    <tableColumn id="6" xr3:uid="{9EE40A62-0BC7-4513-9103-444B1C53E933}" name="Private Key Size (kB)" dataDxfId="12">
      <calculatedColumnFormula>(Table4[[#This Row],[Run no.]]/Table4[[#This Row],[Percentage Increase vs Plaintext]])*100</calculatedColumnFormula>
    </tableColumn>
    <tableColumn id="8" xr3:uid="{76F80D93-0ED4-416C-92DC-DF581C4F806B}" name="Increase in size vs RSA Standard" dataDxfId="11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0" dataDxfId="9">
  <autoFilter ref="F2:I12" xr:uid="{921BAE21-4B96-4F12-A7A8-47BA9506F67C}"/>
  <tableColumns count="4">
    <tableColumn id="1" xr3:uid="{97A1ECBF-985D-4294-89E3-45BDAA49FAAD}" name="Linear Regression" dataDxfId="2" dataCellStyle="Percent"/>
    <tableColumn id="2" xr3:uid="{F3A1317D-74D5-4E25-BF5E-D8D4B3C2EF7B}" name="Random Forest" dataDxfId="1" dataCellStyle="Percent"/>
    <tableColumn id="3" xr3:uid="{FB9C8954-66F5-4DE2-BE3E-4A8164D0FCB3}" name="SVC" dataDxfId="0" dataCellStyle="Percent"/>
    <tableColumn id="4" xr3:uid="{907A467A-FA21-4927-B99F-EE5170044BB4}" name="Logistic Regression" dataDxfId="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850F0F-1F82-486C-991A-803478B128DC}" name="Table8" displayName="Table8" ref="F22:G33" totalsRowShown="0" headerRowDxfId="8" dataDxfId="7">
  <autoFilter ref="F22:G33" xr:uid="{06850F0F-1F82-486C-991A-803478B128DC}"/>
  <tableColumns count="2">
    <tableColumn id="1" xr3:uid="{E69931A7-7281-4236-B5F1-8FA661C967FE}" name="run no." dataDxfId="6"/>
    <tableColumn id="2" xr3:uid="{8C071A2A-7EC5-49A2-87BF-5DD99FB58EDF}" name="compilation time in seconds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1"/>
  <sheetViews>
    <sheetView tabSelected="1" topLeftCell="A10" zoomScaleNormal="100" workbookViewId="0">
      <selection activeCell="D22" sqref="D22"/>
    </sheetView>
  </sheetViews>
  <sheetFormatPr defaultColWidth="18.5546875" defaultRowHeight="14.4" x14ac:dyDescent="0.3"/>
  <cols>
    <col min="1" max="1" width="33" style="1" bestFit="1" customWidth="1"/>
    <col min="2" max="2" width="33.6640625" style="1" bestFit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37" t="s">
        <v>13</v>
      </c>
      <c r="B3" s="38"/>
      <c r="C3" s="37"/>
      <c r="D3" s="39"/>
      <c r="E3" s="38"/>
      <c r="F3" s="6"/>
      <c r="G3" s="6"/>
      <c r="H3" s="6"/>
      <c r="I3" s="6"/>
      <c r="J3" s="6"/>
      <c r="K3" s="6"/>
    </row>
    <row r="4" spans="1:13" x14ac:dyDescent="0.3">
      <c r="A4" s="32" t="s">
        <v>18</v>
      </c>
      <c r="B4" s="33"/>
      <c r="C4" s="34" t="s">
        <v>19</v>
      </c>
      <c r="D4" s="35"/>
      <c r="E4" s="36"/>
    </row>
    <row r="5" spans="1:13" x14ac:dyDescent="0.3">
      <c r="A5" s="32" t="s">
        <v>57</v>
      </c>
      <c r="B5" s="33"/>
      <c r="C5" s="34" t="s">
        <v>58</v>
      </c>
      <c r="D5" s="35"/>
      <c r="E5" s="36"/>
    </row>
    <row r="6" spans="1:13" x14ac:dyDescent="0.3">
      <c r="A6" s="32" t="s">
        <v>14</v>
      </c>
      <c r="B6" s="33"/>
      <c r="C6" s="34" t="s">
        <v>15</v>
      </c>
      <c r="D6" s="35"/>
      <c r="E6" s="36"/>
    </row>
    <row r="7" spans="1:13" x14ac:dyDescent="0.3">
      <c r="A7" s="32" t="s">
        <v>16</v>
      </c>
      <c r="B7" s="33"/>
      <c r="C7" s="34" t="s">
        <v>17</v>
      </c>
      <c r="D7" s="35"/>
      <c r="E7" s="36"/>
    </row>
    <row r="8" spans="1:13" x14ac:dyDescent="0.3">
      <c r="A8" s="32" t="s">
        <v>20</v>
      </c>
      <c r="B8" s="33"/>
      <c r="C8" s="34" t="s">
        <v>21</v>
      </c>
      <c r="D8" s="35"/>
      <c r="E8" s="36"/>
    </row>
    <row r="10" spans="1:13" ht="28.8" x14ac:dyDescent="0.3">
      <c r="A10" s="19" t="s">
        <v>52</v>
      </c>
      <c r="B10" s="4" t="s">
        <v>59</v>
      </c>
      <c r="C10" s="4">
        <f>IF(ISNUMBER(SEARCH("nano", unit)),1000000000, 1000000)</f>
        <v>1000000000</v>
      </c>
    </row>
    <row r="11" spans="1:13" x14ac:dyDescent="0.3">
      <c r="A11" s="43" t="s">
        <v>22</v>
      </c>
      <c r="B11" s="43"/>
      <c r="C11" s="43"/>
      <c r="D11" s="43"/>
      <c r="E11" s="43"/>
    </row>
    <row r="14" spans="1:13" x14ac:dyDescent="0.3">
      <c r="B14" s="47" t="s">
        <v>4</v>
      </c>
      <c r="C14" s="48"/>
      <c r="D14" s="49"/>
      <c r="E14" s="44" t="str">
        <f xml:space="preserve"> "running time (" &amp; unit &amp; ")"</f>
        <v>running time (nanoseconds)</v>
      </c>
      <c r="F14" s="45"/>
      <c r="G14" s="45"/>
      <c r="H14" s="46"/>
      <c r="I14" s="40" t="s">
        <v>7</v>
      </c>
      <c r="J14" s="41"/>
      <c r="K14" s="41"/>
      <c r="L14" s="41"/>
      <c r="M14" s="42"/>
    </row>
    <row r="15" spans="1:13" ht="28.8" x14ac:dyDescent="0.3">
      <c r="A15" s="18" t="s">
        <v>26</v>
      </c>
      <c r="B15" s="14" t="s">
        <v>3</v>
      </c>
      <c r="C15" s="14" t="s">
        <v>5</v>
      </c>
      <c r="D15" s="21" t="s">
        <v>54</v>
      </c>
      <c r="E15" s="15" t="str">
        <f>"entire test set (" &amp; unit &amp; ")"</f>
        <v>entire test set (nanoseconds)</v>
      </c>
      <c r="F15" s="15" t="str">
        <f>"average per-sample time (" &amp; unit &amp; ")"</f>
        <v>average per-sample time (nanoseconds)</v>
      </c>
      <c r="G15" s="16" t="str">
        <f>"training time (" &amp; unit &amp; ")"</f>
        <v>training time (nanoseconds)</v>
      </c>
      <c r="H15" s="16" t="str">
        <f>"quantization time (" &amp; unit &amp; ")"</f>
        <v>quantization time (nanoseconds)</v>
      </c>
      <c r="I15" s="17" t="s">
        <v>8</v>
      </c>
      <c r="J15" s="17" t="s">
        <v>9</v>
      </c>
      <c r="K15" s="17" t="s">
        <v>46</v>
      </c>
      <c r="L15" s="17" t="s">
        <v>47</v>
      </c>
      <c r="M15" s="25" t="s">
        <v>55</v>
      </c>
    </row>
    <row r="16" spans="1:13" x14ac:dyDescent="0.3">
      <c r="A16" s="14" t="s">
        <v>0</v>
      </c>
      <c r="B16" s="22">
        <f>AVERAGE('scikit-learn'!A3:A21)</f>
        <v>0.99280494659921248</v>
      </c>
      <c r="C16" s="24">
        <f>AVERAGE('scikit-learn'!B3:B12)</f>
        <v>0.99987875679382865</v>
      </c>
      <c r="D16" s="22">
        <f>AVERAGE(Table1[recall_score])/100</f>
        <v>0.9920178999999999</v>
      </c>
      <c r="E16" s="24">
        <f>AVERAGE(Table1[test_set_prediction_time])*micromultiplier</f>
        <v>267052.65045165969</v>
      </c>
      <c r="F16" s="24">
        <f>E16/$A$21</f>
        <v>150.1139125641707</v>
      </c>
      <c r="G16" s="24">
        <f>AVERAGE(Table1[training_time])*micromultiplier</f>
        <v>95986247.062682837</v>
      </c>
      <c r="H16" s="24" t="s">
        <v>40</v>
      </c>
      <c r="I16" s="23">
        <f>ABS(B16-$B$16)</f>
        <v>0</v>
      </c>
      <c r="J16" s="23">
        <f>ABS(1-C16/$C$16)</f>
        <v>0</v>
      </c>
      <c r="K16" s="23">
        <f>ABS(1-E16/$E$16)</f>
        <v>0</v>
      </c>
      <c r="L16" s="23">
        <f>ABS(1-(G16/$G$16))</f>
        <v>0</v>
      </c>
      <c r="M16" s="12" t="str">
        <f xml:space="preserve"> ROUND((K16),2) &amp; "x slower"</f>
        <v>0x slower</v>
      </c>
    </row>
    <row r="17" spans="1:13" x14ac:dyDescent="0.3">
      <c r="A17" s="14" t="s">
        <v>1</v>
      </c>
      <c r="B17" s="22">
        <f>AVERAGE('quantized plaintext'!A3:A12)</f>
        <v>0.99252388982574458</v>
      </c>
      <c r="C17" s="24">
        <f>AVERAGE('quantized plaintext'!B3:B12)</f>
        <v>0.99987700524278522</v>
      </c>
      <c r="D17" s="22">
        <f>AVERAGE(Table2[recall_score])/100</f>
        <v>0.99213029999999991</v>
      </c>
      <c r="E17" s="24">
        <f>AVERAGE(Table2[test_set_prediction_time])*micromultiplier</f>
        <v>819325.44708251744</v>
      </c>
      <c r="F17" s="24">
        <f t="shared" ref="F17:F18" si="0">E17/$A$21</f>
        <v>460.55393315487208</v>
      </c>
      <c r="G17" s="24">
        <f>AVERAGE(Table2[training_time])*micromultiplier</f>
        <v>115684342.3843382</v>
      </c>
      <c r="H17" s="24">
        <f>G17-$G$16</f>
        <v>19698095.321655363</v>
      </c>
      <c r="I17" s="23">
        <f>ABS(B17-$B$16)</f>
        <v>2.8105677346790259E-4</v>
      </c>
      <c r="J17" s="23">
        <f>ABS(1-C17/$C$16)</f>
        <v>1.7517634328667597E-6</v>
      </c>
      <c r="K17" s="23">
        <f>ABS(1-E17/$E$16)</f>
        <v>2.068029640210693</v>
      </c>
      <c r="L17" s="23">
        <f>ABS(1-(G17/$G$16))</f>
        <v>0.20521789240068666</v>
      </c>
      <c r="M17" s="12" t="str">
        <f t="shared" ref="M17:M18" si="1" xml:space="preserve"> ROUND((K17),2) &amp; "x slower"</f>
        <v>2.07x slower</v>
      </c>
    </row>
    <row r="18" spans="1:13" x14ac:dyDescent="0.3">
      <c r="A18" s="14" t="s">
        <v>2</v>
      </c>
      <c r="B18" s="22">
        <f>AVERAGE('fhe (+ sizes)'!A3:A12)</f>
        <v>0.99252388982574458</v>
      </c>
      <c r="C18" s="24">
        <f>AVERAGE('fhe (+ sizes)'!B3:B12)</f>
        <v>0.99987700524278522</v>
      </c>
      <c r="D18" s="22">
        <f>AVERAGE(Table3[recall_score])/100</f>
        <v>0.99213029999999991</v>
      </c>
      <c r="E18" s="24">
        <f>AVERAGE(Table3[test_set_prediction_time])*micromultiplier</f>
        <v>955438.61389159935</v>
      </c>
      <c r="F18" s="24">
        <f t="shared" si="0"/>
        <v>537.06498813468204</v>
      </c>
      <c r="G18" s="24">
        <f>AVERAGE(Table2[training_time])*micromultiplier</f>
        <v>115684342.3843382</v>
      </c>
      <c r="H18" s="24">
        <f>G18-$G$16</f>
        <v>19698095.321655363</v>
      </c>
      <c r="I18" s="23">
        <f>ABS(B18-$B$16)</f>
        <v>2.8105677346790259E-4</v>
      </c>
      <c r="J18" s="23">
        <f>ABS(1-C18/$C$16)</f>
        <v>1.7517634328667597E-6</v>
      </c>
      <c r="K18" s="23">
        <f>ABS(1-E18/$E$16)</f>
        <v>2.5777162753325578</v>
      </c>
      <c r="L18" s="23">
        <f>ABS(1-(G18/$G$16))</f>
        <v>0.20521789240068666</v>
      </c>
      <c r="M18" s="12" t="str">
        <f t="shared" si="1"/>
        <v>2.58x slower</v>
      </c>
    </row>
    <row r="20" spans="1:13" x14ac:dyDescent="0.3">
      <c r="A20" s="3" t="s">
        <v>12</v>
      </c>
    </row>
    <row r="21" spans="1:13" x14ac:dyDescent="0.3">
      <c r="A21" s="4">
        <v>1779</v>
      </c>
      <c r="I21" s="8" t="s">
        <v>41</v>
      </c>
      <c r="J21" s="9" t="s">
        <v>11</v>
      </c>
      <c r="K21" s="9" t="s">
        <v>42</v>
      </c>
      <c r="L21" s="9" t="s">
        <v>48</v>
      </c>
      <c r="M21" s="7"/>
    </row>
    <row r="22" spans="1:13" x14ac:dyDescent="0.3">
      <c r="A22" s="3" t="s">
        <v>23</v>
      </c>
      <c r="I22" s="8" t="s">
        <v>43</v>
      </c>
      <c r="J22" s="1" t="str">
        <f>ROUND(ABS(1-(E17/$E$16)),2) &amp; "x slower"</f>
        <v>2.07x slower</v>
      </c>
      <c r="K22" s="1" t="str">
        <f>ROUND(ABS(1-(F17/$F$16)),2) &amp; "x slower"</f>
        <v>2.07x slower</v>
      </c>
      <c r="L22" s="1" t="str">
        <f>ROUND(ABS(1-(G17/$G$16)),2) &amp; "x slower"</f>
        <v>0.21x slower</v>
      </c>
    </row>
    <row r="23" spans="1:13" x14ac:dyDescent="0.3">
      <c r="A23" s="4" t="s">
        <v>24</v>
      </c>
      <c r="I23" s="8" t="s">
        <v>44</v>
      </c>
      <c r="J23" s="1" t="str">
        <f>ROUND(ABS(1-(E18/$E$16)),2) &amp; "x slower"</f>
        <v>2.58x slower</v>
      </c>
      <c r="K23" s="1" t="str">
        <f>ROUND(ABS(1-(F18/$F$16)),2) &amp; "x slower"</f>
        <v>2.58x slower</v>
      </c>
      <c r="L23" s="1" t="str">
        <f>ROUND(ABS(1-(G18/$G$16)),2) &amp; "x slower"</f>
        <v>0.21x slower</v>
      </c>
    </row>
    <row r="24" spans="1:13" x14ac:dyDescent="0.3">
      <c r="I24" s="8" t="s">
        <v>45</v>
      </c>
      <c r="J24" s="1" t="str">
        <f>ROUND(ABS(1-(E18/$E$17)),2) &amp; "x slower"</f>
        <v>0.17x slower</v>
      </c>
      <c r="K24" s="1" t="str">
        <f>ROUND(ABS(1-(F18/$F$17)),2) &amp; "x slower"</f>
        <v>0.17x slower</v>
      </c>
      <c r="L24" s="1" t="str">
        <f>ROUND(ABS(1-(G18/$G$17)),2) &amp; "x slower"</f>
        <v>0x slower</v>
      </c>
    </row>
    <row r="25" spans="1:13" x14ac:dyDescent="0.3">
      <c r="A25" s="3" t="s">
        <v>26</v>
      </c>
      <c r="B25" s="3" t="s">
        <v>27</v>
      </c>
      <c r="C25" s="3" t="s">
        <v>28</v>
      </c>
      <c r="D25" s="3" t="s">
        <v>29</v>
      </c>
      <c r="E25" s="3" t="s">
        <v>30</v>
      </c>
    </row>
    <row r="26" spans="1:13" x14ac:dyDescent="0.3">
      <c r="A26" s="3" t="s">
        <v>0</v>
      </c>
      <c r="B26" s="22">
        <f>AVERAGE(Table5[Linear Regression])</f>
        <v>0.95309590636527286</v>
      </c>
      <c r="C26" s="22">
        <f>AVERAGE(Table5[Random Forest])</f>
        <v>0.99505340078695848</v>
      </c>
      <c r="D26" s="22">
        <f>AVERAGE(Table5[SVC])</f>
        <v>0.99066891512085387</v>
      </c>
      <c r="E26" s="22">
        <f>AVERAGE(Table5[Logistic Regression])</f>
        <v>0.99280494659921248</v>
      </c>
    </row>
    <row r="27" spans="1:13" x14ac:dyDescent="0.3">
      <c r="A27" s="3" t="s">
        <v>1</v>
      </c>
      <c r="B27" s="22">
        <f>AVERAGE(Table57[Linear Regression])</f>
        <v>0.95315661887599923</v>
      </c>
      <c r="C27" s="22">
        <f>AVERAGE(Table57[Random Forest])</f>
        <v>0.99072512647554767</v>
      </c>
      <c r="D27" s="22">
        <f>AVERAGE(Table57[SVC])</f>
        <v>0.9914558740865651</v>
      </c>
      <c r="E27" s="22">
        <f>AVERAGE(Table57[Logistic Regression])</f>
        <v>0.99252388982574458</v>
      </c>
    </row>
    <row r="28" spans="1:13" x14ac:dyDescent="0.3">
      <c r="A28" s="3" t="s">
        <v>2</v>
      </c>
      <c r="B28" s="22">
        <f>AVERAGE(Table578[Linear Regression])</f>
        <v>0.95315661887599923</v>
      </c>
      <c r="C28" s="22">
        <f>AVERAGE(Table578[Random Forest])</f>
        <v>0.99072512647554767</v>
      </c>
      <c r="D28" s="22">
        <f>AVERAGE(Table578[SVC])</f>
        <v>0.9914558740865651</v>
      </c>
      <c r="E28" s="22">
        <f>AVERAGE(Table578[Logistic Regression])</f>
        <v>0.99252388982574458</v>
      </c>
    </row>
    <row r="30" spans="1:13" x14ac:dyDescent="0.3">
      <c r="A30" s="1" t="s">
        <v>60</v>
      </c>
      <c r="B30" s="1" t="s">
        <v>62</v>
      </c>
    </row>
    <row r="31" spans="1:13" x14ac:dyDescent="0.3">
      <c r="A31" s="1">
        <v>1</v>
      </c>
      <c r="B31" s="1">
        <f>'fhe (+ sizes)'!G23*micromultiplier</f>
        <v>2047241449.3560703</v>
      </c>
    </row>
    <row r="32" spans="1:13" x14ac:dyDescent="0.3">
      <c r="A32" s="1">
        <v>2</v>
      </c>
      <c r="B32" s="1">
        <f>'fhe (+ sizes)'!G24*micromultiplier</f>
        <v>2026603460.3118799</v>
      </c>
    </row>
    <row r="33" spans="1:2" x14ac:dyDescent="0.3">
      <c r="A33" s="1">
        <v>3</v>
      </c>
      <c r="B33" s="1">
        <f>'fhe (+ sizes)'!G25*micromultiplier</f>
        <v>1970088005.0659099</v>
      </c>
    </row>
    <row r="34" spans="1:2" x14ac:dyDescent="0.3">
      <c r="A34" s="1">
        <v>4</v>
      </c>
      <c r="B34" s="1">
        <f>'fhe (+ sizes)'!G26*micromultiplier</f>
        <v>2024210453.0334401</v>
      </c>
    </row>
    <row r="35" spans="1:2" x14ac:dyDescent="0.3">
      <c r="A35" s="1">
        <v>5</v>
      </c>
      <c r="B35" s="1">
        <f>'fhe (+ sizes)'!G27*micromultiplier</f>
        <v>1939769744.87304</v>
      </c>
    </row>
    <row r="36" spans="1:2" x14ac:dyDescent="0.3">
      <c r="A36" s="1">
        <v>6</v>
      </c>
      <c r="B36" s="1">
        <f>'fhe (+ sizes)'!G28*micromultiplier</f>
        <v>2018125772.4761901</v>
      </c>
    </row>
    <row r="37" spans="1:2" x14ac:dyDescent="0.3">
      <c r="A37" s="1">
        <v>7</v>
      </c>
      <c r="B37" s="1">
        <f>'fhe (+ sizes)'!G29*micromultiplier</f>
        <v>2008958339.69116</v>
      </c>
    </row>
    <row r="38" spans="1:2" x14ac:dyDescent="0.3">
      <c r="A38" s="1">
        <v>8</v>
      </c>
      <c r="B38" s="1">
        <f>'fhe (+ sizes)'!G30*micromultiplier</f>
        <v>2048562288.2843001</v>
      </c>
    </row>
    <row r="39" spans="1:2" x14ac:dyDescent="0.3">
      <c r="A39" s="1">
        <v>9</v>
      </c>
      <c r="B39" s="1">
        <f>'fhe (+ sizes)'!G31*micromultiplier</f>
        <v>2002124786.37695</v>
      </c>
    </row>
    <row r="40" spans="1:2" x14ac:dyDescent="0.3">
      <c r="A40" s="1">
        <v>10</v>
      </c>
      <c r="B40" s="1">
        <f>'fhe (+ sizes)'!G32*micromultiplier</f>
        <v>1998833179.47387</v>
      </c>
    </row>
    <row r="41" spans="1:2" x14ac:dyDescent="0.3">
      <c r="A41" s="1" t="s">
        <v>39</v>
      </c>
      <c r="B41" s="1">
        <f>'fhe (+ sizes)'!G33*micromultiplier</f>
        <v>2008451747.8942811</v>
      </c>
    </row>
  </sheetData>
  <mergeCells count="16">
    <mergeCell ref="A7:B7"/>
    <mergeCell ref="C7:E7"/>
    <mergeCell ref="A8:B8"/>
    <mergeCell ref="C8:E8"/>
    <mergeCell ref="I14:M14"/>
    <mergeCell ref="A11:E11"/>
    <mergeCell ref="E14:H14"/>
    <mergeCell ref="B14:D14"/>
    <mergeCell ref="A4:B4"/>
    <mergeCell ref="C4:E4"/>
    <mergeCell ref="A6:B6"/>
    <mergeCell ref="C6:E6"/>
    <mergeCell ref="A3:B3"/>
    <mergeCell ref="C3:E3"/>
    <mergeCell ref="A5:B5"/>
    <mergeCell ref="C5:E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topLeftCell="E1" workbookViewId="0">
      <selection activeCell="G3" sqref="G3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25</v>
      </c>
      <c r="E2" s="5" t="s">
        <v>53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0.98931984260820605</v>
      </c>
      <c r="B3" s="1">
        <v>0.99984221459359701</v>
      </c>
      <c r="C3" s="1">
        <v>2.13384628295898E-4</v>
      </c>
      <c r="D3" s="1">
        <v>0.117744445800781</v>
      </c>
      <c r="E3" s="20">
        <v>99.156800000000004</v>
      </c>
      <c r="G3" s="11">
        <v>0.95598401269285105</v>
      </c>
      <c r="H3" s="11">
        <v>0.99437886453063495</v>
      </c>
      <c r="I3" s="11">
        <v>0.99325463743676201</v>
      </c>
      <c r="J3" s="11">
        <v>0.98931984260820605</v>
      </c>
    </row>
    <row r="4" spans="1:10" x14ac:dyDescent="0.3">
      <c r="A4" s="2">
        <v>0.98763350196739697</v>
      </c>
      <c r="B4" s="1">
        <v>0.99988389200837302</v>
      </c>
      <c r="C4" s="1">
        <v>4.2676925659179601E-4</v>
      </c>
      <c r="D4" s="1">
        <v>0.11230659484863199</v>
      </c>
      <c r="E4" s="20">
        <v>98.932000000000002</v>
      </c>
      <c r="G4" s="11">
        <v>0.96035730568184996</v>
      </c>
      <c r="H4" s="11">
        <v>0.99606520517144403</v>
      </c>
      <c r="I4" s="11">
        <v>0.99100618324901601</v>
      </c>
      <c r="J4" s="11">
        <v>0.98763350196739697</v>
      </c>
    </row>
    <row r="5" spans="1:10" x14ac:dyDescent="0.3">
      <c r="A5" s="2">
        <v>0.99381675098369804</v>
      </c>
      <c r="B5" s="1">
        <v>0.99989088743254495</v>
      </c>
      <c r="C5" s="1">
        <v>3.5905838012695302E-4</v>
      </c>
      <c r="D5" s="1">
        <v>0.14333224296569799</v>
      </c>
      <c r="E5" s="20">
        <v>99.1006</v>
      </c>
      <c r="G5" s="11">
        <v>0.95406130708460202</v>
      </c>
      <c r="H5" s="11">
        <v>0.99550309162450801</v>
      </c>
      <c r="I5" s="11">
        <v>0.98931984260820605</v>
      </c>
      <c r="J5" s="11">
        <v>0.99381675098369804</v>
      </c>
    </row>
    <row r="6" spans="1:10" x14ac:dyDescent="0.3">
      <c r="A6" s="2">
        <v>0.99269252388982498</v>
      </c>
      <c r="B6" s="1">
        <v>0.99988913910205302</v>
      </c>
      <c r="C6" s="1">
        <v>1.9264221191406201E-4</v>
      </c>
      <c r="D6" s="1">
        <v>7.5737237930297796E-2</v>
      </c>
      <c r="E6" s="20">
        <v>98.988200000000006</v>
      </c>
      <c r="G6" s="11">
        <v>0.953410087676971</v>
      </c>
      <c r="H6" s="11">
        <v>0.99381675098369804</v>
      </c>
      <c r="I6" s="11">
        <v>0.99213041034288896</v>
      </c>
      <c r="J6" s="11">
        <v>0.99269252388982498</v>
      </c>
    </row>
    <row r="7" spans="1:10" x14ac:dyDescent="0.3">
      <c r="A7" s="2">
        <v>0.99381675098369804</v>
      </c>
      <c r="B7" s="1">
        <v>0.99986954652501403</v>
      </c>
      <c r="C7" s="1">
        <v>2.5749206542968701E-4</v>
      </c>
      <c r="D7" s="1">
        <v>8.4540605545043904E-2</v>
      </c>
      <c r="E7" s="20">
        <v>99.212999999999994</v>
      </c>
      <c r="G7" s="11">
        <v>0.946978190475254</v>
      </c>
      <c r="H7" s="11">
        <v>0.99606520517144403</v>
      </c>
      <c r="I7" s="11">
        <v>0.98538504777965097</v>
      </c>
      <c r="J7" s="11">
        <v>0.99381675098369804</v>
      </c>
    </row>
    <row r="8" spans="1:10" x14ac:dyDescent="0.3">
      <c r="A8" s="2">
        <v>0.99437886453063495</v>
      </c>
      <c r="B8" s="1">
        <v>0.99988254442379199</v>
      </c>
      <c r="C8" s="1">
        <v>1.8930435180664E-4</v>
      </c>
      <c r="D8" s="1">
        <v>7.9212427139282199E-2</v>
      </c>
      <c r="E8" s="20">
        <v>99.325500000000005</v>
      </c>
      <c r="G8" s="11">
        <v>0.95047512087219999</v>
      </c>
      <c r="H8" s="11">
        <v>0.99662731871838095</v>
      </c>
      <c r="I8" s="11">
        <v>0.99381675098369804</v>
      </c>
      <c r="J8" s="11">
        <v>0.99437886453063495</v>
      </c>
    </row>
    <row r="9" spans="1:10" x14ac:dyDescent="0.3">
      <c r="A9" s="2">
        <v>0.99606520517144403</v>
      </c>
      <c r="B9" s="1">
        <v>0.99989327781329296</v>
      </c>
      <c r="C9" s="1">
        <v>2.6893615722656201E-4</v>
      </c>
      <c r="D9" s="1">
        <v>7.4156761169433594E-2</v>
      </c>
      <c r="E9" s="20">
        <v>99.156800000000004</v>
      </c>
      <c r="G9" s="11">
        <v>0.95401280152822598</v>
      </c>
      <c r="H9" s="11">
        <v>0.99550309162450801</v>
      </c>
      <c r="I9" s="11">
        <v>0.98988195615514296</v>
      </c>
      <c r="J9" s="11">
        <v>0.99606520517144403</v>
      </c>
    </row>
    <row r="10" spans="1:10" x14ac:dyDescent="0.3">
      <c r="A10" s="2">
        <v>0.99381675098369804</v>
      </c>
      <c r="B10" s="1">
        <v>0.99988482137337198</v>
      </c>
      <c r="C10" s="1">
        <v>2.5749206542968701E-4</v>
      </c>
      <c r="D10" s="1">
        <v>8.7489604949951102E-2</v>
      </c>
      <c r="E10" s="20">
        <v>99.494100000000003</v>
      </c>
      <c r="G10" s="11">
        <v>0.95363798530324195</v>
      </c>
      <c r="H10" s="11">
        <v>0.99550309162450801</v>
      </c>
      <c r="I10" s="11">
        <v>0.99269252388982498</v>
      </c>
      <c r="J10" s="11">
        <v>0.99381675098369804</v>
      </c>
    </row>
    <row r="11" spans="1:10" x14ac:dyDescent="0.3">
      <c r="A11" s="2">
        <v>0.99213041034288896</v>
      </c>
      <c r="B11" s="1">
        <v>0.999892894054901</v>
      </c>
      <c r="C11" s="1">
        <v>2.5749206542968701E-4</v>
      </c>
      <c r="D11" s="1">
        <v>0.10050606727600001</v>
      </c>
      <c r="E11" s="20">
        <v>99.550299999999993</v>
      </c>
      <c r="G11" s="11">
        <v>0.95400100133787902</v>
      </c>
      <c r="H11" s="11">
        <v>0.99381675098369804</v>
      </c>
      <c r="I11" s="11">
        <v>0.99044406970207899</v>
      </c>
      <c r="J11" s="11">
        <v>0.99213041034288896</v>
      </c>
    </row>
    <row r="12" spans="1:10" x14ac:dyDescent="0.3">
      <c r="A12" s="2">
        <v>0.99437886453063495</v>
      </c>
      <c r="B12" s="1">
        <v>0.99985835061134698</v>
      </c>
      <c r="C12" s="1">
        <v>2.47955322265625E-4</v>
      </c>
      <c r="D12" s="1">
        <v>8.4836483001708901E-2</v>
      </c>
      <c r="E12" s="20">
        <v>99.1006</v>
      </c>
      <c r="G12" s="11">
        <v>0.94804125099965297</v>
      </c>
      <c r="H12" s="11">
        <v>0.99325463743676201</v>
      </c>
      <c r="I12" s="11">
        <v>0.98875772906127002</v>
      </c>
      <c r="J12" s="11">
        <v>0.99437886453063495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topLeftCell="F1" workbookViewId="0">
      <selection activeCell="J3" sqref="J3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25</v>
      </c>
      <c r="E2" s="5" t="s">
        <v>53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0.99213041034288896</v>
      </c>
      <c r="B3" s="1">
        <v>0.99983194630817696</v>
      </c>
      <c r="C3" s="1">
        <v>1.3179779052734299E-3</v>
      </c>
      <c r="D3" s="1">
        <v>0.111749172210693</v>
      </c>
      <c r="E3" s="20">
        <v>99.156800000000004</v>
      </c>
      <c r="G3" s="11">
        <v>0.95054265031858498</v>
      </c>
      <c r="H3" s="11">
        <v>0.98931984260820605</v>
      </c>
      <c r="I3" s="11">
        <v>0.99100618324901601</v>
      </c>
      <c r="J3" s="2">
        <v>0.99213041034288896</v>
      </c>
    </row>
    <row r="4" spans="1:10" x14ac:dyDescent="0.3">
      <c r="A4" s="2">
        <v>0.99100618324901601</v>
      </c>
      <c r="B4" s="1">
        <v>0.99988386568438103</v>
      </c>
      <c r="C4" s="1">
        <v>5.3310394287109299E-4</v>
      </c>
      <c r="D4" s="1">
        <v>0.113413095474243</v>
      </c>
      <c r="E4" s="20">
        <v>99.437899999999999</v>
      </c>
      <c r="G4" s="11">
        <v>0.949951992688576</v>
      </c>
      <c r="H4" s="11">
        <v>0.985947161326588</v>
      </c>
      <c r="I4" s="11">
        <v>0.98931984260820605</v>
      </c>
      <c r="J4" s="2">
        <v>0.99100618324901601</v>
      </c>
    </row>
    <row r="5" spans="1:10" x14ac:dyDescent="0.3">
      <c r="A5" s="2">
        <v>0.99325463743676201</v>
      </c>
      <c r="B5" s="1">
        <v>0.99987256206915598</v>
      </c>
      <c r="C5" s="1">
        <v>6.0558319091796799E-4</v>
      </c>
      <c r="D5" s="1">
        <v>0.11999559402465799</v>
      </c>
      <c r="E5" s="20">
        <v>99.437899999999999</v>
      </c>
      <c r="G5" s="11">
        <v>0.95044661591118595</v>
      </c>
      <c r="H5" s="11">
        <v>0.98931984260820605</v>
      </c>
      <c r="I5" s="11">
        <v>0.99100618324901601</v>
      </c>
      <c r="J5" s="2">
        <v>0.99325463743676201</v>
      </c>
    </row>
    <row r="6" spans="1:10" x14ac:dyDescent="0.3">
      <c r="A6" s="2">
        <v>0.99325463743676201</v>
      </c>
      <c r="B6" s="1">
        <v>0.99988623111630504</v>
      </c>
      <c r="C6" s="1">
        <v>6.9093704223632802E-4</v>
      </c>
      <c r="D6" s="1">
        <v>0.11184048652648899</v>
      </c>
      <c r="E6" s="20">
        <v>99.212999999999994</v>
      </c>
      <c r="G6" s="11">
        <v>0.95297910306760802</v>
      </c>
      <c r="H6" s="11">
        <v>0.99550309162450801</v>
      </c>
      <c r="I6" s="11">
        <v>0.98988195615514296</v>
      </c>
      <c r="J6" s="2">
        <v>0.99325463743676201</v>
      </c>
    </row>
    <row r="7" spans="1:10" x14ac:dyDescent="0.3">
      <c r="A7" s="2">
        <v>0.99325463743676201</v>
      </c>
      <c r="B7" s="1">
        <v>0.99989227224200095</v>
      </c>
      <c r="C7" s="1">
        <v>6.3920021057128895E-4</v>
      </c>
      <c r="D7" s="1">
        <v>0.129948616027832</v>
      </c>
      <c r="E7" s="20">
        <v>98.875799999999998</v>
      </c>
      <c r="G7" s="11">
        <v>0.95254117242323699</v>
      </c>
      <c r="H7" s="11">
        <v>0.99100618324901601</v>
      </c>
      <c r="I7" s="11">
        <v>0.99437886453063495</v>
      </c>
      <c r="J7" s="2">
        <v>0.99325463743676201</v>
      </c>
    </row>
    <row r="8" spans="1:10" x14ac:dyDescent="0.3">
      <c r="A8" s="2">
        <v>0.99156829679595204</v>
      </c>
      <c r="B8" s="1">
        <v>0.99984127247493404</v>
      </c>
      <c r="C8" s="1">
        <v>9.7990036010742101E-4</v>
      </c>
      <c r="D8" s="1">
        <v>0.10836601257324199</v>
      </c>
      <c r="E8" s="20">
        <v>99.156800000000004</v>
      </c>
      <c r="G8" s="11">
        <v>0.94853862708822001</v>
      </c>
      <c r="H8" s="11">
        <v>0.98538504777965097</v>
      </c>
      <c r="I8" s="11">
        <v>0.99100618324901601</v>
      </c>
      <c r="J8" s="2">
        <v>0.99156829679595204</v>
      </c>
    </row>
    <row r="9" spans="1:10" x14ac:dyDescent="0.3">
      <c r="A9" s="2">
        <v>0.99325463743676201</v>
      </c>
      <c r="B9" s="1">
        <v>0.99989311154324401</v>
      </c>
      <c r="C9" s="1">
        <v>5.5932998657226497E-4</v>
      </c>
      <c r="D9" s="1">
        <v>0.110030174255371</v>
      </c>
      <c r="E9" s="20">
        <v>99.156800000000004</v>
      </c>
      <c r="G9" s="11">
        <v>0.96128788204707705</v>
      </c>
      <c r="H9" s="11">
        <v>0.99437886453063495</v>
      </c>
      <c r="I9" s="11">
        <v>0.99269252388982498</v>
      </c>
      <c r="J9" s="2">
        <v>0.99325463743676201</v>
      </c>
    </row>
    <row r="10" spans="1:10" x14ac:dyDescent="0.3">
      <c r="A10" s="2">
        <v>0.98931984260820605</v>
      </c>
      <c r="B10" s="1">
        <v>0.99989061691072001</v>
      </c>
      <c r="C10" s="1">
        <v>1.8444061279296799E-3</v>
      </c>
      <c r="D10" s="1">
        <v>0.114490270614624</v>
      </c>
      <c r="E10" s="20">
        <v>99.212999999999994</v>
      </c>
      <c r="G10" s="11">
        <v>0.95032258446400097</v>
      </c>
      <c r="H10" s="11">
        <v>0.99325463743676201</v>
      </c>
      <c r="I10" s="11">
        <v>0.99325463743676201</v>
      </c>
      <c r="J10" s="2">
        <v>0.98931984260820605</v>
      </c>
    </row>
    <row r="11" spans="1:10" x14ac:dyDescent="0.3">
      <c r="A11" s="2">
        <v>0.99269252388982498</v>
      </c>
      <c r="B11" s="1">
        <v>0.99988758629519703</v>
      </c>
      <c r="C11" s="1">
        <v>5.2356719970703103E-4</v>
      </c>
      <c r="D11" s="1">
        <v>0.117451429367065</v>
      </c>
      <c r="E11" s="20">
        <v>99.269300000000001</v>
      </c>
      <c r="G11" s="11">
        <v>0.95786047487711401</v>
      </c>
      <c r="H11" s="11">
        <v>0.99269252388982498</v>
      </c>
      <c r="I11" s="11">
        <v>0.99325463743676201</v>
      </c>
      <c r="J11" s="2">
        <v>0.99269252388982498</v>
      </c>
    </row>
    <row r="12" spans="1:10" x14ac:dyDescent="0.3">
      <c r="A12" s="2">
        <v>0.99550309162450801</v>
      </c>
      <c r="B12" s="1">
        <v>0.99989058778373896</v>
      </c>
      <c r="C12" s="1">
        <v>4.9924850463867101E-4</v>
      </c>
      <c r="D12" s="1">
        <v>0.119558572769165</v>
      </c>
      <c r="E12" s="20">
        <v>99.212999999999994</v>
      </c>
      <c r="G12" s="11">
        <v>0.95709508587438996</v>
      </c>
      <c r="H12" s="11">
        <v>0.99044406970207899</v>
      </c>
      <c r="I12" s="11">
        <v>0.98875772906127002</v>
      </c>
      <c r="J12" s="2">
        <v>0.99550309162450801</v>
      </c>
    </row>
    <row r="14" spans="1:10" x14ac:dyDescent="0.3">
      <c r="C14" s="10"/>
      <c r="D14" s="10"/>
      <c r="E14" s="10"/>
    </row>
    <row r="15" spans="1:10" x14ac:dyDescent="0.3">
      <c r="C15" s="10"/>
      <c r="D15" s="10"/>
    </row>
    <row r="16" spans="1:10" x14ac:dyDescent="0.3">
      <c r="C16" s="10"/>
      <c r="D16" s="10"/>
    </row>
    <row r="17" spans="3:5" x14ac:dyDescent="0.3">
      <c r="C17" s="10"/>
      <c r="D17" s="10"/>
    </row>
    <row r="18" spans="3:5" x14ac:dyDescent="0.3">
      <c r="C18" s="10"/>
      <c r="D18" s="10"/>
    </row>
    <row r="19" spans="3:5" x14ac:dyDescent="0.3">
      <c r="C19" s="10"/>
      <c r="D19" s="10"/>
    </row>
    <row r="20" spans="3:5" x14ac:dyDescent="0.3">
      <c r="C20" s="10"/>
      <c r="D20" s="10"/>
    </row>
    <row r="21" spans="3:5" x14ac:dyDescent="0.3">
      <c r="C21" s="10"/>
      <c r="D21" s="10"/>
    </row>
    <row r="22" spans="3:5" x14ac:dyDescent="0.3">
      <c r="C22" s="10"/>
      <c r="D22" s="10"/>
    </row>
    <row r="23" spans="3:5" x14ac:dyDescent="0.3">
      <c r="C23" s="10"/>
      <c r="D23" s="10"/>
    </row>
    <row r="24" spans="3:5" x14ac:dyDescent="0.3">
      <c r="C24" s="10"/>
      <c r="D24" s="10"/>
    </row>
    <row r="25" spans="3:5" x14ac:dyDescent="0.3">
      <c r="C25" s="10"/>
      <c r="D25" s="10"/>
      <c r="E25" s="10"/>
    </row>
    <row r="26" spans="3:5" x14ac:dyDescent="0.3">
      <c r="C26" s="10"/>
      <c r="D26" s="10"/>
      <c r="E26" s="1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33"/>
  <sheetViews>
    <sheetView topLeftCell="D1" workbookViewId="0">
      <selection activeCell="F3" sqref="F3:H12"/>
    </sheetView>
  </sheetViews>
  <sheetFormatPr defaultColWidth="17.77734375" defaultRowHeight="14.4" x14ac:dyDescent="0.3"/>
  <cols>
    <col min="1" max="1" width="17.77734375" style="1"/>
    <col min="2" max="4" width="45.44140625" bestFit="1" customWidth="1"/>
    <col min="5" max="5" width="38.109375" bestFit="1" customWidth="1"/>
    <col min="6" max="6" width="32.77734375" bestFit="1" customWidth="1"/>
    <col min="8" max="8" width="32" bestFit="1" customWidth="1"/>
    <col min="9" max="9" width="32.44140625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53</v>
      </c>
      <c r="F2" s="1" t="s">
        <v>27</v>
      </c>
      <c r="G2" s="1" t="s">
        <v>28</v>
      </c>
      <c r="H2" s="1" t="s">
        <v>29</v>
      </c>
      <c r="I2" s="1" t="s">
        <v>30</v>
      </c>
    </row>
    <row r="3" spans="1:9" x14ac:dyDescent="0.3">
      <c r="A3" s="2">
        <v>0.99213041034288896</v>
      </c>
      <c r="B3" s="1">
        <v>0.99983194630817696</v>
      </c>
      <c r="C3" s="1">
        <v>7.5984001159667904E-4</v>
      </c>
      <c r="D3" s="1">
        <v>99.156800000000004</v>
      </c>
      <c r="F3" s="11">
        <v>0.95054265031858498</v>
      </c>
      <c r="G3" s="11">
        <v>0.98931984260820605</v>
      </c>
      <c r="H3" s="11">
        <v>0.99100618324901601</v>
      </c>
      <c r="I3" s="2">
        <v>0.99213041034288896</v>
      </c>
    </row>
    <row r="4" spans="1:9" x14ac:dyDescent="0.3">
      <c r="A4" s="2">
        <v>0.99100618324901601</v>
      </c>
      <c r="B4" s="1">
        <v>0.99988386568438103</v>
      </c>
      <c r="C4" s="1">
        <v>2.1140575408935499E-3</v>
      </c>
      <c r="D4" s="1">
        <v>99.437899999999999</v>
      </c>
      <c r="F4" s="11">
        <v>0.949951992688576</v>
      </c>
      <c r="G4" s="11">
        <v>0.985947161326588</v>
      </c>
      <c r="H4" s="11">
        <v>0.98931984260820605</v>
      </c>
      <c r="I4" s="2">
        <v>0.99100618324901601</v>
      </c>
    </row>
    <row r="5" spans="1:9" x14ac:dyDescent="0.3">
      <c r="A5" s="2">
        <v>0.99325463743676201</v>
      </c>
      <c r="B5" s="1">
        <v>0.99987256206915598</v>
      </c>
      <c r="C5" s="1">
        <v>6.7448616027831999E-4</v>
      </c>
      <c r="D5" s="1">
        <v>99.437899999999999</v>
      </c>
      <c r="F5" s="11">
        <v>0.95044661591118595</v>
      </c>
      <c r="G5" s="11">
        <v>0.98931984260820605</v>
      </c>
      <c r="H5" s="11">
        <v>0.99100618324901601</v>
      </c>
      <c r="I5" s="2">
        <v>0.99325463743676201</v>
      </c>
    </row>
    <row r="6" spans="1:9" x14ac:dyDescent="0.3">
      <c r="A6" s="2">
        <v>0.99325463743676201</v>
      </c>
      <c r="B6" s="1">
        <v>0.99988623111630504</v>
      </c>
      <c r="C6" s="1">
        <v>6.7448616027831999E-4</v>
      </c>
      <c r="D6" s="1">
        <v>99.212999999999994</v>
      </c>
      <c r="F6" s="11">
        <v>0.95297910306760802</v>
      </c>
      <c r="G6" s="11">
        <v>0.99550309162450801</v>
      </c>
      <c r="H6" s="11">
        <v>0.98988195615514296</v>
      </c>
      <c r="I6" s="2">
        <v>0.99325463743676201</v>
      </c>
    </row>
    <row r="7" spans="1:9" x14ac:dyDescent="0.3">
      <c r="A7" s="2">
        <v>0.99325463743676201</v>
      </c>
      <c r="B7" s="1">
        <v>0.99989227224200095</v>
      </c>
      <c r="C7" s="1">
        <v>1.2099742889404199E-3</v>
      </c>
      <c r="D7" s="1">
        <v>98.875799999999998</v>
      </c>
      <c r="F7" s="11">
        <v>0.95254117242323699</v>
      </c>
      <c r="G7" s="11">
        <v>0.99100618324901601</v>
      </c>
      <c r="H7" s="11">
        <v>0.99437886453063495</v>
      </c>
      <c r="I7" s="2">
        <v>0.99325463743676201</v>
      </c>
    </row>
    <row r="8" spans="1:9" x14ac:dyDescent="0.3">
      <c r="A8" s="2">
        <v>0.99156829679595204</v>
      </c>
      <c r="B8" s="1">
        <v>0.99984127247493404</v>
      </c>
      <c r="C8" s="1">
        <v>7.5864791870117101E-4</v>
      </c>
      <c r="D8" s="1">
        <v>99.156800000000004</v>
      </c>
      <c r="F8" s="11">
        <v>0.94853862708822001</v>
      </c>
      <c r="G8" s="11">
        <v>0.98538504777965097</v>
      </c>
      <c r="H8" s="11">
        <v>0.99100618324901601</v>
      </c>
      <c r="I8" s="2">
        <v>0.99156829679595204</v>
      </c>
    </row>
    <row r="9" spans="1:9" x14ac:dyDescent="0.3">
      <c r="A9" s="2">
        <v>0.99325463743676201</v>
      </c>
      <c r="B9" s="1">
        <v>0.99989311154324401</v>
      </c>
      <c r="C9" s="1">
        <v>9.1624259948730404E-4</v>
      </c>
      <c r="D9" s="1">
        <v>99.156800000000004</v>
      </c>
      <c r="F9" s="11">
        <v>0.96128788204707705</v>
      </c>
      <c r="G9" s="11">
        <v>0.99437886453063495</v>
      </c>
      <c r="H9" s="11">
        <v>0.99269252388982498</v>
      </c>
      <c r="I9" s="2">
        <v>0.99325463743676201</v>
      </c>
    </row>
    <row r="10" spans="1:9" x14ac:dyDescent="0.3">
      <c r="A10" s="2">
        <v>0.98931984260820605</v>
      </c>
      <c r="B10" s="1">
        <v>0.99989061691072001</v>
      </c>
      <c r="C10" s="1">
        <v>7.1120262145995996E-4</v>
      </c>
      <c r="D10" s="1">
        <v>99.212999999999994</v>
      </c>
      <c r="F10" s="11">
        <v>0.95032258446400097</v>
      </c>
      <c r="G10" s="11">
        <v>0.99325463743676201</v>
      </c>
      <c r="H10" s="11">
        <v>0.99325463743676201</v>
      </c>
      <c r="I10" s="2">
        <v>0.98931984260820605</v>
      </c>
    </row>
    <row r="11" spans="1:9" x14ac:dyDescent="0.3">
      <c r="A11" s="2">
        <v>0.99269252388982498</v>
      </c>
      <c r="B11" s="1">
        <v>0.99988758629519703</v>
      </c>
      <c r="C11" s="1">
        <v>6.7281723022460905E-4</v>
      </c>
      <c r="D11" s="1">
        <v>99.269300000000001</v>
      </c>
      <c r="F11" s="11">
        <v>0.95786047487711401</v>
      </c>
      <c r="G11" s="11">
        <v>0.99269252388982498</v>
      </c>
      <c r="H11" s="11">
        <v>0.99325463743676201</v>
      </c>
      <c r="I11" s="2">
        <v>0.99269252388982498</v>
      </c>
    </row>
    <row r="12" spans="1:9" x14ac:dyDescent="0.3">
      <c r="A12" s="2">
        <v>0.99550309162450801</v>
      </c>
      <c r="B12" s="1">
        <v>0.99989058778373896</v>
      </c>
      <c r="C12" s="1">
        <v>1.0626316070556599E-3</v>
      </c>
      <c r="D12" s="1">
        <v>99.212999999999994</v>
      </c>
      <c r="F12" s="11">
        <v>0.95709508587438996</v>
      </c>
      <c r="G12" s="11">
        <v>0.99044406970207899</v>
      </c>
      <c r="H12" s="11">
        <v>0.98875772906127002</v>
      </c>
      <c r="I12" s="2">
        <v>0.99550309162450801</v>
      </c>
    </row>
    <row r="14" spans="1:9" x14ac:dyDescent="0.3">
      <c r="A14" s="1" t="s">
        <v>31</v>
      </c>
      <c r="B14" s="1" t="s">
        <v>34</v>
      </c>
      <c r="C14" s="1" t="s">
        <v>67</v>
      </c>
      <c r="D14" s="1" t="s">
        <v>66</v>
      </c>
      <c r="E14" s="1" t="s">
        <v>63</v>
      </c>
      <c r="F14" s="1" t="s">
        <v>68</v>
      </c>
      <c r="G14" s="1" t="s">
        <v>32</v>
      </c>
      <c r="H14" s="1" t="s">
        <v>33</v>
      </c>
      <c r="I14" s="1" t="s">
        <v>51</v>
      </c>
    </row>
    <row r="15" spans="1:9" x14ac:dyDescent="0.3">
      <c r="A15" s="1">
        <v>1</v>
      </c>
      <c r="B15" s="1" t="s">
        <v>35</v>
      </c>
      <c r="C15" s="20">
        <v>4.2999999999999997E-2</v>
      </c>
      <c r="D15" s="20">
        <v>200.197</v>
      </c>
      <c r="E15" s="26">
        <f>ABS(1-Table4[[#This Row],[Ciphertext File Size (kB)]]/$D$23)</f>
        <v>532.85866666666664</v>
      </c>
      <c r="F15" s="20">
        <f>(Table4[[#This Row],[Ciphertext File Size (kB)]]/Table4[[#This Row],[Plaintext File Size (kB)]])*100</f>
        <v>465574.41860465123</v>
      </c>
      <c r="G15" s="20">
        <f t="shared" ref="G15" si="0">0.023</f>
        <v>2.3E-2</v>
      </c>
      <c r="H15" s="20">
        <v>4</v>
      </c>
      <c r="I15" s="29">
        <f>ABS(1-(Table4[[#This Row],[Private Key Size (kB)]]/$C$23))</f>
        <v>0.65700082850041408</v>
      </c>
    </row>
    <row r="16" spans="1:9" x14ac:dyDescent="0.3">
      <c r="A16" s="1">
        <v>2</v>
      </c>
      <c r="B16" s="1" t="s">
        <v>36</v>
      </c>
      <c r="C16" s="20">
        <v>4.2000000000000003E-2</v>
      </c>
      <c r="D16" s="20">
        <v>200.197</v>
      </c>
      <c r="E16" s="26">
        <f>ABS(1-Table4[[#This Row],[Ciphertext File Size (kB)]]/$D$23)</f>
        <v>532.85866666666664</v>
      </c>
      <c r="F16" s="20">
        <f>(Table4[[#This Row],[Ciphertext File Size (kB)]]/Table4[[#This Row],[Plaintext File Size (kB)]])*100</f>
        <v>476659.52380952379</v>
      </c>
      <c r="G16" s="20">
        <v>2.3E-2</v>
      </c>
      <c r="H16" s="20">
        <v>4</v>
      </c>
      <c r="I16" s="29">
        <f>ABS(1-(Table4[[#This Row],[Private Key Size (kB)]]/$C$23))</f>
        <v>0.65700082850041408</v>
      </c>
    </row>
    <row r="17" spans="1:9" x14ac:dyDescent="0.3">
      <c r="A17" s="1">
        <v>3</v>
      </c>
      <c r="B17" s="1" t="s">
        <v>37</v>
      </c>
      <c r="C17" s="20">
        <v>4.2999999999999997E-2</v>
      </c>
      <c r="D17" s="20">
        <v>200.197</v>
      </c>
      <c r="E17" s="26">
        <f>ABS(1-Table4[[#This Row],[Ciphertext File Size (kB)]]/$D$23)</f>
        <v>532.85866666666664</v>
      </c>
      <c r="F17" s="20">
        <f>(Table4[[#This Row],[Ciphertext File Size (kB)]]/Table4[[#This Row],[Plaintext File Size (kB)]])*100</f>
        <v>465574.41860465123</v>
      </c>
      <c r="G17" s="20">
        <v>2.3E-2</v>
      </c>
      <c r="H17" s="20">
        <v>4</v>
      </c>
      <c r="I17" s="29">
        <f>ABS(1-(Table4[[#This Row],[Private Key Size (kB)]]/$C$23))</f>
        <v>0.65700082850041408</v>
      </c>
    </row>
    <row r="18" spans="1:9" x14ac:dyDescent="0.3">
      <c r="A18" s="1">
        <v>4</v>
      </c>
      <c r="B18" s="1" t="s">
        <v>38</v>
      </c>
      <c r="C18" s="20">
        <v>4.5999999999999999E-2</v>
      </c>
      <c r="D18" s="20">
        <v>200.197</v>
      </c>
      <c r="E18" s="26">
        <f>ABS(1-Table4[[#This Row],[Ciphertext File Size (kB)]]/$D$23)</f>
        <v>532.85866666666664</v>
      </c>
      <c r="F18" s="20">
        <f>(Table4[[#This Row],[Ciphertext File Size (kB)]]/Table4[[#This Row],[Plaintext File Size (kB)]])*100</f>
        <v>435210.86956521741</v>
      </c>
      <c r="G18" s="20">
        <v>2.3E-2</v>
      </c>
      <c r="H18" s="20">
        <v>4</v>
      </c>
      <c r="I18" s="29">
        <f>ABS(1-(Table4[[#This Row],[Private Key Size (kB)]]/$C$23))</f>
        <v>0.65700082850041408</v>
      </c>
    </row>
    <row r="19" spans="1:9" x14ac:dyDescent="0.3">
      <c r="A19" s="1">
        <v>5</v>
      </c>
      <c r="B19" s="1" t="s">
        <v>35</v>
      </c>
      <c r="C19" s="20">
        <v>4.3999999999999997E-2</v>
      </c>
      <c r="D19" s="20">
        <v>200.197</v>
      </c>
      <c r="E19" s="26">
        <f>ABS(1-Table4[[#This Row],[Ciphertext File Size (kB)]]/$D$23)</f>
        <v>532.85866666666664</v>
      </c>
      <c r="F19" s="20">
        <f>(Table4[[#This Row],[Ciphertext File Size (kB)]]/Table4[[#This Row],[Plaintext File Size (kB)]])*100</f>
        <v>454993.18181818188</v>
      </c>
      <c r="G19" s="20">
        <v>2.3E-2</v>
      </c>
      <c r="H19" s="20">
        <v>4</v>
      </c>
      <c r="I19" s="29">
        <f>ABS(1-(Table4[[#This Row],[Private Key Size (kB)]]/$C$23))</f>
        <v>0.65700082850041408</v>
      </c>
    </row>
    <row r="20" spans="1:9" x14ac:dyDescent="0.3">
      <c r="A20" s="5" t="s">
        <v>39</v>
      </c>
      <c r="B20" s="5" t="s">
        <v>40</v>
      </c>
      <c r="C20" s="28">
        <f>AVERAGE(C15:C19)</f>
        <v>4.3599999999999993E-2</v>
      </c>
      <c r="D20" s="28">
        <f t="shared" ref="D20:H20" si="1">AVERAGE(D15:D19)</f>
        <v>200.197</v>
      </c>
      <c r="E20" s="27">
        <f>ABS(1-Table4[[#This Row],[Ciphertext File Size (kB)]]/$D$23)</f>
        <v>532.85866666666664</v>
      </c>
      <c r="F20" s="28">
        <f t="shared" si="1"/>
        <v>459602.48248044512</v>
      </c>
      <c r="G20" s="28">
        <f t="shared" si="1"/>
        <v>2.3E-2</v>
      </c>
      <c r="H20" s="28">
        <f t="shared" si="1"/>
        <v>4</v>
      </c>
      <c r="I20" s="31">
        <f>ABS(1-(Table4[[#This Row],[Private Key Size (kB)]]/$C$23))</f>
        <v>0.65700082850041408</v>
      </c>
    </row>
    <row r="22" spans="1:9" x14ac:dyDescent="0.3">
      <c r="A22" s="13" t="s">
        <v>50</v>
      </c>
      <c r="B22" s="13" t="s">
        <v>49</v>
      </c>
      <c r="C22" s="13" t="s">
        <v>64</v>
      </c>
      <c r="D22" s="13" t="s">
        <v>65</v>
      </c>
      <c r="F22" s="5" t="s">
        <v>60</v>
      </c>
      <c r="G22" s="5" t="s">
        <v>61</v>
      </c>
    </row>
    <row r="23" spans="1:9" x14ac:dyDescent="0.3">
      <c r="A23" s="1">
        <v>3072</v>
      </c>
      <c r="B23" s="30">
        <f>A23/8000</f>
        <v>0.38400000000000001</v>
      </c>
      <c r="C23" s="30">
        <v>2.4140000000000001</v>
      </c>
      <c r="D23" s="30">
        <v>0.375</v>
      </c>
      <c r="F23" s="1">
        <v>1</v>
      </c>
      <c r="G23" s="1">
        <v>2.0472414493560702</v>
      </c>
    </row>
    <row r="24" spans="1:9" x14ac:dyDescent="0.3">
      <c r="C24" s="20">
        <v>2.4180000000000001</v>
      </c>
      <c r="F24" s="1">
        <v>2</v>
      </c>
      <c r="G24" s="1">
        <v>2.0266034603118799</v>
      </c>
    </row>
    <row r="25" spans="1:9" x14ac:dyDescent="0.3">
      <c r="C25" s="30">
        <v>2.4140000000000001</v>
      </c>
      <c r="F25" s="1">
        <v>3</v>
      </c>
      <c r="G25" s="1">
        <v>1.97008800506591</v>
      </c>
    </row>
    <row r="26" spans="1:9" x14ac:dyDescent="0.3">
      <c r="C26" s="30">
        <v>2.4140000000000001</v>
      </c>
      <c r="F26" s="1">
        <v>4</v>
      </c>
      <c r="G26" s="1">
        <v>2.0242104530334402</v>
      </c>
    </row>
    <row r="27" spans="1:9" x14ac:dyDescent="0.3">
      <c r="C27" s="20">
        <v>2.4180000000000001</v>
      </c>
      <c r="F27" s="1">
        <v>5</v>
      </c>
      <c r="G27" s="1">
        <v>1.93976974487304</v>
      </c>
    </row>
    <row r="28" spans="1:9" x14ac:dyDescent="0.3">
      <c r="C28" s="28">
        <f>AVERAGE(C23:C27)</f>
        <v>2.4156</v>
      </c>
      <c r="F28" s="1">
        <v>6</v>
      </c>
      <c r="G28" s="1">
        <v>2.0181257724761901</v>
      </c>
    </row>
    <row r="29" spans="1:9" x14ac:dyDescent="0.3">
      <c r="A29" t="s">
        <v>56</v>
      </c>
      <c r="F29" s="1">
        <v>7</v>
      </c>
      <c r="G29" s="1">
        <v>2.0089583396911599</v>
      </c>
    </row>
    <row r="30" spans="1:9" x14ac:dyDescent="0.3">
      <c r="F30" s="1">
        <v>8</v>
      </c>
      <c r="G30" s="1">
        <v>2.0485622882843</v>
      </c>
    </row>
    <row r="31" spans="1:9" x14ac:dyDescent="0.3">
      <c r="F31" s="1">
        <v>9</v>
      </c>
      <c r="G31" s="1">
        <v>2.00212478637695</v>
      </c>
    </row>
    <row r="32" spans="1:9" x14ac:dyDescent="0.3">
      <c r="F32" s="1">
        <v>10</v>
      </c>
      <c r="G32" s="1">
        <v>1.9988331794738701</v>
      </c>
    </row>
    <row r="33" spans="6:7" x14ac:dyDescent="0.3">
      <c r="F33" s="1" t="s">
        <v>39</v>
      </c>
      <c r="G33" s="1">
        <f>AVERAGE(G23:G32)</f>
        <v>2.0084517478942812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scikit-learn</vt:lpstr>
      <vt:lpstr>quantized plaintext</vt:lpstr>
      <vt:lpstr>fhe (+ sizes)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2023-06-28T10:49:43Z</dcterms:modified>
</cp:coreProperties>
</file>