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/>
  </bookViews>
  <sheets>
    <sheet name="Profitability" sheetId="2" r:id="rId1"/>
    <sheet name="Profitability (2)" sheetId="3" r:id="rId2"/>
    <sheet name="Liquidity" sheetId="4" r:id="rId3"/>
  </sheets>
  <calcPr calcId="162913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X19" i="2"/>
  <c r="AG8" i="2"/>
  <c r="M16" i="2"/>
  <c r="G23" i="2"/>
  <c r="S23" i="2"/>
  <c r="T13" i="2"/>
  <c r="F9" i="2"/>
  <c r="X7" i="2"/>
  <c r="D9" i="2"/>
  <c r="W7" i="2"/>
  <c r="W24" i="2"/>
  <c r="AI7" i="2"/>
  <c r="G8" i="2"/>
  <c r="K7" i="2"/>
  <c r="S8" i="2"/>
  <c r="AB15" i="2"/>
  <c r="C9" i="2"/>
  <c r="AE8" i="2"/>
  <c r="AA9" i="2"/>
  <c r="O9" i="2"/>
  <c r="AM9" i="2"/>
  <c r="K10" i="2"/>
  <c r="G13" i="2"/>
  <c r="AI10" i="2"/>
  <c r="W10" i="2"/>
  <c r="S13" i="2"/>
  <c r="O15" i="2"/>
  <c r="AE13" i="2"/>
  <c r="C15" i="2"/>
  <c r="AM15" i="2"/>
  <c r="AA15" i="2"/>
  <c r="AB19" i="2"/>
  <c r="K16" i="2"/>
  <c r="AI16" i="2"/>
  <c r="G17" i="2"/>
  <c r="W16" i="2"/>
  <c r="AB10" i="2"/>
  <c r="S17" i="2"/>
  <c r="AE17" i="2"/>
  <c r="C18" i="2"/>
  <c r="O18" i="2"/>
  <c r="AA18" i="2"/>
  <c r="AM18" i="2"/>
  <c r="K19" i="2"/>
  <c r="W19" i="2"/>
  <c r="S20" i="2"/>
  <c r="AI19" i="2"/>
  <c r="G20" i="2"/>
  <c r="O23" i="2"/>
  <c r="C23" i="2"/>
  <c r="AE20" i="2"/>
  <c r="AA23" i="2"/>
  <c r="AM23" i="2"/>
  <c r="K24" i="2"/>
  <c r="AJ16" i="2"/>
  <c r="AI24" i="2"/>
  <c r="G25" i="2"/>
  <c r="S25" i="2"/>
  <c r="AE25" i="2"/>
  <c r="AJ10" i="2"/>
  <c r="AB18" i="2"/>
  <c r="T20" i="2"/>
  <c r="AJ19" i="2"/>
  <c r="L19" i="2"/>
  <c r="H20" i="2"/>
  <c r="AF20" i="2"/>
  <c r="D23" i="2"/>
  <c r="P23" i="2"/>
  <c r="AB23" i="2"/>
  <c r="AN23" i="2"/>
  <c r="X24" i="2"/>
  <c r="H25" i="2"/>
  <c r="L24" i="2"/>
  <c r="AJ24" i="2"/>
  <c r="J25" i="2"/>
  <c r="T25" i="2"/>
  <c r="AF25" i="2"/>
  <c r="Y7" i="2"/>
  <c r="Q7" i="2"/>
  <c r="M7" i="2"/>
  <c r="AK7" i="2"/>
  <c r="E9" i="2"/>
  <c r="U8" i="2"/>
  <c r="I8" i="2"/>
  <c r="Q9" i="2"/>
  <c r="AC9" i="2"/>
  <c r="X8" i="2"/>
  <c r="AO9" i="2"/>
  <c r="M10" i="2"/>
  <c r="Y10" i="2"/>
  <c r="U13" i="2"/>
  <c r="I13" i="2"/>
  <c r="AK10" i="2"/>
  <c r="AG13" i="2"/>
  <c r="E15" i="2"/>
  <c r="AO15" i="2"/>
  <c r="AC15" i="2"/>
  <c r="Q15" i="2"/>
  <c r="Y16" i="2"/>
  <c r="AK16" i="2"/>
  <c r="I17" i="2"/>
  <c r="U17" i="2"/>
  <c r="AG17" i="2"/>
  <c r="E18" i="2"/>
  <c r="Q18" i="2"/>
  <c r="AO18" i="2"/>
  <c r="M19" i="2"/>
  <c r="AC18" i="2"/>
  <c r="Y19" i="2"/>
  <c r="AK19" i="2"/>
  <c r="U20" i="2"/>
  <c r="I20" i="2"/>
  <c r="X17" i="2"/>
  <c r="AG20" i="2"/>
  <c r="E23" i="2"/>
  <c r="Q23" i="2"/>
  <c r="AC23" i="2"/>
  <c r="M24" i="2"/>
  <c r="AO23" i="2"/>
  <c r="Y24" i="2"/>
  <c r="AK24" i="2"/>
  <c r="AG25" i="2"/>
  <c r="E24" i="2"/>
  <c r="I25" i="2"/>
  <c r="U25" i="2"/>
  <c r="K20" i="2"/>
  <c r="AM19" i="2"/>
  <c r="AI25" i="2"/>
  <c r="W20" i="2"/>
  <c r="AI20" i="2"/>
  <c r="AE23" i="2"/>
  <c r="C24" i="2"/>
  <c r="O24" i="2"/>
  <c r="K25" i="2"/>
  <c r="AM24" i="2"/>
  <c r="AA24" i="2"/>
  <c r="W25" i="2"/>
  <c r="AJ7" i="2"/>
  <c r="AN9" i="2"/>
  <c r="AP23" i="2"/>
  <c r="L16" i="2"/>
  <c r="AL10" i="2"/>
  <c r="P18" i="2"/>
  <c r="AI17" i="2"/>
  <c r="AD7" i="2"/>
  <c r="R18" i="2"/>
  <c r="R15" i="2"/>
  <c r="Z16" i="2"/>
  <c r="AL19" i="2"/>
  <c r="AD23" i="2"/>
  <c r="V25" i="2"/>
  <c r="K8" i="2"/>
  <c r="O7" i="2"/>
  <c r="N19" i="2"/>
  <c r="AE9" i="2"/>
  <c r="K13" i="2"/>
  <c r="AE15" i="2"/>
  <c r="K17" i="2"/>
  <c r="O19" i="2"/>
  <c r="P7" i="2"/>
  <c r="AB7" i="2"/>
  <c r="D7" i="2"/>
  <c r="AN7" i="2"/>
  <c r="L8" i="2"/>
  <c r="AJ8" i="2"/>
  <c r="H9" i="2"/>
  <c r="T9" i="2"/>
  <c r="D10" i="2"/>
  <c r="AF9" i="2"/>
  <c r="M8" i="2"/>
  <c r="P10" i="2"/>
  <c r="AN10" i="2"/>
  <c r="L13" i="2"/>
  <c r="V18" i="2"/>
  <c r="X13" i="2"/>
  <c r="H15" i="2"/>
  <c r="AF15" i="2"/>
  <c r="AJ13" i="2"/>
  <c r="T15" i="2"/>
  <c r="S18" i="2"/>
  <c r="D16" i="2"/>
  <c r="P16" i="2"/>
  <c r="AN16" i="2"/>
  <c r="AB16" i="2"/>
  <c r="AJ17" i="2"/>
  <c r="L17" i="2"/>
  <c r="H18" i="2"/>
  <c r="T18" i="2"/>
  <c r="D19" i="2"/>
  <c r="AF18" i="2"/>
  <c r="P19" i="2"/>
  <c r="L20" i="2"/>
  <c r="AN19" i="2"/>
  <c r="AJ20" i="2"/>
  <c r="X20" i="2"/>
  <c r="H23" i="2"/>
  <c r="AB24" i="2"/>
  <c r="D24" i="2"/>
  <c r="AF23" i="2"/>
  <c r="T23" i="2"/>
  <c r="AN24" i="2"/>
  <c r="X25" i="2"/>
  <c r="AJ25" i="2"/>
  <c r="P24" i="2"/>
  <c r="L25" i="2"/>
  <c r="L10" i="2"/>
  <c r="H8" i="2"/>
  <c r="P15" i="2"/>
  <c r="D18" i="2"/>
  <c r="N10" i="2"/>
  <c r="AD15" i="2"/>
  <c r="J8" i="2"/>
  <c r="J17" i="2"/>
  <c r="F23" i="2"/>
  <c r="C13" i="2"/>
  <c r="AI15" i="2"/>
  <c r="F18" i="2"/>
  <c r="AM10" i="2"/>
  <c r="C16" i="2"/>
  <c r="W17" i="2"/>
  <c r="C19" i="2"/>
  <c r="E7" i="2"/>
  <c r="AC7" i="2"/>
  <c r="Y8" i="2"/>
  <c r="AK8" i="2"/>
  <c r="AO7" i="2"/>
  <c r="U9" i="2"/>
  <c r="AG9" i="2"/>
  <c r="I9" i="2"/>
  <c r="E10" i="2"/>
  <c r="Q10" i="2"/>
  <c r="M13" i="2"/>
  <c r="AC10" i="2"/>
  <c r="AO10" i="2"/>
  <c r="AK13" i="2"/>
  <c r="Y13" i="2"/>
  <c r="I15" i="2"/>
  <c r="U15" i="2"/>
  <c r="E16" i="2"/>
  <c r="AG15" i="2"/>
  <c r="Q16" i="2"/>
  <c r="AO16" i="2"/>
  <c r="M17" i="2"/>
  <c r="AC16" i="2"/>
  <c r="AO19" i="2"/>
  <c r="I18" i="2"/>
  <c r="Y17" i="2"/>
  <c r="AK17" i="2"/>
  <c r="U18" i="2"/>
  <c r="AC19" i="2"/>
  <c r="Q19" i="2"/>
  <c r="AG18" i="2"/>
  <c r="E19" i="2"/>
  <c r="AB17" i="2"/>
  <c r="I23" i="2"/>
  <c r="Y20" i="2"/>
  <c r="M20" i="2"/>
  <c r="U23" i="2"/>
  <c r="AK20" i="2"/>
  <c r="AG23" i="2"/>
  <c r="Y25" i="2"/>
  <c r="AC24" i="2"/>
  <c r="Q24" i="2"/>
  <c r="AK25" i="2"/>
  <c r="M25" i="2"/>
  <c r="AO24" i="2"/>
  <c r="AB9" i="2"/>
  <c r="L7" i="2"/>
  <c r="T17" i="2"/>
  <c r="D15" i="2"/>
  <c r="N7" i="2"/>
  <c r="V13" i="2"/>
  <c r="V8" i="2"/>
  <c r="N16" i="2"/>
  <c r="J20" i="2"/>
  <c r="AP9" i="2"/>
  <c r="AM7" i="2"/>
  <c r="AH25" i="2"/>
  <c r="G9" i="2"/>
  <c r="O10" i="2"/>
  <c r="G15" i="2"/>
  <c r="AA16" i="2"/>
  <c r="AA19" i="2"/>
  <c r="F7" i="2"/>
  <c r="AJ23" i="2"/>
  <c r="R7" i="2"/>
  <c r="N8" i="2"/>
  <c r="Z8" i="2"/>
  <c r="AP7" i="2"/>
  <c r="AL8" i="2"/>
  <c r="J9" i="2"/>
  <c r="AH9" i="2"/>
  <c r="V9" i="2"/>
  <c r="F10" i="2"/>
  <c r="AM16" i="2"/>
  <c r="R10" i="2"/>
  <c r="AD10" i="2"/>
  <c r="AP10" i="2"/>
  <c r="Z13" i="2"/>
  <c r="N13" i="2"/>
  <c r="J15" i="2"/>
  <c r="AH15" i="2"/>
  <c r="AL13" i="2"/>
  <c r="V15" i="2"/>
  <c r="AD19" i="2"/>
  <c r="F16" i="2"/>
  <c r="Z17" i="2"/>
  <c r="R16" i="2"/>
  <c r="AD16" i="2"/>
  <c r="N17" i="2"/>
  <c r="AP16" i="2"/>
  <c r="AL17" i="2"/>
  <c r="J18" i="2"/>
  <c r="Z25" i="2"/>
  <c r="AH18" i="2"/>
  <c r="F19" i="2"/>
  <c r="N20" i="2"/>
  <c r="R19" i="2"/>
  <c r="AL20" i="2"/>
  <c r="AP19" i="2"/>
  <c r="AH23" i="2"/>
  <c r="J23" i="2"/>
  <c r="Z20" i="2"/>
  <c r="V23" i="2"/>
  <c r="F24" i="2"/>
  <c r="AH20" i="2"/>
  <c r="R24" i="2"/>
  <c r="AP24" i="2"/>
  <c r="AD24" i="2"/>
  <c r="N25" i="2"/>
  <c r="U16" i="2"/>
  <c r="AL25" i="2"/>
  <c r="AN15" i="2"/>
  <c r="AF8" i="2"/>
  <c r="C17" i="2"/>
  <c r="H13" i="2"/>
  <c r="AF17" i="2"/>
  <c r="AL7" i="2"/>
  <c r="AD9" i="2"/>
  <c r="AH13" i="2"/>
  <c r="S7" i="2"/>
  <c r="AP18" i="2"/>
  <c r="V17" i="2"/>
  <c r="AL24" i="2"/>
  <c r="AA10" i="2"/>
  <c r="AI8" i="2"/>
  <c r="S15" i="2"/>
  <c r="C8" i="2"/>
  <c r="AE7" i="2"/>
  <c r="O8" i="2"/>
  <c r="AI18" i="2"/>
  <c r="AM8" i="2"/>
  <c r="AA8" i="2"/>
  <c r="K9" i="2"/>
  <c r="W9" i="2"/>
  <c r="AI9" i="2"/>
  <c r="O25" i="2"/>
  <c r="G10" i="2"/>
  <c r="AA13" i="2"/>
  <c r="AE10" i="2"/>
  <c r="W15" i="2"/>
  <c r="S10" i="2"/>
  <c r="O13" i="2"/>
  <c r="K15" i="2"/>
  <c r="AM13" i="2"/>
  <c r="AA17" i="2"/>
  <c r="AM17" i="2"/>
  <c r="S16" i="2"/>
  <c r="W18" i="2"/>
  <c r="G16" i="2"/>
  <c r="AE16" i="2"/>
  <c r="O17" i="2"/>
  <c r="K18" i="2"/>
  <c r="H7" i="2"/>
  <c r="Z10" i="2"/>
  <c r="V10" i="2"/>
  <c r="G19" i="2"/>
  <c r="S19" i="2"/>
  <c r="AE19" i="2"/>
  <c r="L18" i="2"/>
  <c r="O20" i="2"/>
  <c r="S24" i="2"/>
  <c r="AE24" i="2"/>
  <c r="C20" i="2"/>
  <c r="AM20" i="2"/>
  <c r="AA20" i="2"/>
  <c r="W23" i="2"/>
  <c r="T7" i="2"/>
  <c r="K23" i="2"/>
  <c r="AI23" i="2"/>
  <c r="D8" i="2"/>
  <c r="G24" i="2"/>
  <c r="AM25" i="2"/>
  <c r="C25" i="2"/>
  <c r="P8" i="2"/>
  <c r="AA25" i="2"/>
  <c r="AF7" i="2"/>
  <c r="AN8" i="2"/>
  <c r="AB8" i="2"/>
  <c r="L9" i="2"/>
  <c r="AH17" i="2"/>
  <c r="X9" i="2"/>
  <c r="AJ9" i="2"/>
  <c r="D13" i="2"/>
  <c r="T10" i="2"/>
  <c r="X15" i="2"/>
  <c r="T16" i="2"/>
  <c r="H10" i="2"/>
  <c r="AB13" i="2"/>
  <c r="AF10" i="2"/>
  <c r="P13" i="2"/>
  <c r="L15" i="2"/>
  <c r="H19" i="2"/>
  <c r="H16" i="2"/>
  <c r="AJ15" i="2"/>
  <c r="AN17" i="2"/>
  <c r="AN13" i="2"/>
  <c r="X18" i="2"/>
  <c r="P17" i="2"/>
  <c r="AF16" i="2"/>
  <c r="D17" i="2"/>
  <c r="T19" i="2"/>
  <c r="AJ18" i="2"/>
  <c r="AE18" i="2"/>
  <c r="AF19" i="2"/>
  <c r="D20" i="2"/>
  <c r="P20" i="2"/>
  <c r="AN20" i="2"/>
  <c r="L23" i="2"/>
  <c r="D25" i="2"/>
  <c r="AB25" i="2"/>
  <c r="AB20" i="2"/>
  <c r="R9" i="2"/>
  <c r="P25" i="2"/>
  <c r="H24" i="2"/>
  <c r="X23" i="2"/>
  <c r="T24" i="2"/>
  <c r="X10" i="2"/>
  <c r="H17" i="2"/>
  <c r="AF24" i="2"/>
  <c r="T8" i="2"/>
  <c r="Z7" i="2"/>
  <c r="AN25" i="2"/>
  <c r="N24" i="2"/>
  <c r="J13" i="2"/>
  <c r="AP15" i="2"/>
  <c r="V20" i="2"/>
  <c r="AA7" i="2"/>
  <c r="E25" i="2"/>
  <c r="S9" i="2"/>
  <c r="AI13" i="2"/>
  <c r="Y18" i="2"/>
  <c r="AK23" i="2"/>
  <c r="U7" i="2"/>
  <c r="Q8" i="2"/>
  <c r="M9" i="2"/>
  <c r="I7" i="2"/>
  <c r="AG7" i="2"/>
  <c r="AC8" i="2"/>
  <c r="E13" i="2"/>
  <c r="AG10" i="2"/>
  <c r="U10" i="2"/>
  <c r="E8" i="2"/>
  <c r="Y9" i="2"/>
  <c r="I10" i="2"/>
  <c r="I16" i="2"/>
  <c r="AO13" i="2"/>
  <c r="Q13" i="2"/>
  <c r="AK9" i="2"/>
  <c r="AO8" i="2"/>
  <c r="AK15" i="2"/>
  <c r="M15" i="2"/>
  <c r="AC13" i="2"/>
  <c r="Y15" i="2"/>
  <c r="AG16" i="2"/>
  <c r="AK18" i="2"/>
  <c r="E17" i="2"/>
  <c r="Q17" i="2"/>
  <c r="M18" i="2"/>
  <c r="Y23" i="2"/>
  <c r="AG19" i="2"/>
  <c r="AC17" i="2"/>
  <c r="AO17" i="2"/>
  <c r="U19" i="2"/>
  <c r="U24" i="2"/>
  <c r="Q20" i="2"/>
  <c r="I24" i="2"/>
  <c r="AC20" i="2"/>
  <c r="AO20" i="2"/>
  <c r="Q25" i="2"/>
  <c r="I19" i="2"/>
  <c r="M23" i="2"/>
  <c r="E20" i="2"/>
  <c r="AC25" i="2"/>
  <c r="AF13" i="2"/>
  <c r="AO25" i="2"/>
  <c r="AG24" i="2"/>
  <c r="P9" i="2"/>
  <c r="X16" i="2"/>
  <c r="AN18" i="2"/>
  <c r="C7" i="2"/>
  <c r="AH8" i="2"/>
  <c r="F8" i="2"/>
  <c r="W13" i="2"/>
  <c r="AL16" i="2"/>
  <c r="F15" i="2"/>
  <c r="V7" i="2"/>
  <c r="Z19" i="2"/>
  <c r="AD18" i="2"/>
  <c r="O16" i="2"/>
  <c r="Z24" i="2"/>
  <c r="R8" i="2"/>
  <c r="W8" i="2"/>
  <c r="F13" i="2"/>
  <c r="R23" i="2"/>
  <c r="J7" i="2"/>
  <c r="AH7" i="2"/>
  <c r="G18" i="2"/>
  <c r="G7" i="2"/>
  <c r="N9" i="2"/>
  <c r="J10" i="2"/>
  <c r="C10" i="2"/>
  <c r="AH10" i="2"/>
  <c r="AL9" i="2"/>
  <c r="R13" i="2"/>
  <c r="AP8" i="2"/>
  <c r="AD8" i="2"/>
  <c r="Z9" i="2"/>
  <c r="AH16" i="2"/>
  <c r="F17" i="2"/>
  <c r="AL18" i="2"/>
  <c r="AL15" i="2"/>
  <c r="R25" i="2"/>
  <c r="F20" i="2"/>
  <c r="Z15" i="2"/>
  <c r="AD17" i="2"/>
  <c r="AP17" i="2"/>
  <c r="V24" i="2"/>
  <c r="J19" i="2"/>
  <c r="Z18" i="2"/>
  <c r="J16" i="2"/>
  <c r="N15" i="2"/>
  <c r="J24" i="2"/>
  <c r="Z23" i="2"/>
  <c r="V19" i="2"/>
  <c r="R20" i="2"/>
  <c r="F25" i="2"/>
  <c r="AL23" i="2"/>
  <c r="AH19" i="2"/>
  <c r="AP20" i="2"/>
  <c r="V16" i="2"/>
  <c r="AD25" i="2"/>
  <c r="R17" i="2"/>
  <c r="AD13" i="2"/>
  <c r="AD20" i="2"/>
  <c r="AP13" i="2"/>
  <c r="AP25" i="2"/>
  <c r="N23" i="2"/>
  <c r="AH24" i="2"/>
  <c r="N18" i="2"/>
</calcChain>
</file>

<file path=xl/sharedStrings.xml><?xml version="1.0" encoding="utf-8"?>
<sst xmlns="http://schemas.openxmlformats.org/spreadsheetml/2006/main" count="347" uniqueCount="194">
  <si>
    <t>Right click to show data transparency (not supported for all values)</t>
  </si>
  <si>
    <t>American Airlines Group Inc (AAL US) - Profitability</t>
  </si>
  <si>
    <t>In Millions of USD except Per Share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</si>
  <si>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</si>
  <si>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</si>
  <si>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</si>
  <si>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</si>
  <si>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</si>
  <si>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</si>
  <si>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</si>
  <si>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</si>
  <si>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</si>
  <si>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</si>
  <si>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</si>
  <si>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</si>
  <si>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</si>
  <si>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</si>
  <si>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</si>
  <si>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</si>
  <si>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</si>
  <si>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</si>
  <si>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</si>
  <si>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</si>
  <si>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</si>
  <si>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</si>
  <si>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</si>
  <si>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</si>
  <si>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</si>
  <si>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</si>
  <si>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</si>
  <si>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</si>
  <si>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</si>
  <si>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</si>
  <si>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</si>
  <si>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</si>
  <si>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</si>
  <si>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</si>
  <si>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</si>
  <si>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</si>
  <si>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</si>
  <si>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</si>
  <si>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</si>
  <si>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</si>
  <si>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3 Months Ending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</si>
  <si>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</si>
  <si>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</si>
  <si>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</si>
  <si>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</si>
  <si>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</si>
  <si>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</si>
  <si>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</si>
  <si>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</si>
  <si>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</si>
  <si>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</si>
  <si>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</si>
  <si>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</si>
  <si>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</si>
  <si>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</si>
  <si>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</si>
  <si>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</si>
  <si>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</si>
  <si>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</si>
  <si>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</si>
  <si>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</si>
  <si>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</si>
  <si>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</si>
  <si>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</si>
  <si>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</si>
  <si>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</si>
  <si>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</si>
  <si>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</si>
  <si>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</si>
  <si>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</si>
  <si>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</si>
  <si>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</si>
  <si>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</si>
  <si>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</si>
  <si>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</si>
  <si>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</si>
  <si>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</si>
  <si>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</si>
  <si>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</si>
  <si>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</si>
  <si>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</si>
  <si>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</si>
  <si>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</si>
  <si>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</si>
  <si>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</si>
  <si>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</si>
  <si>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</si>
  <si>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</si>
  <si>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</si>
  <si>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</si>
  <si>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</si>
  <si>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 Margin</t>
  </si>
  <si>
    <t>EBITDA_TO_REVENUE</t>
  </si>
  <si>
    <t xml:space="preserve">    Growth (YoY)</t>
  </si>
  <si>
    <t>—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</si>
  <si>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</si>
  <si>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</si>
  <si>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</si>
  <si>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</si>
  <si>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</si>
  <si>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</si>
  <si>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</si>
  <si>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</si>
  <si>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</si>
  <si>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</si>
  <si>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</si>
  <si>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</si>
  <si>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</si>
  <si>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</si>
  <si>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</si>
  <si>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</si>
  <si>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</si>
  <si>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</si>
  <si>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</si>
  <si>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</si>
  <si>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</si>
  <si>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</si>
  <si>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</si>
  <si>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</si>
  <si>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</si>
  <si>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</si>
  <si>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</si>
  <si>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</si>
  <si>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</si>
  <si>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</si>
  <si>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</si>
  <si>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</si>
  <si>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</si>
  <si>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</si>
  <si>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</si>
  <si>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</si>
  <si>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</si>
  <si>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</si>
  <si>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</si>
  <si>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</si>
  <si>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</si>
  <si>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</si>
  <si>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</si>
  <si>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</si>
  <si>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</si>
  <si>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</si>
  <si>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</si>
  <si>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</si>
  <si>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</si>
  <si>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</si>
  <si>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</si>
  <si>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</si>
  <si>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</si>
  <si>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</si>
  <si>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</si>
  <si>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</si>
  <si>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</si>
  <si>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</si>
  <si>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</si>
  <si>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</si>
  <si>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CQ2 2011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</si>
  <si>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</si>
  <si>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</si>
  <si>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</si>
  <si>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</si>
  <si>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</si>
  <si>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</si>
  <si>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</si>
  <si>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</si>
  <si>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</si>
  <si>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</si>
  <si>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</si>
  <si>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</si>
  <si>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</si>
  <si>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</si>
  <si>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</si>
  <si>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</si>
  <si>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</si>
  <si>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</si>
  <si>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</si>
  <si>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</si>
  <si>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</si>
  <si>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</si>
  <si>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</si>
  <si>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</si>
  <si>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</si>
  <si>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</si>
  <si>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</si>
  <si>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</si>
  <si>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</si>
  <si>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</si>
  <si>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</si>
  <si>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</si>
  <si>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</si>
  <si>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</si>
  <si>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American Airlines Group Inc (AAL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</si>
</sst>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4">
    <xf numFmtId="0" fontId="0" fillId="0" borderId="0" xfId="0"/>
    <xf numFmtId="171" fontId="1" fillId="34" borderId="2" xfId="57" applyNumberFormat="1" applyFont="1" applyFill="1" applyBorder="1" applyAlignment="1" applyProtection="1">
      <alignment horizontal="right"/>
    </xf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4" fillId="34" borderId="18" xfId="62" applyNumberFormat="1" applyFont="1" applyFill="1" applyBorder="1" applyAlignment="1" applyProtection="1"/>
    <xf numFmtId="0" fontId="8" fillId="34" borderId="18" xfId="63" applyNumberFormat="1" applyFont="1" applyFill="1" applyBorder="1" applyAlignment="1" applyProtection="1"/>
    <xf numFmtId="0" fontId="3" fillId="34" borderId="18" xfId="64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italic_1_grouped" xfId="56"/>
    <cellStyle name="fa_data_standard_0_grouped" xfId="53"/>
    <cellStyle name="fa_data_standard_1_grouped" xfId="57"/>
    <cellStyle name="fa_data_standard_2_grouped" xfId="54"/>
    <cellStyle name="fa_footer_italic" xfId="34"/>
    <cellStyle name="fa_row_header_bold" xfId="35"/>
    <cellStyle name="fa_row_header_bold 2" xfId="63"/>
    <cellStyle name="fa_row_header_italic" xfId="36"/>
    <cellStyle name="fa_row_header_italic 2" xfId="62"/>
    <cellStyle name="fa_row_header_standard" xfId="37"/>
    <cellStyle name="fa_row_header_standard 2" xfId="64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BDP|12866670086006374079</stp>
        <tr r="AG9" s="3"/>
      </tp>
      <tp t="s">
        <v>#N/A N/A</v>
        <stp/>
        <stp>BDP|10918077902403105919</stp>
        <tr r="T11" s="3"/>
      </tp>
      <tp t="s">
        <v>#N/A N/A</v>
        <stp/>
        <stp>BDP|14917327073563159967</stp>
        <tr r="D16" s="3"/>
      </tp>
      <tp t="s">
        <v>#N/A N/A</v>
        <stp/>
        <stp>BDP|12101748516678591672</stp>
        <tr r="V9" s="3"/>
      </tp>
      <tp t="s">
        <v>#N/A N/A</v>
        <stp/>
        <stp>BDP|11556371394461114052</stp>
        <tr r="AI11" s="3"/>
      </tp>
      <tp t="s">
        <v>#N/A N/A</v>
        <stp/>
        <stp>BDP|17635070385466576351</stp>
        <tr r="AP16" s="3"/>
      </tp>
      <tp t="s">
        <v>#N/A N/A</v>
        <stp/>
        <stp>BDH|17026340745552561859</stp>
        <tr r="S10" s="2"/>
      </tp>
      <tp t="s">
        <v>#N/A N/A</v>
        <stp/>
        <stp>BDH|18244756310554226049</stp>
        <tr r="L10" s="2"/>
      </tp>
      <tp t="s">
        <v>#N/A N/A</v>
        <stp/>
        <stp>BDH|13371930777921309640</stp>
        <tr r="AF10" s="4"/>
      </tp>
      <tp t="s">
        <v>#N/A N/A</v>
        <stp/>
        <stp>BDH|15920113388004080207</stp>
        <tr r="AC15" s="2"/>
      </tp>
      <tp t="s">
        <v>#N/A N/A</v>
        <stp/>
        <stp>BDH|11378516628405982931</stp>
        <tr r="P13" s="4"/>
      </tp>
      <tp t="s">
        <v>#N/A N/A</v>
        <stp/>
        <stp>BDH|16724631487436509464</stp>
        <tr r="AD23" s="2"/>
      </tp>
      <tp t="s">
        <v>#N/A N/A</v>
        <stp/>
        <stp>BDH|11110932103163480159</stp>
        <tr r="L20" s="4"/>
      </tp>
      <tp t="s">
        <v>#N/A N/A</v>
        <stp/>
        <stp>BDH|12269294126280921867</stp>
        <tr r="X24" s="2"/>
      </tp>
      <tp t="s">
        <v>#N/A N/A</v>
        <stp/>
        <stp>BDH|12243407051131234835</stp>
        <tr r="D19" s="2"/>
      </tp>
      <tp t="s">
        <v>#N/A N/A</v>
        <stp/>
        <stp>BDH|14832940313834965249</stp>
        <tr r="T17" s="2"/>
      </tp>
      <tp t="s">
        <v>#N/A N/A</v>
        <stp/>
        <stp>BDH|16401914842757552679</stp>
        <tr r="AI15" s="2"/>
      </tp>
      <tp t="s">
        <v>#N/A N/A</v>
        <stp/>
        <stp>BDH|11214834682499272244</stp>
        <tr r="AO17" s="2"/>
      </tp>
      <tp t="s">
        <v>#N/A N/A</v>
        <stp/>
        <stp>BDH|10969821529483704319</stp>
        <tr r="AA20" s="2"/>
      </tp>
      <tp t="s">
        <v>#N/A N/A</v>
        <stp/>
        <stp>BDH|14180614190507310646</stp>
        <tr r="AN9" s="2"/>
      </tp>
      <tp t="s">
        <v>#N/A N/A</v>
        <stp/>
        <stp>BDH|18063384987268017187</stp>
        <tr r="AB15" s="2"/>
      </tp>
      <tp t="s">
        <v>#N/A N/A</v>
        <stp/>
        <stp>BDH|15747821384586007978</stp>
        <tr r="C20" s="4"/>
      </tp>
      <tp t="s">
        <v>#N/A N/A</v>
        <stp/>
        <stp>BDH|16158819650570432126</stp>
        <tr r="AA10" s="2"/>
      </tp>
      <tp t="s">
        <v>#N/A N/A</v>
        <stp/>
        <stp>BDH|10576196623161813813</stp>
        <tr r="X21" s="4"/>
      </tp>
      <tp t="s">
        <v>#N/A N/A</v>
        <stp/>
        <stp>BDH|15279484162428628577</stp>
        <tr r="L7" s="2"/>
      </tp>
      <tp t="s">
        <v>#N/A N/A</v>
        <stp/>
        <stp>BDH|11881518160258532056</stp>
        <tr r="AB25" s="4"/>
      </tp>
      <tp t="s">
        <v>#N/A N/A</v>
        <stp/>
        <stp>BDH|15938779366246979897</stp>
        <tr r="Z8" s="4"/>
      </tp>
      <tp t="s">
        <v>#N/A N/A</v>
        <stp/>
        <stp>BDH|12486029721788594295</stp>
        <tr r="N17" s="2"/>
      </tp>
      <tp t="s">
        <v>#N/A N/A</v>
        <stp/>
        <stp>BDH|14091828025555892142</stp>
        <tr r="AI8" s="2"/>
      </tp>
      <tp t="s">
        <v>#N/A N/A</v>
        <stp/>
        <stp>BDH|14556943738620069428</stp>
        <tr r="L13" s="2"/>
      </tp>
      <tp t="s">
        <v>#N/A N/A</v>
        <stp/>
        <stp>BDH|18033191222621196011</stp>
        <tr r="V16" s="4"/>
      </tp>
      <tp t="s">
        <v>#N/A N/A</v>
        <stp/>
        <stp>BDH|10941098881600970221</stp>
        <tr r="AP8" s="2"/>
      </tp>
      <tp t="s">
        <v>#N/A N/A</v>
        <stp/>
        <stp>BDH|11588540342132922876</stp>
        <tr r="AN6" s="4"/>
      </tp>
      <tp t="s">
        <v>#N/A N/A</v>
        <stp/>
        <stp>BDH|16826773709562341983</stp>
        <tr r="S22" s="4"/>
      </tp>
      <tp t="s">
        <v>#N/A N/A</v>
        <stp/>
        <stp>BDH|12884334084917143431</stp>
        <tr r="G24" s="2"/>
      </tp>
      <tp t="s">
        <v>#N/A N/A</v>
        <stp/>
        <stp>BDH|12163488874222894994</stp>
        <tr r="I24" s="2"/>
      </tp>
      <tp t="s">
        <v>#N/A N/A</v>
        <stp/>
        <stp>BDH|12980926933505218751</stp>
        <tr r="G14" s="4"/>
      </tp>
      <tp t="s">
        <v>#N/A N/A</v>
        <stp/>
        <stp>BDH|15935839774312017204</stp>
        <tr r="AG16" s="4"/>
      </tp>
      <tp t="s">
        <v>#N/A N/A</v>
        <stp/>
        <stp>BDP|14156619149858385575</stp>
        <tr r="J12" s="3"/>
      </tp>
      <tp t="s">
        <v>#N/A N/A</v>
        <stp/>
        <stp>BDP|17525536794561697190</stp>
        <tr r="L11" s="3"/>
      </tp>
      <tp t="s">
        <v>#N/A N/A</v>
        <stp/>
        <stp>BDP|17925401723423258995</stp>
        <tr r="AC12" s="3"/>
      </tp>
      <tp t="s">
        <v>#N/A N/A</v>
        <stp/>
        <stp>BDH|14836796900381426958</stp>
        <tr r="P15" s="2"/>
      </tp>
      <tp t="s">
        <v>#N/A N/A</v>
        <stp/>
        <stp>BDH|15390262695752558762</stp>
        <tr r="R16" s="2"/>
      </tp>
      <tp t="s">
        <v>#N/A N/A</v>
        <stp/>
        <stp>BDH|15185844460624709414</stp>
        <tr r="X9" s="4"/>
      </tp>
      <tp t="s">
        <v>#N/A N/A</v>
        <stp/>
        <stp>BDH|11926277611398967150</stp>
        <tr r="H7" s="2"/>
      </tp>
      <tp t="s">
        <v>#N/A N/A</v>
        <stp/>
        <stp>BDH|18014427766384414533</stp>
        <tr r="Z21" s="4"/>
      </tp>
      <tp t="s">
        <v>#N/A N/A</v>
        <stp/>
        <stp>BDH|14282322316549167450</stp>
        <tr r="X10" s="4"/>
      </tp>
      <tp t="s">
        <v>#N/A N/A</v>
        <stp/>
        <stp>BDH|11736005131851106851</stp>
        <tr r="M26" s="4"/>
      </tp>
      <tp t="s">
        <v>#N/A N/A</v>
        <stp/>
        <stp>BDH|14766255285917419216</stp>
        <tr r="AC20" s="2"/>
      </tp>
      <tp t="s">
        <v>#N/A N/A</v>
        <stp/>
        <stp>BDH|16722846705951688476</stp>
        <tr r="AM20" s="4"/>
      </tp>
      <tp t="s">
        <v>#N/A N/A</v>
        <stp/>
        <stp>BDH|12228896702705988479</stp>
        <tr r="E8" s="4"/>
      </tp>
      <tp t="s">
        <v>#N/A N/A</v>
        <stp/>
        <stp>BDH|14536896717167815141</stp>
        <tr r="AK17" s="4"/>
      </tp>
      <tp t="s">
        <v>#N/A N/A</v>
        <stp/>
        <stp>BDH|12429029487281683016</stp>
        <tr r="AM24" s="4"/>
      </tp>
      <tp t="s">
        <v>#N/A N/A</v>
        <stp/>
        <stp>BDH|14081130555953799886</stp>
        <tr r="F16" s="4"/>
      </tp>
      <tp t="s">
        <v>#N/A N/A</v>
        <stp/>
        <stp>BDH|14778626741318974545</stp>
        <tr r="AK23" s="2"/>
      </tp>
      <tp t="s">
        <v>#N/A N/A</v>
        <stp/>
        <stp>BDH|17172813361342038082</stp>
        <tr r="AA16" s="2"/>
      </tp>
      <tp t="s">
        <v>#N/A N/A</v>
        <stp/>
        <stp>BDH|17309673760604863844</stp>
        <tr r="Y25" s="4"/>
      </tp>
      <tp t="s">
        <v>#N/A N/A</v>
        <stp/>
        <stp>BDH|11654813478126398374</stp>
        <tr r="P24" s="2"/>
      </tp>
      <tp t="s">
        <v>#N/A N/A</v>
        <stp/>
        <stp>BDH|16949220920844270926</stp>
        <tr r="E6" s="4"/>
      </tp>
      <tp t="s">
        <v>#N/A N/A</v>
        <stp/>
        <stp>BDH|11831948220526222750</stp>
        <tr r="AL24" s="2"/>
      </tp>
      <tp t="s">
        <v>#N/A N/A</v>
        <stp/>
        <stp>BDH|18393567919551566635</stp>
        <tr r="U24" s="2"/>
      </tp>
      <tp t="s">
        <v>#N/A N/A</v>
        <stp/>
        <stp>BDH|10391200387743992275</stp>
        <tr r="AP20" s="2"/>
      </tp>
      <tp t="s">
        <v>#N/A N/A</v>
        <stp/>
        <stp>BDH|13468812301465890513</stp>
        <tr r="S8" s="4"/>
      </tp>
      <tp t="s">
        <v>#N/A N/A</v>
        <stp/>
        <stp>BDH|17498881954407358666</stp>
        <tr r="D7" s="4"/>
      </tp>
      <tp t="s">
        <v>#N/A N/A</v>
        <stp/>
        <stp>BDH|12024699580524489307</stp>
        <tr r="Q18" s="4"/>
      </tp>
      <tp t="s">
        <v>#N/A N/A</v>
        <stp/>
        <stp>BDH|12804039186784809588</stp>
        <tr r="AK6" s="4"/>
      </tp>
      <tp t="s">
        <v>#N/A N/A</v>
        <stp/>
        <stp>BDH|11676496392420125705</stp>
        <tr r="AA17" s="2"/>
      </tp>
      <tp t="s">
        <v>#N/A N/A</v>
        <stp/>
        <stp>BDH|10388347721548093299</stp>
        <tr r="I10" s="2"/>
      </tp>
      <tp t="s">
        <v>#N/A N/A</v>
        <stp/>
        <stp>BDH|16196383614106779958</stp>
        <tr r="I20" s="4"/>
      </tp>
      <tp t="s">
        <v>#N/A N/A</v>
        <stp/>
        <stp>BDH|14818574751866471945</stp>
        <tr r="W22" s="4"/>
      </tp>
      <tp t="s">
        <v>#N/A N/A</v>
        <stp/>
        <stp>BDH|13821468615048609537</stp>
        <tr r="C7" s="2"/>
      </tp>
      <tp t="s">
        <v>#N/A N/A</v>
        <stp/>
        <stp>BDP|13908859652161378756</stp>
        <tr r="AE15" s="3"/>
      </tp>
      <tp t="s">
        <v>#N/A N/A</v>
        <stp/>
        <stp>BDP|18019608588677681948</stp>
        <tr r="X16" s="3"/>
      </tp>
      <tp t="s">
        <v>#N/A N/A</v>
        <stp/>
        <stp>BDP|12121066759667917888</stp>
        <tr r="AN12" s="3"/>
      </tp>
      <tp t="s">
        <v>#N/A N/A</v>
        <stp/>
        <stp>BDP|11049490199640264400</stp>
        <tr r="AN15" s="3"/>
      </tp>
      <tp t="s">
        <v>#N/A N/A</v>
        <stp/>
        <stp>BDP|10311070650779675477</stp>
        <tr r="AA9" s="3"/>
      </tp>
      <tp t="s">
        <v>#N/A N/A</v>
        <stp/>
        <stp>BDP|10671348043276424926</stp>
        <tr r="AK11" s="3"/>
      </tp>
      <tp t="s">
        <v>#N/A N/A</v>
        <stp/>
        <stp>BDH|10855892111089867898</stp>
        <tr r="AG24" s="2"/>
      </tp>
      <tp t="s">
        <v>#N/A N/A</v>
        <stp/>
        <stp>BDH|17864567801562825862</stp>
        <tr r="N26" s="4"/>
      </tp>
      <tp t="s">
        <v>#N/A N/A</v>
        <stp/>
        <stp>BDH|15268512383432370230</stp>
        <tr r="D23" s="2"/>
      </tp>
      <tp t="s">
        <v>#N/A N/A</v>
        <stp/>
        <stp>BDH|17103669436379374314</stp>
        <tr r="J25" s="2"/>
      </tp>
      <tp t="s">
        <v>#N/A N/A</v>
        <stp/>
        <stp>BDH|17989679081806961745</stp>
        <tr r="AB26" s="4"/>
      </tp>
      <tp t="s">
        <v>#N/A N/A</v>
        <stp/>
        <stp>BDH|13875011595852800011</stp>
        <tr r="Z16" s="4"/>
      </tp>
      <tp t="s">
        <v>#N/A N/A</v>
        <stp/>
        <stp>BDH|13288964076604618117</stp>
        <tr r="U10" s="2"/>
      </tp>
      <tp t="s">
        <v>#N/A N/A</v>
        <stp/>
        <stp>BDH|13246465863359464065</stp>
        <tr r="N8" s="2"/>
      </tp>
      <tp t="s">
        <v>#N/A N/A</v>
        <stp/>
        <stp>BDH|13438897253412278488</stp>
        <tr r="AL18" s="4"/>
      </tp>
      <tp t="s">
        <v>#N/A N/A</v>
        <stp/>
        <stp>BDH|15028152143380297838</stp>
        <tr r="X25" s="2"/>
      </tp>
      <tp t="s">
        <v>#N/A N/A</v>
        <stp/>
        <stp>BDH|16066600471326127976</stp>
        <tr r="U7" s="4"/>
      </tp>
      <tp t="s">
        <v>#N/A N/A</v>
        <stp/>
        <stp>BDH|16669771630558603202</stp>
        <tr r="F8" s="2"/>
      </tp>
      <tp t="s">
        <v>#N/A N/A</v>
        <stp/>
        <stp>BDH|16318678684393718317</stp>
        <tr r="AK19" s="2"/>
      </tp>
      <tp t="s">
        <v>#N/A N/A</v>
        <stp/>
        <stp>BDH|10926384492345226777</stp>
        <tr r="P19" s="2"/>
      </tp>
      <tp t="s">
        <v>#N/A N/A</v>
        <stp/>
        <stp>BDH|13503956224326170637</stp>
        <tr r="AI12" s="4"/>
      </tp>
      <tp t="s">
        <v>#N/A N/A</v>
        <stp/>
        <stp>BDH|10881956767006361102</stp>
        <tr r="AE19" s="2"/>
      </tp>
      <tp t="s">
        <v>#N/A N/A</v>
        <stp/>
        <stp>BDH|12140347571057856959</stp>
        <tr r="P26" s="4"/>
      </tp>
      <tp t="s">
        <v>#N/A N/A</v>
        <stp/>
        <stp>BDH|13589231575228339682</stp>
        <tr r="Q23" s="2"/>
      </tp>
      <tp t="s">
        <v>#N/A N/A</v>
        <stp/>
        <stp>BDH|14134841316744856134</stp>
        <tr r="AE20" s="2"/>
      </tp>
      <tp t="s">
        <v>#N/A N/A</v>
        <stp/>
        <stp>BDH|10170491324337554921</stp>
        <tr r="O7" s="2"/>
      </tp>
      <tp t="s">
        <v>#N/A N/A</v>
        <stp/>
        <stp>BDH|16216487630609134019</stp>
        <tr r="Q8" s="4"/>
      </tp>
      <tp t="s">
        <v>#N/A N/A</v>
        <stp/>
        <stp>BDH|11121176269478285674</stp>
        <tr r="AF20" s="2"/>
      </tp>
      <tp t="s">
        <v>#N/A N/A</v>
        <stp/>
        <stp>BDH|11384591201935415929</stp>
        <tr r="AJ6" s="4"/>
      </tp>
      <tp t="s">
        <v>#N/A N/A</v>
        <stp/>
        <stp>BDH|16484132959322587866</stp>
        <tr r="L24" s="4"/>
      </tp>
      <tp t="s">
        <v>#N/A N/A</v>
        <stp/>
        <stp>BDH|14252296432245393865</stp>
        <tr r="Z17" s="2"/>
      </tp>
      <tp t="s">
        <v>#N/A N/A</v>
        <stp/>
        <stp>BDH|10266142274218943674</stp>
        <tr r="AF17" s="2"/>
      </tp>
      <tp t="s">
        <v>#N/A N/A</v>
        <stp/>
        <stp>BDH|10348399031381716935</stp>
        <tr r="Q20" s="2"/>
      </tp>
      <tp t="s">
        <v>#N/A N/A</v>
        <stp/>
        <stp>BDH|17458296914869574536</stp>
        <tr r="AE22" s="4"/>
      </tp>
      <tp t="s">
        <v>#N/A N/A</v>
        <stp/>
        <stp>BDH|13361245398511087103</stp>
        <tr r="L16" s="2"/>
      </tp>
      <tp t="s">
        <v>#N/A N/A</v>
        <stp/>
        <stp>BDP|15022949875171265385</stp>
        <tr r="Q15" s="3"/>
      </tp>
      <tp t="s">
        <v>#N/A N/A</v>
        <stp/>
        <stp>BDP|16738638486989720899</stp>
        <tr r="Z15" s="3"/>
      </tp>
      <tp t="s">
        <v>#N/A N/A</v>
        <stp/>
        <stp>BDP|16444159530149685476</stp>
        <tr r="I15" s="3"/>
      </tp>
      <tp t="s">
        <v>#N/A N/A</v>
        <stp/>
        <stp>BDP|16872480825178644165</stp>
        <tr r="R16" s="3"/>
      </tp>
      <tp t="s">
        <v>#N/A N/A</v>
        <stp/>
        <stp>BDH|18270974997323081231</stp>
        <tr r="AA7" s="2"/>
      </tp>
      <tp t="s">
        <v>#N/A N/A</v>
        <stp/>
        <stp>BDH|16503820624091580470</stp>
        <tr r="F18" s="4"/>
      </tp>
      <tp t="s">
        <v>#N/A N/A</v>
        <stp/>
        <stp>BDH|11637554404154321957</stp>
        <tr r="AD7" s="4"/>
      </tp>
      <tp t="s">
        <v>#N/A N/A</v>
        <stp/>
        <stp>BDH|13984298881706868687</stp>
        <tr r="Q7" s="4"/>
      </tp>
      <tp t="s">
        <v>#N/A N/A</v>
        <stp/>
        <stp>BDH|14868885074674228666</stp>
        <tr r="W26" s="4"/>
      </tp>
      <tp t="s">
        <v>#N/A N/A</v>
        <stp/>
        <stp>BDH|15140855810627672226</stp>
        <tr r="H6" s="4"/>
      </tp>
      <tp t="s">
        <v>#N/A N/A</v>
        <stp/>
        <stp>BDH|17941826479557871698</stp>
        <tr r="AD18" s="2"/>
      </tp>
      <tp t="s">
        <v>#N/A N/A</v>
        <stp/>
        <stp>BDH|14230519063516146826</stp>
        <tr r="U23" s="2"/>
      </tp>
      <tp t="s">
        <v>#N/A N/A</v>
        <stp/>
        <stp>BDH|16518369423947046936</stp>
        <tr r="D18" s="2"/>
      </tp>
      <tp t="s">
        <v>#N/A N/A</v>
        <stp/>
        <stp>BDH|13384931700275629643</stp>
        <tr r="P7" s="2"/>
      </tp>
      <tp t="s">
        <v>#N/A N/A</v>
        <stp/>
        <stp>BDH|17409494497950924311</stp>
        <tr r="V25" s="4"/>
      </tp>
      <tp t="s">
        <v>#N/A N/A</v>
        <stp/>
        <stp>BDH|16083721290141279022</stp>
        <tr r="Y8" s="4"/>
      </tp>
      <tp t="s">
        <v>#N/A N/A</v>
        <stp/>
        <stp>BDH|16285979472056260774</stp>
        <tr r="F21" s="4"/>
      </tp>
      <tp t="s">
        <v>#N/A N/A</v>
        <stp/>
        <stp>BDH|16009110419058540784</stp>
        <tr r="AF13" s="4"/>
      </tp>
      <tp t="s">
        <v>#N/A N/A</v>
        <stp/>
        <stp>BDH|15211228574700165912</stp>
        <tr r="O17" s="2"/>
      </tp>
      <tp t="s">
        <v>#N/A N/A</v>
        <stp/>
        <stp>BDH|17408157523085735813</stp>
        <tr r="X8" s="2"/>
      </tp>
      <tp t="s">
        <v>#N/A N/A</v>
        <stp/>
        <stp>BDH|17196956176627519714</stp>
        <tr r="E16" s="4"/>
      </tp>
      <tp t="s">
        <v>#N/A N/A</v>
        <stp/>
        <stp>BDH|10020114400281972913</stp>
        <tr r="AD12" s="4"/>
      </tp>
      <tp t="s">
        <v>#N/A N/A</v>
        <stp/>
        <stp>BDH|10487883784419237026</stp>
        <tr r="AJ17" s="2"/>
      </tp>
      <tp t="s">
        <v>#N/A N/A</v>
        <stp/>
        <stp>BDH|17983662397689218801</stp>
        <tr r="AI7" s="4"/>
      </tp>
      <tp t="s">
        <v>#N/A N/A</v>
        <stp/>
        <stp>BDH|12829200105731266853</stp>
        <tr r="N20" s="4"/>
      </tp>
      <tp t="s">
        <v>#N/A N/A</v>
        <stp/>
        <stp>BDH|16248184937039078473</stp>
        <tr r="Y18" s="2"/>
      </tp>
      <tp t="s">
        <v>#N/A N/A</v>
        <stp/>
        <stp>BDH|15701372264958971103</stp>
        <tr r="U19" s="2"/>
      </tp>
      <tp t="s">
        <v>#N/A N/A</v>
        <stp/>
        <stp>BDH|11771387964764194970</stp>
        <tr r="AE9" s="2"/>
      </tp>
      <tp t="s">
        <v>#N/A N/A</v>
        <stp/>
        <stp>BDH|15161899905433098700</stp>
        <tr r="AI18" s="2"/>
      </tp>
      <tp t="s">
        <v>#N/A N/A</v>
        <stp/>
        <stp>BDH|10099749614317718889</stp>
        <tr r="G20" s="2"/>
      </tp>
      <tp t="s">
        <v>#N/A N/A</v>
        <stp/>
        <stp>BDH|12332464978588692043</stp>
        <tr r="N12" s="4"/>
      </tp>
      <tp t="s">
        <v>#N/A N/A</v>
        <stp/>
        <stp>BDH|17283295656919571073</stp>
        <tr r="AA22" s="4"/>
      </tp>
      <tp t="s">
        <v>#N/A N/A</v>
        <stp/>
        <stp>BDH|16892053077021089955</stp>
        <tr r="S14" s="4"/>
      </tp>
      <tp t="s">
        <v>#N/A N/A</v>
        <stp/>
        <stp>BDH|18004877298686477658</stp>
        <tr r="AO24" s="2"/>
      </tp>
      <tp t="s">
        <v>#N/A N/A</v>
        <stp/>
        <stp>BDH|11235822320755947771</stp>
        <tr r="T6" s="4"/>
      </tp>
      <tp t="s">
        <v>#N/A N/A</v>
        <stp/>
        <stp>BDP|16781915057700268488</stp>
        <tr r="AG15" s="3"/>
      </tp>
      <tp t="s">
        <v>#N/A N/A</v>
        <stp/>
        <stp>BDP|16139443383107244345</stp>
        <tr r="AO11" s="3"/>
      </tp>
      <tp t="s">
        <v>#N/A N/A</v>
        <stp/>
        <stp>BDP|11373056545999302232</stp>
        <tr r="V12" s="3"/>
      </tp>
      <tp t="s">
        <v>#N/A N/A</v>
        <stp/>
        <stp>BDP|13869794990126259579</stp>
        <tr r="E11" s="3"/>
      </tp>
      <tp t="s">
        <v>#N/A N/A</v>
        <stp/>
        <stp>BDP|16076105993785627526</stp>
        <tr r="V15" s="3"/>
      </tp>
      <tp t="s">
        <v>#N/A N/A</v>
        <stp/>
        <stp>BDH|17176762704426491865</stp>
        <tr r="S16" s="2"/>
      </tp>
      <tp t="s">
        <v>#N/A N/A</v>
        <stp/>
        <stp>BDH|16868247699164526713</stp>
        <tr r="AM23" s="2"/>
      </tp>
      <tp t="s">
        <v>#N/A N/A</v>
        <stp/>
        <stp>BDH|13786903737733017418</stp>
        <tr r="AA12" s="4"/>
      </tp>
      <tp t="s">
        <v>#N/A N/A</v>
        <stp/>
        <stp>BDH|12141241466210764849</stp>
        <tr r="N10" s="4"/>
      </tp>
      <tp t="s">
        <v>#N/A N/A</v>
        <stp/>
        <stp>BDH|17642545248779814129</stp>
        <tr r="AN20" s="2"/>
      </tp>
      <tp t="s">
        <v>#N/A N/A</v>
        <stp/>
        <stp>BDH|18147324950039075931</stp>
        <tr r="AM8" s="2"/>
      </tp>
      <tp t="s">
        <v>#N/A N/A</v>
        <stp/>
        <stp>BDH|14909576686853929420</stp>
        <tr r="Q9" s="2"/>
      </tp>
      <tp t="s">
        <v>#N/A N/A</v>
        <stp/>
        <stp>BDH|14236353590355375577</stp>
        <tr r="AP13" s="2"/>
      </tp>
      <tp t="s">
        <v>#N/A N/A</v>
        <stp/>
        <stp>BDH|17128542088950745487</stp>
        <tr r="AB7" s="4"/>
      </tp>
      <tp t="s">
        <v>#N/A N/A</v>
        <stp/>
        <stp>BDH|11783723795950371115</stp>
        <tr r="Z20" s="2"/>
      </tp>
      <tp t="s">
        <v>#N/A N/A</v>
        <stp/>
        <stp>BDH|12060117023078820786</stp>
        <tr r="AO10" s="2"/>
      </tp>
      <tp t="s">
        <v>#N/A N/A</v>
        <stp/>
        <stp>BDH|14456946295162882881</stp>
        <tr r="AN26" s="4"/>
      </tp>
      <tp t="s">
        <v>#N/A N/A</v>
        <stp/>
        <stp>BDH|14225210980226491627</stp>
        <tr r="P16" s="2"/>
      </tp>
      <tp t="s">
        <v>#N/A N/A</v>
        <stp/>
        <stp>BDH|17187829213560726027</stp>
        <tr r="Z10" s="4"/>
      </tp>
      <tp t="s">
        <v>#N/A N/A</v>
        <stp/>
        <stp>BDH|10337251477379057244</stp>
        <tr r="AH17" s="2"/>
      </tp>
      <tp t="s">
        <v>#N/A N/A</v>
        <stp/>
        <stp>BDH|13782251687386416175</stp>
        <tr r="AD10" s="2"/>
      </tp>
      <tp t="s">
        <v>#N/A N/A</v>
        <stp/>
        <stp>BDH|15406150874165598866</stp>
        <tr r="N9" s="2"/>
      </tp>
      <tp t="s">
        <v>#N/A N/A</v>
        <stp/>
        <stp>BDH|14874855139741506072</stp>
        <tr r="I23" s="2"/>
      </tp>
      <tp t="s">
        <v>#N/A N/A</v>
        <stp/>
        <stp>BDH|11767794483386671628</stp>
        <tr r="W7" s="2"/>
      </tp>
      <tp t="s">
        <v>#N/A N/A</v>
        <stp/>
        <stp>BDH|17380559258198202179</stp>
        <tr r="O14" s="4"/>
      </tp>
      <tp t="s">
        <v>#N/A N/A</v>
        <stp/>
        <stp>BDH|11421311289011681503</stp>
        <tr r="AM16" s="4"/>
      </tp>
      <tp t="s">
        <v>#N/A N/A</v>
        <stp/>
        <stp>BDH|11855347033118717720</stp>
        <tr r="AI10" s="2"/>
      </tp>
      <tp t="s">
        <v>#N/A N/A</v>
        <stp/>
        <stp>BDH|10189852128907753372</stp>
        <tr r="X24" s="4"/>
      </tp>
      <tp t="s">
        <v>#N/A N/A</v>
        <stp/>
        <stp>BDH|16112929529023151079</stp>
        <tr r="AF20" s="4"/>
      </tp>
      <tp t="s">
        <v>#N/A N/A</v>
        <stp/>
        <stp>BDH|17368855095500569893</stp>
        <tr r="AJ10" s="2"/>
      </tp>
      <tp t="s">
        <v>#N/A N/A</v>
        <stp/>
        <stp>BDH|16581943000808768989</stp>
        <tr r="AM18" s="2"/>
      </tp>
      <tp t="s">
        <v>#N/A N/A</v>
        <stp/>
        <stp>BDH|17815896116122825218</stp>
        <tr r="AE17" s="2"/>
      </tp>
      <tp t="s">
        <v>#N/A N/A</v>
        <stp/>
        <stp>BDH|15725284772807309908</stp>
        <tr r="AN9" s="4"/>
      </tp>
      <tp t="s">
        <v>#N/A N/A</v>
        <stp/>
        <stp>BDP|16370176993455685486</stp>
        <tr r="F12" s="3"/>
      </tp>
      <tp t="s">
        <v>#N/A N/A</v>
        <stp/>
        <stp>BDP|17286957508136616724</stp>
        <tr r="AE9" s="3"/>
      </tp>
      <tp t="s">
        <v>#N/A N/A</v>
        <stp/>
        <stp>BDP|11140295681606755238</stp>
        <tr r="C12" s="3"/>
      </tp>
      <tp t="s">
        <v>#N/A N/A</v>
        <stp/>
        <stp>BDP|18094839199544246249</stp>
        <tr r="E15" s="3"/>
      </tp>
      <tp t="s">
        <v>#N/A N/A</v>
        <stp/>
        <stp>BDH|16690995323720555281</stp>
        <tr r="D16" s="2"/>
      </tp>
      <tp t="s">
        <v>#N/A N/A</v>
        <stp/>
        <stp>BDH|12847195183772502665</stp>
        <tr r="AB12" s="4"/>
      </tp>
      <tp t="s">
        <v>#N/A N/A</v>
        <stp/>
        <stp>BDH|16495316266985354905</stp>
        <tr r="O20" s="2"/>
      </tp>
      <tp t="s">
        <v>#N/A N/A</v>
        <stp/>
        <stp>BDH|13179157032789715724</stp>
        <tr r="T16" s="2"/>
      </tp>
      <tp t="s">
        <v>#N/A N/A</v>
        <stp/>
        <stp>BDH|12181655341859387646</stp>
        <tr r="AD10" s="4"/>
      </tp>
      <tp t="s">
        <v>#N/A N/A</v>
        <stp/>
        <stp>BDH|16208057183570336158</stp>
        <tr r="M15" s="2"/>
      </tp>
      <tp t="s">
        <v>#N/A N/A</v>
        <stp/>
        <stp>BDH|15885848622915290592</stp>
        <tr r="J14" s="4"/>
      </tp>
      <tp t="s">
        <v>#N/A N/A</v>
        <stp/>
        <stp>BDH|15751873732070176161</stp>
        <tr r="V23" s="2"/>
      </tp>
      <tp t="s">
        <v>#N/A N/A</v>
        <stp/>
        <stp>BDH|18307885388700144767</stp>
        <tr r="AM17" s="4"/>
      </tp>
      <tp t="s">
        <v>#N/A N/A</v>
        <stp/>
        <stp>BDH|16683541403268527432</stp>
        <tr r="AN7" s="4"/>
      </tp>
      <tp t="s">
        <v>#N/A N/A</v>
        <stp/>
        <stp>BDH|10780564817079726260</stp>
        <tr r="M7" s="2"/>
      </tp>
      <tp t="s">
        <v>#N/A N/A</v>
        <stp/>
        <stp>BDH|15720585259969457342</stp>
        <tr r="Q14" s="4"/>
      </tp>
      <tp t="s">
        <v>#N/A N/A</v>
        <stp/>
        <stp>BDH|12418932621221799775</stp>
        <tr r="S13" s="4"/>
      </tp>
      <tp t="s">
        <v>#N/A N/A</v>
        <stp/>
        <stp>BDH|11911270251830374955</stp>
        <tr r="AP9" s="4"/>
      </tp>
      <tp t="s">
        <v>#N/A N/A</v>
        <stp/>
        <stp>BDH|14260532236849882467</stp>
        <tr r="AN21" s="4"/>
      </tp>
      <tp t="s">
        <v>#N/A N/A</v>
        <stp/>
        <stp>BDH|12702206461498907178</stp>
        <tr r="AK14" s="4"/>
      </tp>
      <tp t="s">
        <v>#N/A N/A</v>
        <stp/>
        <stp>BDH|15061054301703419981</stp>
        <tr r="AM8" s="4"/>
      </tp>
      <tp t="s">
        <v>#N/A N/A</v>
        <stp/>
        <stp>BDH|13670587948949517483</stp>
        <tr r="I6" s="4"/>
      </tp>
      <tp t="s">
        <v>#N/A N/A</v>
        <stp/>
        <stp>BDH|14219986952790623755</stp>
        <tr r="Z25" s="2"/>
      </tp>
      <tp t="s">
        <v>#N/A N/A</v>
        <stp/>
        <stp>BDH|16969951227297243525</stp>
        <tr r="X18" s="2"/>
      </tp>
      <tp t="s">
        <v>#N/A N/A</v>
        <stp/>
        <stp>BDH|17472521847008970129</stp>
        <tr r="Y14" s="4"/>
      </tp>
      <tp t="s">
        <v>#N/A N/A</v>
        <stp/>
        <stp>BDH|13469523553134069888</stp>
        <tr r="W8" s="2"/>
      </tp>
      <tp t="s">
        <v>#N/A N/A</v>
        <stp/>
        <stp>BDH|14038826982052992942</stp>
        <tr r="AB9" s="2"/>
      </tp>
      <tp t="s">
        <v>#N/A N/A</v>
        <stp/>
        <stp>BDH|10073398690256625323</stp>
        <tr r="Q6" s="4"/>
      </tp>
      <tp t="s">
        <v>#N/A N/A</v>
        <stp/>
        <stp>BDH|17975822753137207266</stp>
        <tr r="X7" s="2"/>
      </tp>
      <tp t="s">
        <v>#N/A N/A</v>
        <stp/>
        <stp>BDH|16419028953384991805</stp>
        <tr r="AN12" s="4"/>
      </tp>
      <tp t="s">
        <v>#N/A N/A</v>
        <stp/>
        <stp>BDH|17367869219687951699</stp>
        <tr r="U12" s="4"/>
      </tp>
      <tp t="s">
        <v>#N/A N/A</v>
        <stp/>
        <stp>BDH|13868984898799320572</stp>
        <tr r="C23" s="2"/>
      </tp>
      <tp t="s">
        <v>#N/A N/A</v>
        <stp/>
        <stp>BDH|11278894407230564669</stp>
        <tr r="K25" s="2"/>
      </tp>
      <tp t="s">
        <v>#N/A N/A</v>
        <stp/>
        <stp>BDH|12697156103434911879</stp>
        <tr r="E22" s="4"/>
      </tp>
      <tp t="s">
        <v>#N/A N/A</v>
        <stp/>
        <stp>BDH|15068023858648400705</stp>
        <tr r="AJ14" s="4"/>
      </tp>
      <tp t="s">
        <v>#N/A N/A</v>
        <stp/>
        <stp>BDP|11342498883851177007</stp>
        <tr r="AE12" s="3"/>
      </tp>
      <tp t="s">
        <v>#N/A N/A</v>
        <stp/>
        <stp>BDP|14300696066548002032</stp>
        <tr r="Y11" s="3"/>
      </tp>
      <tp t="s">
        <v>#N/A N/A</v>
        <stp/>
        <stp>BDP|14491514367948119333</stp>
        <tr r="AC9" s="3"/>
      </tp>
      <tp t="s">
        <v>#N/A N/A</v>
        <stp/>
        <stp>BDP|12459549836309093117</stp>
        <tr r="N16" s="3"/>
      </tp>
      <tp t="s">
        <v>#N/A N/A</v>
        <stp/>
        <stp>BDH|18325741837687530742</stp>
        <tr r="Z20" s="4"/>
      </tp>
      <tp t="s">
        <v>#N/A N/A</v>
        <stp/>
        <stp>BDH|13517639897480235032</stp>
        <tr r="R24" s="4"/>
      </tp>
      <tp t="s">
        <v>#N/A N/A</v>
        <stp/>
        <stp>BDH|16984718057900738886</stp>
        <tr r="AH16" s="2"/>
      </tp>
      <tp t="s">
        <v>#N/A N/A</v>
        <stp/>
        <stp>BDH|10155943732543427537</stp>
        <tr r="R10" s="4"/>
      </tp>
      <tp t="s">
        <v>#N/A N/A</v>
        <stp/>
        <stp>BDH|11841900483595353981</stp>
        <tr r="AD13" s="2"/>
      </tp>
      <tp t="s">
        <v>#N/A N/A</v>
        <stp/>
        <stp>BDH|12790510360508465512</stp>
        <tr r="AL17" s="4"/>
      </tp>
      <tp t="s">
        <v>#N/A N/A</v>
        <stp/>
        <stp>BDH|14084397686665917656</stp>
        <tr r="AL25" s="4"/>
      </tp>
      <tp t="s">
        <v>#N/A N/A</v>
        <stp/>
        <stp>BDH|13807411823630867911</stp>
        <tr r="M19" s="2"/>
      </tp>
      <tp t="s">
        <v>#N/A N/A</v>
        <stp/>
        <stp>BDH|12523136626455115824</stp>
        <tr r="AE24" s="4"/>
      </tp>
      <tp t="s">
        <v>#N/A N/A</v>
        <stp/>
        <stp>BDH|18286454460104617237</stp>
        <tr r="AB20" s="4"/>
      </tp>
      <tp t="s">
        <v>#N/A N/A</v>
        <stp/>
        <stp>BDH|11173017698043876728</stp>
        <tr r="AK10" s="2"/>
      </tp>
      <tp t="s">
        <v>#N/A N/A</v>
        <stp/>
        <stp>BDH|18122624014912645137</stp>
        <tr r="J13" s="2"/>
      </tp>
      <tp t="s">
        <v>#N/A N/A</v>
        <stp/>
        <stp>BDH|15378008664146005926</stp>
        <tr r="E20" s="4"/>
      </tp>
      <tp t="s">
        <v>#N/A N/A</v>
        <stp/>
        <stp>BDH|17168922595499084230</stp>
        <tr r="AH18" s="2"/>
      </tp>
      <tp t="s">
        <v>#N/A N/A</v>
        <stp/>
        <stp>BDH|18046793728406663727</stp>
        <tr r="M8" s="2"/>
      </tp>
      <tp t="s">
        <v>#N/A N/A</v>
        <stp/>
        <stp>BDH|14179325842746337977</stp>
        <tr r="AC12" s="4"/>
      </tp>
      <tp t="s">
        <v>#N/A N/A</v>
        <stp/>
        <stp>BDH|11375620383097478428</stp>
        <tr r="T26" s="4"/>
      </tp>
      <tp t="s">
        <v>#N/A N/A</v>
        <stp/>
        <stp>BDH|13738204181110462564</stp>
        <tr r="AH19" s="2"/>
      </tp>
      <tp t="s">
        <v>#N/A N/A</v>
        <stp/>
        <stp>BDH|18065900486277925282</stp>
        <tr r="J16" s="4"/>
      </tp>
      <tp t="s">
        <v>#N/A N/A</v>
        <stp/>
        <stp>BDH|12959812351107988465</stp>
        <tr r="J25" s="4"/>
      </tp>
      <tp t="s">
        <v>#N/A N/A</v>
        <stp/>
        <stp>BDH|13953804442966420596</stp>
        <tr r="V24" s="4"/>
      </tp>
      <tp t="s">
        <v>#N/A N/A</v>
        <stp/>
        <stp>BDH|10851938955103205352</stp>
        <tr r="AJ25" s="4"/>
      </tp>
      <tp t="s">
        <v>#N/A N/A</v>
        <stp/>
        <stp>BDH|13826968669812770298</stp>
        <tr r="AG25" s="2"/>
      </tp>
      <tp t="s">
        <v>#N/A N/A</v>
        <stp/>
        <stp>BDH|12979458956029196625</stp>
        <tr r="AD24" s="2"/>
      </tp>
      <tp t="s">
        <v>#N/A N/A</v>
        <stp/>
        <stp>BDH|13073096545318236369</stp>
        <tr r="D14" s="4"/>
      </tp>
      <tp t="s">
        <v>#N/A N/A</v>
        <stp/>
        <stp>BDH|13103700828389304325</stp>
        <tr r="N9" s="4"/>
      </tp>
      <tp t="s">
        <v>#N/A N/A</v>
        <stp/>
        <stp>BDH|16341318156589666596</stp>
        <tr r="AJ8" s="2"/>
      </tp>
      <tp t="s">
        <v>#N/A N/A</v>
        <stp/>
        <stp>BDH|18275876276578096394</stp>
        <tr r="AF18" s="4"/>
      </tp>
      <tp t="s">
        <v>#N/A N/A</v>
        <stp/>
        <stp>BDH|18404381165275331475</stp>
        <tr r="H20" s="2"/>
      </tp>
      <tp t="s">
        <v>#N/A N/A</v>
        <stp/>
        <stp>BDH|10895964013274085019</stp>
        <tr r="AD8" s="4"/>
      </tp>
      <tp t="s">
        <v>#N/A N/A</v>
        <stp/>
        <stp>BDH|14040429296094193197</stp>
        <tr r="O16" s="2"/>
      </tp>
      <tp t="s">
        <v>#N/A N/A</v>
        <stp/>
        <stp>BDH|11570277990025899358</stp>
        <tr r="AN18" s="2"/>
      </tp>
      <tp t="s">
        <v>#N/A N/A</v>
        <stp/>
        <stp>BDH|16815077634229329069</stp>
        <tr r="AC7" s="2"/>
      </tp>
      <tp t="s">
        <v>#N/A N/A</v>
        <stp/>
        <stp>BDP|12409226820656572988</stp>
        <tr r="I9" s="3"/>
      </tp>
      <tp t="s">
        <v>#N/A N/A</v>
        <stp/>
        <stp>BDP|13309632747419081541</stp>
        <tr r="AD15" s="3"/>
      </tp>
      <tp t="s">
        <v>#N/A N/A</v>
        <stp/>
        <stp>BDP|10656806526141754646</stp>
        <tr r="AG11" s="3"/>
      </tp>
      <tp t="s">
        <v>#N/A N/A</v>
        <stp/>
        <stp>BDP|17690916841336175102</stp>
        <tr r="AI15" s="3"/>
      </tp>
      <tp t="s">
        <v>#N/A N/A</v>
        <stp/>
        <stp>BDH|15567805227922068035</stp>
        <tr r="O20" s="4"/>
      </tp>
      <tp t="s">
        <v>#N/A N/A</v>
        <stp/>
        <stp>BDH|12950911414680497799</stp>
        <tr r="AA16" s="4"/>
      </tp>
      <tp t="s">
        <v>#N/A N/A</v>
        <stp/>
        <stp>BDH|13465962102557875084</stp>
        <tr r="Z26" s="4"/>
      </tp>
      <tp t="s">
        <v>#N/A N/A</v>
        <stp/>
        <stp>BDH|14396250294377161506</stp>
        <tr r="AM9" s="4"/>
      </tp>
      <tp t="s">
        <v>#N/A N/A</v>
        <stp/>
        <stp>BDH|10446143448510883832</stp>
        <tr r="AK18" s="2"/>
      </tp>
      <tp t="s">
        <v>#N/A N/A</v>
        <stp/>
        <stp>BDH|11811673916499922235</stp>
        <tr r="AF17" s="4"/>
      </tp>
      <tp t="s">
        <v>#N/A N/A</v>
        <stp/>
        <stp>BDH|14469234485692047117</stp>
        <tr r="AG21" s="4"/>
      </tp>
      <tp t="s">
        <v>#N/A N/A</v>
        <stp/>
        <stp>BDH|17038920494899147359</stp>
        <tr r="AF9" s="2"/>
      </tp>
      <tp t="s">
        <v>#N/A N/A</v>
        <stp/>
        <stp>BDH|13091868562639225938</stp>
        <tr r="G25" s="4"/>
      </tp>
      <tp t="s">
        <v>#N/A N/A</v>
        <stp/>
        <stp>BDH|18378875561233917891</stp>
        <tr r="G13" s="4"/>
      </tp>
      <tp t="s">
        <v>#N/A N/A</v>
        <stp/>
        <stp>BDH|11709684698361357215</stp>
        <tr r="AG19" s="2"/>
      </tp>
      <tp t="s">
        <v>#N/A N/A</v>
        <stp/>
        <stp>BDH|12299654982795726464</stp>
        <tr r="P18" s="4"/>
      </tp>
      <tp t="s">
        <v>#N/A N/A</v>
        <stp/>
        <stp>BDH|18242019945576763765</stp>
        <tr r="M12" s="4"/>
      </tp>
      <tp t="s">
        <v>#N/A N/A</v>
        <stp/>
        <stp>BDH|16950296122158283374</stp>
        <tr r="AD15" s="2"/>
      </tp>
      <tp t="s">
        <v>#N/A N/A</v>
        <stp/>
        <stp>BDH|12208890878298450806</stp>
        <tr r="AK8" s="4"/>
      </tp>
      <tp t="s">
        <v>#N/A N/A</v>
        <stp/>
        <stp>BDH|11672059091074624124</stp>
        <tr r="AD17" s="4"/>
      </tp>
      <tp t="s">
        <v>#N/A N/A</v>
        <stp/>
        <stp>BDH|13834558800573215891</stp>
        <tr r="U20" s="2"/>
      </tp>
      <tp t="s">
        <v>#N/A N/A</v>
        <stp/>
        <stp>BDH|10286460837709195341</stp>
        <tr r="AA9" s="4"/>
      </tp>
      <tp t="s">
        <v>#N/A N/A</v>
        <stp/>
        <stp>BDH|14661664990454958209</stp>
        <tr r="H18" s="4"/>
      </tp>
      <tp t="s">
        <v>#N/A N/A</v>
        <stp/>
        <stp>BDH|16994729441321583965</stp>
        <tr r="P12" s="4"/>
      </tp>
      <tp t="s">
        <v>#N/A N/A</v>
        <stp/>
        <stp>BDH|17124682360412030805</stp>
        <tr r="H16" s="4"/>
      </tp>
      <tp t="s">
        <v>#N/A N/A</v>
        <stp/>
        <stp>BDH|15851553247721460865</stp>
        <tr r="W16" s="2"/>
      </tp>
      <tp t="s">
        <v>#N/A N/A</v>
        <stp/>
        <stp>BDH|14275857891219713192</stp>
        <tr r="N24" s="4"/>
      </tp>
      <tp t="s">
        <v>#N/A N/A</v>
        <stp/>
        <stp>BDH|11937339248692235988</stp>
        <tr r="O6" s="4"/>
      </tp>
      <tp t="s">
        <v>#N/A N/A</v>
        <stp/>
        <stp>BDH|15758946849867178206</stp>
        <tr r="AO13" s="4"/>
      </tp>
      <tp t="s">
        <v>#N/A N/A</v>
        <stp/>
        <stp>BDH|15689056364576942851</stp>
        <tr r="AO20" s="2"/>
      </tp>
      <tp t="s">
        <v>#N/A N/A</v>
        <stp/>
        <stp>BDH|14681779162608090095</stp>
        <tr r="U20" s="4"/>
      </tp>
      <tp t="s">
        <v>#N/A N/A</v>
        <stp/>
        <stp>BDH|12383228113978089480</stp>
        <tr r="AB6" s="4"/>
      </tp>
      <tp t="s">
        <v>#N/A N/A</v>
        <stp/>
        <stp>BDH|17168674299460142538</stp>
        <tr r="AF15" s="2"/>
      </tp>
      <tp t="s">
        <v>#N/A N/A</v>
        <stp/>
        <stp>BDH|16069335118389335070</stp>
        <tr r="W8" s="4"/>
      </tp>
      <tp t="s">
        <v>#N/A N/A</v>
        <stp/>
        <stp>BDH|11745751128541749826</stp>
        <tr r="S6" s="4"/>
      </tp>
      <tp t="s">
        <v>#N/A N/A</v>
        <stp/>
        <stp>BDH|11879293371130900977</stp>
        <tr r="N13" s="4"/>
      </tp>
      <tp t="s">
        <v>#N/A N/A</v>
        <stp/>
        <stp>BDP|14962391885585075883</stp>
        <tr r="O9" s="3"/>
      </tp>
      <tp t="s">
        <v>#N/A N/A</v>
        <stp/>
        <stp>BDP|15908409761840004582</stp>
        <tr r="J9" s="3"/>
      </tp>
      <tp t="s">
        <v>#N/A N/A</v>
        <stp/>
        <stp>BDP|10518829555388670715</stp>
        <tr r="Z16" s="3"/>
      </tp>
      <tp t="s">
        <v>#N/A N/A</v>
        <stp/>
        <stp>BDP|14368106764575389424</stp>
        <tr r="AH11" s="3"/>
      </tp>
      <tp t="s">
        <v>#N/A N/A</v>
        <stp/>
        <stp>BDH|18062928846664048350</stp>
        <tr r="O10" s="4"/>
      </tp>
      <tp t="s">
        <v>#N/A N/A</v>
        <stp/>
        <stp>BDH|16477706346381544665</stp>
        <tr r="AD7" s="2"/>
      </tp>
      <tp t="s">
        <v>#N/A N/A</v>
        <stp/>
        <stp>BDH|13101713917300651705</stp>
        <tr r="AO25" s="2"/>
      </tp>
      <tp t="s">
        <v>#N/A N/A</v>
        <stp/>
        <stp>BDH|17992361506295183394</stp>
        <tr r="I12" s="4"/>
      </tp>
      <tp t="s">
        <v>#N/A N/A</v>
        <stp/>
        <stp>BDH|14057173466415353432</stp>
        <tr r="F17" s="4"/>
      </tp>
      <tp t="s">
        <v>#N/A N/A</v>
        <stp/>
        <stp>BDH|11056714977375147662</stp>
        <tr r="AL20" s="4"/>
      </tp>
      <tp t="s">
        <v>#N/A N/A</v>
        <stp/>
        <stp>BDH|13298568840088577818</stp>
        <tr r="AO6" s="4"/>
      </tp>
      <tp t="s">
        <v>#N/A N/A</v>
        <stp/>
        <stp>BDH|15943111159722237137</stp>
        <tr r="AM25" s="4"/>
      </tp>
      <tp t="s">
        <v>#N/A N/A</v>
        <stp/>
        <stp>BDH|13931783064435789528</stp>
        <tr r="AJ21" s="4"/>
      </tp>
      <tp t="s">
        <v>#N/A N/A</v>
        <stp/>
        <stp>BDH|16284252482009687706</stp>
        <tr r="AP16" s="2"/>
      </tp>
      <tp t="s">
        <v>#N/A N/A</v>
        <stp/>
        <stp>BDH|13695121640200177475</stp>
        <tr r="AC13" s="2"/>
      </tp>
      <tp t="s">
        <v>#N/A N/A</v>
        <stp/>
        <stp>BDH|18041956816290059219</stp>
        <tr r="AP10" s="4"/>
      </tp>
      <tp t="s">
        <v>#N/A N/A</v>
        <stp/>
        <stp>BDH|17396475979557810179</stp>
        <tr r="K22" s="4"/>
      </tp>
      <tp t="s">
        <v>#N/A N/A</v>
        <stp/>
        <stp>BDH|11275331912070506140</stp>
        <tr r="V26" s="4"/>
      </tp>
      <tp t="s">
        <v>#N/A N/A</v>
        <stp/>
        <stp>BDH|15310547369775845140</stp>
        <tr r="I9" s="2"/>
      </tp>
      <tp t="s">
        <v>#N/A N/A</v>
        <stp/>
        <stp>BDH|16531444109487822758</stp>
        <tr r="I21" s="4"/>
      </tp>
      <tp t="s">
        <v>#N/A N/A</v>
        <stp/>
        <stp>BDH|17004447820353084014</stp>
        <tr r="H22" s="4"/>
      </tp>
      <tp t="s">
        <v>#N/A N/A</v>
        <stp/>
        <stp>BDH|10334058308600833236</stp>
        <tr r="U22" s="4"/>
      </tp>
      <tp t="s">
        <v>#N/A N/A</v>
        <stp/>
        <stp>BDH|12277965484098267977</stp>
        <tr r="AM18" s="4"/>
      </tp>
      <tp t="s">
        <v>#N/A N/A</v>
        <stp/>
        <stp>BDH|18424735552409416143</stp>
        <tr r="S9" s="2"/>
      </tp>
      <tp t="s">
        <v>#N/A N/A</v>
        <stp/>
        <stp>BDH|13357159013050008115</stp>
        <tr r="K13" s="2"/>
      </tp>
      <tp t="s">
        <v>#N/A N/A</v>
        <stp/>
        <stp>BDH|11756863164975218832</stp>
        <tr r="Q16" s="4"/>
      </tp>
      <tp t="s">
        <v>#N/A N/A</v>
        <stp/>
        <stp>BDH|15657243323760067755</stp>
        <tr r="M20" s="4"/>
      </tp>
      <tp t="s">
        <v>#N/A N/A</v>
        <stp/>
        <stp>BDH|16750871998726967350</stp>
        <tr r="T25" s="2"/>
      </tp>
      <tp t="s">
        <v>#N/A N/A</v>
        <stp/>
        <stp>BDH|17290159536502674508</stp>
        <tr r="AK25" s="2"/>
      </tp>
      <tp t="s">
        <v>#N/A N/A</v>
        <stp/>
        <stp>BDH|14090489416250981307</stp>
        <tr r="E25" s="4"/>
      </tp>
      <tp t="s">
        <v>#N/A N/A</v>
        <stp/>
        <stp>BDH|14669602291988967183</stp>
        <tr r="AC26" s="4"/>
      </tp>
      <tp t="s">
        <v>#N/A N/A</v>
        <stp/>
        <stp>BDH|13079193669196038069</stp>
        <tr r="AP26" s="4"/>
      </tp>
      <tp t="s">
        <v>#N/A N/A</v>
        <stp/>
        <stp>BDH|14731007981167189911</stp>
        <tr r="G9" s="4"/>
      </tp>
      <tp t="s">
        <v>#N/A N/A</v>
        <stp/>
        <stp>BDH|10550371009295476494</stp>
        <tr r="D24" s="4"/>
      </tp>
      <tp t="s">
        <v>#N/A N/A</v>
        <stp/>
        <stp>BDH|12857768774945207518</stp>
        <tr r="C22" s="4"/>
      </tp>
      <tp t="s">
        <v>#N/A N/A</v>
        <stp/>
        <stp>BDH|15130028836874808059</stp>
        <tr r="U21" s="4"/>
      </tp>
      <tp t="s">
        <v>#N/A N/A</v>
        <stp/>
        <stp>BDH|18196778773678949245</stp>
        <tr r="K24" s="4"/>
      </tp>
      <tp t="s">
        <v>#N/A N/A</v>
        <stp/>
        <stp>BDH|17025417818351843197</stp>
        <tr r="G16" s="4"/>
      </tp>
      <tp t="s">
        <v>#N/A N/A</v>
        <stp/>
        <stp>BDH|15933560015302867194</stp>
        <tr r="Y13" s="4"/>
      </tp>
      <tp t="s">
        <v>#N/A N/A</v>
        <stp/>
        <stp>BDH|13365400160553907009</stp>
        <tr r="S10" s="4"/>
      </tp>
      <tp t="s">
        <v>#N/A N/A</v>
        <stp/>
        <stp>BDH|12841068127577399508</stp>
        <tr r="AI20" s="4"/>
      </tp>
      <tp t="s">
        <v>#N/A N/A</v>
        <stp/>
        <stp>BDH|16720064746704915448</stp>
        <tr r="V17" s="2"/>
      </tp>
      <tp t="s">
        <v>#N/A N/A</v>
        <stp/>
        <stp>BDH|12955534634986560011</stp>
        <tr r="AM17" s="2"/>
      </tp>
      <tp t="s">
        <v>#N/A N/A</v>
        <stp/>
        <stp>BDH|10972845470805488849</stp>
        <tr r="Q25" s="4"/>
      </tp>
      <tp t="s">
        <v>#N/A N/A</v>
        <stp/>
        <stp>BDH|10987123532356231669</stp>
        <tr r="V13" s="4"/>
      </tp>
      <tp t="s">
        <v>#N/A N/A</v>
        <stp/>
        <stp>BDH|15962639502110101149</stp>
        <tr r="I7" s="2"/>
      </tp>
      <tp t="s">
        <v>#N/A N/A</v>
        <stp/>
        <stp>BDH|17483635732144807414</stp>
        <tr r="K26" s="4"/>
      </tp>
      <tp t="s">
        <v>#N/A N/A</v>
        <stp/>
        <stp>BDH|17325002400845835073</stp>
        <tr r="AG18" s="4"/>
      </tp>
      <tp t="s">
        <v>#N/A N/A</v>
        <stp/>
        <stp>BDH|14382015663099507983</stp>
        <tr r="S26" s="4"/>
      </tp>
      <tp t="s">
        <v>#N/A N/A</v>
        <stp/>
        <stp>BDH|15102994889360967647</stp>
        <tr r="AB24" s="2"/>
      </tp>
      <tp t="s">
        <v>#N/A N/A</v>
        <stp/>
        <stp>BDH|14033429629512637223</stp>
        <tr r="AO13" s="2"/>
      </tp>
      <tp t="s">
        <v>#N/A N/A</v>
        <stp/>
        <stp>BDH|18272396280765177452</stp>
        <tr r="R8" s="2"/>
      </tp>
      <tp t="s">
        <v>#N/A N/A</v>
        <stp/>
        <stp>BDH|14249034878672667307</stp>
        <tr r="L25" s="4"/>
      </tp>
      <tp t="s">
        <v>#N/A N/A</v>
        <stp/>
        <stp>BDH|17463510923102968007</stp>
        <tr r="Q13" s="4"/>
      </tp>
      <tp t="s">
        <v>#N/A N/A</v>
        <stp/>
        <stp>BDH|16987287162102897255</stp>
        <tr r="AI16" s="4"/>
      </tp>
      <tp t="s">
        <v>#N/A N/A</v>
        <stp/>
        <stp>BDP|13840175697149326113</stp>
        <tr r="S15" s="3"/>
      </tp>
      <tp t="s">
        <v>#N/A N/A</v>
        <stp/>
        <stp>BDP|13708117318601203161</stp>
        <tr r="O15" s="3"/>
      </tp>
      <tp t="s">
        <v>#N/A N/A</v>
        <stp/>
        <stp>BDP|14234118965099217944</stp>
        <tr r="AL9" s="3"/>
      </tp>
      <tp t="s">
        <v>#N/A N/A</v>
        <stp/>
        <stp>BDP|13432964851405599945</stp>
        <tr r="AC16" s="3"/>
      </tp>
      <tp t="s">
        <v>#N/A N/A</v>
        <stp/>
        <stp>BDH|14048394336120885763</stp>
        <tr r="F19" s="2"/>
      </tp>
      <tp t="s">
        <v>#N/A N/A</v>
        <stp/>
        <stp>BDH|15630267373006212507</stp>
        <tr r="V18" s="2"/>
      </tp>
      <tp t="s">
        <v>#N/A N/A</v>
        <stp/>
        <stp>BDH|16344245658733697192</stp>
        <tr r="N23" s="2"/>
      </tp>
      <tp t="s">
        <v>#N/A N/A</v>
        <stp/>
        <stp>BDH|18422209667006192921</stp>
        <tr r="AN17" s="2"/>
      </tp>
      <tp t="s">
        <v>#N/A N/A</v>
        <stp/>
        <stp>BDH|13205380136056991666</stp>
        <tr r="Q19" s="2"/>
      </tp>
      <tp t="s">
        <v>#N/A N/A</v>
        <stp/>
        <stp>BDH|12368439805010288547</stp>
        <tr r="U25" s="2"/>
      </tp>
      <tp t="s">
        <v>#N/A N/A</v>
        <stp/>
        <stp>BDH|11432984852296937859</stp>
        <tr r="AH24" s="2"/>
      </tp>
      <tp t="s">
        <v>#N/A N/A</v>
        <stp/>
        <stp>BDH|17152794670205944138</stp>
        <tr r="K20" s="2"/>
      </tp>
      <tp t="s">
        <v>#N/A N/A</v>
        <stp/>
        <stp>BDH|15508374032706276008</stp>
        <tr r="AP23" s="2"/>
      </tp>
      <tp t="s">
        <v>#N/A N/A</v>
        <stp/>
        <stp>BDH|11029795248331239016</stp>
        <tr r="G20" s="4"/>
      </tp>
      <tp t="s">
        <v>#N/A N/A</v>
        <stp/>
        <stp>BDH|15905589360321235466</stp>
        <tr r="AJ13" s="4"/>
      </tp>
      <tp t="s">
        <v>#N/A N/A</v>
        <stp/>
        <stp>BDH|15895571168763497663</stp>
        <tr r="AE26" s="4"/>
      </tp>
      <tp t="s">
        <v>#N/A N/A</v>
        <stp/>
        <stp>BDH|13358516520075259253</stp>
        <tr r="AG10" s="2"/>
      </tp>
      <tp t="s">
        <v>#N/A N/A</v>
        <stp/>
        <stp>BDH|10092426814864463268</stp>
        <tr r="AB20" s="2"/>
      </tp>
      <tp t="s">
        <v>#N/A N/A</v>
        <stp/>
        <stp>BDH|17572494409068281833</stp>
        <tr r="G26" s="4"/>
      </tp>
      <tp t="s">
        <v>#N/A N/A</v>
        <stp/>
        <stp>BDH|17050742200305825684</stp>
        <tr r="T24" s="4"/>
      </tp>
      <tp t="s">
        <v>#N/A N/A</v>
        <stp/>
        <stp>BDH|13460394299209682353</stp>
        <tr r="AH17" s="4"/>
      </tp>
      <tp t="s">
        <v>#N/A N/A</v>
        <stp/>
        <stp>BDH|15601673656133398631</stp>
        <tr r="E25" s="2"/>
      </tp>
      <tp t="s">
        <v>#N/A N/A</v>
        <stp/>
        <stp>BDH|17352666226325448509</stp>
        <tr r="H23" s="2"/>
      </tp>
      <tp t="s">
        <v>#N/A N/A</v>
        <stp/>
        <stp>BDH|14096400565122047721</stp>
        <tr r="AL13" s="4"/>
      </tp>
      <tp t="s">
        <v>#N/A N/A</v>
        <stp/>
        <stp>BDH|16608497775446841056</stp>
        <tr r="N22" s="4"/>
      </tp>
      <tp t="s">
        <v>#N/A N/A</v>
        <stp/>
        <stp>BDH|14334129713821171640</stp>
        <tr r="Y19" s="2"/>
      </tp>
      <tp t="s">
        <v>#N/A N/A</v>
        <stp/>
        <stp>BDH|13556000231385281605</stp>
        <tr r="I16" s="2"/>
      </tp>
      <tp t="s">
        <v>#N/A N/A</v>
        <stp/>
        <stp>BDH|14920160049173306138</stp>
        <tr r="K7" s="2"/>
      </tp>
      <tp t="s">
        <v>#N/A N/A</v>
        <stp/>
        <stp>BDH|12088306304035542776</stp>
        <tr r="AC13" s="4"/>
      </tp>
      <tp t="s">
        <v>#N/A N/A</v>
        <stp/>
        <stp>BDH|17123420606029369904</stp>
        <tr r="N15" s="2"/>
      </tp>
      <tp t="s">
        <v>#N/A N/A</v>
        <stp/>
        <stp>BDH|10050703248681006113</stp>
        <tr r="N14" s="4"/>
      </tp>
      <tp t="s">
        <v>#N/A N/A</v>
        <stp/>
        <stp>BDH|16471732253617485082</stp>
        <tr r="AC8" s="2"/>
      </tp>
      <tp t="s">
        <v>#N/A N/A</v>
        <stp/>
        <stp>BDH|14563839450583840960</stp>
        <tr r="AG16" s="2"/>
      </tp>
      <tp t="s">
        <v>#N/A N/A</v>
        <stp/>
        <stp>BDH|13453404090575844840</stp>
        <tr r="H13" s="4"/>
      </tp>
      <tp t="s">
        <v>#N/A N/A</v>
        <stp/>
        <stp>BDH|17592501113866857659</stp>
        <tr r="J17" s="4"/>
      </tp>
      <tp t="s">
        <v>#N/A N/A</v>
        <stp/>
        <stp>BDH|11342609015062592786</stp>
        <tr r="M10" s="2"/>
      </tp>
      <tp t="s">
        <v>#N/A N/A</v>
        <stp/>
        <stp>BDH|14372359857599983834</stp>
        <tr r="AD16" s="2"/>
      </tp>
      <tp t="s">
        <v>#N/A N/A</v>
        <stp/>
        <stp>BDH|13678479544962616298</stp>
        <tr r="AO17" s="4"/>
      </tp>
      <tp t="s">
        <v>#N/A N/A</v>
        <stp/>
        <stp>BDH|17748308370005842559</stp>
        <tr r="Q18" s="2"/>
      </tp>
      <tp t="s">
        <v>#N/A N/A</v>
        <stp/>
        <stp>BDH|15645433928638575822</stp>
        <tr r="O22" s="4"/>
      </tp>
      <tp t="s">
        <v>#N/A N/A</v>
        <stp/>
        <stp>BDH|15036822699367446025</stp>
        <tr r="AN13" s="4"/>
      </tp>
      <tp t="s">
        <v>#N/A N/A</v>
        <stp/>
        <stp>BDH|13929258914691683236</stp>
        <tr r="R22" s="4"/>
      </tp>
      <tp t="s">
        <v>#N/A N/A</v>
        <stp/>
        <stp>BDH|16317795591423186862</stp>
        <tr r="M13" s="4"/>
      </tp>
      <tp t="s">
        <v>#N/A N/A</v>
        <stp/>
        <stp>BDH|14968197601474473291</stp>
        <tr r="T8" s="2"/>
      </tp>
      <tp t="s">
        <v>#N/A N/A</v>
        <stp/>
        <stp>BDH|11370019414296986505</stp>
        <tr r="Z7" s="4"/>
      </tp>
      <tp t="s">
        <v>#N/A N/A</v>
        <stp/>
        <stp>BDH|10628740307190277482</stp>
        <tr r="I24" s="4"/>
      </tp>
      <tp t="s">
        <v>#N/A N/A</v>
        <stp/>
        <stp>BDH|15606237135284692399</stp>
        <tr r="AE10" s="2"/>
      </tp>
      <tp t="s">
        <v>#N/A N/A</v>
        <stp/>
        <stp>BDH|12281432469995448633</stp>
        <tr r="K16" s="4"/>
      </tp>
      <tp t="s">
        <v>#N/A N/A</v>
        <stp/>
        <stp>BDH|16593591419582805333</stp>
        <tr r="S17" s="4"/>
      </tp>
      <tp t="s">
        <v>#N/A N/A</v>
        <stp/>
        <stp>BDH|13668452389659051540</stp>
        <tr r="AP18" s="2"/>
      </tp>
      <tp t="s">
        <v>#N/A N/A</v>
        <stp/>
        <stp>BDH|13807217072673778623</stp>
        <tr r="AE13" s="2"/>
      </tp>
      <tp t="s">
        <v>#N/A N/A</v>
        <stp/>
        <stp>BDP|15561537512680932164</stp>
        <tr r="AF15" s="3"/>
      </tp>
      <tp t="s">
        <v>#N/A N/A</v>
        <stp/>
        <stp>BDP|14630987184491778402</stp>
        <tr r="F16" s="3"/>
      </tp>
      <tp t="s">
        <v>#N/A N/A</v>
        <stp/>
        <stp>BDP|18201519555441997933</stp>
        <tr r="W15" s="3"/>
      </tp>
      <tp t="s">
        <v>#N/A N/A</v>
        <stp/>
        <stp>BDP|13785514570584095598</stp>
        <tr r="Q11" s="3"/>
      </tp>
      <tp t="s">
        <v>#N/A N/A</v>
        <stp/>
        <stp>BDP|15937062229310863715</stp>
        <tr r="AH9" s="3"/>
      </tp>
      <tp t="s">
        <v>#N/A N/A</v>
        <stp/>
        <stp>BDP|13829777162444983663</stp>
        <tr r="AB11" s="3"/>
      </tp>
      <tp t="s">
        <v>#N/A N/A</v>
        <stp/>
        <stp>BDP|14702660980402090835</stp>
        <tr r="C16" s="3"/>
      </tp>
      <tp t="s">
        <v>#N/A N/A</v>
        <stp/>
        <stp>BDP|17123848225935055856</stp>
        <tr r="S9" s="3"/>
      </tp>
      <tp t="s">
        <v>#N/A N/A</v>
        <stp/>
        <stp>BDH|10455586118116730220</stp>
        <tr r="AE7" s="4"/>
      </tp>
      <tp t="s">
        <v>#N/A N/A</v>
        <stp/>
        <stp>BDH|13120495531704041085</stp>
        <tr r="S7" s="4"/>
      </tp>
      <tp t="s">
        <v>#N/A N/A</v>
        <stp/>
        <stp>BDH|10537602966207623746</stp>
        <tr r="AE23" s="2"/>
      </tp>
      <tp t="s">
        <v>#N/A N/A</v>
        <stp/>
        <stp>BDH|16664214317480257528</stp>
        <tr r="C13" s="2"/>
      </tp>
      <tp t="s">
        <v>#N/A N/A</v>
        <stp/>
        <stp>BDH|12836384817068464831</stp>
        <tr r="W21" s="4"/>
      </tp>
      <tp t="s">
        <v>#N/A N/A</v>
        <stp/>
        <stp>BDH|15897573514296295791</stp>
        <tr r="AK10" s="4"/>
      </tp>
      <tp t="s">
        <v>#N/A N/A</v>
        <stp/>
        <stp>BDH|10215806605578330072</stp>
        <tr r="T18" s="2"/>
      </tp>
      <tp t="s">
        <v>#N/A N/A</v>
        <stp/>
        <stp>BDH|15092671644744380332</stp>
        <tr r="J18" s="2"/>
      </tp>
      <tp t="s">
        <v>#N/A N/A</v>
        <stp/>
        <stp>BDH|17766131331976755309</stp>
        <tr r="I16" s="4"/>
      </tp>
      <tp t="s">
        <v>#N/A N/A</v>
        <stp/>
        <stp>BDH|10863686364047389721</stp>
        <tr r="AH16" s="4"/>
      </tp>
      <tp t="s">
        <v>#N/A N/A</v>
        <stp/>
        <stp>BDH|15499648413417765530</stp>
        <tr r="J16" s="2"/>
      </tp>
      <tp t="s">
        <v>#N/A N/A</v>
        <stp/>
        <stp>BDH|10624309491589049311</stp>
        <tr r="C18" s="4"/>
      </tp>
      <tp t="s">
        <v>#N/A N/A</v>
        <stp/>
        <stp>BDH|17645203065335554602</stp>
        <tr r="G24" s="4"/>
      </tp>
      <tp t="s">
        <v>#N/A N/A</v>
        <stp/>
        <stp>BDH|17733620003881377038</stp>
        <tr r="H19" s="2"/>
      </tp>
      <tp t="s">
        <v>#N/A N/A</v>
        <stp/>
        <stp>BDH|15979423944532224745</stp>
        <tr r="G8" s="2"/>
      </tp>
      <tp t="s">
        <v>#N/A N/A</v>
        <stp/>
        <stp>BDH|15762233568085254475</stp>
        <tr r="U15" s="2"/>
      </tp>
      <tp t="s">
        <v>#N/A N/A</v>
        <stp/>
        <stp>BDH|11447758832663245692</stp>
        <tr r="D8" s="2"/>
      </tp>
      <tp t="s">
        <v>#N/A N/A</v>
        <stp/>
        <stp>BDH|15350212100100811724</stp>
        <tr r="AB8" s="2"/>
      </tp>
      <tp t="s">
        <v>#N/A N/A</v>
        <stp/>
        <stp>BDH|16621028238513251655</stp>
        <tr r="G23" s="2"/>
      </tp>
      <tp t="s">
        <v>#N/A N/A</v>
        <stp/>
        <stp>BDH|12859238187258090071</stp>
        <tr r="AF16" s="4"/>
      </tp>
      <tp t="s">
        <v>#N/A N/A</v>
        <stp/>
        <stp>BDH|18339280950909234630</stp>
        <tr r="AO19" s="2"/>
      </tp>
      <tp t="s">
        <v>#N/A N/A</v>
        <stp/>
        <stp>BDH|12514402511854824365</stp>
        <tr r="V19" s="2"/>
      </tp>
      <tp t="s">
        <v>#N/A N/A</v>
        <stp/>
        <stp>BDH|10679095957244357110</stp>
        <tr r="N7" s="2"/>
      </tp>
      <tp t="s">
        <v>#N/A N/A</v>
        <stp/>
        <stp>BDH|16424444229577422708</stp>
        <tr r="I17" s="2"/>
      </tp>
      <tp t="s">
        <v>#N/A N/A</v>
        <stp/>
        <stp>BDH|11460517618857159213</stp>
        <tr r="AL16" s="2"/>
      </tp>
      <tp t="s">
        <v>#N/A N/A</v>
        <stp/>
        <stp>BDH|17489661073730477688</stp>
        <tr r="J20" s="2"/>
      </tp>
      <tp t="s">
        <v>#N/A N/A</v>
        <stp/>
        <stp>BDH|11454020317559825942</stp>
        <tr r="E8" s="2"/>
      </tp>
      <tp t="s">
        <v>#N/A N/A</v>
        <stp/>
        <stp>BDH|11475487234081058751</stp>
        <tr r="AK24" s="4"/>
      </tp>
      <tp t="s">
        <v>#N/A N/A</v>
        <stp/>
        <stp>BDH|17595239363457984401</stp>
        <tr r="AK12" s="4"/>
      </tp>
      <tp t="s">
        <v>#N/A N/A</v>
        <stp/>
        <stp>BDH|11539592139262032593</stp>
        <tr r="Y17" s="2"/>
      </tp>
      <tp t="s">
        <v>#N/A N/A</v>
        <stp/>
        <stp>BDH|10451124374523720591</stp>
        <tr r="K10" s="2"/>
      </tp>
      <tp t="s">
        <v>#N/A N/A</v>
        <stp/>
        <stp>BDH|13766331578451727646</stp>
        <tr r="AF7" s="4"/>
      </tp>
      <tp t="s">
        <v>#N/A N/A</v>
        <stp/>
        <stp>BDH|15861921191504123145</stp>
        <tr r="Y10" s="4"/>
      </tp>
      <tp t="s">
        <v>#N/A N/A</v>
        <stp/>
        <stp>BDH|13236630686715964806</stp>
        <tr r="Q24" s="2"/>
      </tp>
      <tp t="s">
        <v>#N/A N/A</v>
        <stp/>
        <stp>BDP|15498158678930125204</stp>
        <tr r="W11" s="3"/>
      </tp>
      <tp t="s">
        <v>#N/A N/A</v>
        <stp/>
        <stp>BDP|16378738551582954701</stp>
        <tr r="D9" s="3"/>
      </tp>
      <tp t="s">
        <v>#N/A N/A</v>
        <stp/>
        <stp>BDP|11118471844801745156</stp>
        <tr r="T9" s="3"/>
      </tp>
      <tp t="s">
        <v>#N/A N/A</v>
        <stp/>
        <stp>BDP|11952984930478998284</stp>
        <tr r="K16" s="3"/>
      </tp>
      <tp t="s">
        <v>#N/A N/A</v>
        <stp/>
        <stp>BDP|15392165367784259732</stp>
        <tr r="AH15" s="3"/>
      </tp>
      <tp t="s">
        <v>#N/A N/A</v>
        <stp/>
        <stp>BDH|15205681819193413069</stp>
        <tr r="Y9" s="4"/>
      </tp>
      <tp t="s">
        <v>#N/A N/A</v>
        <stp/>
        <stp>BDH|13681179817040463239</stp>
        <tr r="AL26" s="4"/>
      </tp>
      <tp t="s">
        <v>#N/A N/A</v>
        <stp/>
        <stp>BDH|16015435036628115852</stp>
        <tr r="AI20" s="2"/>
      </tp>
      <tp t="s">
        <v>#N/A N/A</v>
        <stp/>
        <stp>BDH|12059100074655336066</stp>
        <tr r="M9" s="2"/>
      </tp>
      <tp t="s">
        <v>#N/A N/A</v>
        <stp/>
        <stp>BDH|16488635181358613100</stp>
        <tr r="V8" s="4"/>
      </tp>
      <tp t="s">
        <v>#N/A N/A</v>
        <stp/>
        <stp>BDH|14745353312507390038</stp>
        <tr r="AN24" s="2"/>
      </tp>
      <tp t="s">
        <v>#N/A N/A</v>
        <stp/>
        <stp>BDH|14517451108535043483</stp>
        <tr r="F12" s="4"/>
      </tp>
      <tp t="s">
        <v>#N/A N/A</v>
        <stp/>
        <stp>BDH|12212081501485964625</stp>
        <tr r="R6" s="4"/>
      </tp>
      <tp t="s">
        <v>#N/A N/A</v>
        <stp/>
        <stp>BDH|17533696078564417305</stp>
        <tr r="M21" s="4"/>
      </tp>
      <tp t="s">
        <v>#N/A N/A</v>
        <stp/>
        <stp>BDH|15143680209601354309</stp>
        <tr r="S18" s="2"/>
      </tp>
      <tp t="s">
        <v>#N/A N/A</v>
        <stp/>
        <stp>BDH|13875791917692196648</stp>
        <tr r="AK22" s="4"/>
      </tp>
      <tp t="s">
        <v>#N/A N/A</v>
        <stp/>
        <stp>BDH|11881077519120024144</stp>
        <tr r="H21" s="4"/>
      </tp>
      <tp t="s">
        <v>#N/A N/A</v>
        <stp/>
        <stp>BDH|14056540116785898485</stp>
        <tr r="AI6" s="4"/>
      </tp>
      <tp t="s">
        <v>#N/A N/A</v>
        <stp/>
        <stp>BDH|11261736072291819195</stp>
        <tr r="Y24" s="2"/>
      </tp>
      <tp t="s">
        <v>#N/A N/A</v>
        <stp/>
        <stp>BDH|13012308507807008654</stp>
        <tr r="J13" s="4"/>
      </tp>
      <tp t="s">
        <v>#N/A N/A</v>
        <stp/>
        <stp>BDH|15469206803073415514</stp>
        <tr r="AG15" s="2"/>
      </tp>
      <tp t="s">
        <v>#N/A N/A</v>
        <stp/>
        <stp>BDH|16371819637775743972</stp>
        <tr r="K19" s="2"/>
      </tp>
      <tp t="s">
        <v>#N/A N/A</v>
        <stp/>
        <stp>BDH|15881709233014974478</stp>
        <tr r="AP24" s="2"/>
      </tp>
      <tp t="s">
        <v>#N/A N/A</v>
        <stp/>
        <stp>BDH|13534922574499543532</stp>
        <tr r="AO12" s="4"/>
      </tp>
      <tp t="s">
        <v>#N/A N/A</v>
        <stp/>
        <stp>BDH|13849890270849452408</stp>
        <tr r="Y25" s="2"/>
      </tp>
      <tp t="s">
        <v>#N/A N/A</v>
        <stp/>
        <stp>BDH|17516218862271510373</stp>
        <tr r="N18" s="2"/>
      </tp>
      <tp t="s">
        <v>#N/A N/A</v>
        <stp/>
        <stp>BDH|13316114177976464258</stp>
        <tr r="AB16" s="4"/>
      </tp>
      <tp t="s">
        <v>#N/A N/A</v>
        <stp/>
        <stp>BDH|15741013450410035127</stp>
        <tr r="J10" s="2"/>
      </tp>
      <tp t="s">
        <v>#N/A N/A</v>
        <stp/>
        <stp>BDH|15403608741167597175</stp>
        <tr r="Q13" s="2"/>
      </tp>
      <tp t="s">
        <v>#N/A N/A</v>
        <stp/>
        <stp>BDH|16286103157663003037</stp>
        <tr r="L15" s="2"/>
      </tp>
      <tp t="s">
        <v>#N/A N/A</v>
        <stp/>
        <stp>BDH|10094596906693155781</stp>
        <tr r="AF14" s="4"/>
      </tp>
      <tp t="s">
        <v>#N/A N/A</v>
        <stp/>
        <stp>BDH|17951495928164132402</stp>
        <tr r="O15" s="2"/>
      </tp>
      <tp t="s">
        <v>#N/A N/A</v>
        <stp/>
        <stp>BDH|10452144520427857510</stp>
        <tr r="AF24" s="2"/>
      </tp>
      <tp t="s">
        <v>#N/A N/A</v>
        <stp/>
        <stp>BDH|10092654945472871103</stp>
        <tr r="O16" s="4"/>
      </tp>
      <tp t="s">
        <v>#N/A N/A</v>
        <stp/>
        <stp>BDH|15219162628130490708</stp>
        <tr r="AO18" s="4"/>
      </tp>
      <tp t="s">
        <v>#N/A N/A</v>
        <stp/>
        <stp>BDH|16437741477417841071</stp>
        <tr r="R13" s="4"/>
      </tp>
      <tp t="s">
        <v>#N/A N/A</v>
        <stp/>
        <stp>BDH|11796598296445514951</stp>
        <tr r="AA9" s="2"/>
      </tp>
      <tp t="s">
        <v>#N/A N/A</v>
        <stp/>
        <stp>BDH|16789646699550727868</stp>
        <tr r="AL8" s="2"/>
      </tp>
      <tp t="s">
        <v>#N/A N/A</v>
        <stp/>
        <stp>BDH|11743084107209633948</stp>
        <tr r="V20" s="2"/>
      </tp>
      <tp t="s">
        <v>#N/A N/A</v>
        <stp/>
        <stp>BDH|17454090677373631263</stp>
        <tr r="M18" s="4"/>
      </tp>
      <tp t="s">
        <v>#N/A N/A</v>
        <stp/>
        <stp>BDH|10310571945967296794</stp>
        <tr r="AC8" s="4"/>
      </tp>
      <tp t="s">
        <v>#N/A N/A</v>
        <stp/>
        <stp>BDH|10861722873648690920</stp>
        <tr r="H26" s="4"/>
      </tp>
      <tp t="s">
        <v>#N/A N/A</v>
        <stp/>
        <stp>BDH|11996855176097611817</stp>
        <tr r="AC18" s="4"/>
      </tp>
      <tp t="s">
        <v>#N/A N/A</v>
        <stp/>
        <stp>BDH|13015471104893736595</stp>
        <tr r="AC17" s="2"/>
      </tp>
      <tp t="s">
        <v>#N/A N/A</v>
        <stp/>
        <stp>BDH|12517968733471598882</stp>
        <tr r="AJ26" s="4"/>
      </tp>
      <tp t="s">
        <v>#N/A N/A</v>
        <stp/>
        <stp>BDH|12907187379811753431</stp>
        <tr r="H17" s="2"/>
      </tp>
      <tp t="s">
        <v>#N/A N/A</v>
        <stp/>
        <stp>BDH|13018558077341430194</stp>
        <tr r="T18" s="4"/>
      </tp>
      <tp t="s">
        <v>#N/A N/A</v>
        <stp/>
        <stp>BDH|11626195347685368044</stp>
        <tr r="AN8" s="2"/>
      </tp>
      <tp t="s">
        <v>#N/A N/A</v>
        <stp/>
        <stp>BDP|17548898556289245530</stp>
        <tr r="AK12" s="3"/>
      </tp>
      <tp t="s">
        <v>#N/A N/A</v>
        <stp/>
        <stp>BDP|14096180776923669734</stp>
        <tr r="AB12" s="3"/>
      </tp>
      <tp t="s">
        <v>#N/A N/A</v>
        <stp/>
        <stp>BDP|13252692375295214138</stp>
        <tr r="H11" s="3"/>
      </tp>
      <tp t="s">
        <v>#N/A N/A</v>
        <stp/>
        <stp>BDP|10523396308992275764</stp>
        <tr r="AA12" s="3"/>
      </tp>
      <tp t="s">
        <v>#N/A N/A</v>
        <stp/>
        <stp>BDP|10028501900633151029</stp>
        <tr r="C9" s="3"/>
      </tp>
      <tp t="s">
        <v>#N/A N/A</v>
        <stp/>
        <stp>BDP|11892589819662505195</stp>
        <tr r="M15" s="3"/>
      </tp>
      <tp t="s">
        <v>#N/A N/A</v>
        <stp/>
        <stp>BDP|11502594372653992602</stp>
        <tr r="W16" s="3"/>
      </tp>
      <tp t="s">
        <v>#N/A N/A</v>
        <stp/>
        <stp>BDP|10552557665600185526</stp>
        <tr r="Y15" s="3"/>
      </tp>
      <tp t="s">
        <v>#N/A N/A</v>
        <stp/>
        <stp>BDH|13197004434451596718</stp>
        <tr r="Q16" s="2"/>
      </tp>
      <tp t="s">
        <v>#N/A N/A</v>
        <stp/>
        <stp>BDH|15709671174511684333</stp>
        <tr r="AA8" s="4"/>
      </tp>
      <tp t="s">
        <v>#N/A N/A</v>
        <stp/>
        <stp>BDH|12815449667616256086</stp>
        <tr r="J24" s="4"/>
      </tp>
      <tp t="s">
        <v>#N/A N/A</v>
        <stp/>
        <stp>BDH|12980072889459659510</stp>
        <tr r="AD20" s="4"/>
      </tp>
      <tp t="s">
        <v>#N/A N/A</v>
        <stp/>
        <stp>BDH|10880541479536436214</stp>
        <tr r="AK16" s="4"/>
      </tp>
      <tp t="s">
        <v>#N/A N/A</v>
        <stp/>
        <stp>BDH|16577822683637734739</stp>
        <tr r="V17" s="4"/>
      </tp>
      <tp t="s">
        <v>#N/A N/A</v>
        <stp/>
        <stp>BDH|12767272955012154147</stp>
        <tr r="F13" s="2"/>
      </tp>
      <tp t="s">
        <v>#N/A N/A</v>
        <stp/>
        <stp>BDH|11497183887547150990</stp>
        <tr r="O13" s="2"/>
      </tp>
      <tp t="s">
        <v>#N/A N/A</v>
        <stp/>
        <stp>BDH|16359347468184341199</stp>
        <tr r="E10" s="4"/>
      </tp>
      <tp t="s">
        <v>#N/A N/A</v>
        <stp/>
        <stp>BDH|10616210447449087959</stp>
        <tr r="AD18" s="4"/>
      </tp>
      <tp t="s">
        <v>#N/A N/A</v>
        <stp/>
        <stp>BDH|12729582128091246211</stp>
        <tr r="G10" s="4"/>
      </tp>
      <tp t="s">
        <v>#N/A N/A</v>
        <stp/>
        <stp>BDH|15659213205446198749</stp>
        <tr r="AG25" s="4"/>
      </tp>
      <tp t="s">
        <v>#N/A N/A</v>
        <stp/>
        <stp>BDH|11580063152987758513</stp>
        <tr r="U25" s="4"/>
      </tp>
      <tp t="s">
        <v>#N/A N/A</v>
        <stp/>
        <stp>BDH|14410402342835376733</stp>
        <tr r="S23" s="2"/>
      </tp>
      <tp t="s">
        <v>#N/A N/A</v>
        <stp/>
        <stp>BDH|13870244789078151727</stp>
        <tr r="I9" s="4"/>
      </tp>
      <tp t="s">
        <v>#N/A N/A</v>
        <stp/>
        <stp>BDH|13548834234537142957</stp>
        <tr r="AB25" s="2"/>
      </tp>
      <tp t="s">
        <v>#N/A N/A</v>
        <stp/>
        <stp>BDH|11476835788565186273</stp>
        <tr r="AB18" s="4"/>
      </tp>
      <tp t="s">
        <v>#N/A N/A</v>
        <stp/>
        <stp>BDH|14771135267404219185</stp>
        <tr r="AO18" s="2"/>
      </tp>
      <tp t="s">
        <v>#N/A N/A</v>
        <stp/>
        <stp>BDH|10220339166357993471</stp>
        <tr r="O13" s="4"/>
      </tp>
      <tp t="s">
        <v>#N/A N/A</v>
        <stp/>
        <stp>BDH|10756642508889100938</stp>
        <tr r="U18" s="4"/>
      </tp>
      <tp t="s">
        <v>#N/A N/A</v>
        <stp/>
        <stp>BDH|11258655338742197052</stp>
        <tr r="J17" s="2"/>
      </tp>
      <tp t="s">
        <v>#N/A N/A</v>
        <stp/>
        <stp>BDH|15486893107578132301</stp>
        <tr r="L10" s="4"/>
      </tp>
      <tp t="s">
        <v>#N/A N/A</v>
        <stp/>
        <stp>BDH|17659695431100450417</stp>
        <tr r="AP17" s="4"/>
      </tp>
      <tp t="s">
        <v>#N/A N/A</v>
        <stp/>
        <stp>BDH|14101280119555209496</stp>
        <tr r="P17" s="4"/>
      </tp>
      <tp t="s">
        <v>#N/A N/A</v>
        <stp/>
        <stp>BDH|17351780516493144473</stp>
        <tr r="H18" s="2"/>
      </tp>
      <tp t="s">
        <v>#N/A N/A</v>
        <stp/>
        <stp>BDH|10629228624020961637</stp>
        <tr r="F23" s="2"/>
      </tp>
      <tp t="s">
        <v>#N/A N/A</v>
        <stp/>
        <stp>BDH|11317955099893401418</stp>
        <tr r="I19" s="2"/>
      </tp>
      <tp t="s">
        <v>#N/A N/A</v>
        <stp/>
        <stp>BDH|16981730696957132976</stp>
        <tr r="P9" s="2"/>
      </tp>
      <tp t="s">
        <v>#N/A N/A</v>
        <stp/>
        <stp>BDH|15048866099147003538</stp>
        <tr r="J9" s="2"/>
      </tp>
      <tp t="s">
        <v>#N/A N/A</v>
        <stp/>
        <stp>BDH|17145621004214214397</stp>
        <tr r="G25" s="2"/>
      </tp>
      <tp t="s">
        <v>#N/A N/A</v>
        <stp/>
        <stp>BDH|15299718073791453285</stp>
        <tr r="AF22" s="4"/>
      </tp>
      <tp t="s">
        <v>#N/A N/A</v>
        <stp/>
        <stp>BDH|12004993968453808852</stp>
        <tr r="N20" s="2"/>
      </tp>
      <tp t="s">
        <v>#N/A N/A</v>
        <stp/>
        <stp>BDH|14289024369386243241</stp>
        <tr r="L21" s="4"/>
      </tp>
      <tp t="s">
        <v>#N/A N/A</v>
        <stp/>
        <stp>BDH|12844721500140217378</stp>
        <tr r="S20" s="2"/>
      </tp>
      <tp t="s">
        <v>#N/A N/A</v>
        <stp/>
        <stp>BDH|10933031850961311270</stp>
        <tr r="T23" s="2"/>
      </tp>
      <tp t="s">
        <v>#N/A N/A</v>
        <stp/>
        <stp>BDH|12474904425857905861</stp>
        <tr r="AB10" s="2"/>
      </tp>
      <tp t="s">
        <v>#N/A N/A</v>
        <stp/>
        <stp>BDH|16884402745486344603</stp>
        <tr r="N18" s="4"/>
      </tp>
      <tp t="s">
        <v>#N/A N/A</v>
        <stp/>
        <stp>BDH|13033827573909611395</stp>
        <tr r="AJ20" s="4"/>
      </tp>
      <tp t="s">
        <v>#N/A N/A</v>
        <stp/>
        <stp>BDH|16844802318551805861</stp>
        <tr r="K14" s="4"/>
      </tp>
      <tp t="s">
        <v>#N/A N/A</v>
        <stp/>
        <stp>BDH|16353296788468508296</stp>
        <tr r="X13" s="2"/>
      </tp>
      <tp t="s">
        <v>#N/A N/A</v>
        <stp/>
        <stp>BDP|15452503626770195585</stp>
        <tr r="J16" s="3"/>
      </tp>
      <tp t="s">
        <v>#N/A N/A</v>
        <stp/>
        <stp>BDP|12179922195300137546</stp>
        <tr r="AN11" s="3"/>
      </tp>
      <tp t="s">
        <v>#N/A N/A</v>
        <stp/>
        <stp>BDP|12163815221486154922</stp>
        <tr r="AO16" s="3"/>
      </tp>
      <tp t="s">
        <v>#N/A N/A</v>
        <stp/>
        <stp>BDP|17989824924973852950</stp>
        <tr r="AB15" s="3"/>
      </tp>
      <tp t="s">
        <v>#N/A N/A</v>
        <stp/>
        <stp>BDP|10959917992343417483</stp>
        <tr r="C11" s="3"/>
      </tp>
      <tp t="s">
        <v>#N/A N/A</v>
        <stp/>
        <stp>BDP|16768783173291217083</stp>
        <tr r="AJ11" s="3"/>
      </tp>
      <tp t="s">
        <v>#N/A N/A</v>
        <stp/>
        <stp>BDH|13443478412849659868</stp>
        <tr r="Q21" s="4"/>
      </tp>
      <tp t="s">
        <v>#N/A N/A</v>
        <stp/>
        <stp>BDH|16130602152455697741</stp>
        <tr r="AH20" s="4"/>
      </tp>
      <tp t="s">
        <v>#N/A N/A</v>
        <stp/>
        <stp>BDH|16988562639015093270</stp>
        <tr r="AE7" s="2"/>
      </tp>
      <tp t="s">
        <v>#N/A N/A</v>
        <stp/>
        <stp>BDH|13090889789413892796</stp>
        <tr r="F15" s="2"/>
      </tp>
      <tp t="s">
        <v>#N/A N/A</v>
        <stp/>
        <stp>BDH|14956305098780935983</stp>
        <tr r="AH26" s="4"/>
      </tp>
      <tp t="s">
        <v>#N/A N/A</v>
        <stp/>
        <stp>BDH|14304747160757746534</stp>
        <tr r="C6" s="4"/>
      </tp>
      <tp t="s">
        <v>#N/A N/A</v>
        <stp/>
        <stp>BDH|10741575487268318276</stp>
        <tr r="AC10" s="2"/>
      </tp>
      <tp t="s">
        <v>#N/A N/A</v>
        <stp/>
        <stp>BDH|16993819052145863908</stp>
        <tr r="F20" s="2"/>
      </tp>
      <tp t="s">
        <v>#N/A N/A</v>
        <stp/>
        <stp>BDH|16436547805507774308</stp>
        <tr r="D7" s="2"/>
      </tp>
      <tp t="s">
        <v>#N/A N/A</v>
        <stp/>
        <stp>BDH|13339563514836618659</stp>
        <tr r="AJ12" s="4"/>
      </tp>
      <tp t="s">
        <v>#N/A N/A</v>
        <stp/>
        <stp>BDH|11732597358650635626</stp>
        <tr r="AM16" s="2"/>
      </tp>
      <tp t="s">
        <v>#N/A N/A</v>
        <stp/>
        <stp>BDH|12489055194965705979</stp>
        <tr r="AI26" s="4"/>
      </tp>
      <tp t="s">
        <v>#N/A N/A</v>
        <stp/>
        <stp>BDH|14037167408573303182</stp>
        <tr r="AJ7" s="4"/>
      </tp>
      <tp t="s">
        <v>#N/A N/A</v>
        <stp/>
        <stp>BDH|15006130040161237642</stp>
        <tr r="AG18" s="2"/>
      </tp>
      <tp t="s">
        <v>#N/A N/A</v>
        <stp/>
        <stp>BDH|11277119636884566048</stp>
        <tr r="AA18" s="4"/>
      </tp>
      <tp t="s">
        <v>#N/A N/A</v>
        <stp/>
        <stp>BDH|13218670522555667556</stp>
        <tr r="Z18" s="4"/>
      </tp>
      <tp t="s">
        <v>#N/A N/A</v>
        <stp/>
        <stp>BDH|15498021239798821906</stp>
        <tr r="X6" s="4"/>
      </tp>
      <tp t="s">
        <v>#N/A N/A</v>
        <stp/>
        <stp>BDH|17663023500920469070</stp>
        <tr r="V16" s="2"/>
      </tp>
      <tp t="s">
        <v>#N/A N/A</v>
        <stp/>
        <stp>BDH|17710448465062010015</stp>
        <tr r="AB18" s="2"/>
      </tp>
      <tp t="s">
        <v>#N/A N/A</v>
        <stp/>
        <stp>BDH|13746200866460455027</stp>
        <tr r="T9" s="2"/>
      </tp>
      <tp t="s">
        <v>#N/A N/A</v>
        <stp/>
        <stp>BDH|17630274596413431842</stp>
        <tr r="AE9" s="4"/>
      </tp>
      <tp t="s">
        <v>#N/A N/A</v>
        <stp/>
        <stp>BDH|16669272922651129056</stp>
        <tr r="AC16" s="4"/>
      </tp>
      <tp t="s">
        <v>#N/A N/A</v>
        <stp/>
        <stp>BDH|16287593170806491592</stp>
        <tr r="Q22" s="4"/>
      </tp>
      <tp t="s">
        <v>#N/A N/A</v>
        <stp/>
        <stp>BDH|13422993735229760795</stp>
        <tr r="Q24" s="4"/>
      </tp>
      <tp t="s">
        <v>#N/A N/A</v>
        <stp/>
        <stp>BDH|11627274802823191740</stp>
        <tr r="L17" s="2"/>
      </tp>
      <tp t="s">
        <v>#N/A N/A</v>
        <stp/>
        <stp>BDH|14668317743367121335</stp>
        <tr r="Y20" s="2"/>
      </tp>
      <tp t="s">
        <v>#N/A N/A</v>
        <stp/>
        <stp>BDH|11961115983139183630</stp>
        <tr r="AC9" s="2"/>
      </tp>
      <tp t="s">
        <v>#N/A N/A</v>
        <stp/>
        <stp>BDH|16024151837653300082</stp>
        <tr r="L24" s="2"/>
      </tp>
      <tp t="s">
        <v>#N/A N/A</v>
        <stp/>
        <stp>BDH|12153417984449969058</stp>
        <tr r="AD14" s="4"/>
      </tp>
      <tp t="s">
        <v>#N/A N/A</v>
        <stp/>
        <stp>BDH|12183559753386707386</stp>
        <tr r="R24" s="2"/>
      </tp>
      <tp t="s">
        <v>#N/A N/A</v>
        <stp/>
        <stp>BDH|16940902484891226178</stp>
        <tr r="W20" s="4"/>
      </tp>
      <tp t="s">
        <v>#N/A N/A</v>
        <stp/>
        <stp>BDH|17806540913453477718</stp>
        <tr r="AE24" s="2"/>
      </tp>
      <tp t="s">
        <v>#N/A N/A</v>
        <stp/>
        <stp>BDH|11871190725875745091</stp>
        <tr r="AD26" s="4"/>
      </tp>
      <tp t="s">
        <v>#N/A N/A</v>
        <stp/>
        <stp>BDH|15861467717271421671</stp>
        <tr r="O17" s="4"/>
      </tp>
      <tp t="s">
        <v>#N/A N/A</v>
        <stp/>
        <stp>BDH|17728395431209627944</stp>
        <tr r="L12" s="4"/>
      </tp>
      <tp t="s">
        <v>#N/A N/A</v>
        <stp/>
        <stp>BDH|14315827479135750920</stp>
        <tr r="R7" s="4"/>
      </tp>
      <tp t="s">
        <v>#N/A N/A</v>
        <stp/>
        <stp>BDH|13861281458425174642</stp>
        <tr r="AG13" s="2"/>
      </tp>
      <tp t="s">
        <v>#N/A N/A</v>
        <stp/>
        <stp>BDH|17665841524712900825</stp>
        <tr r="N13" s="2"/>
      </tp>
      <tp t="s">
        <v>#N/A N/A</v>
        <stp/>
        <stp>BDH|11332491197889452253</stp>
        <tr r="AL10" s="2"/>
      </tp>
      <tp t="s">
        <v>#N/A N/A</v>
        <stp/>
        <stp>BDH|13053798449201592694</stp>
        <tr r="AN25" s="2"/>
      </tp>
      <tp t="s">
        <v>#N/A N/A</v>
        <stp/>
        <stp>BDH|12718788816793730010</stp>
        <tr r="T10" s="2"/>
      </tp>
      <tp t="s">
        <v>#N/A N/A</v>
        <stp/>
        <stp>BDH|16292239747637830009</stp>
        <tr r="AA15" s="2"/>
      </tp>
      <tp t="s">
        <v>#N/A N/A</v>
        <stp/>
        <stp>BDP|12419151640413591089</stp>
        <tr r="I11" s="3"/>
      </tp>
      <tp t="s">
        <v>#N/A N/A</v>
        <stp/>
        <stp>BDP|15164289705783390002</stp>
        <tr r="E16" s="3"/>
      </tp>
      <tp t="s">
        <v>#N/A N/A</v>
        <stp/>
        <stp>BDP|15188208925593316281</stp>
        <tr r="AG16" s="3"/>
      </tp>
      <tp t="s">
        <v>#N/A N/A</v>
        <stp/>
        <stp>BDP|12654235688618885441</stp>
        <tr r="D15" s="3"/>
      </tp>
      <tp t="s">
        <v>#N/A N/A</v>
        <stp/>
        <stp>BDP|12189714643812331712</stp>
        <tr r="AM15" s="3"/>
      </tp>
      <tp t="s">
        <v>#N/A N/A</v>
        <stp/>
        <stp>BDP|10736655256943765406</stp>
        <tr r="AH12" s="3"/>
      </tp>
      <tp t="s">
        <v>#N/A N/A</v>
        <stp/>
        <stp>BDP|10460274252984538767</stp>
        <tr r="J11" s="3"/>
      </tp>
      <tp t="s">
        <v>#N/A N/A</v>
        <stp/>
        <stp>BDP|11947056579234687616</stp>
        <tr r="I12" s="3"/>
      </tp>
      <tp t="s">
        <v>#N/A N/A</v>
        <stp/>
        <stp>BDP|10815578754830895466</stp>
        <tr r="AB16" s="3"/>
      </tp>
      <tp t="s">
        <v>#N/A N/A</v>
        <stp/>
        <stp>BDP|12091296352836692789</stp>
        <tr r="AH16" s="3"/>
      </tp>
      <tp t="s">
        <v>#N/A N/A</v>
        <stp/>
        <stp>BDH|14007171106500764171</stp>
        <tr r="G21" s="4"/>
      </tp>
      <tp t="s">
        <v>#N/A N/A</v>
        <stp/>
        <stp>BDH|13498471819571355388</stp>
        <tr r="P17" s="2"/>
      </tp>
      <tp t="s">
        <v>#N/A N/A</v>
        <stp/>
        <stp>BDH|16388359826547012406</stp>
        <tr r="AD9" s="2"/>
      </tp>
      <tp t="s">
        <v>#N/A N/A</v>
        <stp/>
        <stp>BDH|10653671166091526516</stp>
        <tr r="U26" s="4"/>
      </tp>
      <tp t="s">
        <v>#N/A N/A</v>
        <stp/>
        <stp>BDH|13470215176613051110</stp>
        <tr r="AO7" s="2"/>
      </tp>
      <tp t="s">
        <v>#N/A N/A</v>
        <stp/>
        <stp>BDH|15315049830226052424</stp>
        <tr r="U24" s="4"/>
      </tp>
      <tp t="s">
        <v>#N/A N/A</v>
        <stp/>
        <stp>BDH|15225515665854325600</stp>
        <tr r="K8" s="2"/>
      </tp>
      <tp t="s">
        <v>#N/A N/A</v>
        <stp/>
        <stp>BDH|17780656637892077405</stp>
        <tr r="AP6" s="4"/>
      </tp>
      <tp t="s">
        <v>#N/A N/A</v>
        <stp/>
        <stp>BDH|13203294719780515438</stp>
        <tr r="C24" s="4"/>
      </tp>
      <tp t="s">
        <v>#N/A N/A</v>
        <stp/>
        <stp>BDH|17019238756767151332</stp>
        <tr r="AL7" s="4"/>
      </tp>
      <tp t="s">
        <v>#N/A N/A</v>
        <stp/>
        <stp>BDH|16058439342942141073</stp>
        <tr r="O25" s="2"/>
      </tp>
      <tp t="s">
        <v>#N/A N/A</v>
        <stp/>
        <stp>BDH|16216600010837357269</stp>
        <tr r="K10" s="4"/>
      </tp>
      <tp t="s">
        <v>#N/A N/A</v>
        <stp/>
        <stp>BDH|17950554122134456029</stp>
        <tr r="D13" s="4"/>
      </tp>
      <tp t="s">
        <v>#N/A N/A</v>
        <stp/>
        <stp>BDH|15745001016429986905</stp>
        <tr r="D12" s="4"/>
      </tp>
      <tp t="s">
        <v>#N/A N/A</v>
        <stp/>
        <stp>BDH|10121668955204024393</stp>
        <tr r="AM13" s="2"/>
      </tp>
      <tp t="s">
        <v>#N/A N/A</v>
        <stp/>
        <stp>BDH|17505858739359622144</stp>
        <tr r="I25" s="2"/>
      </tp>
      <tp t="s">
        <v>#N/A N/A</v>
        <stp/>
        <stp>BDH|16175365419182043253</stp>
        <tr r="AJ15" s="2"/>
      </tp>
      <tp t="s">
        <v>#N/A N/A</v>
        <stp/>
        <stp>BDH|11277527639384258718</stp>
        <tr r="AP13" s="4"/>
      </tp>
      <tp t="s">
        <v>#N/A N/A</v>
        <stp/>
        <stp>BDH|13103598624303287342</stp>
        <tr r="Y12" s="4"/>
      </tp>
      <tp t="s">
        <v>#N/A N/A</v>
        <stp/>
        <stp>BDH|14372712879921355129</stp>
        <tr r="K21" s="4"/>
      </tp>
      <tp t="s">
        <v>#N/A N/A</v>
        <stp/>
        <stp>BDH|16152448286678892615</stp>
        <tr r="AK8" s="2"/>
      </tp>
      <tp t="s">
        <v>#N/A N/A</v>
        <stp/>
        <stp>BDH|13770037569935843480</stp>
        <tr r="AG24" s="4"/>
      </tp>
      <tp t="s">
        <v>#N/A N/A</v>
        <stp/>
        <stp>BDH|10761977912769696584</stp>
        <tr r="Z14" s="4"/>
      </tp>
      <tp t="s">
        <v>#N/A N/A</v>
        <stp/>
        <stp>BDH|13625394166267324566</stp>
        <tr r="S12" s="4"/>
      </tp>
      <tp t="s">
        <v>#N/A N/A</v>
        <stp/>
        <stp>BDH|14753208064134803040</stp>
        <tr r="I17" s="4"/>
      </tp>
      <tp t="s">
        <v>#N/A N/A</v>
        <stp/>
        <stp>BDH|15882662714957551110</stp>
        <tr r="Y7" s="2"/>
      </tp>
      <tp t="s">
        <v>#N/A N/A</v>
        <stp/>
        <stp>BDP|11389276123495837166</stp>
        <tr r="N12" s="3"/>
      </tp>
      <tp t="s">
        <v>#N/A N/A</v>
        <stp/>
        <stp>BDP|12195124299586266989</stp>
        <tr r="M9" s="3"/>
      </tp>
      <tp t="s">
        <v>#N/A N/A</v>
        <stp/>
        <stp>BDP|18220546797073074233</stp>
        <tr r="L9" s="3"/>
      </tp>
      <tp t="s">
        <v>#N/A N/A</v>
        <stp/>
        <stp>BDP|13468568602373269066</stp>
        <tr r="Y16" s="3"/>
      </tp>
      <tp t="s">
        <v>#N/A N/A</v>
        <stp/>
        <stp>BDP|12558265866746339509</stp>
        <tr r="E12" s="3"/>
      </tp>
      <tp t="s">
        <v>#N/A N/A</v>
        <stp/>
        <stp>BDH|10473628733494120451</stp>
        <tr r="W25" s="2"/>
      </tp>
      <tp t="s">
        <v>#N/A N/A</v>
        <stp/>
        <stp>BDH|18212872358154806442</stp>
        <tr r="F16" s="2"/>
      </tp>
      <tp t="s">
        <v>#N/A N/A</v>
        <stp/>
        <stp>BDH|15277697072813950218</stp>
        <tr r="W20" s="2"/>
      </tp>
      <tp t="s">
        <v>#N/A N/A</v>
        <stp/>
        <stp>BDH|11454257111521453648</stp>
        <tr r="V21" s="4"/>
      </tp>
      <tp t="s">
        <v>#N/A N/A</v>
        <stp/>
        <stp>BDH|12908998933568408572</stp>
        <tr r="Z8" s="2"/>
      </tp>
      <tp t="s">
        <v>#N/A N/A</v>
        <stp/>
        <stp>BDH|16184560736531031413</stp>
        <tr r="AM22" s="4"/>
      </tp>
      <tp t="s">
        <v>#N/A N/A</v>
        <stp/>
        <stp>BDH|10149041600070015553</stp>
        <tr r="L25" s="2"/>
      </tp>
      <tp t="s">
        <v>#N/A N/A</v>
        <stp/>
        <stp>BDH|16888383420802640063</stp>
        <tr r="M24" s="4"/>
      </tp>
      <tp t="s">
        <v>#N/A N/A</v>
        <stp/>
        <stp>BDH|16956761059620133175</stp>
        <tr r="AE6" s="4"/>
      </tp>
      <tp t="s">
        <v>#N/A N/A</v>
        <stp/>
        <stp>BDH|13478573120093392232</stp>
        <tr r="AH8" s="2"/>
      </tp>
      <tp t="s">
        <v>#N/A N/A</v>
        <stp/>
        <stp>BDH|15541450834294317349</stp>
        <tr r="C10" s="2"/>
      </tp>
      <tp t="s">
        <v>#N/A N/A</v>
        <stp/>
        <stp>BDH|12038767478850953757</stp>
        <tr r="E18" s="2"/>
      </tp>
      <tp t="s">
        <v>#N/A N/A</v>
        <stp/>
        <stp>BDH|15931284523706459641</stp>
        <tr r="T24" s="2"/>
      </tp>
      <tp t="s">
        <v>#N/A N/A</v>
        <stp/>
        <stp>BDH|10805050828775410232</stp>
        <tr r="AH9" s="4"/>
      </tp>
      <tp t="s">
        <v>#N/A N/A</v>
        <stp/>
        <stp>BDH|15345683776320948117</stp>
        <tr r="N10" s="2"/>
      </tp>
      <tp t="s">
        <v>#N/A N/A</v>
        <stp/>
        <stp>BDH|16746335456223121664</stp>
        <tr r="AL16" s="4"/>
      </tp>
      <tp t="s">
        <v>#N/A N/A</v>
        <stp/>
        <stp>BDH|12278335547571943188</stp>
        <tr r="S13" s="2"/>
      </tp>
      <tp t="s">
        <v>#N/A N/A</v>
        <stp/>
        <stp>BDH|11530091934310936765</stp>
        <tr r="AJ16" s="2"/>
      </tp>
      <tp t="s">
        <v>#N/A N/A</v>
        <stp/>
        <stp>BDH|11507119133100491646</stp>
        <tr r="D10" s="4"/>
      </tp>
      <tp t="s">
        <v>#N/A N/A</v>
        <stp/>
        <stp>BDH|15746087248135306136</stp>
        <tr r="M10" s="4"/>
      </tp>
      <tp t="s">
        <v>#N/A N/A</v>
        <stp/>
        <stp>BDH|11100608946323194509</stp>
        <tr r="D26" s="4"/>
      </tp>
      <tp t="s">
        <v>#N/A N/A</v>
        <stp/>
        <stp>BDH|16608639654632408232</stp>
        <tr r="X17" s="2"/>
      </tp>
      <tp t="s">
        <v>#N/A N/A</v>
        <stp/>
        <stp>BDH|17763422131031445465</stp>
        <tr r="J15" s="2"/>
      </tp>
      <tp t="s">
        <v>#N/A N/A</v>
        <stp/>
        <stp>BDH|13505786534344019603</stp>
        <tr r="G22" s="4"/>
      </tp>
      <tp t="s">
        <v>#N/A N/A</v>
        <stp/>
        <stp>BDH|17635418389476611806</stp>
        <tr r="F9" s="2"/>
      </tp>
      <tp t="s">
        <v>#N/A N/A</v>
        <stp/>
        <stp>BDH|14449870386424441594</stp>
        <tr r="C8" s="2"/>
      </tp>
      <tp t="s">
        <v>#N/A N/A</v>
        <stp/>
        <stp>BDH|16876312960125542345</stp>
        <tr r="N25" s="2"/>
      </tp>
      <tp t="s">
        <v>#N/A N/A</v>
        <stp/>
        <stp>BDH|16616321824851342385</stp>
        <tr r="W19" s="2"/>
      </tp>
      <tp t="s">
        <v>#N/A N/A</v>
        <stp/>
        <stp>BDH|16182160309380418218</stp>
        <tr r="T7" s="2"/>
      </tp>
      <tp t="s">
        <v>#N/A N/A</v>
        <stp/>
        <stp>BDH|15814328506802501143</stp>
        <tr r="AE15" s="2"/>
      </tp>
      <tp t="s">
        <v>#N/A N/A</v>
        <stp/>
        <stp>BDH|16290574357461738291</stp>
        <tr r="P24" s="4"/>
      </tp>
      <tp t="s">
        <v>#N/A N/A</v>
        <stp/>
        <stp>BDH|12288219230085782382</stp>
        <tr r="H24" s="4"/>
      </tp>
      <tp t="s">
        <v>#N/A N/A</v>
        <stp/>
        <stp>BDH|18359134686181284586</stp>
        <tr r="Z10" s="2"/>
      </tp>
      <tp t="s">
        <v>#N/A N/A</v>
        <stp/>
        <stp>BDH|14447139149283804792</stp>
        <tr r="K18" s="2"/>
      </tp>
      <tp t="s">
        <v>#N/A N/A</v>
        <stp/>
        <stp>BDH|16973219851110439421</stp>
        <tr r="AB9" s="4"/>
      </tp>
    </main>
    <main first="bofaddin.rtdserver">
      <tp t="s">
        <v>#N/A N/A</v>
        <stp/>
        <stp>BDH|8657332167537020693</stp>
        <tr r="F10" s="2"/>
      </tp>
      <tp t="s">
        <v>#N/A N/A</v>
        <stp/>
        <stp>BDH|7328354690510922147</stp>
        <tr r="AN15" s="2"/>
      </tp>
      <tp t="s">
        <v>#N/A N/A</v>
        <stp/>
        <stp>BDP|3424633816868128083</stp>
        <tr r="F9" s="3"/>
      </tp>
      <tp t="s">
        <v>#N/A N/A</v>
        <stp/>
        <stp>BDP|3071312802584822832</stp>
        <tr r="K11" s="3"/>
      </tp>
      <tp t="s">
        <v>#N/A N/A</v>
        <stp/>
        <stp>BDH|7049625749381198828</stp>
        <tr r="AK9" s="2"/>
      </tp>
      <tp t="s">
        <v>#N/A N/A</v>
        <stp/>
        <stp>BDH|1482955218816914383</stp>
        <tr r="AH18" s="4"/>
      </tp>
      <tp t="s">
        <v>#N/A N/A</v>
        <stp/>
        <stp>BDH|8269839118029568441</stp>
        <tr r="AA13" s="4"/>
      </tp>
      <tp t="s">
        <v>#N/A N/A</v>
        <stp/>
        <stp>BDH|6825113979945981906</stp>
        <tr r="G8" s="4"/>
      </tp>
      <tp t="s">
        <v>#N/A N/A</v>
        <stp/>
        <stp>BDH|8568976589547579279</stp>
        <tr r="AB23" s="2"/>
      </tp>
      <tp t="s">
        <v>#N/A N/A</v>
        <stp/>
        <stp>BDP|5117844978864108227</stp>
        <tr r="R11" s="3"/>
      </tp>
      <tp t="s">
        <v>#N/A N/A</v>
        <stp/>
        <stp>BDP|6468921639214923481</stp>
        <tr r="AJ15" s="3"/>
      </tp>
      <tp t="s">
        <v>#N/A N/A</v>
        <stp/>
        <stp>BDH|5803605385602170526</stp>
        <tr r="AD25" s="2"/>
      </tp>
      <tp t="s">
        <v>#N/A N/A</v>
        <stp/>
        <stp>BDH|9413494523426710579</stp>
        <tr r="AA13" s="2"/>
      </tp>
      <tp t="s">
        <v>#N/A N/A</v>
        <stp/>
        <stp>BDH|7453004952366886803</stp>
        <tr r="AP16" s="4"/>
      </tp>
      <tp t="s">
        <v>#N/A N/A</v>
        <stp/>
        <stp>BDH|1714586381697795772</stp>
        <tr r="R10" s="2"/>
      </tp>
      <tp t="s">
        <v>#N/A N/A</v>
        <stp/>
        <stp>BDH|1122758493924873705</stp>
        <tr r="C8" s="4"/>
      </tp>
      <tp t="s">
        <v>#N/A N/A</v>
        <stp/>
        <stp>BDH|9132325179619266874</stp>
        <tr r="AI23" s="2"/>
      </tp>
      <tp t="s">
        <v>#N/A N/A</v>
        <stp/>
        <stp>BDH|9576277573391846160</stp>
        <tr r="AD24" s="4"/>
      </tp>
      <tp t="s">
        <v>#N/A N/A</v>
        <stp/>
        <stp>BDH|2068945676491898159</stp>
        <tr r="W15" s="2"/>
      </tp>
      <tp t="s">
        <v>#N/A N/A</v>
        <stp/>
        <stp>BDH|8194392319381472799</stp>
        <tr r="AN23" s="2"/>
      </tp>
      <tp t="s">
        <v>#N/A N/A</v>
        <stp/>
        <stp>BDH|1687866388408552517</stp>
        <tr r="N7" s="4"/>
      </tp>
      <tp t="s">
        <v>#N/A N/A</v>
        <stp/>
        <stp>BDH|8415999165703003842</stp>
        <tr r="D9" s="2"/>
      </tp>
      <tp t="s">
        <v>#N/A N/A</v>
        <stp/>
        <stp>BDH|4882048308740912802</stp>
        <tr r="AH13" s="4"/>
      </tp>
      <tp t="s">
        <v>#N/A N/A</v>
        <stp/>
        <stp>BDH|5720478483074600182</stp>
        <tr r="W9" s="4"/>
      </tp>
      <tp t="s">
        <v>#N/A N/A</v>
        <stp/>
        <stp>BDH|8153343669221489057</stp>
        <tr r="K7" s="4"/>
      </tp>
      <tp t="s">
        <v>#N/A N/A</v>
        <stp/>
        <stp>BDP|8759429604678695852</stp>
        <tr r="AD16" s="3"/>
      </tp>
      <tp t="s">
        <v>#N/A N/A</v>
        <stp/>
        <stp>BDP|6984664299341403408</stp>
        <tr r="AI9" s="3"/>
      </tp>
      <tp t="s">
        <v>#N/A N/A</v>
        <stp/>
        <stp>BDH|8809091657237279666</stp>
        <tr r="AF8" s="2"/>
      </tp>
      <tp t="s">
        <v>#N/A N/A</v>
        <stp/>
        <stp>BDH|9136042976620273221</stp>
        <tr r="AL13" s="2"/>
      </tp>
      <tp t="s">
        <v>#N/A N/A</v>
        <stp/>
        <stp>BDH|8379088453768897933</stp>
        <tr r="C21" s="4"/>
      </tp>
      <tp t="s">
        <v>#N/A N/A</v>
        <stp/>
        <stp>BDH|7881889570485182128</stp>
        <tr r="AO24" s="4"/>
      </tp>
      <tp t="s">
        <v>#N/A N/A</v>
        <stp/>
        <stp>BDH|7117336131149212221</stp>
        <tr r="AL21" s="4"/>
      </tp>
      <tp t="s">
        <v>#N/A N/A</v>
        <stp/>
        <stp>BDH|6025706222946435952</stp>
        <tr r="P21" s="4"/>
      </tp>
      <tp t="s">
        <v>#N/A N/A</v>
        <stp/>
        <stp>BDH|3109959782208139678</stp>
        <tr r="AM13" s="4"/>
      </tp>
      <tp t="s">
        <v>#N/A N/A</v>
        <stp/>
        <stp>BDH|1148609241189186617</stp>
        <tr r="AK13" s="4"/>
      </tp>
      <tp t="s">
        <v>#N/A N/A</v>
        <stp/>
        <stp>BDH|5963299617192440839</stp>
        <tr r="S7" s="2"/>
      </tp>
      <tp t="s">
        <v>#N/A N/A</v>
        <stp/>
        <stp>BDH|4963910739283953188</stp>
        <tr r="AH7" s="2"/>
      </tp>
      <tp t="s">
        <v>#N/A N/A</v>
        <stp/>
        <stp>BDH|1027827442926334759</stp>
        <tr r="X18" s="4"/>
      </tp>
      <tp t="s">
        <v>#N/A N/A</v>
        <stp/>
        <stp>BDH|9287614988992998943</stp>
        <tr r="V24" s="2"/>
      </tp>
      <tp t="s">
        <v>#N/A N/A</v>
        <stp/>
        <stp>BDH|2087901107276948197</stp>
        <tr r="Z16" s="2"/>
      </tp>
      <tp t="s">
        <v>#N/A N/A</v>
        <stp/>
        <stp>BDH|6441807351030284700</stp>
        <tr r="L9" s="2"/>
      </tp>
      <tp t="s">
        <v>#N/A N/A</v>
        <stp/>
        <stp>BDH|6541005327518386067</stp>
        <tr r="AM10" s="4"/>
      </tp>
      <tp t="s">
        <v>#N/A N/A</v>
        <stp/>
        <stp>BDH|4927391398971946364</stp>
        <tr r="W6" s="4"/>
      </tp>
      <tp t="s">
        <v>#N/A N/A</v>
        <stp/>
        <stp>BDH|4258046909878074086</stp>
        <tr r="E24" s="4"/>
      </tp>
      <tp t="s">
        <v>#N/A N/A</v>
        <stp/>
        <stp>BDP|8006769176651523511</stp>
        <tr r="T12" s="3"/>
      </tp>
      <tp t="s">
        <v>#N/A N/A</v>
        <stp/>
        <stp>BDH|7230979987493514938</stp>
        <tr r="N16" s="4"/>
      </tp>
      <tp t="s">
        <v>#N/A N/A</v>
        <stp/>
        <stp>BDH|3388982249727044562</stp>
        <tr r="AE21" s="4"/>
      </tp>
      <tp t="s">
        <v>#N/A N/A</v>
        <stp/>
        <stp>BDH|8524439919937880635</stp>
        <tr r="J12" s="4"/>
      </tp>
      <tp t="s">
        <v>#N/A N/A</v>
        <stp/>
        <stp>BDH|2361153321575111832</stp>
        <tr r="C16" s="2"/>
      </tp>
      <tp t="s">
        <v>#N/A N/A</v>
        <stp/>
        <stp>BDH|5417326905202718817</stp>
        <tr r="Y20" s="4"/>
      </tp>
      <tp t="s">
        <v>#N/A N/A</v>
        <stp/>
        <stp>BDH|3621828056025350745</stp>
        <tr r="Q8" s="2"/>
      </tp>
      <tp t="s">
        <v>#N/A N/A</v>
        <stp/>
        <stp>BDH|8478783317751008201</stp>
        <tr r="K20" s="4"/>
      </tp>
      <tp t="s">
        <v>#N/A N/A</v>
        <stp/>
        <stp>BDH|8915623057376783004</stp>
        <tr r="AP9" s="2"/>
      </tp>
      <tp t="s">
        <v>#N/A N/A</v>
        <stp/>
        <stp>BDH|4806047294872141226</stp>
        <tr r="D17" s="4"/>
      </tp>
      <tp t="s">
        <v>#N/A N/A</v>
        <stp/>
        <stp>BDH|4207155463187519996</stp>
        <tr r="T10" s="4"/>
      </tp>
      <tp t="s">
        <v>#N/A N/A</v>
        <stp/>
        <stp>BDP|6884449479589552197</stp>
        <tr r="D11" s="3"/>
      </tp>
      <tp t="s">
        <v>#N/A N/A</v>
        <stp/>
        <stp>BDH|1667499732628290360</stp>
        <tr r="R9" s="4"/>
      </tp>
      <tp t="s">
        <v>#N/A N/A</v>
        <stp/>
        <stp>BDH|5735908913415855551</stp>
        <tr r="J22" s="4"/>
      </tp>
      <tp t="s">
        <v>#N/A N/A</v>
        <stp/>
        <stp>BDH|7971926660061260477</stp>
        <tr r="S25" s="2"/>
      </tp>
      <tp t="s">
        <v>#N/A N/A</v>
        <stp/>
        <stp>BDH|9226255544064994646</stp>
        <tr r="AF25" s="4"/>
      </tp>
      <tp t="s">
        <v>#N/A N/A</v>
        <stp/>
        <stp>BDH|4470600263408986101</stp>
        <tr r="AI25" s="4"/>
      </tp>
      <tp t="s">
        <v>#N/A N/A</v>
        <stp/>
        <stp>BDP|9331800179418587309</stp>
        <tr r="H15" s="3"/>
      </tp>
      <tp t="s">
        <v>#N/A N/A</v>
        <stp/>
        <stp>BDH|3757651232149767287</stp>
        <tr r="R16" s="4"/>
      </tp>
      <tp t="s">
        <v>#N/A N/A</v>
        <stp/>
        <stp>BDH|3583142568809574032</stp>
        <tr r="AG9" s="2"/>
      </tp>
      <tp t="s">
        <v>#N/A N/A</v>
        <stp/>
        <stp>BDP|7969830546271349737</stp>
        <tr r="X15" s="3"/>
      </tp>
      <tp t="s">
        <v>#N/A N/A</v>
        <stp/>
        <stp>BDH|9397941189680019522</stp>
        <tr r="AN17" s="4"/>
      </tp>
      <tp t="s">
        <v>#N/A N/A</v>
        <stp/>
        <stp>BDH|9368526978621339770</stp>
        <tr r="AN8" s="4"/>
      </tp>
      <tp t="s">
        <v>#N/A N/A</v>
        <stp/>
        <stp>BDH|4742372570469517470</stp>
        <tr r="T20" s="2"/>
      </tp>
      <tp t="s">
        <v>#N/A N/A</v>
        <stp/>
        <stp>BDH|8190216983189146609</stp>
        <tr r="Y16" s="2"/>
      </tp>
      <tp t="s">
        <v>#N/A N/A</v>
        <stp/>
        <stp>BDH|8050519146845184148</stp>
        <tr r="AH20" s="2"/>
      </tp>
      <tp t="s">
        <v>#N/A N/A</v>
        <stp/>
        <stp>BDH|5076375537299210107</stp>
        <tr r="AA23" s="2"/>
      </tp>
      <tp t="s">
        <v>#N/A N/A</v>
        <stp/>
        <stp>BDP|1135425271896927986</stp>
        <tr r="P16" s="3"/>
      </tp>
      <tp t="s">
        <v>#N/A N/A</v>
        <stp/>
        <stp>BDH|8879556639041568224</stp>
        <tr r="AF21" s="4"/>
      </tp>
      <tp t="s">
        <v>#N/A N/A</v>
        <stp/>
        <stp>BDH|4199934616008412938</stp>
        <tr r="AC22" s="4"/>
      </tp>
      <tp t="s">
        <v>#N/A N/A</v>
        <stp/>
        <stp>BDH|7491266071998617761</stp>
        <tr r="AF12" s="4"/>
      </tp>
      <tp t="s">
        <v>#N/A N/A</v>
        <stp/>
        <stp>BDH|3472209838328711787</stp>
        <tr r="AH25" s="4"/>
      </tp>
      <tp t="s">
        <v>#N/A N/A</v>
        <stp/>
        <stp>BDH|9460745400006017503</stp>
        <tr r="AG7" s="2"/>
      </tp>
      <tp t="s">
        <v>#N/A N/A</v>
        <stp/>
        <stp>BDH|5743919322222771133</stp>
        <tr r="Y13" s="2"/>
      </tp>
      <tp t="s">
        <v>#N/A N/A</v>
        <stp/>
        <stp>BDH|8066818564779640237</stp>
        <tr r="W17" s="2"/>
      </tp>
      <tp t="s">
        <v>#N/A N/A</v>
        <stp/>
        <stp>BDH|9498649226349605913</stp>
        <tr r="M24" s="2"/>
      </tp>
      <tp t="s">
        <v>#N/A N/A</v>
        <stp/>
        <stp>BDH|8539123773096467513</stp>
        <tr r="R9" s="2"/>
      </tp>
      <tp t="s">
        <v>#N/A N/A</v>
        <stp/>
        <stp>BDH|8756356779445840427</stp>
        <tr r="AH23" s="2"/>
      </tp>
      <tp t="s">
        <v>#N/A N/A</v>
        <stp/>
        <stp>BDH|2530768186170079046</stp>
        <tr r="AK7" s="4"/>
      </tp>
      <tp t="s">
        <v>#N/A N/A</v>
        <stp/>
        <stp>BDH|9383503546530401503</stp>
        <tr r="AJ23" s="2"/>
      </tp>
      <tp t="s">
        <v>#N/A N/A</v>
        <stp/>
        <stp>BDP|1735234950322555970</stp>
        <tr r="AL12" s="3"/>
      </tp>
      <tp t="s">
        <v>#N/A N/A</v>
        <stp/>
        <stp>BDH|7885267154954549991</stp>
        <tr r="AH10" s="2"/>
      </tp>
      <tp t="s">
        <v>#N/A N/A</v>
        <stp/>
        <stp>BDH|3011666584336799621</stp>
        <tr r="AC25" s="4"/>
      </tp>
      <tp t="s">
        <v>#N/A N/A</v>
        <stp/>
        <stp>BDP|2554927986339251778</stp>
        <tr r="U15" s="3"/>
      </tp>
      <tp t="s">
        <v>#N/A N/A</v>
        <stp/>
        <stp>BDH|6962283485338419942</stp>
        <tr r="Z22" s="4"/>
      </tp>
      <tp t="s">
        <v>#N/A N/A</v>
        <stp/>
        <stp>BDH|2816070786534539383</stp>
        <tr r="C25" s="4"/>
      </tp>
      <tp t="s">
        <v>#N/A N/A</v>
        <stp/>
        <stp>BDH|6660309286314324469</stp>
        <tr r="R8" s="4"/>
      </tp>
      <tp t="s">
        <v>#N/A N/A</v>
        <stp/>
        <stp>BDH|6658235213920712841</stp>
        <tr r="F7" s="4"/>
      </tp>
      <tp t="s">
        <v>#N/A N/A</v>
        <stp/>
        <stp>BDH|9848612188003243969</stp>
        <tr r="AJ9" s="2"/>
      </tp>
      <tp t="s">
        <v>#N/A N/A</v>
        <stp/>
        <stp>BDH|9361604323022372269</stp>
        <tr r="P23" s="2"/>
      </tp>
      <tp t="s">
        <v>#N/A N/A</v>
        <stp/>
        <stp>BDH|2490026662172881861</stp>
        <tr r="S24" s="4"/>
      </tp>
      <tp t="s">
        <v>#N/A N/A</v>
        <stp/>
        <stp>BDH|8532786858166961277</stp>
        <tr r="AK20" s="2"/>
      </tp>
      <tp t="s">
        <v>#N/A N/A</v>
        <stp/>
        <stp>BDH|2615763967555467889</stp>
        <tr r="L8" s="2"/>
      </tp>
      <tp t="s">
        <v>#N/A N/A</v>
        <stp/>
        <stp>BDP|9441030868349440834</stp>
        <tr r="AO12" s="3"/>
      </tp>
      <tp t="s">
        <v>#N/A N/A</v>
        <stp/>
        <stp>BDH|3345523832418324381</stp>
        <tr r="AC10" s="4"/>
      </tp>
      <tp t="s">
        <v>#N/A N/A</v>
        <stp/>
        <stp>BDH|7824301606482144879</stp>
        <tr r="C12" s="4"/>
      </tp>
      <tp t="s">
        <v>#N/A N/A</v>
        <stp/>
        <stp>BDH|3162994852568088922</stp>
        <tr r="J20" s="4"/>
      </tp>
      <tp t="s">
        <v>#N/A N/A</v>
        <stp/>
        <stp>BDH|2790217518698051763</stp>
        <tr r="W10" s="2"/>
      </tp>
      <tp t="s">
        <v>#N/A N/A</v>
        <stp/>
        <stp>BDP|8589446951347142084</stp>
        <tr r="AD9" s="3"/>
      </tp>
      <tp t="s">
        <v>#N/A N/A</v>
        <stp/>
        <stp>BDH|4125966809420479331</stp>
        <tr r="AA21" s="4"/>
      </tp>
      <tp t="s">
        <v>#N/A N/A</v>
        <stp/>
        <stp>BDP|4040869815970492395</stp>
        <tr r="X12" s="3"/>
      </tp>
      <tp t="s">
        <v>#N/A N/A</v>
        <stp/>
        <stp>BDH|3640926213076199382</stp>
        <tr r="F25" s="4"/>
      </tp>
      <tp t="s">
        <v>#N/A N/A</v>
        <stp/>
        <stp>BDH|7968338041308353660</stp>
        <tr r="H17" s="4"/>
      </tp>
      <tp t="s">
        <v>#N/A N/A</v>
        <stp/>
        <stp>BDH|8295385627023678455</stp>
        <tr r="AC17" s="4"/>
      </tp>
      <tp t="s">
        <v>#N/A N/A</v>
        <stp/>
        <stp>BDH|3389219794337894119</stp>
        <tr r="C13" s="4"/>
      </tp>
      <tp t="s">
        <v>#N/A N/A</v>
        <stp/>
        <stp>BDH|6811770540173973899</stp>
        <tr r="AA25" s="2"/>
      </tp>
      <tp t="s">
        <v>#N/A N/A</v>
        <stp/>
        <stp>BDH|9675798730815629656</stp>
        <tr r="AG20" s="2"/>
      </tp>
      <tp t="s">
        <v>#N/A N/A</v>
        <stp/>
        <stp>BDH|5927727943350348866</stp>
        <tr r="AB17" s="4"/>
      </tp>
      <tp t="s">
        <v>#N/A N/A</v>
        <stp/>
        <stp>BDH|1802109694530132706</stp>
        <tr r="AO8" s="4"/>
      </tp>
      <tp t="s">
        <v>#N/A N/A</v>
        <stp/>
        <stp>BDH|1369627789905307460</stp>
        <tr r="U16" s="4"/>
      </tp>
      <tp t="s">
        <v>#N/A N/A</v>
        <stp/>
        <stp>BDP|3783134997631268438</stp>
        <tr r="AL16" s="3"/>
      </tp>
      <tp t="s">
        <v>#N/A N/A</v>
        <stp/>
        <stp>BDH|9001003876652283265</stp>
        <tr r="I8" s="4"/>
      </tp>
      <tp t="s">
        <v>#N/A N/A</v>
        <stp/>
        <stp>BDP|9417014130051453528</stp>
        <tr r="AL15" s="3"/>
      </tp>
      <tp t="s">
        <v>#N/A N/A</v>
        <stp/>
        <stp>BDH|1468001493152499402</stp>
        <tr r="S8" s="2"/>
      </tp>
      <tp t="s">
        <v>#N/A N/A</v>
        <stp/>
        <stp>BDH|3016985214362863741</stp>
        <tr r="U16" s="2"/>
      </tp>
      <tp t="s">
        <v>#N/A N/A</v>
        <stp/>
        <stp>BDH|7653510234777204811</stp>
        <tr r="AH22" s="4"/>
      </tp>
      <tp t="s">
        <v>#N/A N/A</v>
        <stp/>
        <stp>BDH|5736331099705886458</stp>
        <tr r="AM24" s="2"/>
      </tp>
      <tp t="s">
        <v>#N/A N/A</v>
        <stp/>
        <stp>BDH|3775603781782065163</stp>
        <tr r="AE25" s="2"/>
      </tp>
      <tp t="s">
        <v>#N/A N/A</v>
        <stp/>
        <stp>BDH|1629346490180748558</stp>
        <tr r="AA24" s="4"/>
      </tp>
      <tp t="s">
        <v>#N/A N/A</v>
        <stp/>
        <stp>BDH|7411362089277322597</stp>
        <tr r="D20" s="2"/>
      </tp>
      <tp t="s">
        <v>#N/A N/A</v>
        <stp/>
        <stp>BDH|7733650099403365597</stp>
        <tr r="G18" s="2"/>
      </tp>
      <tp t="s">
        <v>#N/A N/A</v>
        <stp/>
        <stp>BDH|9025943727614690846</stp>
        <tr r="H16" s="2"/>
      </tp>
      <tp t="s">
        <v>#N/A N/A</v>
        <stp/>
        <stp>BDH|3999747232690723991</stp>
        <tr r="AH6" s="4"/>
      </tp>
      <tp t="s">
        <v>#N/A N/A</v>
        <stp/>
        <stp>BDH|8326643724773259108</stp>
        <tr r="AN13" s="2"/>
      </tp>
      <tp t="s">
        <v>#N/A N/A</v>
        <stp/>
        <stp>BDH|6677955896070502819</stp>
        <tr r="U8" s="2"/>
      </tp>
      <tp t="s">
        <v>#N/A N/A</v>
        <stp/>
        <stp>BDH|2522240862669445112</stp>
        <tr r="S24" s="2"/>
      </tp>
      <tp t="s">
        <v>#N/A N/A</v>
        <stp/>
        <stp>BDH|8151383750998796884</stp>
        <tr r="R26" s="4"/>
      </tp>
      <tp t="s">
        <v>#N/A N/A</v>
        <stp/>
        <stp>BDH|3416028421798409757</stp>
        <tr r="O18" s="4"/>
      </tp>
      <tp t="s">
        <v>#N/A N/A</v>
        <stp/>
        <stp>BDH|8580237656851555038</stp>
        <tr r="AE18" s="4"/>
      </tp>
      <tp t="s">
        <v>#N/A N/A</v>
        <stp/>
        <stp>BDH|3845865358200232033</stp>
        <tr r="G19" s="2"/>
      </tp>
      <tp t="s">
        <v>#N/A N/A</v>
        <stp/>
        <stp>BDH|6578284448437634946</stp>
        <tr r="AO25" s="4"/>
      </tp>
      <tp t="s">
        <v>#N/A N/A</v>
        <stp/>
        <stp>BDH|1862861629611368430</stp>
        <tr r="AM20" s="2"/>
      </tp>
      <tp t="s">
        <v>#N/A N/A</v>
        <stp/>
        <stp>BDH|7491895505556655795</stp>
        <tr r="L8" s="4"/>
      </tp>
      <tp t="s">
        <v>#N/A N/A</v>
        <stp/>
        <stp>BDH|5924262672186204889</stp>
        <tr r="E13" s="2"/>
      </tp>
      <tp t="s">
        <v>#N/A N/A</v>
        <stp/>
        <stp>BDH|5520492583703989412</stp>
        <tr r="AL23" s="2"/>
      </tp>
      <tp t="s">
        <v>#N/A N/A</v>
        <stp/>
        <stp>BDH|6655637260558355023</stp>
        <tr r="AI14" s="4"/>
      </tp>
      <tp t="s">
        <v>#N/A N/A</v>
        <stp/>
        <stp>BDH|2620676403793015962</stp>
        <tr r="AJ8" s="4"/>
      </tp>
      <tp t="s">
        <v>#N/A N/A</v>
        <stp/>
        <stp>BDH|9917476860111241481</stp>
        <tr r="AB7" s="2"/>
      </tp>
      <tp t="s">
        <v>#N/A N/A</v>
        <stp/>
        <stp>BDH|8910350003232864732</stp>
        <tr r="AN25" s="4"/>
      </tp>
      <tp t="s">
        <v>#N/A N/A</v>
        <stp/>
        <stp>BDH|3258929976980796350</stp>
        <tr r="AA19" s="2"/>
      </tp>
      <tp t="s">
        <v>#N/A N/A</v>
        <stp/>
        <stp>BDH|5880881365861368436</stp>
        <tr r="O7" s="4"/>
      </tp>
      <tp t="s">
        <v>#N/A N/A</v>
        <stp/>
        <stp>BDH|4289679301699692575</stp>
        <tr r="L6" s="4"/>
      </tp>
      <tp t="s">
        <v>#N/A N/A</v>
        <stp/>
        <stp>BDH|5109296703651614971</stp>
        <tr r="N21" s="4"/>
      </tp>
      <tp t="s">
        <v>#N/A N/A</v>
        <stp/>
        <stp>BDH|5233703284733448681</stp>
        <tr r="AK17" s="2"/>
      </tp>
      <tp t="s">
        <v>#N/A N/A</v>
        <stp/>
        <stp>BDH|6494160097603807279</stp>
        <tr r="I13" s="2"/>
      </tp>
      <tp t="s">
        <v>#N/A N/A</v>
        <stp/>
        <stp>BDH|7332452074368219397</stp>
        <tr r="X22" s="4"/>
      </tp>
      <tp t="s">
        <v>#N/A N/A</v>
        <stp/>
        <stp>BDH|8056081613483736558</stp>
        <tr r="F6" s="4"/>
      </tp>
      <tp t="s">
        <v>#N/A N/A</v>
        <stp/>
        <stp>BDH|4426399362556244845</stp>
        <tr r="AN22" s="4"/>
      </tp>
      <tp t="s">
        <v>#N/A N/A</v>
        <stp/>
        <stp>BDP|8281767759513028635</stp>
        <tr r="W9" s="3"/>
      </tp>
      <tp t="s">
        <v>#N/A N/A</v>
        <stp/>
        <stp>BDH|8004547822781832100</stp>
        <tr r="Q10" s="4"/>
      </tp>
      <tp t="s">
        <v>#N/A N/A</v>
        <stp/>
        <stp>BDH|9270655700084949405</stp>
        <tr r="S17" s="2"/>
      </tp>
      <tp t="s">
        <v>#N/A N/A</v>
        <stp/>
        <stp>BDH|5450761167483373880</stp>
        <tr r="AE13" s="4"/>
      </tp>
      <tp t="s">
        <v>#N/A N/A</v>
        <stp/>
        <stp>BDH|2869416482160459112</stp>
        <tr r="Y23" s="2"/>
      </tp>
      <tp t="s">
        <v>#N/A N/A</v>
        <stp/>
        <stp>BDH|2273476758115181934</stp>
        <tr r="X25" s="4"/>
      </tp>
      <tp t="s">
        <v>#N/A N/A</v>
        <stp/>
        <stp>BDP|7424305660605162897</stp>
        <tr r="AA15" s="3"/>
      </tp>
      <tp t="s">
        <v>#N/A N/A</v>
        <stp/>
        <stp>BDH|1746537602939803223</stp>
        <tr r="N17" s="4"/>
      </tp>
      <tp t="s">
        <v>#N/A N/A</v>
        <stp/>
        <stp>BDH|4780701754910789997</stp>
        <tr r="Z12" s="4"/>
      </tp>
      <tp t="s">
        <v>#N/A N/A</v>
        <stp/>
        <stp>BDH|8358912653889287216</stp>
        <tr r="X7" s="4"/>
      </tp>
      <tp t="s">
        <v>#N/A N/A</v>
        <stp/>
        <stp>BDH|4381950325862371227</stp>
        <tr r="P10" s="2"/>
      </tp>
      <tp t="s">
        <v>#N/A N/A</v>
        <stp/>
        <stp>BDH|9115726003239057824</stp>
        <tr r="AL17" s="2"/>
      </tp>
      <tp t="s">
        <v>#N/A N/A</v>
        <stp/>
        <stp>BDH|8415488247841835614</stp>
        <tr r="AD16" s="4"/>
      </tp>
      <tp t="s">
        <v>#N/A N/A</v>
        <stp/>
        <stp>BDH|7951916634966747496</stp>
        <tr r="Z15" s="2"/>
      </tp>
      <tp t="s">
        <v>#N/A N/A</v>
        <stp/>
        <stp>BDH|2835473717789350199</stp>
        <tr r="AP18" s="4"/>
      </tp>
      <tp t="s">
        <v>#N/A N/A</v>
        <stp/>
        <stp>BDH|9206177526197601279</stp>
        <tr r="L23" s="2"/>
      </tp>
      <tp t="s">
        <v>#N/A N/A</v>
        <stp/>
        <stp>BDH|3971499166338229661</stp>
        <tr r="H9" s="2"/>
      </tp>
      <tp t="s">
        <v>#N/A N/A</v>
        <stp/>
        <stp>BDH|4452363854214407913</stp>
        <tr r="AP12" s="4"/>
      </tp>
      <tp t="s">
        <v>#N/A N/A</v>
        <stp/>
        <stp>BDH|6488632417826751840</stp>
        <tr r="D18" s="4"/>
      </tp>
      <tp t="s">
        <v>#N/A N/A</v>
        <stp/>
        <stp>BDH|8122404429422919325</stp>
        <tr r="X16" s="2"/>
      </tp>
      <tp t="s">
        <v>#N/A N/A</v>
        <stp/>
        <stp>BDH|9692195804397811005</stp>
        <tr r="AL7" s="2"/>
      </tp>
      <tp t="s">
        <v>#N/A N/A</v>
        <stp/>
        <stp>BDH|8279161376583313212</stp>
        <tr r="R20" s="2"/>
      </tp>
      <tp t="s">
        <v>#N/A N/A</v>
        <stp/>
        <stp>BDH|9952994553968759242</stp>
        <tr r="R17" s="4"/>
      </tp>
      <tp t="s">
        <v>#N/A N/A</v>
        <stp/>
        <stp>BDH|5227368131753352966</stp>
        <tr r="W25" s="4"/>
      </tp>
      <tp t="s">
        <v>#N/A N/A</v>
        <stp/>
        <stp>BDP|6005830180761652845</stp>
        <tr r="AB9" s="3"/>
      </tp>
      <tp t="s">
        <v>#N/A N/A</v>
        <stp/>
        <stp>BDH|8545686908830207169</stp>
        <tr r="AF13" s="2"/>
      </tp>
      <tp t="s">
        <v>#N/A N/A</v>
        <stp/>
        <stp>BDH|1443764995467645705</stp>
        <tr r="AI17" s="4"/>
      </tp>
      <tp t="s">
        <v>#N/A N/A</v>
        <stp/>
        <stp>BDH|7220020124722723820</stp>
        <tr r="Y21" s="4"/>
      </tp>
      <tp t="s">
        <v>#N/A N/A</v>
        <stp/>
        <stp>BDP|3416455965779169732</stp>
        <tr r="T16" s="3"/>
      </tp>
      <tp t="s">
        <v>#N/A N/A</v>
        <stp/>
        <stp>BDH|9755432352616340134</stp>
        <tr r="AE14" s="4"/>
      </tp>
      <tp t="s">
        <v>#N/A N/A</v>
        <stp/>
        <stp>BDH|3148303995342518477</stp>
        <tr r="S20" s="4"/>
      </tp>
      <tp t="s">
        <v>#N/A N/A</v>
        <stp/>
        <stp>BDH|2113165231166106919</stp>
        <tr r="X10" s="2"/>
      </tp>
      <tp t="s">
        <v>#N/A N/A</v>
        <stp/>
        <stp>BDH|8588421438715187590</stp>
        <tr r="AL20" s="2"/>
      </tp>
      <tp t="s">
        <v>#N/A N/A</v>
        <stp/>
        <stp>BDH|6508868636451469363</stp>
        <tr r="G6" s="4"/>
      </tp>
      <tp t="s">
        <v>#N/A N/A</v>
        <stp/>
        <stp>BDH|9242128874077567767</stp>
        <tr r="W12" s="4"/>
      </tp>
      <tp t="s">
        <v>#N/A N/A</v>
        <stp/>
        <stp>BDH|9398885369080104878</stp>
        <tr r="L18" s="2"/>
      </tp>
      <tp t="s">
        <v>#N/A N/A</v>
        <stp/>
        <stp>BDH|8284034210374072255</stp>
        <tr r="AI24" s="4"/>
      </tp>
      <tp t="s">
        <v>#N/A N/A</v>
        <stp/>
        <stp>BDH|5295746294824041070</stp>
        <tr r="AF18" s="2"/>
      </tp>
      <tp t="s">
        <v>#N/A N/A</v>
        <stp/>
        <stp>BDH|6597487220277033883</stp>
        <tr r="V9" s="2"/>
      </tp>
      <tp t="s">
        <v>#N/A N/A</v>
        <stp/>
        <stp>BDH|9474337183968417557</stp>
        <tr r="J26" s="4"/>
      </tp>
      <tp t="s">
        <v>#N/A N/A</v>
        <stp/>
        <stp>BDH|30733776264151683</stp>
        <tr r="U17" s="4"/>
      </tp>
      <tp t="s">
        <v>#N/A N/A</v>
        <stp/>
        <stp>BDH|8586045778594266315</stp>
        <tr r="AH13" s="2"/>
      </tp>
      <tp t="s">
        <v>#N/A N/A</v>
        <stp/>
        <stp>BDH|1484923767022944436</stp>
        <tr r="E23" s="2"/>
      </tp>
      <tp t="s">
        <v>#N/A N/A</v>
        <stp/>
        <stp>BDH|8496252272713117696</stp>
        <tr r="AE20" s="4"/>
      </tp>
      <tp t="s">
        <v>#N/A N/A</v>
        <stp/>
        <stp>BDH|3467814967364958108</stp>
        <tr r="P25" s="2"/>
      </tp>
      <tp t="s">
        <v>#N/A N/A</v>
        <stp/>
        <stp>BDH|7965312260513386906</stp>
        <tr r="AK26" s="4"/>
      </tp>
      <tp t="s">
        <v>#N/A N/A</v>
        <stp/>
        <stp>BDH|6871960747784836796</stp>
        <tr r="AN18" s="4"/>
      </tp>
      <tp t="s">
        <v>#N/A N/A</v>
        <stp/>
        <stp>BDH|9695710548983634101</stp>
        <tr r="AF7" s="2"/>
      </tp>
      <tp t="s">
        <v>#N/A N/A</v>
        <stp/>
        <stp>BDH|5164781631061195805</stp>
        <tr r="E17" s="2"/>
      </tp>
      <tp t="s">
        <v>#N/A N/A</v>
        <stp/>
        <stp>BDH|5418280831955527968</stp>
        <tr r="Q20" s="4"/>
      </tp>
      <tp t="s">
        <v>#N/A N/A</v>
        <stp/>
        <stp>BDH|2550624687511901543</stp>
        <tr r="E7" s="4"/>
      </tp>
      <tp t="s">
        <v>#N/A N/A</v>
        <stp/>
        <stp>BDH|5322812374135568717</stp>
        <tr r="AF26" s="4"/>
      </tp>
      <tp t="s">
        <v>#N/A N/A</v>
        <stp/>
        <stp>BDH|2214442669919587190</stp>
        <tr r="AP24" s="4"/>
      </tp>
      <tp t="s">
        <v>#N/A N/A</v>
        <stp/>
        <stp>BDH|9733942691667610673</stp>
        <tr r="P18" s="2"/>
      </tp>
      <tp t="s">
        <v>#N/A N/A</v>
        <stp/>
        <stp>BDP|3186501304957249977</stp>
        <tr r="H12" s="3"/>
      </tp>
      <tp t="s">
        <v>#N/A N/A</v>
        <stp/>
        <stp>BDP|2303244481741052163</stp>
        <tr r="AI16" s="3"/>
      </tp>
      <tp t="s">
        <v>#N/A N/A</v>
        <stp/>
        <stp>BDH|2900916748670819782</stp>
        <tr r="AA17" s="4"/>
      </tp>
      <tp t="s">
        <v>#N/A N/A</v>
        <stp/>
        <stp>BDH|9867594849006888607</stp>
        <tr r="O10" s="2"/>
      </tp>
      <tp t="s">
        <v>#N/A N/A</v>
        <stp/>
        <stp>BDH|9745215795612746852</stp>
        <tr r="K13" s="4"/>
      </tp>
      <tp t="s">
        <v>#N/A N/A</v>
        <stp/>
        <stp>BDH|5336305714336138973</stp>
        <tr r="J9" s="4"/>
      </tp>
      <tp t="s">
        <v>#N/A N/A</v>
        <stp/>
        <stp>BDH|5243857048055931474</stp>
        <tr r="AL19" s="2"/>
      </tp>
      <tp t="s">
        <v>#N/A N/A</v>
        <stp/>
        <stp>BDP|1705279281514151767</stp>
        <tr r="O12" s="3"/>
      </tp>
      <tp t="s">
        <v>#N/A N/A</v>
        <stp/>
        <stp>BDP|1535355952099169656</stp>
        <tr r="N11" s="3"/>
      </tp>
      <tp t="s">
        <v>#N/A N/A</v>
        <stp/>
        <stp>BDH|9414559014255461079</stp>
        <tr r="AH7" s="4"/>
      </tp>
      <tp t="s">
        <v>#N/A N/A</v>
        <stp/>
        <stp>BDH|1571683294501905765</stp>
        <tr r="V14" s="4"/>
      </tp>
      <tp t="s">
        <v>#N/A N/A</v>
        <stp/>
        <stp>BDH|7082827072349064960</stp>
        <tr r="J21" s="4"/>
      </tp>
      <tp t="s">
        <v>#N/A N/A</v>
        <stp/>
        <stp>BDH|2643475100049028779</stp>
        <tr r="AE25" s="4"/>
      </tp>
      <tp t="s">
        <v>#N/A N/A</v>
        <stp/>
        <stp>BDH|2545337605830598916</stp>
        <tr r="AH21" s="4"/>
      </tp>
      <tp t="s">
        <v>#N/A N/A</v>
        <stp/>
        <stp>BDH|8635170571841252756</stp>
        <tr r="AA6" s="4"/>
      </tp>
      <tp t="s">
        <v>#N/A N/A</v>
        <stp/>
        <stp>BDH|8882799746793155019</stp>
        <tr r="AC19" s="2"/>
      </tp>
      <tp t="s">
        <v>#N/A N/A</v>
        <stp/>
        <stp>BDH|9371979220218139222</stp>
        <tr r="I8" s="2"/>
      </tp>
      <tp t="s">
        <v>#N/A N/A</v>
        <stp/>
        <stp>BDH|9444940771716176943</stp>
        <tr r="G12" s="4"/>
      </tp>
      <tp t="s">
        <v>#N/A N/A</v>
        <stp/>
        <stp>BDH|7333876565407607636</stp>
        <tr r="E21" s="4"/>
      </tp>
      <tp t="s">
        <v>#N/A N/A</v>
        <stp/>
        <stp>BDH|9244642347181605224</stp>
        <tr r="Y9" s="2"/>
      </tp>
      <tp t="s">
        <v>#N/A N/A</v>
        <stp/>
        <stp>BDH|4172702999914583688</stp>
        <tr r="AJ22" s="4"/>
      </tp>
      <tp t="s">
        <v>#N/A N/A</v>
        <stp/>
        <stp>BDH|7757452499645577643</stp>
        <tr r="F14" s="4"/>
      </tp>
      <tp t="s">
        <v>#N/A N/A</v>
        <stp/>
        <stp>BDP|1030522539959837787</stp>
        <tr r="G11" s="3"/>
      </tp>
      <tp t="s">
        <v>#N/A N/A</v>
        <stp/>
        <stp>BDP|5570841374314739792</stp>
        <tr r="AE16" s="3"/>
      </tp>
      <tp t="s">
        <v>#N/A N/A</v>
        <stp/>
        <stp>BDH|2923435070488939085</stp>
        <tr r="AC25" s="2"/>
      </tp>
      <tp t="s">
        <v>#N/A N/A</v>
        <stp/>
        <stp>BDH|9041050202602862248</stp>
        <tr r="H24" s="2"/>
      </tp>
      <tp t="s">
        <v>#N/A N/A</v>
        <stp/>
        <stp>BDH|7000615571058830707</stp>
        <tr r="W16" s="4"/>
      </tp>
      <tp t="s">
        <v>#N/A N/A</v>
        <stp/>
        <stp>BDH|7330851545943807132</stp>
        <tr r="AJ16" s="4"/>
      </tp>
      <tp t="s">
        <v>#N/A N/A</v>
        <stp/>
        <stp>BDP|4788420668578081747</stp>
        <tr r="S12" s="3"/>
      </tp>
      <tp t="s">
        <v>#N/A N/A</v>
        <stp/>
        <stp>BDH|5357549280838644987</stp>
        <tr r="AH10" s="4"/>
      </tp>
      <tp t="s">
        <v>#N/A N/A</v>
        <stp/>
        <stp>BDH|2128700923458815647</stp>
        <tr r="C10" s="4"/>
      </tp>
      <tp t="s">
        <v>#N/A N/A</v>
        <stp/>
        <stp>BDH|7534698212189926094</stp>
        <tr r="C9" s="4"/>
      </tp>
      <tp t="s">
        <v>#N/A N/A</v>
        <stp/>
        <stp>BDP|4609591560167370936</stp>
        <tr r="G12" s="3"/>
      </tp>
      <tp t="s">
        <v>#N/A N/A</v>
        <stp/>
        <stp>BDH|7510512061385333893</stp>
        <tr r="Y26" s="4"/>
      </tp>
      <tp t="s">
        <v>#N/A N/A</v>
        <stp/>
        <stp>BDH|1040981402537104677</stp>
        <tr r="W23" s="2"/>
      </tp>
      <tp t="s">
        <v>#N/A N/A</v>
        <stp/>
        <stp>BDH|8033668839131145528</stp>
        <tr r="F24" s="2"/>
      </tp>
      <tp t="s">
        <v>#N/A N/A</v>
        <stp/>
        <stp>BDH|1763629694474878356</stp>
        <tr r="G13" s="2"/>
      </tp>
      <tp t="s">
        <v>#N/A N/A</v>
        <stp/>
        <stp>BDP|5678281414266143967</stp>
        <tr r="T15" s="3"/>
      </tp>
      <tp t="s">
        <v>#N/A N/A</v>
        <stp/>
        <stp>BDH|5702896334442164561</stp>
        <tr r="M9" s="4"/>
      </tp>
      <tp t="s">
        <v>#N/A N/A</v>
        <stp/>
        <stp>BDH|7654257147891985906</stp>
        <tr r="AH24" s="4"/>
      </tp>
      <tp t="s">
        <v>#N/A N/A</v>
        <stp/>
        <stp>BDP|8034511440870530066</stp>
        <tr r="AJ16" s="3"/>
      </tp>
      <tp t="s">
        <v>#N/A N/A</v>
        <stp/>
        <stp>BDP|8406667811960067606</stp>
        <tr r="AD11" s="3"/>
      </tp>
      <tp t="s">
        <v>#N/A N/A</v>
        <stp/>
        <stp>BDH|8021444574593126123</stp>
        <tr r="AP17" s="2"/>
      </tp>
      <tp t="s">
        <v>#N/A N/A</v>
        <stp/>
        <stp>BDH|3974188616253612926</stp>
        <tr r="AP22" s="4"/>
      </tp>
      <tp t="s">
        <v>#N/A N/A</v>
        <stp/>
        <stp>BDH|5227829884068128463</stp>
        <tr r="Z23" s="2"/>
      </tp>
      <tp t="s">
        <v>#N/A N/A</v>
        <stp/>
        <stp>BDH|1387027143395440957</stp>
        <tr r="I26" s="4"/>
      </tp>
      <tp t="s">
        <v>#N/A N/A</v>
        <stp/>
        <stp>BDH|6711849032772966680</stp>
        <tr r="AC16" s="2"/>
      </tp>
      <tp t="s">
        <v>#N/A N/A</v>
        <stp/>
        <stp>BDH|1141189551828821411</stp>
        <tr r="AN19" s="2"/>
      </tp>
      <tp t="s">
        <v>#N/A N/A</v>
        <stp/>
        <stp>BDP|9573855806300328831</stp>
        <tr r="AP11" s="3"/>
      </tp>
      <tp t="s">
        <v>#N/A N/A</v>
        <stp/>
        <stp>BDH|6840481175729513569</stp>
        <tr r="F22" s="4"/>
      </tp>
      <tp t="s">
        <v>#N/A N/A</v>
        <stp/>
        <stp>BDH|8798274276825133101</stp>
        <tr r="AH25" s="2"/>
      </tp>
      <tp t="s">
        <v>#N/A N/A</v>
        <stp/>
        <stp>BDH|1094982754777862312</stp>
        <tr r="X8" s="4"/>
      </tp>
      <tp t="s">
        <v>#N/A N/A</v>
        <stp/>
        <stp>BDH|9394906312570410801</stp>
        <tr r="W10" s="4"/>
      </tp>
      <tp t="s">
        <v>#N/A N/A</v>
        <stp/>
        <stp>BDH|5838914579199837828</stp>
        <tr r="L17" s="4"/>
      </tp>
      <tp t="s">
        <v>#N/A N/A</v>
        <stp/>
        <stp>BDH|4778314046689885021</stp>
        <tr r="AO26" s="4"/>
      </tp>
      <tp t="s">
        <v>#N/A N/A</v>
        <stp/>
        <stp>BDH|1494110282375851746</stp>
        <tr r="AB24" s="4"/>
      </tp>
      <tp t="s">
        <v>#N/A N/A</v>
        <stp/>
        <stp>BDH|6902616313753314838</stp>
        <tr r="C25" s="2"/>
      </tp>
      <tp t="s">
        <v>#N/A N/A</v>
        <stp/>
        <stp>BDH|1236695813655674967</stp>
        <tr r="W18" s="2"/>
      </tp>
      <tp t="s">
        <v>#N/A N/A</v>
        <stp/>
        <stp>BDH|1786373695530489181</stp>
        <tr r="T15" s="2"/>
      </tp>
      <tp t="s">
        <v>#N/A N/A</v>
        <stp/>
        <stp>BDH|6531306762679178083</stp>
        <tr r="AI25" s="2"/>
      </tp>
      <tp t="s">
        <v>#N/A N/A</v>
        <stp/>
        <stp>BDH|9200496330987491311</stp>
        <tr r="L13" s="4"/>
      </tp>
      <tp t="s">
        <v>#N/A N/A</v>
        <stp/>
        <stp>BDH|5884955410992239511</stp>
        <tr r="AO8" s="2"/>
      </tp>
      <tp t="s">
        <v>#N/A N/A</v>
        <stp/>
        <stp>BDP|5710399021356979890</stp>
        <tr r="AF11" s="3"/>
      </tp>
      <tp t="s">
        <v>#N/A N/A</v>
        <stp/>
        <stp>BDH|1841334875946414958</stp>
        <tr r="E10" s="2"/>
      </tp>
      <tp t="s">
        <v>#N/A N/A</v>
        <stp/>
        <stp>BDH|2613940596950946820</stp>
        <tr r="R15" s="2"/>
      </tp>
      <tp t="s">
        <v>#N/A N/A</v>
        <stp/>
        <stp>BDH|8742700019021726559</stp>
        <tr r="K15" s="2"/>
      </tp>
      <tp t="s">
        <v>#N/A N/A</v>
        <stp/>
        <stp>BDH|9174594364438791870</stp>
        <tr r="AE16" s="2"/>
      </tp>
      <tp t="s">
        <v>#N/A N/A</v>
        <stp/>
        <stp>BDP|3166049315758954049</stp>
        <tr r="G16" s="3"/>
      </tp>
      <tp t="s">
        <v>#N/A N/A</v>
        <stp/>
        <stp>BDH|3262593221257656911</stp>
        <tr r="AE18" s="2"/>
      </tp>
      <tp t="s">
        <v>#N/A N/A</v>
        <stp/>
        <stp>BDH|5008745219760274920</stp>
        <tr r="H15" s="2"/>
      </tp>
      <tp t="s">
        <v>#N/A N/A</v>
        <stp/>
        <stp>BDH|3408064879936092860</stp>
        <tr r="C9" s="2"/>
      </tp>
      <tp t="s">
        <v>#N/A N/A</v>
        <stp/>
        <stp>BDH|5338691004218548162</stp>
        <tr r="J24" s="2"/>
      </tp>
      <tp t="s">
        <v>#N/A N/A</v>
        <stp/>
        <stp>BDH|7075531753599767453</stp>
        <tr r="AP25" s="2"/>
      </tp>
      <tp t="s">
        <v>#N/A N/A</v>
        <stp/>
        <stp>BDH|1498595830038752582</stp>
        <tr r="U13" s="2"/>
      </tp>
      <tp t="s">
        <v>#N/A N/A</v>
        <stp/>
        <stp>BDH|9578726277822471164</stp>
        <tr r="D13" s="2"/>
      </tp>
      <tp t="s">
        <v>#N/A N/A</v>
        <stp/>
        <stp>BDH|6164805420230666644</stp>
        <tr r="AM14" s="4"/>
      </tp>
      <tp t="s">
        <v>#N/A N/A</v>
        <stp/>
        <stp>BDH|8367604200287581351</stp>
        <tr r="M13" s="2"/>
      </tp>
      <tp t="s">
        <v>#N/A N/A</v>
        <stp/>
        <stp>BDP|8658044614494381759</stp>
        <tr r="AO15" s="3"/>
      </tp>
      <tp t="s">
        <v>#N/A N/A</v>
        <stp/>
        <stp>BDH|9129466837337046307</stp>
        <tr r="L20" s="2"/>
      </tp>
      <tp t="s">
        <v>#N/A N/A</v>
        <stp/>
        <stp>BDH|3940090974819380768</stp>
        <tr r="D21" s="4"/>
      </tp>
      <tp t="s">
        <v>#N/A N/A</v>
        <stp/>
        <stp>BDP|5318828878113625399</stp>
        <tr r="Z12" s="3"/>
      </tp>
      <tp t="s">
        <v>#N/A N/A</v>
        <stp/>
        <stp>BDH|9207592243403763198</stp>
        <tr r="AB10" s="4"/>
      </tp>
      <tp t="s">
        <v>#N/A N/A</v>
        <stp/>
        <stp>BDH|7484148796091682464</stp>
        <tr r="M20" s="2"/>
      </tp>
      <tp t="s">
        <v>#N/A N/A</v>
        <stp/>
        <stp>BDP|5628543862175034970</stp>
        <tr r="Q12" s="3"/>
      </tp>
      <tp t="s">
        <v>#N/A N/A</v>
        <stp/>
        <stp>BDH|7554035881346655364</stp>
        <tr r="Y10" s="2"/>
      </tp>
      <tp t="s">
        <v>#N/A N/A</v>
        <stp/>
        <stp>BDP|3343209815009493362</stp>
        <tr r="I16" s="3"/>
      </tp>
      <tp t="s">
        <v>#N/A N/A</v>
        <stp/>
        <stp>BDH|4470038103936030803</stp>
        <tr r="M8" s="4"/>
      </tp>
      <tp t="s">
        <v>#N/A N/A</v>
        <stp/>
        <stp>BDH|3048982294221983810</stp>
        <tr r="AG14" s="4"/>
      </tp>
      <tp t="s">
        <v>#N/A N/A</v>
        <stp/>
        <stp>BDH|4601475155177425855</stp>
        <tr r="AI13" s="2"/>
      </tp>
      <tp t="s">
        <v>#N/A N/A</v>
        <stp/>
        <stp>BDH|7256258132989846583</stp>
        <tr r="AK20" s="4"/>
      </tp>
      <tp t="s">
        <v>#N/A N/A</v>
        <stp/>
        <stp>BDH|9694574263637689716</stp>
        <tr r="N6" s="4"/>
      </tp>
      <tp t="s">
        <v>#N/A N/A</v>
        <stp/>
        <stp>BDH|8959542063018990923</stp>
        <tr r="J8" s="4"/>
      </tp>
      <tp t="s">
        <v>#N/A N/A</v>
        <stp/>
        <stp>BDH|1580868588958073214</stp>
        <tr r="O24" s="2"/>
      </tp>
      <tp t="s">
        <v>#N/A N/A</v>
        <stp/>
        <stp>BDP|7463830536631169683</stp>
        <tr r="AF12" s="3"/>
      </tp>
      <tp t="s">
        <v>#N/A N/A</v>
        <stp/>
        <stp>BDH|6360701508693472977</stp>
        <tr r="Q26" s="4"/>
      </tp>
      <tp t="s">
        <v>#N/A N/A</v>
        <stp/>
        <stp>BDH|9481673136741493689</stp>
        <tr r="G9" s="2"/>
      </tp>
      <tp t="s">
        <v>#N/A N/A</v>
        <stp/>
        <stp>BDH|2516753882666935051</stp>
        <tr r="AD22" s="4"/>
      </tp>
      <tp t="s">
        <v>#N/A N/A</v>
        <stp/>
        <stp>BDH|1967990011523683193</stp>
        <tr r="E9" s="2"/>
      </tp>
      <tp t="s">
        <v>#N/A N/A</v>
        <stp/>
        <stp>BDP|9276712641968845953</stp>
        <tr r="O16" s="3"/>
      </tp>
      <tp t="s">
        <v>#N/A N/A</v>
        <stp/>
        <stp>BDH|7993528124139876282</stp>
        <tr r="D20" s="4"/>
      </tp>
      <tp t="s">
        <v>#N/A N/A</v>
        <stp/>
        <stp>BDH|9402594779514861431</stp>
        <tr r="AC20" s="4"/>
      </tp>
      <tp t="s">
        <v>#N/A N/A</v>
        <stp/>
        <stp>BDH|3966636684870354623</stp>
        <tr r="I25" s="4"/>
      </tp>
      <tp t="s">
        <v>#N/A N/A</v>
        <stp/>
        <stp>BDH|1681534519419236727</stp>
        <tr r="X26" s="4"/>
      </tp>
      <tp t="s">
        <v>#N/A N/A</v>
        <stp/>
        <stp>BDP|9541758277770262285</stp>
        <tr r="P11" s="3"/>
      </tp>
      <tp t="s">
        <v>#N/A N/A</v>
        <stp/>
        <stp>BDH|8644674956331872126</stp>
        <tr r="I18" s="2"/>
      </tp>
      <tp t="s">
        <v>#N/A N/A</v>
        <stp/>
        <stp>BDH|8977339787848915092</stp>
        <tr r="Y17" s="4"/>
      </tp>
      <tp t="s">
        <v>#N/A N/A</v>
        <stp/>
        <stp>BDH|8027573947330950240</stp>
        <tr r="F9" s="4"/>
      </tp>
      <tp t="s">
        <v>#N/A N/A</v>
        <stp/>
        <stp>BDH|1474353506341672836</stp>
        <tr r="V25" s="2"/>
      </tp>
      <tp t="s">
        <v>#N/A N/A</v>
        <stp/>
        <stp>BDH|7364780565508407588</stp>
        <tr r="AG23" s="2"/>
      </tp>
      <tp t="s">
        <v>#N/A N/A</v>
        <stp/>
        <stp>BDH|7469455454019410438</stp>
        <tr r="U14" s="4"/>
      </tp>
      <tp t="s">
        <v>#N/A N/A</v>
        <stp/>
        <stp>BDH|8436303759735626085</stp>
        <tr r="S21" s="4"/>
      </tp>
      <tp t="s">
        <v>#N/A N/A</v>
        <stp/>
        <stp>BDH|2572380568948516437</stp>
        <tr r="U9" s="4"/>
      </tp>
      <tp t="s">
        <v>#N/A N/A</v>
        <stp/>
        <stp>BDP|8639945501953013931</stp>
        <tr r="R12" s="3"/>
      </tp>
      <tp t="s">
        <v>#N/A N/A</v>
        <stp/>
        <stp>BDH|3810190581155469445</stp>
        <tr r="R20" s="4"/>
      </tp>
      <tp t="s">
        <v>#N/A N/A</v>
        <stp/>
        <stp>BDH|5577965103386225124</stp>
        <tr r="AG9" s="4"/>
      </tp>
      <tp t="s">
        <v>#N/A N/A</v>
        <stp/>
        <stp>BDH|9657982699513261159</stp>
        <tr r="AA8" s="2"/>
      </tp>
      <tp t="s">
        <v>#N/A N/A</v>
        <stp/>
        <stp>BDH|3639877045696389277</stp>
        <tr r="T19" s="2"/>
      </tp>
      <tp t="s">
        <v>#N/A N/A</v>
        <stp/>
        <stp>BDP|5956237648018492076</stp>
        <tr r="AC11" s="3"/>
      </tp>
      <tp t="s">
        <v>#N/A N/A</v>
        <stp/>
        <stp>BDH|4712385781774659095</stp>
        <tr r="AJ24" s="2"/>
      </tp>
      <tp t="s">
        <v>#N/A N/A</v>
        <stp/>
        <stp>BDH|2223599731528253792</stp>
        <tr r="AO21" s="4"/>
      </tp>
      <tp t="s">
        <v>#N/A N/A</v>
        <stp/>
        <stp>BDH|1494310032472657802</stp>
        <tr r="M17" s="4"/>
      </tp>
      <tp t="s">
        <v>#N/A N/A</v>
        <stp/>
        <stp>BDH|8553456131430634469</stp>
        <tr r="AL8" s="4"/>
      </tp>
      <tp t="s">
        <v>#N/A N/A</v>
        <stp/>
        <stp>BDH|9444041681239182312</stp>
        <tr r="W7" s="4"/>
      </tp>
      <tp t="s">
        <v>#N/A N/A</v>
        <stp/>
        <stp>BDH|9309152678325171197</stp>
        <tr r="AB16" s="2"/>
      </tp>
      <tp t="s">
        <v>#N/A N/A</v>
        <stp/>
        <stp>BDP|4503438114193628909</stp>
        <tr r="U16" s="3"/>
      </tp>
      <tp t="s">
        <v>#N/A N/A</v>
        <stp/>
        <stp>BDH|3352614890515142276</stp>
        <tr r="C20" s="2"/>
      </tp>
      <tp t="s">
        <v>#N/A N/A</v>
        <stp/>
        <stp>BDH|4431270567598296324</stp>
        <tr r="AJ13" s="2"/>
      </tp>
      <tp t="s">
        <v>#N/A N/A</v>
        <stp/>
        <stp>BDH|4003436162468091549</stp>
        <tr r="H14" s="4"/>
      </tp>
      <tp t="s">
        <v>#N/A N/A</v>
        <stp/>
        <stp>BDH|9499203326043253152</stp>
        <tr r="T9" s="4"/>
      </tp>
      <tp t="s">
        <v>#N/A N/A</v>
        <stp/>
        <stp>BDH|2285258932947996044</stp>
        <tr r="AH15" s="2"/>
      </tp>
      <tp t="s">
        <v>#N/A N/A</v>
        <stp/>
        <stp>BDH|6525627126553179583</stp>
        <tr r="J8" s="2"/>
      </tp>
      <tp t="s">
        <v>#N/A N/A</v>
        <stp/>
        <stp>BDH|1914170691169020479</stp>
        <tr r="T12" s="4"/>
      </tp>
      <tp t="s">
        <v>#N/A N/A</v>
        <stp/>
        <stp>BDH|6967027588573983923</stp>
        <tr r="AP19" s="2"/>
      </tp>
      <tp t="s">
        <v>#N/A N/A</v>
        <stp/>
        <stp>BDH|8302349514216201889</stp>
        <tr r="AI9" s="4"/>
      </tp>
      <tp t="s">
        <v>#N/A N/A</v>
        <stp/>
        <stp>BDH|7872079053967462118</stp>
        <tr r="AC9" s="4"/>
      </tp>
      <tp t="s">
        <v>#N/A N/A</v>
        <stp/>
        <stp>BDH|4584478241752281284</stp>
        <tr r="AF16" s="2"/>
      </tp>
      <tp t="s">
        <v>#N/A N/A</v>
        <stp/>
        <stp>BDH|6001180852680783644</stp>
        <tr r="H25" s="4"/>
      </tp>
      <tp t="s">
        <v>#N/A N/A</v>
        <stp/>
        <stp>BDH|6966936911893555977</stp>
        <tr r="F26" s="4"/>
      </tp>
      <tp t="s">
        <v>#N/A N/A</v>
        <stp/>
        <stp>BDP|7039825819398151248</stp>
        <tr r="K12" s="3"/>
      </tp>
      <tp t="s">
        <v>#N/A N/A</v>
        <stp/>
        <stp>BDP|1964907845838669043</stp>
        <tr r="AN16" s="3"/>
      </tp>
      <tp t="s">
        <v>#N/A N/A</v>
        <stp/>
        <stp>BDP|2918347946951776024</stp>
        <tr r="H9" s="3"/>
      </tp>
      <tp t="s">
        <v>#N/A N/A</v>
        <stp/>
        <stp>BDP|8327687479398569596</stp>
        <tr r="C15" s="3"/>
      </tp>
      <tp t="s">
        <v>#N/A N/A</v>
        <stp/>
        <stp>BDH|5727464910696824270</stp>
        <tr r="C16" s="4"/>
      </tp>
      <tp t="s">
        <v>#N/A N/A</v>
        <stp/>
        <stp>BDP|4436618327330492497</stp>
        <tr r="R9" s="3"/>
      </tp>
      <tp t="s">
        <v>#N/A N/A</v>
        <stp/>
        <stp>BDH|4182284049707632192</stp>
        <tr r="AP10" s="2"/>
      </tp>
      <tp t="s">
        <v>#N/A N/A</v>
        <stp/>
        <stp>BDH|8708953219644232051</stp>
        <tr r="C24" s="2"/>
      </tp>
      <tp t="s">
        <v>#N/A N/A</v>
        <stp/>
        <stp>BDH|4569682455203191051</stp>
        <tr r="AB13" s="4"/>
      </tp>
      <tp t="s">
        <v>#N/A N/A</v>
        <stp/>
        <stp>BDP|6597402003442883437</stp>
        <tr r="G9" s="3"/>
      </tp>
      <tp t="s">
        <v>#N/A N/A</v>
        <stp/>
        <stp>BDP|9459405134228898259</stp>
        <tr r="Z11" s="3"/>
      </tp>
      <tp t="s">
        <v>#N/A N/A</v>
        <stp/>
        <stp>BDH|6693275553470993567</stp>
        <tr r="AF9" s="4"/>
      </tp>
      <tp t="s">
        <v>#N/A N/A</v>
        <stp/>
        <stp>BDH|3932301425970377627</stp>
        <tr r="K9" s="4"/>
      </tp>
      <tp t="s">
        <v>#N/A N/A</v>
        <stp/>
        <stp>BDH|2275986484041387606</stp>
        <tr r="Y7" s="4"/>
      </tp>
      <tp t="s">
        <v>#N/A N/A</v>
        <stp/>
        <stp>BDP|1175858454740109832</stp>
        <tr r="AP9" s="3"/>
      </tp>
      <tp t="s">
        <v>#N/A N/A</v>
        <stp/>
        <stp>BDP|9550342462080326821</stp>
        <tr r="AJ12" s="3"/>
      </tp>
      <tp t="s">
        <v>#N/A N/A</v>
        <stp/>
        <stp>BDH|6785041282963419971</stp>
        <tr r="I20" s="2"/>
      </tp>
      <tp t="s">
        <v>#N/A N/A</v>
        <stp/>
        <stp>BDP|2857415125378920862</stp>
        <tr r="Q9" s="3"/>
      </tp>
      <tp t="s">
        <v>#N/A N/A</v>
        <stp/>
        <stp>BDH|1801694223915356428</stp>
        <tr r="AD21" s="4"/>
      </tp>
      <tp t="s">
        <v>#N/A N/A</v>
        <stp/>
        <stp>BDH|2542494370863735680</stp>
        <tr r="G17" s="2"/>
      </tp>
      <tp t="s">
        <v>#N/A N/A</v>
        <stp/>
        <stp>BDP|2276440464123323715</stp>
        <tr r="J15" s="3"/>
      </tp>
      <tp t="s">
        <v>#N/A N/A</v>
        <stp/>
        <stp>BDH|7683371754157208279</stp>
        <tr r="K24" s="2"/>
      </tp>
      <tp t="s">
        <v>#N/A N/A</v>
        <stp/>
        <stp>BDH|4103727508430913722</stp>
        <tr r="F8" s="4"/>
      </tp>
      <tp t="s">
        <v>#N/A N/A</v>
        <stp/>
        <stp>BDH|5692483454839841922</stp>
        <tr r="K17" s="4"/>
      </tp>
      <tp t="s">
        <v>#N/A N/A</v>
        <stp/>
        <stp>BDH|2706551554170576631</stp>
        <tr r="Q17" s="4"/>
      </tp>
      <tp t="s">
        <v>#N/A N/A</v>
        <stp/>
        <stp>BDH|2899585715824505602</stp>
        <tr r="E9" s="4"/>
      </tp>
      <tp t="s">
        <v>#N/A N/A</v>
        <stp/>
        <stp>BDH|8397520545658184545</stp>
        <tr r="G7" s="4"/>
      </tp>
      <tp t="s">
        <v>#N/A N/A</v>
        <stp/>
        <stp>BDH|2406419056683291404</stp>
        <tr r="U6" s="4"/>
      </tp>
      <tp t="s">
        <v>#N/A N/A</v>
        <stp/>
        <stp>BDP|6816908828548007168</stp>
        <tr r="AM16" s="3"/>
      </tp>
      <tp t="s">
        <v>#N/A N/A</v>
        <stp/>
        <stp>BDH|6814197194669135329</stp>
        <tr r="E7" s="2"/>
      </tp>
      <tp t="s">
        <v>#N/A N/A</v>
        <stp/>
        <stp>BDH|7198014472776507217</stp>
        <tr r="V15" s="2"/>
      </tp>
      <tp t="s">
        <v>#N/A N/A</v>
        <stp/>
        <stp>BDH|5295705979101858046</stp>
        <tr r="AJ17" s="4"/>
      </tp>
      <tp t="s">
        <v>#N/A N/A</v>
        <stp/>
        <stp>BDH|3649154365785447563</stp>
        <tr r="T13" s="4"/>
      </tp>
      <tp t="s">
        <v>#N/A N/A</v>
        <stp/>
        <stp>BDH|2049493349245159353</stp>
        <tr r="AA25" s="4"/>
      </tp>
      <tp t="s">
        <v>#N/A N/A</v>
        <stp/>
        <stp>BDH|6709417529052317695</stp>
        <tr r="AE8" s="2"/>
      </tp>
      <tp t="s">
        <v>#N/A N/A</v>
        <stp/>
        <stp>BDH|9489839144017097661</stp>
        <tr r="AG22" s="4"/>
      </tp>
      <tp t="s">
        <v>#N/A N/A</v>
        <stp/>
        <stp>BDH|6216539266175355410</stp>
        <tr r="X19" s="2"/>
      </tp>
      <tp t="s">
        <v>#N/A N/A</v>
        <stp/>
        <stp>BDH|9653325597226046097</stp>
        <tr r="AK25" s="4"/>
      </tp>
      <tp t="s">
        <v>#N/A N/A</v>
        <stp/>
        <stp>BDH|6222098549327987012</stp>
        <tr r="Z25" s="4"/>
      </tp>
      <tp t="s">
        <v>#N/A N/A</v>
        <stp/>
        <stp>BDH|9135933769041149202</stp>
        <tr r="X15" s="2"/>
      </tp>
      <tp t="s">
        <v>#N/A N/A</v>
        <stp/>
        <stp>BDH|3178200348812109225</stp>
        <tr r="S25" s="4"/>
      </tp>
      <tp t="s">
        <v>#N/A N/A</v>
        <stp/>
        <stp>BDH|5474330026312961338</stp>
        <tr r="AI24" s="2"/>
      </tp>
      <tp t="s">
        <v>#N/A N/A</v>
        <stp/>
        <stp>BDH|6845160131367563621</stp>
        <tr r="P8" s="4"/>
      </tp>
      <tp t="s">
        <v>#N/A N/A</v>
        <stp/>
        <stp>BDH|6162345577793925432</stp>
        <tr r="AN14" s="4"/>
      </tp>
      <tp t="s">
        <v>#N/A N/A</v>
        <stp/>
        <stp>BDH|1228513237507540599</stp>
        <tr r="J18" s="4"/>
      </tp>
      <tp t="s">
        <v>#N/A N/A</v>
        <stp/>
        <stp>BDH|2156293627497094073</stp>
        <tr r="AO23" s="2"/>
      </tp>
      <tp t="s">
        <v>#N/A N/A</v>
        <stp/>
        <stp>BDH|5934496819106565348</stp>
        <tr r="V10" s="2"/>
      </tp>
      <tp t="s">
        <v>#N/A N/A</v>
        <stp/>
        <stp>BDP|3559471635485883464</stp>
        <tr r="Q16" s="3"/>
      </tp>
      <tp t="s">
        <v>#N/A N/A</v>
        <stp/>
        <stp>BDP|5598440531072085592</stp>
        <tr r="AP12" s="3"/>
      </tp>
      <tp t="s">
        <v>#N/A N/A</v>
        <stp/>
        <stp>BDP|2296470804160675396</stp>
        <tr r="F11" s="3"/>
      </tp>
      <tp t="s">
        <v>#N/A N/A</v>
        <stp/>
        <stp>BDP|3417539558873868592</stp>
        <tr r="AK16" s="3"/>
      </tp>
      <tp t="s">
        <v>#N/A N/A</v>
        <stp/>
        <stp>BDH|2464590001495541777</stp>
        <tr r="AG7" s="4"/>
      </tp>
      <tp t="s">
        <v>#N/A N/A</v>
        <stp/>
        <stp>BDH|7780720082424028998</stp>
        <tr r="S16" s="4"/>
      </tp>
      <tp t="s">
        <v>#N/A N/A</v>
        <stp/>
        <stp>BDH|3488487477477058252</stp>
        <tr r="E16" s="2"/>
      </tp>
      <tp t="s">
        <v>#N/A N/A</v>
        <stp/>
        <stp>BDH|8314891141732472301</stp>
        <tr r="G17" s="4"/>
      </tp>
      <tp t="s">
        <v>#N/A N/A</v>
        <stp/>
        <stp>BDH|5070095857500423556</stp>
        <tr r="AN7" s="2"/>
      </tp>
      <tp t="s">
        <v>#N/A N/A</v>
        <stp/>
        <stp>BDH|2969172230215003013</stp>
        <tr r="P7" s="4"/>
      </tp>
      <tp t="s">
        <v>#N/A N/A</v>
        <stp/>
        <stp>BDH|2713524510102268188</stp>
        <tr r="V8" s="2"/>
      </tp>
      <tp t="s">
        <v>#N/A N/A</v>
        <stp/>
        <stp>BDP|9101202080467955143</stp>
        <tr r="X9" s="3"/>
      </tp>
      <tp t="s">
        <v>#N/A N/A</v>
        <stp/>
        <stp>BDH|4173866971318859623</stp>
        <tr r="AI7" s="2"/>
      </tp>
      <tp t="s">
        <v>#N/A N/A</v>
        <stp/>
        <stp>BDH|5252878213518366197</stp>
        <tr r="H8" s="4"/>
      </tp>
      <tp t="s">
        <v>#N/A N/A</v>
        <stp/>
        <stp>BDH|3813385825571801618</stp>
        <tr r="AN16" s="4"/>
      </tp>
      <tp t="s">
        <v>#N/A N/A</v>
        <stp/>
        <stp>BDH|5739067739853167043</stp>
        <tr r="O24" s="4"/>
      </tp>
      <tp t="s">
        <v>#N/A N/A</v>
        <stp/>
        <stp>BDH|1086588770194236279</stp>
        <tr r="T17" s="4"/>
      </tp>
      <tp t="s">
        <v>#N/A N/A</v>
        <stp/>
        <stp>BDP|6131762579804440786</stp>
        <tr r="AK15" s="3"/>
      </tp>
      <tp t="s">
        <v>#N/A N/A</v>
        <stp/>
        <stp>BDP|5215137172160297635</stp>
        <tr r="E9" s="3"/>
      </tp>
      <tp t="s">
        <v>#N/A N/A</v>
        <stp/>
        <stp>BDH|9437445674436225941</stp>
        <tr r="Z18" s="2"/>
      </tp>
      <tp t="s">
        <v>#N/A N/A</v>
        <stp/>
        <stp>BDH|4683549173036499571</stp>
        <tr r="AN16" s="2"/>
      </tp>
      <tp t="s">
        <v>#N/A N/A</v>
        <stp/>
        <stp>BDH|4860108457366885340</stp>
        <tr r="AC23" s="2"/>
      </tp>
      <tp t="s">
        <v>#N/A N/A</v>
        <stp/>
        <stp>BDH|2342731754483356640</stp>
        <tr r="I10" s="4"/>
      </tp>
      <tp t="s">
        <v>#N/A N/A</v>
        <stp/>
        <stp>BDH|8916609602298920310</stp>
        <tr r="C15" s="2"/>
      </tp>
      <tp t="s">
        <v>#N/A N/A</v>
        <stp/>
        <stp>BDH|4569158016360290178</stp>
        <tr r="AM7" s="4"/>
      </tp>
      <tp t="s">
        <v>#N/A N/A</v>
        <stp/>
        <stp>BDH|4733551916273336670</stp>
        <tr r="AD9" s="4"/>
      </tp>
      <tp t="s">
        <v>#N/A N/A</v>
        <stp/>
        <stp>BDH|4227387764080962471</stp>
        <tr r="Q25" s="2"/>
      </tp>
      <tp t="s">
        <v>#N/A N/A</v>
        <stp/>
        <stp>BDH|6307699954850765093</stp>
        <tr r="AK18" s="4"/>
      </tp>
      <tp t="s">
        <v>#N/A N/A</v>
        <stp/>
        <stp>BDH|8268559649828746499</stp>
        <tr r="Z9" s="2"/>
      </tp>
      <tp t="s">
        <v>#N/A N/A</v>
        <stp/>
        <stp>BDH|4668217533546366661</stp>
        <tr r="AC14" s="4"/>
      </tp>
      <tp t="s">
        <v>#N/A N/A</v>
        <stp/>
        <stp>BDH|3373057473691228060</stp>
        <tr r="F20" s="4"/>
      </tp>
      <tp t="s">
        <v>#N/A N/A</v>
        <stp/>
        <stp>BDH|6639100863286298265</stp>
        <tr r="AE17" s="4"/>
      </tp>
      <tp t="s">
        <v>#N/A N/A</v>
        <stp/>
        <stp>BDH|7991096456710007777</stp>
        <tr r="AL22" s="4"/>
      </tp>
      <tp t="s">
        <v>#N/A N/A</v>
        <stp/>
        <stp>BDP|8790551283708006872</stp>
        <tr r="AE11" s="3"/>
      </tp>
      <tp t="s">
        <v>#N/A N/A</v>
        <stp/>
        <stp>BDH|6412237832890386200</stp>
        <tr r="K23" s="2"/>
      </tp>
      <tp t="s">
        <v>#N/A N/A</v>
        <stp/>
        <stp>BDH|5951044413061196094</stp>
        <tr r="AF25" s="2"/>
      </tp>
      <tp t="s">
        <v>#N/A N/A</v>
        <stp/>
        <stp>BDH|1193905029276626990</stp>
        <tr r="X20" s="4"/>
      </tp>
      <tp t="s">
        <v>#N/A N/A</v>
        <stp/>
        <stp>BDP|8956357196437685086</stp>
        <tr r="AJ9" s="3"/>
      </tp>
      <tp t="s">
        <v>#N/A N/A</v>
        <stp/>
        <stp>BDP|6391594774166271789</stp>
        <tr r="H16" s="3"/>
      </tp>
      <tp t="s">
        <v>#N/A N/A</v>
        <stp/>
        <stp>BDH|8681956140610081072</stp>
        <tr r="D22" s="4"/>
      </tp>
      <tp t="s">
        <v>#N/A N/A</v>
        <stp/>
        <stp>BDH|6145221087860643961</stp>
        <tr r="AB8" s="4"/>
      </tp>
      <tp t="s">
        <v>#N/A N/A</v>
        <stp/>
        <stp>BDH|7352132840262172558</stp>
        <tr r="J7" s="2"/>
      </tp>
      <tp t="s">
        <v>#N/A N/A</v>
        <stp/>
        <stp>BDH|1721422133072359101</stp>
        <tr r="P25" s="4"/>
      </tp>
      <tp t="s">
        <v>#N/A N/A</v>
        <stp/>
        <stp>BDH|7707243012704546516</stp>
        <tr r="AJ20" s="2"/>
      </tp>
      <tp t="s">
        <v>#N/A N/A</v>
        <stp/>
        <stp>BDH|5188171300363159227</stp>
        <tr r="H12" s="4"/>
      </tp>
      <tp t="s">
        <v>#N/A N/A</v>
        <stp/>
        <stp>BDH|2720313026595919036</stp>
        <tr r="AM26" s="4"/>
      </tp>
      <tp t="s">
        <v>#N/A N/A</v>
        <stp/>
        <stp>BDH|3087621359064643268</stp>
        <tr r="AD20" s="2"/>
      </tp>
      <tp t="s">
        <v>#N/A N/A</v>
        <stp/>
        <stp>BDH|9490587361749590537</stp>
        <tr r="F25" s="2"/>
      </tp>
      <tp t="s">
        <v>#N/A N/A</v>
        <stp/>
        <stp>BDH|5926416601031751658</stp>
        <tr r="E18" s="4"/>
      </tp>
      <tp t="s">
        <v>#N/A N/A</v>
        <stp/>
        <stp>BDH|4275479539824752108</stp>
        <tr r="D25" s="4"/>
      </tp>
      <tp t="s">
        <v>#N/A N/A</v>
        <stp/>
        <stp>BDH|3474032169027288472</stp>
        <tr r="Q10" s="2"/>
      </tp>
      <tp t="s">
        <v>#N/A N/A</v>
        <stp/>
        <stp>BDH|3773384371179353856</stp>
        <tr r="M25" s="2"/>
      </tp>
      <tp t="s">
        <v>#N/A N/A</v>
        <stp/>
        <stp>BDH|7761872682617383694</stp>
        <tr r="AP25" s="4"/>
      </tp>
      <tp t="s">
        <v>#N/A N/A</v>
        <stp/>
        <stp>BDH|4190332688418569166</stp>
        <tr r="W13" s="2"/>
      </tp>
      <tp t="s">
        <v>#N/A N/A</v>
        <stp/>
        <stp>BDP|7049593218033696693</stp>
        <tr r="W12" s="3"/>
      </tp>
      <tp t="s">
        <v>#N/A N/A</v>
        <stp/>
        <stp>BDH|3663110376363613096</stp>
        <tr r="AA18" s="2"/>
      </tp>
      <tp t="s">
        <v>#N/A N/A</v>
        <stp/>
        <stp>BDH|3887206594579545766</stp>
        <tr r="W24" s="2"/>
      </tp>
      <tp t="s">
        <v>#N/A N/A</v>
        <stp/>
        <stp>BDH|5302995594996124505</stp>
        <tr r="G15" s="2"/>
      </tp>
      <tp t="s">
        <v>#N/A N/A</v>
        <stp/>
        <stp>BDH|1298242468444632773</stp>
        <tr r="G10" s="2"/>
      </tp>
      <tp t="s">
        <v>#N/A N/A</v>
        <stp/>
        <stp>BDH|1601333978736512556</stp>
        <tr r="U9" s="2"/>
      </tp>
      <tp t="s">
        <v>#N/A N/A</v>
        <stp/>
        <stp>BDH|1392325878601314273</stp>
        <tr r="AG8" s="4"/>
      </tp>
      <tp t="s">
        <v>#N/A N/A</v>
        <stp/>
        <stp>BDH|7509779677962831308</stp>
        <tr r="D15" s="2"/>
      </tp>
      <tp t="s">
        <v>#N/A N/A</v>
        <stp/>
        <stp>BDH|2261489351544537133</stp>
        <tr r="J23" s="2"/>
      </tp>
      <tp t="s">
        <v>#N/A N/A</v>
        <stp/>
        <stp>BDH|9037853916303331520</stp>
        <tr r="AD8" s="2"/>
      </tp>
      <tp t="s">
        <v>#N/A N/A</v>
        <stp/>
        <stp>BDH|4277913144526532904</stp>
        <tr r="AJ24" s="4"/>
      </tp>
      <tp t="s">
        <v>#N/A N/A</v>
        <stp/>
        <stp>BDH|7226572312800572504</stp>
        <tr r="C17" s="4"/>
      </tp>
      <tp t="s">
        <v>#N/A N/A</v>
        <stp/>
        <stp>BDH|3531310546310432249</stp>
        <tr r="V12" s="4"/>
      </tp>
      <tp t="s">
        <v>#N/A N/A</v>
        <stp/>
        <stp>BDH|5834044240672698591</stp>
        <tr r="O26" s="4"/>
      </tp>
      <tp t="s">
        <v>#N/A N/A</v>
        <stp/>
        <stp>BDH|1616469475476644204</stp>
        <tr r="C18" s="2"/>
      </tp>
      <tp t="s">
        <v>#N/A N/A</v>
        <stp/>
        <stp>BDP|5022183068687776378</stp>
        <tr r="O11" s="3"/>
      </tp>
      <tp t="s">
        <v>#N/A N/A</v>
        <stp/>
        <stp>BDH|1394006941920527374</stp>
        <tr r="R19" s="2"/>
      </tp>
      <tp t="s">
        <v>#N/A N/A</v>
        <stp/>
        <stp>BDH|1584893023178789580</stp>
        <tr r="AF19" s="2"/>
      </tp>
      <tp t="s">
        <v>#N/A N/A</v>
        <stp/>
        <stp>BDH|4073213710535218436</stp>
        <tr r="S15" s="2"/>
      </tp>
      <tp t="s">
        <v>#N/A N/A</v>
        <stp/>
        <stp>BDH|7409360767482158650</stp>
        <tr r="W24" s="4"/>
      </tp>
      <tp t="s">
        <v>#N/A N/A</v>
        <stp/>
        <stp>BDH|1385409844992777516</stp>
        <tr r="AA10" s="4"/>
      </tp>
      <tp t="s">
        <v>#N/A N/A</v>
        <stp/>
        <stp>BDH|7083767931634030164</stp>
        <tr r="U10" s="4"/>
      </tp>
      <tp t="s">
        <v>#N/A N/A</v>
        <stp/>
        <stp>BDP|4385331311936294659</stp>
        <tr r="AF9" s="3"/>
      </tp>
      <tp t="s">
        <v>#N/A N/A</v>
        <stp/>
        <stp>BDH|7439275844201405653</stp>
        <tr r="M6" s="4"/>
      </tp>
      <tp t="s">
        <v>#N/A N/A</v>
        <stp/>
        <stp>BDH|4163116951950540621</stp>
        <tr r="V10" s="4"/>
      </tp>
      <tp t="s">
        <v>#N/A N/A</v>
        <stp/>
        <stp>BDP|4602320338680320282</stp>
        <tr r="AF16" s="3"/>
      </tp>
      <tp t="s">
        <v>#N/A N/A</v>
        <stp/>
        <stp>BDH|7521398271105830029</stp>
        <tr r="K18" s="4"/>
      </tp>
      <tp t="s">
        <v>#N/A N/A</v>
        <stp/>
        <stp>BDH|2495286271927932600</stp>
        <tr r="AA7" s="4"/>
      </tp>
      <tp t="s">
        <v>#N/A N/A</v>
        <stp/>
        <stp>BDH|4570536485098033775</stp>
        <tr r="AO9" s="4"/>
      </tp>
      <tp t="s">
        <v>#N/A N/A</v>
        <stp/>
        <stp>BDH|2940881681410392475</stp>
        <tr r="AI17" s="2"/>
      </tp>
      <tp t="s">
        <v>#N/A N/A</v>
        <stp/>
        <stp>BDH|2376608214191458275</stp>
        <tr r="E20" s="2"/>
      </tp>
      <tp t="s">
        <v>#N/A N/A</v>
        <stp/>
        <stp>BDH|1661429906583556031</stp>
        <tr r="V22" s="4"/>
      </tp>
      <tp t="s">
        <v>#N/A N/A</v>
        <stp/>
        <stp>BDH|9848850729236003317</stp>
        <tr r="D8" s="4"/>
      </tp>
      <tp t="s">
        <v>#N/A N/A</v>
        <stp/>
        <stp>BDH|3241639931468069850</stp>
        <tr r="X16" s="4"/>
      </tp>
      <tp t="s">
        <v>#N/A N/A</v>
        <stp/>
        <stp>BDH|6280670222022229605</stp>
        <tr r="X9" s="2"/>
      </tp>
      <tp t="s">
        <v>#N/A N/A</v>
        <stp/>
        <stp>BDH|6170149718762592325</stp>
        <tr r="Y8" s="2"/>
      </tp>
      <tp t="s">
        <v>#N/A N/A</v>
        <stp/>
        <stp>BDH|5343815253388306785</stp>
        <tr r="P16" s="4"/>
      </tp>
      <tp t="s">
        <v>#N/A N/A</v>
        <stp/>
        <stp>BDH|4179706208387346317</stp>
        <tr r="AL15" s="2"/>
      </tp>
      <tp t="s">
        <v>#N/A N/A</v>
        <stp/>
        <stp>BDH|3858881704318724487</stp>
        <tr r="E14" s="4"/>
      </tp>
      <tp t="s">
        <v>#N/A N/A</v>
        <stp/>
        <stp>BDH|6576876419548927091</stp>
        <tr r="W9" s="2"/>
      </tp>
      <tp t="s">
        <v>#N/A N/A</v>
        <stp/>
        <stp>BDH|1018600890901970820</stp>
        <tr r="D25" s="2"/>
      </tp>
      <tp t="s">
        <v>#N/A N/A</v>
        <stp/>
        <stp>BDH|9843999555836418481</stp>
        <tr r="E24" s="2"/>
      </tp>
      <tp t="s">
        <v>#N/A N/A</v>
        <stp/>
        <stp>BDH|2944833327279240679</stp>
        <tr r="AO22" s="4"/>
      </tp>
      <tp t="s">
        <v>#N/A N/A</v>
        <stp/>
        <stp>BDP|7328248224577368795</stp>
        <tr r="L15" s="3"/>
      </tp>
      <tp t="s">
        <v>#N/A N/A</v>
        <stp/>
        <stp>BDH|4528883678109918522</stp>
        <tr r="I22" s="4"/>
      </tp>
      <tp t="s">
        <v>#N/A N/A</v>
        <stp/>
        <stp>BDH|4766145465100987417</stp>
        <tr r="AF10" s="2"/>
      </tp>
      <tp t="s">
        <v>#N/A N/A</v>
        <stp/>
        <stp>BDH|9119932415885198392</stp>
        <tr r="AL18" s="2"/>
      </tp>
      <tp t="s">
        <v>#N/A N/A</v>
        <stp/>
        <stp>BDH|6397574344345884571</stp>
        <tr r="L18" s="4"/>
      </tp>
      <tp t="s">
        <v>#N/A N/A</v>
        <stp/>
        <stp>BDH|5993073310822694172</stp>
        <tr r="AH12" s="4"/>
      </tp>
      <tp t="s">
        <v>#N/A N/A</v>
        <stp/>
        <stp>BDP|9053248739159959691</stp>
        <tr r="U11" s="3"/>
      </tp>
      <tp t="s">
        <v>#N/A N/A</v>
        <stp/>
        <stp>BDH|5848055121413064316</stp>
        <tr r="T7" s="4"/>
      </tp>
      <tp t="s">
        <v>#N/A N/A</v>
        <stp/>
        <stp>BDH|8481689982081359008</stp>
        <tr r="AN10" s="4"/>
      </tp>
      <tp t="s">
        <v>#N/A N/A</v>
        <stp/>
        <stp>BDP|9019966673267629718</stp>
        <tr r="AC15" s="3"/>
      </tp>
      <tp t="s">
        <v>#N/A N/A</v>
        <stp/>
        <stp>BDH|7487409856275720471</stp>
        <tr r="AC24" s="2"/>
      </tp>
      <tp t="s">
        <v>#N/A N/A</v>
        <stp/>
        <stp>BDH|6756322342244469219</stp>
        <tr r="S18" s="4"/>
      </tp>
      <tp t="s">
        <v>#N/A N/A</v>
        <stp/>
        <stp>BDH|5136589968015325405</stp>
        <tr r="AG12" s="4"/>
      </tp>
      <tp t="s">
        <v>#N/A N/A</v>
        <stp/>
        <stp>BDP|5047770057680145029</stp>
        <tr r="AK9" s="3"/>
      </tp>
      <tp t="s">
        <v>#N/A N/A</v>
        <stp/>
        <stp>BDH|7073435555081273075</stp>
        <tr r="M17" s="2"/>
      </tp>
      <tp t="s">
        <v>#N/A N/A</v>
        <stp/>
        <stp>BDH|4349156402053688118</stp>
        <tr r="P20" s="4"/>
      </tp>
      <tp t="s">
        <v>#N/A N/A</v>
        <stp/>
        <stp>BDH|7706049950681798457</stp>
        <tr r="AG17" s="2"/>
      </tp>
      <tp t="s">
        <v>#N/A N/A</v>
        <stp/>
        <stp>BDH|1184985829578000519</stp>
        <tr r="Q15" s="2"/>
      </tp>
      <tp t="s">
        <v>#N/A N/A</v>
        <stp/>
        <stp>BDH|8302321953568221115</stp>
        <tr r="AK13" s="2"/>
      </tp>
      <tp t="s">
        <v>#N/A N/A</v>
        <stp/>
        <stp>BDH|8418110990764016345</stp>
        <tr r="G16" s="2"/>
      </tp>
      <tp t="s">
        <v>#N/A N/A</v>
        <stp/>
        <stp>BDH|1050348788665504886</stp>
        <tr r="Y18" s="4"/>
      </tp>
      <tp t="s">
        <v>#N/A N/A</v>
        <stp/>
        <stp>BDP|5925255359136791346</stp>
        <tr r="P15" s="3"/>
      </tp>
      <tp t="s">
        <v>#N/A N/A</v>
        <stp/>
        <stp>BDH|1232718477236503078</stp>
        <tr r="Q9" s="4"/>
      </tp>
      <tp t="s">
        <v>#N/A N/A</v>
        <stp/>
        <stp>BDH|6035933789321903152</stp>
        <tr r="H13" s="2"/>
      </tp>
      <tp t="s">
        <v>#N/A N/A</v>
        <stp/>
        <stp>BDH|9645777387410645167</stp>
        <tr r="I15" s="2"/>
      </tp>
      <tp t="s">
        <v>#N/A N/A</v>
        <stp/>
        <stp>BDH|5924976913332240897</stp>
        <tr r="AA14" s="4"/>
      </tp>
      <tp t="s">
        <v>#N/A N/A</v>
        <stp/>
        <stp>BDH|9399579733970062812</stp>
        <tr r="AJ18" s="2"/>
      </tp>
      <tp t="s">
        <v>#N/A N/A</v>
        <stp/>
        <stp>BDH|5516598046507904452</stp>
        <tr r="L22" s="4"/>
      </tp>
      <tp t="s">
        <v>#N/A N/A</v>
        <stp/>
        <stp>BDH|7394453743667440767</stp>
        <tr r="Y16" s="4"/>
      </tp>
      <tp t="s">
        <v>#N/A N/A</v>
        <stp/>
        <stp>BDH|3568241965658807886</stp>
        <tr r="E15" s="2"/>
      </tp>
      <tp t="s">
        <v>#N/A N/A</v>
        <stp/>
        <stp>BDH|3071345136456085268</stp>
        <tr r="X12" s="4"/>
      </tp>
      <tp t="s">
        <v>#N/A N/A</v>
        <stp/>
        <stp>BDH|1631039930174670175</stp>
        <tr r="AG6" s="4"/>
      </tp>
      <tp t="s">
        <v>#N/A N/A</v>
        <stp/>
        <stp>BDH|1289240672920322338</stp>
        <tr r="P13" s="2"/>
      </tp>
      <tp t="s">
        <v>#N/A N/A</v>
        <stp/>
        <stp>BDH|1272186773931524184</stp>
        <tr r="N8" s="4"/>
      </tp>
      <tp t="s">
        <v>#N/A N/A</v>
        <stp/>
        <stp>BDH|2894060760123372087</stp>
        <tr r="U18" s="2"/>
      </tp>
      <tp t="s">
        <v>#N/A N/A</v>
        <stp/>
        <stp>BDP|6630690356296768343</stp>
        <tr r="R15" s="3"/>
      </tp>
      <tp t="s">
        <v>#N/A N/A</v>
        <stp/>
        <stp>BDH|8842322991602125007</stp>
        <tr r="AJ7" s="2"/>
      </tp>
      <tp t="s">
        <v>#N/A N/A</v>
        <stp/>
        <stp>BDH|2511840993832884112</stp>
        <tr r="I13" s="4"/>
      </tp>
      <tp t="s">
        <v>#N/A N/A</v>
        <stp/>
        <stp>BDH|4629221208895705302</stp>
        <tr r="AB14" s="4"/>
      </tp>
      <tp t="s">
        <v>#N/A N/A</v>
        <stp/>
        <stp>BDH|2774392320433761029</stp>
        <tr r="P20" s="2"/>
      </tp>
      <tp t="s">
        <v>#N/A N/A</v>
        <stp/>
        <stp>BDP|2055744054865809508</stp>
        <tr r="P12" s="3"/>
      </tp>
      <tp t="s">
        <v>#N/A N/A</v>
        <stp/>
        <stp>BDH|8970987159354497040</stp>
        <tr r="W14" s="4"/>
      </tp>
      <tp t="s">
        <v>#N/A N/A</v>
        <stp/>
        <stp>BDH|7796768886431727997</stp>
        <tr r="D10" s="2"/>
      </tp>
      <tp t="s">
        <v>#N/A N/A</v>
        <stp/>
        <stp>BDH|5697737184908909215</stp>
        <tr r="K6" s="4"/>
      </tp>
      <tp t="s">
        <v>#N/A N/A</v>
        <stp/>
        <stp>BDH|8936552502479043476</stp>
        <tr r="V7" s="4"/>
      </tp>
      <tp t="s">
        <v>#N/A N/A</v>
        <stp/>
        <stp>BDH|4303716119122286005</stp>
        <tr r="E12" s="4"/>
      </tp>
      <tp t="s">
        <v>#N/A N/A</v>
        <stp/>
        <stp>BDH|9568765689174119229</stp>
        <tr r="AI18" s="4"/>
      </tp>
      <tp t="s">
        <v>#N/A N/A</v>
        <stp/>
        <stp>BDH|8235607041968802221</stp>
        <tr r="C7" s="4"/>
      </tp>
      <tp t="s">
        <v>#N/A N/A</v>
        <stp/>
        <stp>BDH|2827825544047849988</stp>
        <tr r="AO16" s="4"/>
      </tp>
      <tp t="s">
        <v>#N/A N/A</v>
        <stp/>
        <stp>BDH|6677950493180645688</stp>
        <tr r="AK9" s="4"/>
      </tp>
      <tp t="s">
        <v>#N/A N/A</v>
        <stp/>
        <stp>BDH|4679208359771129212</stp>
        <tr r="AD25" s="4"/>
      </tp>
      <tp t="s">
        <v>#N/A N/A</v>
        <stp/>
        <stp>BDH|3046378900373287396</stp>
        <tr r="AM9" s="2"/>
      </tp>
      <tp t="s">
        <v>#N/A N/A</v>
        <stp/>
        <stp>BDH|4719622119521921296</stp>
        <tr r="AK7" s="2"/>
      </tp>
      <tp t="s">
        <v>#N/A N/A</v>
        <stp/>
        <stp>BDH|6373966119509108710</stp>
        <tr r="AD17" s="2"/>
      </tp>
      <tp t="s">
        <v>#N/A N/A</v>
        <stp/>
        <stp>BDH|6139931485175833222</stp>
        <tr r="Z19" s="2"/>
      </tp>
      <tp t="s">
        <v>#N/A N/A</v>
        <stp/>
        <stp>BDP|6604163375571576129</stp>
        <tr r="L12" s="3"/>
      </tp>
      <tp t="s">
        <v>#N/A N/A</v>
        <stp/>
        <stp>BDH|4319840142159120167</stp>
        <tr r="X17" s="4"/>
      </tp>
      <tp t="s">
        <v>#N/A N/A</v>
        <stp/>
        <stp>BDH|3542702019367858266</stp>
        <tr r="H20" s="4"/>
      </tp>
      <tp t="s">
        <v>#N/A N/A</v>
        <stp/>
        <stp>BDH|6764503574403080714</stp>
        <tr r="G7" s="2"/>
      </tp>
      <tp t="s">
        <v>#N/A N/A</v>
        <stp/>
        <stp>BDH|8454099707229192187</stp>
        <tr r="AI16" s="2"/>
      </tp>
      <tp t="s">
        <v>#N/A N/A</v>
        <stp/>
        <stp>BDH|3330310219845287497</stp>
        <tr r="H10" s="4"/>
      </tp>
      <tp t="s">
        <v>#N/A N/A</v>
        <stp/>
        <stp>BDH|7604672512826642653</stp>
        <tr r="F24" s="4"/>
      </tp>
      <tp t="s">
        <v>#N/A N/A</v>
        <stp/>
        <stp>BDP|4125153136606046039</stp>
        <tr r="AM9" s="3"/>
      </tp>
      <tp t="s">
        <v>#N/A N/A</v>
        <stp/>
        <stp>BDH|2796212305629505978</stp>
        <tr r="AB13" s="2"/>
      </tp>
      <tp t="s">
        <v>#N/A N/A</v>
        <stp/>
        <stp>BDH|9130578225499102746</stp>
        <tr r="U8" s="4"/>
      </tp>
      <tp t="s">
        <v>#N/A N/A</v>
        <stp/>
        <stp>BDH|1365140925425480704</stp>
        <tr r="AK15" s="2"/>
      </tp>
      <tp t="s">
        <v>#N/A N/A</v>
        <stp/>
        <stp>BDH|9527326133441568878</stp>
        <tr r="AL25" s="2"/>
      </tp>
      <tp t="s">
        <v>#N/A N/A</v>
        <stp/>
        <stp>BDP|9771033694636740600</stp>
        <tr r="G15" s="3"/>
      </tp>
      <tp t="s">
        <v>#N/A N/A</v>
        <stp/>
        <stp>BDP|7599992895564956342</stp>
        <tr r="N9" s="3"/>
      </tp>
      <tp t="s">
        <v>#N/A N/A</v>
        <stp/>
        <stp>BDH|2123162450115027334</stp>
        <tr r="AO7" s="4"/>
      </tp>
      <tp t="s">
        <v>#N/A N/A</v>
        <stp/>
        <stp>BDH|3620655258675959572</stp>
        <tr r="R7" s="2"/>
      </tp>
      <tp t="s">
        <v>#N/A N/A</v>
        <stp/>
        <stp>BDH|1661331806307276549</stp>
        <tr r="O12" s="4"/>
      </tp>
      <tp t="s">
        <v>#N/A N/A</v>
        <stp/>
        <stp>BDH|5280314211222531520</stp>
        <tr r="K16" s="2"/>
      </tp>
      <tp t="s">
        <v>#N/A N/A</v>
        <stp/>
        <stp>BDH|4013217225451852598</stp>
        <tr r="Y6" s="4"/>
      </tp>
      <tp t="s">
        <v>#N/A N/A</v>
        <stp/>
        <stp>BDH|8970098133702178971</stp>
        <tr r="O9" s="4"/>
      </tp>
      <tp t="s">
        <v>#N/A N/A</v>
        <stp/>
        <stp>BDH|38076086011327425</stp>
        <tr r="AI13" s="4"/>
      </tp>
      <tp t="s">
        <v>#N/A N/A</v>
        <stp/>
        <stp>BDH|38720432798970152</stp>
        <tr r="Z7" s="2"/>
      </tp>
      <tp t="s">
        <v>#N/A N/A</v>
        <stp/>
        <stp>BDP|5886042554438161934</stp>
        <tr r="AA16" s="3"/>
      </tp>
      <tp t="s">
        <v>#N/A N/A</v>
        <stp/>
        <stp>BDH|1440197936047918587</stp>
        <tr r="O9" s="2"/>
      </tp>
      <tp t="s">
        <v>#N/A N/A</v>
        <stp/>
        <stp>BDH|9108844847186946219</stp>
        <tr r="Z24" s="2"/>
      </tp>
      <tp t="s">
        <v>#N/A N/A</v>
        <stp/>
        <stp>BDH|8184600003526857902</stp>
        <tr r="D24" s="2"/>
      </tp>
      <tp t="s">
        <v>#N/A N/A</v>
        <stp/>
        <stp>BDH|7969361250734123457</stp>
        <tr r="AP8" s="4"/>
      </tp>
      <tp t="s">
        <v>#N/A N/A</v>
        <stp/>
        <stp>BDH|9212610497443848476</stp>
        <tr r="S19" s="2"/>
      </tp>
      <tp t="s">
        <v>#N/A N/A</v>
        <stp/>
        <stp>BDH|3353647124661003782</stp>
        <tr r="F18" s="2"/>
      </tp>
      <tp t="s">
        <v>#N/A N/A</v>
        <stp/>
        <stp>BDH|1912842591129584821</stp>
        <tr r="AM21" s="4"/>
      </tp>
      <tp t="s">
        <v>#N/A N/A</v>
        <stp/>
        <stp>BDH|7762380325677686076</stp>
        <tr r="S9" s="4"/>
      </tp>
      <tp t="s">
        <v>#N/A N/A</v>
        <stp/>
        <stp>BDH|2918606645858163958</stp>
        <tr r="H25" s="2"/>
      </tp>
      <tp t="s">
        <v>#N/A N/A</v>
        <stp/>
        <stp>BDH|7099267774282200185</stp>
        <tr r="Z24" s="4"/>
      </tp>
      <tp t="s">
        <v>#N/A N/A</v>
        <stp/>
        <stp>BDH|3459151049737872093</stp>
        <tr r="C14" s="4"/>
      </tp>
      <tp t="s">
        <v>#N/A N/A</v>
        <stp/>
        <stp>BDH|3968369260456001161</stp>
        <tr r="O8" s="4"/>
      </tp>
      <tp t="s">
        <v>#N/A N/A</v>
        <stp/>
        <stp>BDH|4796588443516236206</stp>
        <tr r="E17" s="4"/>
      </tp>
      <tp t="s">
        <v>#N/A N/A</v>
        <stp/>
        <stp>BDH|8361934528836676401</stp>
        <tr r="AB17" s="2"/>
      </tp>
      <tp t="s">
        <v>#N/A N/A</v>
        <stp/>
        <stp>BDH|7853306927581505649</stp>
        <tr r="T13" s="2"/>
      </tp>
      <tp t="s">
        <v>#N/A N/A</v>
        <stp/>
        <stp>BDH|6025324631921962647</stp>
        <tr r="AM6" s="4"/>
      </tp>
      <tp t="s">
        <v>#N/A N/A</v>
        <stp/>
        <stp>BDH|1132365517446672491</stp>
        <tr r="M16" s="4"/>
      </tp>
      <tp t="s">
        <v>#N/A N/A</v>
        <stp/>
        <stp>BDH|4923363601102679470</stp>
        <tr r="Y15" s="2"/>
      </tp>
      <tp t="s">
        <v>#N/A N/A</v>
        <stp/>
        <stp>BDH|4921748796749556211</stp>
        <tr r="D9" s="4"/>
      </tp>
      <tp t="s">
        <v>#N/A N/A</v>
        <stp/>
        <stp>BDH|8686996912134004525</stp>
        <tr r="AM7" s="2"/>
      </tp>
      <tp t="s">
        <v>#N/A N/A</v>
        <stp/>
        <stp>BDH|8812205730081536914</stp>
        <tr r="AK16" s="2"/>
      </tp>
      <tp t="s">
        <v>#N/A N/A</v>
        <stp/>
        <stp>BDH|7217245929687126125</stp>
        <tr r="AO10" s="4"/>
      </tp>
      <tp t="s">
        <v>#N/A N/A</v>
        <stp/>
        <stp>BDH|4431735623386860606</stp>
        <tr r="V13" s="2"/>
      </tp>
      <tp t="s">
        <v>#N/A N/A</v>
        <stp/>
        <stp>BDH|5112688134160743166</stp>
        <tr r="AP15" s="2"/>
      </tp>
      <tp t="s">
        <v>#N/A N/A</v>
        <stp/>
        <stp>BDH|2255997503262060856</stp>
        <tr r="AG17" s="4"/>
      </tp>
      <tp t="s">
        <v>#N/A N/A</v>
        <stp/>
        <stp>BDH|3503284670787134010</stp>
        <tr r="Y22" s="4"/>
      </tp>
      <tp t="s">
        <v>#N/A N/A</v>
        <stp/>
        <stp>BDH|8888628196101446758</stp>
        <tr r="AD19" s="2"/>
      </tp>
      <tp t="s">
        <v>#N/A N/A</v>
        <stp/>
        <stp>BDP|6199035309181995608</stp>
        <tr r="AN9" s="3"/>
      </tp>
      <tp t="s">
        <v>#N/A N/A</v>
        <stp/>
        <stp>BDH|6896755914606391794</stp>
        <tr r="J6" s="4"/>
      </tp>
      <tp t="s">
        <v>#N/A N/A</v>
        <stp/>
        <stp>BDH|4621879561392573969</stp>
        <tr r="X14" s="4"/>
      </tp>
      <tp t="s">
        <v>#N/A N/A</v>
        <stp/>
        <stp>BDH|8227800975845571316</stp>
        <tr r="F17" s="2"/>
      </tp>
      <tp t="s">
        <v>#N/A N/A</v>
        <stp/>
        <stp>BDH|4231284838282278617</stp>
        <tr r="AM10" s="2"/>
      </tp>
      <tp t="s">
        <v>#N/A N/A</v>
        <stp/>
        <stp>BDH|7910289362577291502</stp>
        <tr r="AF6" s="4"/>
      </tp>
      <tp t="s">
        <v>#N/A N/A</v>
        <stp/>
        <stp>BDH|5231524094330689831</stp>
        <tr r="R18" s="2"/>
      </tp>
      <tp t="s">
        <v>#N/A N/A</v>
        <stp/>
        <stp>BDH|7067843406786588865</stp>
        <tr r="AF23" s="2"/>
      </tp>
      <tp t="s">
        <v>#N/A N/A</v>
        <stp/>
        <stp>BDH|2950284313689513903</stp>
        <tr r="Z6" s="4"/>
      </tp>
      <tp t="s">
        <v>#N/A N/A</v>
        <stp/>
        <stp>BDH|6716767356695019005</stp>
        <tr r="C26" s="4"/>
      </tp>
      <tp t="s">
        <v>#N/A N/A</v>
        <stp/>
        <stp>BDH|7386579564475475036</stp>
        <tr r="E19" s="2"/>
      </tp>
      <tp t="s">
        <v>#N/A N/A</v>
        <stp/>
        <stp>BDH|1741006827881256353</stp>
        <tr r="R21" s="4"/>
      </tp>
      <tp t="s">
        <v>#N/A N/A</v>
        <stp/>
        <stp>BDH|7648395343146958729</stp>
        <tr r="AO9" s="2"/>
      </tp>
      <tp t="s">
        <v>#N/A N/A</v>
        <stp/>
        <stp>BDP|1436055401042606226</stp>
        <tr r="M12" s="3"/>
      </tp>
      <tp t="s">
        <v>#N/A N/A</v>
        <stp/>
        <stp>BDH|6639166227307754340</stp>
        <tr r="R18" s="4"/>
      </tp>
      <tp t="s">
        <v>#N/A N/A</v>
        <stp/>
        <stp>BDH|3468733085168766516</stp>
        <tr r="T25" s="4"/>
      </tp>
      <tp t="s">
        <v>#N/A N/A</v>
        <stp/>
        <stp>BDH|1103862304968542026</stp>
        <tr r="K8" s="4"/>
      </tp>
      <tp t="s">
        <v>#N/A N/A</v>
        <stp/>
        <stp>BDH|7980407138561512003</stp>
        <tr r="M18" s="2"/>
      </tp>
      <tp t="s">
        <v>#N/A N/A</v>
        <stp/>
        <stp>BDH|7750439962270214404</stp>
        <tr r="AM25" s="2"/>
      </tp>
      <tp t="s">
        <v>#N/A N/A</v>
        <stp/>
        <stp>BDH|7965845154182855945</stp>
        <tr r="AG8" s="2"/>
      </tp>
      <tp t="s">
        <v>#N/A N/A</v>
        <stp/>
        <stp>BDH|7802735518914787412</stp>
        <tr r="T14" s="4"/>
      </tp>
      <tp t="s">
        <v>#N/A N/A</v>
        <stp/>
        <stp>BDH|7105418337670264102</stp>
        <tr r="K17" s="2"/>
      </tp>
      <tp t="s">
        <v>#N/A N/A</v>
        <stp/>
        <stp>BDH|2666824920140642979</stp>
        <tr r="M16" s="2"/>
      </tp>
      <tp t="s">
        <v>#N/A N/A</v>
        <stp/>
        <stp>BDH|1455342806707959754</stp>
        <tr r="AK24" s="2"/>
      </tp>
      <tp t="s">
        <v>#N/A N/A</v>
        <stp/>
        <stp>BDH|3628784023190623416</stp>
        <tr r="K12" s="4"/>
      </tp>
      <tp t="s">
        <v>#N/A N/A</v>
        <stp/>
        <stp>BDH|7302007659930408056</stp>
        <tr r="F13" s="4"/>
      </tp>
      <tp t="s">
        <v>#N/A N/A</v>
        <stp/>
        <stp>BDH|1228980912488089303</stp>
        <tr r="C19" s="2"/>
      </tp>
      <tp t="s">
        <v>#N/A N/A</v>
        <stp/>
        <stp>BDH|2926837582203750361</stp>
        <tr r="J19" s="2"/>
      </tp>
      <tp t="s">
        <v>#N/A N/A</v>
        <stp/>
        <stp>BDH|3428501156640823138</stp>
        <tr r="P22" s="4"/>
      </tp>
      <tp t="s">
        <v>#N/A N/A</v>
        <stp/>
        <stp>BDH|6552476952050648587</stp>
        <tr r="L9" s="4"/>
      </tp>
      <tp t="s">
        <v>#N/A N/A</v>
        <stp/>
        <stp>BDH|4986899465709343190</stp>
        <tr r="I14" s="4"/>
      </tp>
      <tp t="s">
        <v>#N/A N/A</v>
        <stp/>
        <stp>BDH|6560325700312057580</stp>
        <tr r="AO20" s="4"/>
      </tp>
      <tp t="s">
        <v>#N/A N/A</v>
        <stp/>
        <stp>BDH|9262421608019056643</stp>
        <tr r="M25" s="4"/>
      </tp>
      <tp t="s">
        <v>#N/A N/A</v>
        <stp/>
        <stp>BDH|8105199227678418173</stp>
        <tr r="AA20" s="4"/>
      </tp>
      <tp t="s">
        <v>#N/A N/A</v>
        <stp/>
        <stp>BDP|6712556315478992837</stp>
        <tr r="U12" s="3"/>
      </tp>
      <tp t="s">
        <v>#N/A N/A</v>
        <stp/>
        <stp>BDH|3993329542235700337</stp>
        <tr r="D6" s="4"/>
      </tp>
      <tp t="s">
        <v>#N/A N/A</v>
        <stp/>
        <stp>BDH|6962323326890239529</stp>
        <tr r="P8" s="2"/>
      </tp>
      <tp t="s">
        <v>#N/A N/A</v>
        <stp/>
        <stp>BDH|5092059045466541586</stp>
        <tr r="P9" s="4"/>
      </tp>
      <tp t="s">
        <v>#N/A N/A</v>
        <stp/>
        <stp>BDH|6920415091781100856</stp>
        <tr r="K9" s="2"/>
      </tp>
      <tp t="s">
        <v>#N/A N/A</v>
        <stp/>
        <stp>BDH|1640283215793590337</stp>
        <tr r="O8" s="2"/>
      </tp>
      <tp t="s">
        <v>#N/A N/A</v>
        <stp/>
        <stp>BDH|3105010705882097372</stp>
        <tr r="F10" s="4"/>
      </tp>
      <tp t="s">
        <v>#N/A N/A</v>
        <stp/>
        <stp>BDH|4665605249373951748</stp>
        <tr r="Z17" s="4"/>
      </tp>
      <tp t="s">
        <v>#N/A N/A</v>
        <stp/>
        <stp>BDH|2006350903152282178</stp>
        <tr r="M7" s="4"/>
      </tp>
      <tp t="s">
        <v>#N/A N/A</v>
        <stp/>
        <stp>BDH|8038769110204581802</stp>
        <tr r="AO14" s="4"/>
      </tp>
      <tp t="s">
        <v>#N/A N/A</v>
        <stp/>
        <stp>BDH|9084973450916029144</stp>
        <tr r="H8" s="2"/>
      </tp>
      <tp t="s">
        <v>#N/A N/A</v>
        <stp/>
        <stp>BDH|7680132059525736485</stp>
        <tr r="R13" s="2"/>
      </tp>
      <tp t="s">
        <v>#N/A N/A</v>
        <stp/>
        <stp>BDH|7207143616000670561</stp>
        <tr r="N16" s="2"/>
      </tp>
      <tp t="s">
        <v>#N/A N/A</v>
        <stp/>
        <stp>BDH|4829136135892717695</stp>
        <tr r="O25" s="4"/>
      </tp>
      <tp t="s">
        <v>#N/A N/A</v>
        <stp/>
        <stp>BDH|7125550115655693466</stp>
        <tr r="T8" s="4"/>
      </tp>
      <tp t="s">
        <v>#N/A N/A</v>
        <stp/>
        <stp>BDH|3585956511281863887</stp>
        <tr r="U7" s="2"/>
      </tp>
      <tp t="s">
        <v>#N/A N/A</v>
        <stp/>
        <stp>BDH|7095127659939979843</stp>
        <tr r="W17" s="4"/>
      </tp>
      <tp t="s">
        <v>#N/A N/A</v>
        <stp/>
        <stp>BDH|7269258991738738673</stp>
        <tr r="AP21" s="4"/>
      </tp>
      <tp t="s">
        <v>#N/A N/A</v>
        <stp/>
        <stp>BDH|2052969698237852715</stp>
        <tr r="AB22" s="4"/>
      </tp>
      <tp t="s">
        <v>#N/A N/A</v>
        <stp/>
        <stp>BDH|5814283267361733249</stp>
        <tr r="J10" s="4"/>
      </tp>
      <tp t="s">
        <v>#N/A N/A</v>
        <stp/>
        <stp>BDH|2780244794049702240</stp>
        <tr r="V18" s="4"/>
      </tp>
      <tp t="s">
        <v>#N/A N/A</v>
        <stp/>
        <stp>BDH|8026991758726590001</stp>
        <tr r="O21" s="4"/>
      </tp>
      <tp t="s">
        <v>#N/A N/A</v>
        <stp/>
        <stp>BDP|8378358577859242763</stp>
        <tr r="M16" s="3"/>
      </tp>
      <tp t="s">
        <v>#N/A N/A</v>
        <stp/>
        <stp>BDH|8628534627808738506</stp>
        <tr r="AC18" s="2"/>
      </tp>
      <tp t="s">
        <v>#N/A N/A</v>
        <stp/>
        <stp>BDH|5778402152084360239</stp>
        <tr r="W13" s="4"/>
      </tp>
      <tp t="s">
        <v>#N/A N/A</v>
        <stp/>
        <stp>BDP|9824474588960945648</stp>
        <tr r="K15" s="3"/>
      </tp>
      <tp t="s">
        <v>#N/A N/A</v>
        <stp/>
        <stp>BDH|7074216796676863955</stp>
        <tr r="AP14" s="4"/>
      </tp>
      <tp t="s">
        <v>#N/A N/A</v>
        <stp/>
        <stp>BDH|4475497634457470774</stp>
        <tr r="AL9" s="4"/>
      </tp>
      <tp t="s">
        <v>#N/A N/A</v>
        <stp/>
        <stp>BDH|7161860658978633131</stp>
        <tr r="O18" s="2"/>
      </tp>
      <tp t="s">
        <v>#N/A N/A</v>
        <stp/>
        <stp>BDH|9283915409504060702</stp>
        <tr r="AM12" s="4"/>
      </tp>
      <tp t="s">
        <v>#N/A N/A</v>
        <stp/>
        <stp>BDP|1235217676480814760</stp>
        <tr r="F15" s="3"/>
      </tp>
      <tp t="s">
        <v>#N/A N/A</v>
        <stp/>
        <stp>BDP|1944512004123243456</stp>
        <tr r="M11" s="3"/>
      </tp>
      <tp t="s">
        <v>#N/A N/A</v>
        <stp/>
        <stp>BDH|5824374123425315243</stp>
        <tr r="K25" s="4"/>
      </tp>
      <tp t="s">
        <v>#N/A N/A</v>
        <stp/>
        <stp>BDH|9704964405022779181</stp>
        <tr r="AM15" s="2"/>
      </tp>
      <tp t="s">
        <v>#N/A N/A</v>
        <stp/>
        <stp>BDH|2899303249274310297</stp>
        <tr r="D16" s="4"/>
      </tp>
      <tp t="s">
        <v>#N/A N/A</v>
        <stp/>
        <stp>BDP|3421102828032311177</stp>
        <tr r="Y9" s="3"/>
      </tp>
      <tp t="s">
        <v>#N/A N/A</v>
        <stp/>
        <stp>BDH|3234660236346830322</stp>
        <tr r="AL14" s="4"/>
      </tp>
      <tp t="s">
        <v>#N/A N/A</v>
        <stp/>
        <stp>BDH|4426585829111861152</stp>
        <tr r="AL12" s="4"/>
      </tp>
      <tp t="s">
        <v>#N/A N/A</v>
        <stp/>
        <stp>BDP|2130196150530523546</stp>
        <tr r="AG12" s="3"/>
      </tp>
      <tp t="s">
        <v>#N/A N/A</v>
        <stp/>
        <stp>BDH|2572218936706349686</stp>
        <tr r="AN20" s="4"/>
      </tp>
      <tp t="s">
        <v>#N/A N/A</v>
        <stp/>
        <stp>BDH|1806373110626412655</stp>
        <tr r="U17" s="2"/>
      </tp>
      <tp t="s">
        <v>#N/A N/A</v>
        <stp/>
        <stp>BDH|4096247751937806731</stp>
        <tr r="AI8" s="4"/>
      </tp>
      <tp t="s">
        <v>#N/A N/A</v>
        <stp/>
        <stp>BDH|7989302103677674025</stp>
        <tr r="C17" s="2"/>
      </tp>
      <tp t="s">
        <v>#N/A N/A</v>
        <stp/>
        <stp>BDH|7950048850165732459</stp>
        <tr r="AG26" s="4"/>
      </tp>
      <tp t="s">
        <v>#N/A N/A</v>
        <stp/>
        <stp>BDH|2093298644361587674</stp>
        <tr r="AE16" s="4"/>
      </tp>
      <tp t="s">
        <v>#N/A N/A</v>
        <stp/>
        <stp>BDH|4968140956215467631</stp>
        <tr r="AA26" s="4"/>
      </tp>
      <tp t="s">
        <v>#N/A N/A</v>
        <stp/>
        <stp>BDH|7520394908845052288</stp>
        <tr r="AG13" s="4"/>
      </tp>
      <tp t="s">
        <v>#N/A N/A</v>
        <stp/>
        <stp>BDH|2062096856665237116</stp>
        <tr r="R12" s="4"/>
      </tp>
      <tp t="s">
        <v>#N/A N/A</v>
        <stp/>
        <stp>BDH|6559652508060570315</stp>
        <tr r="O19" s="2"/>
      </tp>
      <tp t="s">
        <v>#N/A N/A</v>
        <stp/>
        <stp>BDH|6776227339144426045</stp>
        <tr r="AJ25" s="2"/>
      </tp>
      <tp t="s">
        <v>#N/A N/A</v>
        <stp/>
        <stp>BDH|7803454956943390642</stp>
        <tr r="AI10" s="4"/>
      </tp>
      <tp t="s">
        <v>#N/A N/A</v>
        <stp/>
        <stp>BDH|2267429372741932373</stp>
        <tr r="T21" s="4"/>
      </tp>
      <tp t="s">
        <v>#N/A N/A</v>
        <stp/>
        <stp>BDH|5189703808717685639</stp>
        <tr r="AJ19" s="2"/>
      </tp>
      <tp t="s">
        <v>#N/A N/A</v>
        <stp/>
        <stp>BDH|4698792832603667074</stp>
        <tr r="Q12" s="4"/>
      </tp>
      <tp t="s">
        <v>#N/A N/A</v>
        <stp/>
        <stp>BDH|2413766511354724393</stp>
        <tr r="AI9" s="2"/>
      </tp>
      <tp t="s">
        <v>#N/A N/A</v>
        <stp/>
        <stp>BDP|5428251568356929424</stp>
        <tr r="Y12" s="3"/>
      </tp>
      <tp t="s">
        <v>#N/A N/A</v>
        <stp/>
        <stp>BDH|4505260151472756270</stp>
        <tr r="AL24" s="4"/>
      </tp>
      <tp t="s">
        <v>#N/A N/A</v>
        <stp/>
        <stp>BDH|7537214524775732152</stp>
        <tr r="AD13" s="4"/>
      </tp>
      <tp t="s">
        <v>#N/A N/A</v>
        <stp/>
        <stp>BDP|5452915652823638927</stp>
        <tr r="AP15" s="3"/>
      </tp>
      <tp t="s">
        <v>#N/A N/A</v>
        <stp/>
        <stp>BDH|8230215770568443646</stp>
        <tr r="AB19" s="2"/>
      </tp>
      <tp t="s">
        <v>#N/A N/A</v>
        <stp/>
        <stp>BDH|1621157834937642728</stp>
        <tr r="AI19" s="2"/>
      </tp>
      <tp t="s">
        <v>#N/A N/A</v>
        <stp/>
        <stp>BDH|9476022521121209966</stp>
        <tr r="M14" s="4"/>
      </tp>
      <tp t="s">
        <v>#N/A N/A</v>
        <stp/>
        <stp>BDH|7237283169771486144</stp>
        <tr r="AL10" s="4"/>
      </tp>
      <tp t="s">
        <v>#N/A N/A</v>
        <stp/>
        <stp>BDP|9341380727278503395</stp>
        <tr r="AD12" s="3"/>
      </tp>
      <tp t="s">
        <v>#N/A N/A</v>
        <stp/>
        <stp>BDH|3141744806213419471</stp>
        <tr r="P10" s="4"/>
      </tp>
      <tp t="s">
        <v>#N/A N/A</v>
        <stp/>
        <stp>BDH|9024283198017292638</stp>
        <tr r="AN10" s="2"/>
      </tp>
      <tp t="s">
        <v>#N/A N/A</v>
        <stp/>
        <stp>BDH|1129347884678258126</stp>
        <tr r="I7" s="4"/>
      </tp>
      <tp t="s">
        <v>#N/A N/A</v>
        <stp/>
        <stp>BDH|6667076651840193004</stp>
        <tr r="AG20" s="4"/>
      </tp>
      <tp t="s">
        <v>#N/A N/A</v>
        <stp/>
        <stp>BDH|9744559370619511167</stp>
        <tr r="AL9" s="2"/>
      </tp>
      <tp t="s">
        <v>#N/A N/A</v>
        <stp/>
        <stp>BDP|2639111668815858312</stp>
        <tr r="K9" s="3"/>
      </tp>
      <tp t="s">
        <v>#N/A N/A</v>
        <stp/>
        <stp>BDH|1721212935716082559</stp>
        <tr r="H10" s="2"/>
      </tp>
      <tp t="s">
        <v>#N/A N/A</v>
        <stp/>
        <stp>BDH|4581200076444325675</stp>
        <tr r="L26" s="4"/>
      </tp>
      <tp t="s">
        <v>#N/A N/A</v>
        <stp/>
        <stp>BDP|8526826034467427729</stp>
        <tr r="D12" s="3"/>
      </tp>
      <tp t="s">
        <v>#N/A N/A</v>
        <stp/>
        <stp>BDH|6919150083455204987</stp>
        <tr r="AJ10" s="4"/>
      </tp>
      <tp t="s">
        <v>#N/A N/A</v>
        <stp/>
        <stp>BDH|8054909841620345677</stp>
        <tr r="G18" s="4"/>
      </tp>
      <tp t="s">
        <v>#N/A N/A</v>
        <stp/>
        <stp>BDH|397461620714060785</stp>
        <tr r="J7" s="4"/>
      </tp>
      <tp t="s">
        <v>#N/A N/A</v>
        <stp/>
        <stp>BDH|145023527577467046</stp>
        <tr r="AB21" s="4"/>
      </tp>
      <tp t="s">
        <v>#N/A N/A</v>
        <stp/>
        <stp>BDH|293962390391563479</stp>
        <tr r="Q17" s="2"/>
      </tp>
      <tp t="s">
        <v>#N/A N/A</v>
        <stp/>
        <stp>BDH|586122356997811692</stp>
        <tr r="AE10" s="4"/>
      </tp>
      <tp t="s">
        <v>#N/A N/A</v>
        <stp/>
        <stp>BDH|414477196571026956</stp>
        <tr r="H9" s="4"/>
      </tp>
      <tp t="s">
        <v>#N/A N/A</v>
        <stp/>
        <stp>BDP|612553564176604039</stp>
        <tr r="AL11" s="3"/>
      </tp>
      <tp t="s">
        <v>#N/A N/A</v>
        <stp/>
        <stp>BDH|137385928332672654</stp>
        <tr r="AI21" s="4"/>
      </tp>
      <tp t="s">
        <v>#N/A N/A</v>
        <stp/>
        <stp>BDP|701668524122016292</stp>
        <tr r="X11" s="3"/>
      </tp>
      <tp t="s">
        <v>#N/A N/A</v>
        <stp/>
        <stp>BDH|425233636460856560</stp>
        <tr r="N19" s="2"/>
      </tp>
      <tp t="s">
        <v>#N/A N/A</v>
        <stp/>
        <stp>BDH|655235573573931202</stp>
        <tr r="AE12" s="4"/>
      </tp>
      <tp t="s">
        <v>#N/A N/A</v>
        <stp/>
        <stp>BDH|566385086318209735</stp>
        <tr r="I18" s="4"/>
      </tp>
      <tp t="s">
        <v>#N/A N/A</v>
        <stp/>
        <stp>BDP|566582853537457385</stp>
        <tr r="L16" s="3"/>
      </tp>
      <tp t="s">
        <v>#N/A N/A</v>
        <stp/>
        <stp>BDH|691520707129524852</stp>
        <tr r="AE8" s="4"/>
      </tp>
      <tp t="s">
        <v>#N/A N/A</v>
        <stp/>
        <stp>BDP|439206338111487760</stp>
        <tr r="AA11" s="3"/>
      </tp>
      <tp t="s">
        <v>#N/A N/A</v>
        <stp/>
        <stp>BDH|397352758394558550</stp>
        <tr r="W18" s="4"/>
      </tp>
      <tp t="s">
        <v>#N/A N/A</v>
        <stp/>
        <stp>BDH|621933855282303980</stp>
        <tr r="F7" s="2"/>
      </tp>
      <tp t="s">
        <v>#N/A N/A</v>
        <stp/>
        <stp>BDH|243439117746285582</stp>
        <tr r="AJ9" s="4"/>
      </tp>
      <tp t="s">
        <v>#N/A N/A</v>
        <stp/>
        <stp>BDH|998407347471719716</stp>
        <tr r="P6" s="4"/>
      </tp>
      <tp t="s">
        <v>#N/A N/A</v>
        <stp/>
        <stp>BDP|266124519137625159</stp>
        <tr r="AO9" s="3"/>
      </tp>
      <tp t="s">
        <v>#N/A N/A</v>
        <stp/>
        <stp>BDH|486885732089370494</stp>
        <tr r="R17" s="2"/>
      </tp>
      <tp t="s">
        <v>#N/A N/A</v>
        <stp/>
        <stp>BDH|568496400771783388</stp>
        <tr r="AI22" s="4"/>
      </tp>
      <tp t="s">
        <v>#N/A N/A</v>
        <stp/>
        <stp>BDP|801026405725423459</stp>
        <tr r="AM12" s="3"/>
      </tp>
      <tp t="s">
        <v>#N/A N/A</v>
        <stp/>
        <stp>BDH|198214104361470284</stp>
        <tr r="V7" s="2"/>
      </tp>
      <tp t="s">
        <v>#N/A N/A</v>
        <stp/>
        <stp>BDH|732564958498513821</stp>
        <tr r="AC6" s="4"/>
      </tp>
      <tp t="s">
        <v>#N/A N/A</v>
        <stp/>
        <stp>BDP|281697899898816756</stp>
        <tr r="V16" s="3"/>
      </tp>
      <tp t="s">
        <v>#N/A N/A</v>
        <stp/>
        <stp>BDH|492991834772239811</stp>
        <tr r="R25" s="2"/>
      </tp>
      <tp t="s">
        <v>#N/A N/A</v>
        <stp/>
        <stp>BDH|139527764456527582</stp>
        <tr r="AP20" s="4"/>
      </tp>
      <tp t="s">
        <v>#N/A N/A</v>
        <stp/>
        <stp>BDH|486618140927888586</stp>
        <tr r="AO15" s="2"/>
      </tp>
      <tp t="s">
        <v>#N/A N/A</v>
        <stp/>
        <stp>BDH|472474135145443272</stp>
        <tr r="AC24" s="4"/>
      </tp>
      <tp t="s">
        <v>#N/A N/A</v>
        <stp/>
        <stp>BDH|618679801751525749</stp>
        <tr r="AH8" s="4"/>
      </tp>
      <tp t="s">
        <v>#N/A N/A</v>
        <stp/>
        <stp>BDH|321581452852233295</stp>
        <tr r="M23" s="2"/>
      </tp>
      <tp t="s">
        <v>#N/A N/A</v>
        <stp/>
        <stp>BDH|905720102382890528</stp>
        <tr r="H7" s="4"/>
      </tp>
      <tp t="s">
        <v>#N/A N/A</v>
        <stp/>
        <stp>BDH|904242966365492238</stp>
        <tr r="AN24" s="4"/>
      </tp>
      <tp t="s">
        <v>#N/A N/A</v>
        <stp/>
        <stp>BDH|907915571208410523</stp>
        <tr r="X23" s="2"/>
      </tp>
      <tp t="s">
        <v>#N/A N/A</v>
        <stp/>
        <stp>BDH|404861967865822863</stp>
        <tr r="AP7" s="2"/>
      </tp>
      <tp t="s">
        <v>#N/A N/A</v>
        <stp/>
        <stp>BDP|438787201053244792</stp>
        <tr r="V11" s="3"/>
      </tp>
      <tp t="s">
        <v>#N/A N/A</v>
        <stp/>
        <stp>BDH|925074620033945202</stp>
        <tr r="T16" s="4"/>
      </tp>
      <tp t="s">
        <v>#N/A N/A</v>
        <stp/>
        <stp>BDH|118296558100404581</stp>
        <tr r="AO16" s="2"/>
      </tp>
      <tp t="s">
        <v>#N/A N/A</v>
        <stp/>
        <stp>BDH|904962100153083822</stp>
        <tr r="R14" s="4"/>
      </tp>
      <tp t="s">
        <v>#N/A N/A</v>
        <stp/>
        <stp>BDH|961455289428978664</stp>
        <tr r="AG10" s="4"/>
      </tp>
      <tp t="s">
        <v>#N/A N/A</v>
        <stp/>
        <stp>BDH|833830814122014994</stp>
        <tr r="Z13" s="2"/>
      </tp>
      <tp t="s">
        <v>#N/A N/A</v>
        <stp/>
        <stp>BDH|356951771518602436</stp>
        <tr r="Q7" s="2"/>
      </tp>
      <tp t="s">
        <v>#N/A N/A</v>
        <stp/>
        <stp>BDH|932059033569666747</stp>
        <tr r="AF24" s="4"/>
      </tp>
      <tp t="s">
        <v>#N/A N/A</v>
        <stp/>
        <stp>BDP|734714954148843775</stp>
        <tr r="U9" s="3"/>
      </tp>
      <tp t="s">
        <v>#N/A N/A</v>
        <stp/>
        <stp>BDH|341118436289234681</stp>
        <tr r="L7" s="4"/>
      </tp>
      <tp t="s">
        <v>#N/A N/A</v>
        <stp/>
        <stp>BDP|482149859989786007</stp>
        <tr r="AI12" s="3"/>
      </tp>
      <tp t="s">
        <v>#N/A N/A</v>
        <stp/>
        <stp>BDH|590042404874363929</stp>
        <tr r="AC21" s="4"/>
      </tp>
      <tp t="s">
        <v>#N/A N/A</v>
        <stp/>
        <stp>BDH|591052204944435908</stp>
        <tr r="Z13" s="4"/>
      </tp>
      <tp t="s">
        <v>#N/A N/A</v>
        <stp/>
        <stp>BDP|751087616259066582</stp>
        <tr r="S11" s="3"/>
      </tp>
      <tp t="s">
        <v>#N/A N/A</v>
        <stp/>
        <stp>BDH|746415097109638958</stp>
        <tr r="R25" s="4"/>
      </tp>
      <tp t="s">
        <v>#N/A N/A</v>
        <stp/>
        <stp>BDH|815258332219299498</stp>
        <tr r="X13" s="4"/>
      </tp>
      <tp t="s">
        <v>#N/A N/A</v>
        <stp/>
        <stp>BDH|130090272933655881</stp>
        <tr r="AK21" s="4"/>
      </tp>
      <tp t="s">
        <v>#N/A N/A</v>
        <stp/>
        <stp>BDH|261239385386028033</stp>
        <tr r="AD6" s="4"/>
      </tp>
      <tp t="s">
        <v>#N/A N/A</v>
        <stp/>
        <stp>BDH|761730313623208947</stp>
        <tr r="AH14" s="4"/>
      </tp>
      <tp t="s">
        <v>#N/A N/A</v>
        <stp/>
        <stp>BDH|151962356376970544</stp>
        <tr r="AH9" s="2"/>
      </tp>
      <tp t="s">
        <v>#N/A N/A</v>
        <stp/>
        <stp>BDH|361001922325039897</stp>
        <tr r="P14" s="4"/>
      </tp>
      <tp t="s">
        <v>#N/A N/A</v>
        <stp/>
        <stp>BDH|287395432107258811</stp>
        <tr r="M22" s="4"/>
      </tp>
      <tp t="s">
        <v>#N/A N/A</v>
        <stp/>
        <stp>BDH|176103983860109692</stp>
        <tr r="X20" s="2"/>
      </tp>
      <tp t="s">
        <v>#N/A N/A</v>
        <stp/>
        <stp>BDH|299390398085871008</stp>
        <tr r="V9" s="4"/>
      </tp>
      <tp t="s">
        <v>#N/A N/A</v>
        <stp/>
        <stp>BDH|463802203707448032</stp>
        <tr r="D17" s="2"/>
      </tp>
      <tp t="s">
        <v>#N/A N/A</v>
        <stp/>
        <stp>BDH|531944782736180838</stp>
        <tr r="AJ18" s="4"/>
      </tp>
      <tp t="s">
        <v>#N/A N/A</v>
        <stp/>
        <stp>BDH|682361368688335282</stp>
        <tr r="AC7" s="4"/>
      </tp>
      <tp t="s">
        <v>#N/A N/A</v>
        <stp/>
        <stp>BDH|388764037178751367</stp>
        <tr r="O23" s="2"/>
      </tp>
      <tp t="s">
        <v>#N/A N/A</v>
        <stp/>
        <stp>BDP|620864419907350002</stp>
        <tr r="P9" s="3"/>
      </tp>
      <tp t="s">
        <v>#N/A N/A</v>
        <stp/>
        <stp>BDH|822003307317049946</stp>
        <tr r="L16" s="4"/>
      </tp>
      <tp t="s">
        <v>#N/A N/A</v>
        <stp/>
        <stp>BDP|217610112339576040</stp>
        <tr r="S16" s="3"/>
      </tp>
      <tp t="s">
        <v>#N/A N/A</v>
        <stp/>
        <stp>BDH|182868203782876302</stp>
        <tr r="V6" s="4"/>
      </tp>
      <tp t="s">
        <v>#N/A N/A</v>
        <stp/>
        <stp>BDH|708707813698849749</stp>
        <tr r="N25" s="4"/>
      </tp>
      <tp t="s">
        <v>#N/A N/A</v>
        <stp/>
        <stp>BDH|368063754279113599</stp>
        <tr r="AA24" s="2"/>
      </tp>
      <tp t="s">
        <v>#N/A N/A</v>
        <stp/>
        <stp>BDH|249333131611750849</stp>
        <tr r="T22" s="4"/>
      </tp>
      <tp t="s">
        <v>#N/A N/A</v>
        <stp/>
        <stp>BDH|469573422636968924</stp>
        <tr r="AM19" s="2"/>
      </tp>
      <tp t="s">
        <v>#N/A N/A</v>
        <stp/>
        <stp>BDP|860297025601805975</stp>
        <tr r="N15" s="3"/>
      </tp>
      <tp t="s">
        <v>#N/A N/A</v>
        <stp/>
        <stp>BDH|188018443968151445</stp>
        <tr r="E26" s="4"/>
      </tp>
      <tp t="s">
        <v>#N/A N/A</v>
        <stp/>
        <stp>BDH|206197157939278599</stp>
        <tr r="AL6" s="4"/>
      </tp>
      <tp t="s">
        <v>#N/A N/A</v>
        <stp/>
        <stp>BDH|943757273262446945</stp>
        <tr r="L19" s="2"/>
      </tp>
      <tp t="s">
        <v>#N/A N/A</v>
        <stp/>
        <stp>BDH|895065165614976984</stp>
        <tr r="U13" s="4"/>
      </tp>
      <tp t="s">
        <v>#N/A N/A</v>
        <stp/>
        <stp>BDH|324193985325312778</stp>
        <tr r="L14" s="4"/>
      </tp>
      <tp t="s">
        <v>#N/A N/A</v>
        <stp/>
        <stp>BDH|462262016751578958</stp>
        <tr r="E13" s="4"/>
      </tp>
      <tp t="s">
        <v>#N/A N/A</v>
        <stp/>
        <stp>BDH|467252477558059627</stp>
        <tr r="AF8" s="4"/>
      </tp>
      <tp t="s">
        <v>#N/A N/A</v>
        <stp/>
        <stp>BDH|590228221658286319</stp>
        <tr r="T20" s="4"/>
      </tp>
      <tp t="s">
        <v>#N/A N/A</v>
        <stp/>
        <stp>BDH|191979246056139069</stp>
        <tr r="Z9" s="4"/>
      </tp>
      <tp t="s">
        <v>#N/A N/A</v>
        <stp/>
        <stp>BDH|114738836399148653</stp>
        <tr r="AP7" s="4"/>
      </tp>
      <tp t="s">
        <v>#N/A N/A</v>
        <stp/>
        <stp>BDP|876363351344927967</stp>
        <tr r="AM11" s="3"/>
      </tp>
      <tp t="s">
        <v>#N/A N/A</v>
        <stp/>
        <stp>BDH|385918732791851154</stp>
        <tr r="N24" s="2"/>
      </tp>
      <tp t="s">
        <v>#N/A N/A</v>
        <stp/>
        <stp>BDP|493377463897176896</stp>
        <tr r="Z9" s="3"/>
      </tp>
      <tp t="s">
        <v>#N/A N/A</v>
        <stp/>
        <stp>BDH|796769584472424763</stp>
        <tr r="Y24" s="4"/>
      </tp>
      <tp t="s">
        <v>#N/A N/A</v>
        <stp/>
        <stp>BDH|561995088198043</stp>
        <tr r="R23" s="2"/>
      </tp>
      <tp t="s">
        <v>#N/A N/A</v>
        <stp/>
        <stp>BDH|318490709037552</stp>
        <tr r="V20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selection activeCell="E28" sqref="E28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 t="str">
        <f>_xll.BDH("AAL US Equity","RETURN_COM_EQY","FQ2 2011","FQ2 2011","Currency=USD","Period=FQ","BEST_FPERIOD_OVERRIDE=FQ","FILING_STATUS=MR","FA_ADJUSTED=GAAP","Sort=A","Dates=H","DateFormat=P","Fill=—","Direction=H","UseDPDF=Y")</f>
        <v>—</v>
      </c>
      <c r="D7" s="21" t="str">
        <f>_xll.BDH("AAL US Equity","RETURN_COM_EQY","FQ3 2011","FQ3 2011","Currency=USD","Period=FQ","BEST_FPERIOD_OVERRIDE=FQ","FILING_STATUS=MR","FA_ADJUSTED=GAAP","Sort=A","Dates=H","DateFormat=P","Fill=—","Direction=H","UseDPDF=Y")</f>
        <v>—</v>
      </c>
      <c r="E7" s="21" t="str">
        <f>_xll.BDH("AAL US Equity","RETURN_COM_EQY","FQ4 2011","FQ4 2011","Currency=USD","Period=FQ","BEST_FPERIOD_OVERRIDE=FQ","FILING_STATUS=MR","FA_ADJUSTED=GAAP","Sort=A","Dates=H","DateFormat=P","Fill=—","Direction=H","UseDPDF=Y")</f>
        <v>—</v>
      </c>
      <c r="F7" s="21" t="str">
        <f>_xll.BDH("AAL US Equity","RETURN_COM_EQY","FQ1 2012","FQ1 2012","Currency=USD","Period=FQ","BEST_FPERIOD_OVERRIDE=FQ","FILING_STATUS=MR","FA_ADJUSTED=GAAP","Sort=A","Dates=H","DateFormat=P","Fill=—","Direction=H","UseDPDF=Y")</f>
        <v>—</v>
      </c>
      <c r="G7" s="21" t="str">
        <f>_xll.BDH("AAL US Equity","RETURN_COM_EQY","FQ2 2012","FQ2 2012","Currency=USD","Period=FQ","BEST_FPERIOD_OVERRIDE=FQ","FILING_STATUS=MR","FA_ADJUSTED=GAAP","Sort=A","Dates=H","DateFormat=P","Fill=—","Direction=H","UseDPDF=Y")</f>
        <v>—</v>
      </c>
      <c r="H7" s="21" t="str">
        <f>_xll.BDH("AAL US Equity","RETURN_COM_EQY","FQ3 2012","FQ3 2012","Currency=USD","Period=FQ","BEST_FPERIOD_OVERRIDE=FQ","FILING_STATUS=MR","FA_ADJUSTED=GAAP","Sort=A","Dates=H","DateFormat=P","Fill=—","Direction=H","UseDPDF=Y")</f>
        <v>—</v>
      </c>
      <c r="I7" s="21" t="str">
        <f>_xll.BDH("AAL US Equity","RETURN_COM_EQY","FQ4 2012","FQ4 2012","Currency=USD","Period=FQ","BEST_FPERIOD_OVERRIDE=FQ","FILING_STATUS=MR","FA_ADJUSTED=GAAP","Sort=A","Dates=H","DateFormat=P","Fill=—","Direction=H","UseDPDF=Y")</f>
        <v>—</v>
      </c>
      <c r="J7" s="21" t="str">
        <f>_xll.BDH("AAL US Equity","RETURN_COM_EQY","FQ1 2013","FQ1 2013","Currency=USD","Period=FQ","BEST_FPERIOD_OVERRIDE=FQ","FILING_STATUS=MR","FA_ADJUSTED=GAAP","Sort=A","Dates=H","DateFormat=P","Fill=—","Direction=H","UseDPDF=Y")</f>
        <v>—</v>
      </c>
      <c r="K7" s="21" t="str">
        <f>_xll.BDH("AAL US Equity","RETURN_COM_EQY","FQ2 2013","FQ2 2013","Currency=USD","Period=FQ","BEST_FPERIOD_OVERRIDE=FQ","FILING_STATUS=MR","FA_ADJUSTED=GAAP","Sort=A","Dates=H","DateFormat=P","Fill=—","Direction=H","UseDPDF=Y")</f>
        <v>—</v>
      </c>
      <c r="L7" s="21" t="str">
        <f>_xll.BDH("AAL US Equity","RETURN_COM_EQY","FQ3 2013","FQ3 2013","Currency=USD","Period=FQ","BEST_FPERIOD_OVERRIDE=FQ","FILING_STATUS=MR","FA_ADJUSTED=GAAP","Sort=A","Dates=H","DateFormat=P","Fill=—","Direction=H","UseDPDF=Y")</f>
        <v>—</v>
      </c>
      <c r="M7" s="21" t="str">
        <f>_xll.BDH("AAL US Equity","RETURN_COM_EQY","FQ4 2013","FQ4 2013","Currency=USD","Period=FQ","BEST_FPERIOD_OVERRIDE=FQ","FILING_STATUS=MR","FA_ADJUSTED=GAAP","Sort=A","Dates=H","DateFormat=P","Fill=—","Direction=H","UseDPDF=Y")</f>
        <v>—</v>
      </c>
      <c r="N7" s="21" t="str">
        <f>_xll.BDH("AAL US Equity","RETURN_COM_EQY","FQ1 2014","FQ1 2014","Currency=USD","Period=FQ","BEST_FPERIOD_OVERRIDE=FQ","FILING_STATUS=MR","FA_ADJUSTED=GAAP","Sort=A","Dates=H","DateFormat=P","Fill=—","Direction=H","UseDPDF=Y")</f>
        <v>—</v>
      </c>
      <c r="O7" s="21" t="str">
        <f>_xll.BDH("AAL US Equity","RETURN_COM_EQY","FQ2 2014","FQ2 2014","Currency=USD","Period=FQ","BEST_FPERIOD_OVERRIDE=FQ","FILING_STATUS=MR","FA_ADJUSTED=GAAP","Sort=A","Dates=H","DateFormat=P","Fill=—","Direction=H","UseDPDF=Y")</f>
        <v>—</v>
      </c>
      <c r="P7" s="21" t="str">
        <f>_xll.BDH("AAL US Equity","RETURN_COM_EQY","FQ3 2014","FQ3 2014","Currency=USD","Period=FQ","BEST_FPERIOD_OVERRIDE=FQ","FILING_STATUS=MR","FA_ADJUSTED=GAAP","Sort=A","Dates=H","DateFormat=P","Fill=—","Direction=H","UseDPDF=Y")</f>
        <v>—</v>
      </c>
      <c r="Q7" s="21" t="str">
        <f>_xll.BDH("AAL US Equity","RETURN_COM_EQY","FQ4 2014","FQ4 2014","Currency=USD","Period=FQ","BEST_FPERIOD_OVERRIDE=FQ","FILING_STATUS=MR","FA_ADJUSTED=GAAP","Sort=A","Dates=H","DateFormat=P","Fill=—","Direction=H","UseDPDF=Y")</f>
        <v>—</v>
      </c>
      <c r="R7" s="21">
        <f>_xll.BDH("AAL US Equity","RETURN_COM_EQY","FQ1 2015","FQ1 2015","Currency=USD","Period=FQ","BEST_FPERIOD_OVERRIDE=FQ","FILING_STATUS=MR","FA_ADJUSTED=GAAP","Sort=A","Dates=H","DateFormat=P","Fill=—","Direction=H","UseDPDF=Y")</f>
        <v>172.84270000000001</v>
      </c>
      <c r="S7" s="21">
        <f>_xll.BDH("AAL US Equity","RETURN_COM_EQY","FQ2 2015","FQ2 2015","Currency=USD","Period=FQ","BEST_FPERIOD_OVERRIDE=FQ","FILING_STATUS=MR","FA_ADJUSTED=GAAP","Sort=A","Dates=H","DateFormat=P","Fill=—","Direction=H","UseDPDF=Y")</f>
        <v>108.1326</v>
      </c>
      <c r="T7" s="21">
        <f>_xll.BDH("AAL US Equity","RETURN_COM_EQY","FQ3 2015","FQ3 2015","Currency=USD","Period=FQ","BEST_FPERIOD_OVERRIDE=FQ","FILING_STATUS=MR","FA_ADJUSTED=GAAP","Sort=A","Dates=H","DateFormat=P","Fill=—","Direction=H","UseDPDF=Y")</f>
        <v>112.8135</v>
      </c>
      <c r="U7" s="21">
        <f>_xll.BDH("AAL US Equity","RETURN_COM_EQY","FQ4 2015","FQ4 2015","Currency=USD","Period=FQ","BEST_FPERIOD_OVERRIDE=FQ","FILING_STATUS=MR","FA_ADJUSTED=GAAP","Sort=A","Dates=H","DateFormat=P","Fill=—","Direction=H","UseDPDF=Y")</f>
        <v>198.79830000000001</v>
      </c>
      <c r="V7" s="21">
        <f>_xll.BDH("AAL US Equity","RETURN_COM_EQY","FQ1 2016","FQ1 2016","Currency=USD","Period=FQ","BEST_FPERIOD_OVERRIDE=FQ","FILING_STATUS=MR","FA_ADJUSTED=GAAP","Sort=A","Dates=H","DateFormat=P","Fill=—","Direction=H","UseDPDF=Y")</f>
        <v>197.43109999999999</v>
      </c>
      <c r="W7" s="21">
        <f>_xll.BDH("AAL US Equity","RETURN_COM_EQY","FQ2 2016","FQ2 2016","Currency=USD","Period=FQ","BEST_FPERIOD_OVERRIDE=FQ","FILING_STATUS=MR","FA_ADJUSTED=GAAP","Sort=A","Dates=H","DateFormat=P","Fill=—","Direction=H","UseDPDF=Y")</f>
        <v>166.68340000000001</v>
      </c>
      <c r="X7" s="21">
        <f>_xll.BDH("AAL US Equity","RETURN_COM_EQY","FQ3 2016","FQ3 2016","Currency=USD","Period=FQ","BEST_FPERIOD_OVERRIDE=FQ","FILING_STATUS=MR","FA_ADJUSTED=GAAP","Sort=A","Dates=H","DateFormat=P","Fill=—","Direction=H","UseDPDF=Y")</f>
        <v>139.04079999999999</v>
      </c>
      <c r="Y7" s="21">
        <f>_xll.BDH("AAL US Equity","RETURN_COM_EQY","FQ4 2016","FQ4 2016","Currency=USD","Period=FQ","BEST_FPERIOD_OVERRIDE=FQ","FILING_STATUS=MR","FA_ADJUSTED=GAAP","Sort=A","Dates=H","DateFormat=P","Fill=—","Direction=H","UseDPDF=Y")</f>
        <v>56.815300000000001</v>
      </c>
      <c r="Z7" s="21">
        <f>_xll.BDH("AAL US Equity","RETURN_COM_EQY","FQ1 2017","FQ1 2017","Currency=USD","Period=FQ","BEST_FPERIOD_OVERRIDE=FQ","FILING_STATUS=MR","FA_ADJUSTED=GAAP","Sort=A","Dates=H","DateFormat=P","Fill=—","Direction=H","UseDPDF=Y")</f>
        <v>56.716099999999997</v>
      </c>
      <c r="AA7" s="21">
        <f>_xll.BDH("AAL US Equity","RETURN_COM_EQY","FQ2 2017","FQ2 2017","Currency=USD","Period=FQ","BEST_FPERIOD_OVERRIDE=FQ","FILING_STATUS=MR","FA_ADJUSTED=GAAP","Sort=A","Dates=H","DateFormat=P","Fill=—","Direction=H","UseDPDF=Y")</f>
        <v>55.5625</v>
      </c>
      <c r="AB7" s="21">
        <f>_xll.BDH("AAL US Equity","RETURN_COM_EQY","FQ3 2017","FQ3 2017","Currency=USD","Period=FQ","BEST_FPERIOD_OVERRIDE=FQ","FILING_STATUS=MR","FA_ADJUSTED=GAAP","Sort=A","Dates=H","DateFormat=P","Fill=—","Direction=H","UseDPDF=Y")</f>
        <v>51.660899999999998</v>
      </c>
      <c r="AC7" s="21" t="str">
        <f>_xll.BDH("AAL US Equity","RETURN_COM_EQY","FQ4 2017","FQ4 2017","Currency=USD","Period=FQ","BEST_FPERIOD_OVERRIDE=FQ","FILING_STATUS=MR","FA_ADJUSTED=GAAP","Sort=A","Dates=H","DateFormat=P","Fill=—","Direction=H","UseDPDF=Y")</f>
        <v>—</v>
      </c>
      <c r="AD7" s="21" t="str">
        <f>_xll.BDH("AAL US Equity","RETURN_COM_EQY","FQ1 2018","FQ1 2018","Currency=USD","Period=FQ","BEST_FPERIOD_OVERRIDE=FQ","FILING_STATUS=MR","FA_ADJUSTED=GAAP","Sort=A","Dates=H","DateFormat=P","Fill=—","Direction=H","UseDPDF=Y")</f>
        <v>—</v>
      </c>
      <c r="AE7" s="21" t="str">
        <f>_xll.BDH("AAL US Equity","RETURN_COM_EQY","FQ2 2018","FQ2 2018","Currency=USD","Period=FQ","BEST_FPERIOD_OVERRIDE=FQ","FILING_STATUS=MR","FA_ADJUSTED=GAAP","Sort=A","Dates=H","DateFormat=P","Fill=—","Direction=H","UseDPDF=Y")</f>
        <v>—</v>
      </c>
      <c r="AF7" s="21" t="str">
        <f>_xll.BDH("AAL US Equity","RETURN_COM_EQY","FQ3 2018","FQ3 2018","Currency=USD","Period=FQ","BEST_FPERIOD_OVERRIDE=FQ","FILING_STATUS=MR","FA_ADJUSTED=GAAP","Sort=A","Dates=H","DateFormat=P","Fill=—","Direction=H","UseDPDF=Y")</f>
        <v>—</v>
      </c>
      <c r="AG7" s="21" t="str">
        <f>_xll.BDH("AAL US Equity","RETURN_COM_EQY","FQ4 2018","FQ4 2018","Currency=USD","Period=FQ","BEST_FPERIOD_OVERRIDE=FQ","FILING_STATUS=MR","FA_ADJUSTED=GAAP","Sort=A","Dates=H","DateFormat=P","Fill=—","Direction=H","UseDPDF=Y")</f>
        <v>—</v>
      </c>
      <c r="AH7" s="21" t="str">
        <f>_xll.BDH("AAL US Equity","RETURN_COM_EQY","FQ1 2019","FQ1 2019","Currency=USD","Period=FQ","BEST_FPERIOD_OVERRIDE=FQ","FILING_STATUS=MR","FA_ADJUSTED=GAAP","Sort=A","Dates=H","DateFormat=P","Fill=—","Direction=H","UseDPDF=Y")</f>
        <v>—</v>
      </c>
      <c r="AI7" s="21" t="str">
        <f>_xll.BDH("AAL US Equity","RETURN_COM_EQY","FQ2 2019","FQ2 2019","Currency=USD","Period=FQ","BEST_FPERIOD_OVERRIDE=FQ","FILING_STATUS=MR","FA_ADJUSTED=GAAP","Sort=A","Dates=H","DateFormat=P","Fill=—","Direction=H","UseDPDF=Y")</f>
        <v>—</v>
      </c>
      <c r="AJ7" s="21" t="str">
        <f>_xll.BDH("AAL US Equity","RETURN_COM_EQY","FQ3 2019","FQ3 2019","Currency=USD","Period=FQ","BEST_FPERIOD_OVERRIDE=FQ","FILING_STATUS=MR","FA_ADJUSTED=GAAP","Sort=A","Dates=H","DateFormat=P","Fill=—","Direction=H","UseDPDF=Y")</f>
        <v>—</v>
      </c>
      <c r="AK7" s="21" t="str">
        <f>_xll.BDH("AAL US Equity","RETURN_COM_EQY","FQ4 2019","FQ4 2019","Currency=USD","Period=FQ","BEST_FPERIOD_OVERRIDE=FQ","FILING_STATUS=MR","FA_ADJUSTED=GAAP","Sort=A","Dates=H","DateFormat=P","Fill=—","Direction=H","UseDPDF=Y")</f>
        <v>—</v>
      </c>
      <c r="AL7" s="21" t="str">
        <f>_xll.BDH("AAL US Equity","RETURN_COM_EQY","FQ1 2020","FQ1 2020","Currency=USD","Period=FQ","BEST_FPERIOD_OVERRIDE=FQ","FILING_STATUS=MR","FA_ADJUSTED=GAAP","Sort=A","Dates=H","DateFormat=P","Fill=—","Direction=H","UseDPDF=Y")</f>
        <v>—</v>
      </c>
      <c r="AM7" s="21" t="str">
        <f>_xll.BDH("AAL US Equity","RETURN_COM_EQY","FQ2 2020","FQ2 2020","Currency=USD","Period=FQ","BEST_FPERIOD_OVERRIDE=FQ","FILING_STATUS=MR","FA_ADJUSTED=GAAP","Sort=A","Dates=H","DateFormat=P","Fill=—","Direction=H","UseDPDF=Y")</f>
        <v>—</v>
      </c>
      <c r="AN7" s="21" t="str">
        <f>_xll.BDH("AAL US Equity","RETURN_COM_EQY","FQ3 2020","FQ3 2020","Currency=USD","Period=FQ","BEST_FPERIOD_OVERRIDE=FQ","FILING_STATUS=MR","FA_ADJUSTED=GAAP","Sort=A","Dates=H","DateFormat=P","Fill=—","Direction=H","UseDPDF=Y")</f>
        <v>—</v>
      </c>
      <c r="AO7" s="21" t="str">
        <f>_xll.BDH("AAL US Equity","RETURN_COM_EQY","FQ4 2020","FQ4 2020","Currency=USD","Period=FQ","BEST_FPERIOD_OVERRIDE=FQ","FILING_STATUS=MR","FA_ADJUSTED=GAAP","Sort=A","Dates=H","DateFormat=P","Fill=—","Direction=H","UseDPDF=Y")</f>
        <v>—</v>
      </c>
      <c r="AP7" s="21" t="str">
        <f>_xll.BDH("AAL US Equity","RETURN_COM_EQY","FQ1 2021","FQ1 2021","Currency=USD","Period=FQ","BEST_FPERIOD_OVERRIDE=FQ","FILING_STATUS=MR","FA_ADJUSTED=GAAP","Sort=A","Dates=H","DateFormat=P","Fill=—","Direction=H","UseDPDF=Y")</f>
        <v>—</v>
      </c>
    </row>
    <row r="8" spans="1:42" x14ac:dyDescent="0.25">
      <c r="A8" s="18" t="s">
        <v>87</v>
      </c>
      <c r="B8" s="18" t="s">
        <v>88</v>
      </c>
      <c r="C8" s="21">
        <f>_xll.BDH("AAL US Equity","RETURN_ON_ASSET","FQ2 2011","FQ2 2011","Currency=USD","Period=FQ","BEST_FPERIOD_OVERRIDE=FQ","FILING_STATUS=MR","FA_ADJUSTED=GAAP","Sort=A","Dates=H","DateFormat=P","Fill=—","Direction=H","UseDPDF=Y")</f>
        <v>-2.6165000000000003</v>
      </c>
      <c r="D8" s="21">
        <f>_xll.BDH("AAL US Equity","RETURN_ON_ASSET","FQ3 2011","FQ3 2011","Currency=USD","Period=FQ","BEST_FPERIOD_OVERRIDE=FQ","FILING_STATUS=MR","FA_ADJUSTED=GAAP","Sort=A","Dates=H","DateFormat=P","Fill=—","Direction=H","UseDPDF=Y")</f>
        <v>-3.9180000000000001</v>
      </c>
      <c r="E8" s="21">
        <f>_xll.BDH("AAL US Equity","RETURN_ON_ASSET","FQ4 2011","FQ4 2011","Currency=USD","Period=FQ","BEST_FPERIOD_OVERRIDE=FQ","FILING_STATUS=MR","FA_ADJUSTED=GAAP","Sort=A","Dates=H","DateFormat=P","Fill=—","Direction=H","UseDPDF=Y")</f>
        <v>-8.0881000000000007</v>
      </c>
      <c r="F8" s="21">
        <f>_xll.BDH("AAL US Equity","RETURN_ON_ASSET","FQ1 2012","FQ1 2012","Currency=USD","Period=FQ","BEST_FPERIOD_OVERRIDE=FQ","FILING_STATUS=MR","FA_ADJUSTED=GAAP","Sort=A","Dates=H","DateFormat=P","Fill=—","Direction=H","UseDPDF=Y")</f>
        <v>-12.409000000000001</v>
      </c>
      <c r="G8" s="21">
        <f>_xll.BDH("AAL US Equity","RETURN_ON_ASSET","FQ2 2012","FQ2 2012","Currency=USD","Period=FQ","BEST_FPERIOD_OVERRIDE=FQ","FILING_STATUS=MR","FA_ADJUSTED=GAAP","Sort=A","Dates=H","DateFormat=P","Fill=—","Direction=H","UseDPDF=Y")</f>
        <v>-12.5037</v>
      </c>
      <c r="H8" s="21">
        <f>_xll.BDH("AAL US Equity","RETURN_ON_ASSET","FQ3 2012","FQ3 2012","Currency=USD","Period=FQ","BEST_FPERIOD_OVERRIDE=FQ","FILING_STATUS=MR","FA_ADJUSTED=GAAP","Sort=A","Dates=H","DateFormat=P","Fill=—","Direction=H","UseDPDF=Y")</f>
        <v>-13.296099999999999</v>
      </c>
      <c r="I8" s="21">
        <f>_xll.BDH("AAL US Equity","RETURN_ON_ASSET","FQ4 2012","FQ4 2012","Currency=USD","Period=FQ","BEST_FPERIOD_OVERRIDE=FQ","FILING_STATUS=MR","FA_ADJUSTED=GAAP","Sort=A","Dates=H","DateFormat=P","Fill=—","Direction=H","UseDPDF=Y")</f>
        <v>-7.9268999999999998</v>
      </c>
      <c r="J8" s="21">
        <f>_xll.BDH("AAL US Equity","RETURN_ON_ASSET","FQ1 2013","FQ1 2013","Currency=USD","Period=FQ","BEST_FPERIOD_OVERRIDE=FQ","FILING_STATUS=MR","FA_ADJUSTED=GAAP","Sort=A","Dates=H","DateFormat=P","Fill=—","Direction=H","UseDPDF=Y")</f>
        <v>-2.3075000000000001</v>
      </c>
      <c r="K8" s="21">
        <f>_xll.BDH("AAL US Equity","RETURN_ON_ASSET","FQ2 2013","FQ2 2013","Currency=USD","Period=FQ","BEST_FPERIOD_OVERRIDE=FQ","FILING_STATUS=MR","FA_ADJUSTED=GAAP","Sort=A","Dates=H","DateFormat=P","Fill=—","Direction=H","UseDPDF=Y")</f>
        <v>-0.38080000000000003</v>
      </c>
      <c r="L8" s="21">
        <f>_xll.BDH("AAL US Equity","RETURN_ON_ASSET","FQ3 2013","FQ3 2013","Currency=USD","Period=FQ","BEST_FPERIOD_OVERRIDE=FQ","FILING_STATUS=MR","FA_ADJUSTED=GAAP","Sort=A","Dates=H","DateFormat=P","Fill=—","Direction=H","UseDPDF=Y")</f>
        <v>1.696</v>
      </c>
      <c r="M8" s="21">
        <f>_xll.BDH("AAL US Equity","RETURN_ON_ASSET","FQ4 2013","FQ4 2013","Currency=USD","Period=FQ","BEST_FPERIOD_OVERRIDE=FQ","FILING_STATUS=MR","FA_ADJUSTED=GAAP","Sort=A","Dates=H","DateFormat=P","Fill=—","Direction=H","UseDPDF=Y")</f>
        <v>-5.5693999999999999</v>
      </c>
      <c r="N8" s="21">
        <f>_xll.BDH("AAL US Equity","RETURN_ON_ASSET","FQ1 2014","FQ1 2014","Currency=USD","Period=FQ","BEST_FPERIOD_OVERRIDE=FQ","FILING_STATUS=MR","FA_ADJUSTED=GAAP","Sort=A","Dates=H","DateFormat=P","Fill=—","Direction=H","UseDPDF=Y")</f>
        <v>-2.9916</v>
      </c>
      <c r="O8" s="21">
        <f>_xll.BDH("AAL US Equity","RETURN_ON_ASSET","FQ2 2014","FQ2 2014","Currency=USD","Period=FQ","BEST_FPERIOD_OVERRIDE=FQ","FILING_STATUS=MR","FA_ADJUSTED=GAAP","Sort=A","Dates=H","DateFormat=P","Fill=—","Direction=H","UseDPDF=Y")</f>
        <v>-1.0334000000000001</v>
      </c>
      <c r="P8" s="21">
        <f>_xll.BDH("AAL US Equity","RETURN_ON_ASSET","FQ3 2014","FQ3 2014","Currency=USD","Period=FQ","BEST_FPERIOD_OVERRIDE=FQ","FILING_STATUS=MR","FA_ADJUSTED=GAAP","Sort=A","Dates=H","DateFormat=P","Fill=—","Direction=H","UseDPDF=Y")</f>
        <v>0.80620000000000003</v>
      </c>
      <c r="Q8" s="21">
        <f>_xll.BDH("AAL US Equity","RETURN_ON_ASSET","FQ4 2014","FQ4 2014","Currency=USD","Period=FQ","BEST_FPERIOD_OVERRIDE=FQ","FILING_STATUS=MR","FA_ADJUSTED=GAAP","Sort=A","Dates=H","DateFormat=P","Fill=—","Direction=H","UseDPDF=Y")</f>
        <v>6.7435999999999998</v>
      </c>
      <c r="R8" s="21">
        <f>_xll.BDH("AAL US Equity","RETURN_ON_ASSET","FQ1 2015","FQ1 2015","Currency=USD","Period=FQ","BEST_FPERIOD_OVERRIDE=FQ","FILING_STATUS=MR","FA_ADJUSTED=GAAP","Sort=A","Dates=H","DateFormat=P","Fill=—","Direction=H","UseDPDF=Y")</f>
        <v>7.3708999999999998</v>
      </c>
      <c r="S8" s="21">
        <f>_xll.BDH("AAL US Equity","RETURN_ON_ASSET","FQ2 2015","FQ2 2015","Currency=USD","Period=FQ","BEST_FPERIOD_OVERRIDE=FQ","FILING_STATUS=MR","FA_ADJUSTED=GAAP","Sort=A","Dates=H","DateFormat=P","Fill=—","Direction=H","UseDPDF=Y")</f>
        <v>9.0096000000000007</v>
      </c>
      <c r="T8" s="21">
        <f>_xll.BDH("AAL US Equity","RETURN_ON_ASSET","FQ3 2015","FQ3 2015","Currency=USD","Period=FQ","BEST_FPERIOD_OVERRIDE=FQ","FILING_STATUS=MR","FA_ADJUSTED=GAAP","Sort=A","Dates=H","DateFormat=P","Fill=—","Direction=H","UseDPDF=Y")</f>
        <v>10.606299999999999</v>
      </c>
      <c r="U8" s="21">
        <f>_xll.BDH("AAL US Equity","RETURN_ON_ASSET","FQ4 2015","FQ4 2015","Currency=USD","Period=FQ","BEST_FPERIOD_OVERRIDE=FQ","FILING_STATUS=MR","FA_ADJUSTED=GAAP","Sort=A","Dates=H","DateFormat=P","Fill=—","Direction=H","UseDPDF=Y")</f>
        <v>16.608499999999999</v>
      </c>
      <c r="V8" s="21">
        <f>_xll.BDH("AAL US Equity","RETURN_ON_ASSET","FQ1 2016","FQ1 2016","Currency=USD","Period=FQ","BEST_FPERIOD_OVERRIDE=FQ","FILING_STATUS=MR","FA_ADJUSTED=GAAP","Sort=A","Dates=H","DateFormat=P","Fill=—","Direction=H","UseDPDF=Y")</f>
        <v>15.2654</v>
      </c>
      <c r="W8" s="21">
        <f>_xll.BDH("AAL US Equity","RETURN_ON_ASSET","FQ2 2016","FQ2 2016","Currency=USD","Period=FQ","BEST_FPERIOD_OVERRIDE=FQ","FILING_STATUS=MR","FA_ADJUSTED=GAAP","Sort=A","Dates=H","DateFormat=P","Fill=—","Direction=H","UseDPDF=Y")</f>
        <v>13.392799999999999</v>
      </c>
      <c r="X8" s="21">
        <f>_xll.BDH("AAL US Equity","RETURN_ON_ASSET","FQ3 2016","FQ3 2016","Currency=USD","Period=FQ","BEST_FPERIOD_OVERRIDE=FQ","FILING_STATUS=MR","FA_ADJUSTED=GAAP","Sort=A","Dates=H","DateFormat=P","Fill=—","Direction=H","UseDPDF=Y")</f>
        <v>11.3561</v>
      </c>
      <c r="Y8" s="21">
        <f>_xll.BDH("AAL US Equity","RETURN_ON_ASSET","FQ4 2016","FQ4 2016","Currency=USD","Period=FQ","BEST_FPERIOD_OVERRIDE=FQ","FILING_STATUS=MR","FA_ADJUSTED=GAAP","Sort=A","Dates=H","DateFormat=P","Fill=—","Direction=H","UseDPDF=Y")</f>
        <v>5.3687000000000005</v>
      </c>
      <c r="Z8" s="21">
        <f>_xll.BDH("AAL US Equity","RETURN_ON_ASSET","FQ1 2017","FQ1 2017","Currency=USD","Period=FQ","BEST_FPERIOD_OVERRIDE=FQ","FILING_STATUS=MR","FA_ADJUSTED=GAAP","Sort=A","Dates=H","DateFormat=P","Fill=—","Direction=H","UseDPDF=Y")</f>
        <v>4.5174000000000003</v>
      </c>
      <c r="AA8" s="21">
        <f>_xll.BDH("AAL US Equity","RETURN_ON_ASSET","FQ2 2017","FQ2 2017","Currency=USD","Period=FQ","BEST_FPERIOD_OVERRIDE=FQ","FILING_STATUS=MR","FA_ADJUSTED=GAAP","Sort=A","Dates=H","DateFormat=P","Fill=—","Direction=H","UseDPDF=Y")</f>
        <v>4.2725999999999997</v>
      </c>
      <c r="AB8" s="21">
        <f>_xll.BDH("AAL US Equity","RETURN_ON_ASSET","FQ3 2017","FQ3 2017","Currency=USD","Period=FQ","BEST_FPERIOD_OVERRIDE=FQ","FILING_STATUS=MR","FA_ADJUSTED=GAAP","Sort=A","Dates=H","DateFormat=P","Fill=—","Direction=H","UseDPDF=Y")</f>
        <v>4.1619999999999999</v>
      </c>
      <c r="AC8" s="21">
        <f>_xll.BDH("AAL US Equity","RETURN_ON_ASSET","FQ4 2017","FQ4 2017","Currency=USD","Period=FQ","BEST_FPERIOD_OVERRIDE=FQ","FILING_STATUS=MR","FA_ADJUSTED=GAAP","Sort=A","Dates=H","DateFormat=P","Fill=—","Direction=H","UseDPDF=Y")</f>
        <v>2.464</v>
      </c>
      <c r="AD8" s="21">
        <f>_xll.BDH("AAL US Equity","RETURN_ON_ASSET","FQ1 2018","FQ1 2018","Currency=USD","Period=FQ","BEST_FPERIOD_OVERRIDE=FQ","FILING_STATUS=MR","FA_ADJUSTED=GAAP","Sort=A","Dates=H","DateFormat=P","Fill=—","Direction=H","UseDPDF=Y")</f>
        <v>2.0792000000000002</v>
      </c>
      <c r="AE8" s="21">
        <f>_xll.BDH("AAL US Equity","RETURN_ON_ASSET","FQ2 2018","FQ2 2018","Currency=USD","Period=FQ","BEST_FPERIOD_OVERRIDE=FQ","FILING_STATUS=MR","FA_ADJUSTED=GAAP","Sort=A","Dates=H","DateFormat=P","Fill=—","Direction=H","UseDPDF=Y")</f>
        <v>1.4967999999999999</v>
      </c>
      <c r="AF8" s="21">
        <f>_xll.BDH("AAL US Equity","RETURN_ON_ASSET","FQ3 2018","FQ3 2018","Currency=USD","Period=FQ","BEST_FPERIOD_OVERRIDE=FQ","FILING_STATUS=MR","FA_ADJUSTED=GAAP","Sort=A","Dates=H","DateFormat=P","Fill=—","Direction=H","UseDPDF=Y")</f>
        <v>0.9597</v>
      </c>
      <c r="AG8" s="21">
        <f>_xll.BDH("AAL US Equity","RETURN_ON_ASSET","FQ4 2018","FQ4 2018","Currency=USD","Period=FQ","BEST_FPERIOD_OVERRIDE=FQ","FILING_STATUS=MR","FA_ADJUSTED=GAAP","Sort=A","Dates=H","DateFormat=P","Fill=—","Direction=H","UseDPDF=Y")</f>
        <v>2.4805000000000001</v>
      </c>
      <c r="AH8" s="21">
        <f>_xll.BDH("AAL US Equity","RETURN_ON_ASSET","FQ1 2019","FQ1 2019","Currency=USD","Period=FQ","BEST_FPERIOD_OVERRIDE=FQ","FILING_STATUS=MR","FA_ADJUSTED=GAAP","Sort=A","Dates=H","DateFormat=P","Fill=—","Direction=H","UseDPDF=Y")</f>
        <v>2.5108000000000001</v>
      </c>
      <c r="AI8" s="21">
        <f>_xll.BDH("AAL US Equity","RETURN_ON_ASSET","FQ2 2019","FQ2 2019","Currency=USD","Period=FQ","BEST_FPERIOD_OVERRIDE=FQ","FILING_STATUS=MR","FA_ADJUSTED=GAAP","Sort=A","Dates=H","DateFormat=P","Fill=—","Direction=H","UseDPDF=Y")</f>
        <v>2.6844000000000001</v>
      </c>
      <c r="AJ8" s="21">
        <f>_xll.BDH("AAL US Equity","RETURN_ON_ASSET","FQ3 2019","FQ3 2019","Currency=USD","Period=FQ","BEST_FPERIOD_OVERRIDE=FQ","FILING_STATUS=MR","FA_ADJUSTED=GAAP","Sort=A","Dates=H","DateFormat=P","Fill=—","Direction=H","UseDPDF=Y")</f>
        <v>2.7959000000000001</v>
      </c>
      <c r="AK8" s="21">
        <f>_xll.BDH("AAL US Equity","RETURN_ON_ASSET","FQ4 2019","FQ4 2019","Currency=USD","Period=FQ","BEST_FPERIOD_OVERRIDE=FQ","FILING_STATUS=MR","FA_ADJUSTED=GAAP","Sort=A","Dates=H","DateFormat=P","Fill=—","Direction=H","UseDPDF=Y")</f>
        <v>2.7965999999999998</v>
      </c>
      <c r="AL8" s="21">
        <f>_xll.BDH("AAL US Equity","RETURN_ON_ASSET","FQ1 2020","FQ1 2020","Currency=USD","Period=FQ","BEST_FPERIOD_OVERRIDE=FQ","FILING_STATUS=MR","FA_ADJUSTED=GAAP","Sort=A","Dates=H","DateFormat=P","Fill=—","Direction=H","UseDPDF=Y")</f>
        <v>-1.2399</v>
      </c>
      <c r="AM8" s="21">
        <f>_xll.BDH("AAL US Equity","RETURN_ON_ASSET","FQ2 2020","FQ2 2020","Currency=USD","Period=FQ","BEST_FPERIOD_OVERRIDE=FQ","FILING_STATUS=MR","FA_ADJUSTED=GAAP","Sort=A","Dates=H","DateFormat=P","Fill=—","Direction=H","UseDPDF=Y")</f>
        <v>-5.4840999999999998</v>
      </c>
      <c r="AN8" s="21">
        <f>_xll.BDH("AAL US Equity","RETURN_ON_ASSET","FQ3 2020","FQ3 2020","Currency=USD","Period=FQ","BEST_FPERIOD_OVERRIDE=FQ","FILING_STATUS=MR","FA_ADJUSTED=GAAP","Sort=A","Dates=H","DateFormat=P","Fill=—","Direction=H","UseDPDF=Y")</f>
        <v>-10.154299999999999</v>
      </c>
      <c r="AO8" s="21">
        <f>_xll.BDH("AAL US Equity","RETURN_ON_ASSET","FQ4 2020","FQ4 2020","Currency=USD","Period=FQ","BEST_FPERIOD_OVERRIDE=FQ","FILING_STATUS=MR","FA_ADJUSTED=GAAP","Sort=A","Dates=H","DateFormat=P","Fill=—","Direction=H","UseDPDF=Y")</f>
        <v>-14.565200000000001</v>
      </c>
      <c r="AP8" s="21">
        <f>_xll.BDH("AAL US Equity","RETURN_ON_ASSET","FQ1 2021","FQ1 2021","Currency=USD","Period=FQ","BEST_FPERIOD_OVERRIDE=FQ","FILING_STATUS=MR","FA_ADJUSTED=GAAP","Sort=A","Dates=H","DateFormat=P","Fill=—","Direction=H","UseDPDF=Y")</f>
        <v>-12.4091</v>
      </c>
    </row>
    <row r="9" spans="1:42" x14ac:dyDescent="0.25">
      <c r="A9" s="18" t="s">
        <v>89</v>
      </c>
      <c r="B9" s="18" t="s">
        <v>90</v>
      </c>
      <c r="C9" s="21">
        <f>_xll.BDH("AAL US Equity","RETURN_ON_CAP","FQ2 2011","FQ2 2011","Currency=USD","Period=FQ","BEST_FPERIOD_OVERRIDE=FQ","FILING_STATUS=MR","FA_ADJUSTED=GAAP","Sort=A","Dates=H","DateFormat=P","Fill=—","Direction=H","UseDPDF=Y")</f>
        <v>-2.1753999999999998</v>
      </c>
      <c r="D9" s="21">
        <f>_xll.BDH("AAL US Equity","RETURN_ON_CAP","FQ3 2011","FQ3 2011","Currency=USD","Period=FQ","BEST_FPERIOD_OVERRIDE=FQ","FILING_STATUS=MR","FA_ADJUSTED=GAAP","Sort=A","Dates=H","DateFormat=P","Fill=—","Direction=H","UseDPDF=Y")</f>
        <v>-6.4512</v>
      </c>
      <c r="E9" s="21">
        <f>_xll.BDH("AAL US Equity","RETURN_ON_CAP","FQ4 2011","FQ4 2011","Currency=USD","Period=FQ","BEST_FPERIOD_OVERRIDE=FQ","FILING_STATUS=MR","FA_ADJUSTED=GAAP","Sort=A","Dates=H","DateFormat=P","Fill=—","Direction=H","UseDPDF=Y")</f>
        <v>-35.391599999999997</v>
      </c>
      <c r="F9" s="21">
        <f>_xll.BDH("AAL US Equity","RETURN_ON_CAP","FQ1 2012","FQ1 2012","Currency=USD","Period=FQ","BEST_FPERIOD_OVERRIDE=FQ","FILING_STATUS=MR","FA_ADJUSTED=GAAP","Sort=A","Dates=H","DateFormat=P","Fill=—","Direction=H","UseDPDF=Y")</f>
        <v>-67.479100000000003</v>
      </c>
      <c r="G9" s="21">
        <f>_xll.BDH("AAL US Equity","RETURN_ON_CAP","FQ2 2012","FQ2 2012","Currency=USD","Period=FQ","BEST_FPERIOD_OVERRIDE=FQ","FILING_STATUS=MR","FA_ADJUSTED=GAAP","Sort=A","Dates=H","DateFormat=P","Fill=—","Direction=H","UseDPDF=Y")</f>
        <v>-79.697400000000002</v>
      </c>
      <c r="H9" s="21">
        <f>_xll.BDH("AAL US Equity","RETURN_ON_CAP","FQ3 2012","FQ3 2012","Currency=USD","Period=FQ","BEST_FPERIOD_OVERRIDE=FQ","FILING_STATUS=MR","FA_ADJUSTED=GAAP","Sort=A","Dates=H","DateFormat=P","Fill=—","Direction=H","UseDPDF=Y")</f>
        <v>-75.474800000000002</v>
      </c>
      <c r="I9" s="21">
        <f>_xll.BDH("AAL US Equity","RETURN_ON_CAP","FQ4 2012","FQ4 2012","Currency=USD","Period=FQ","BEST_FPERIOD_OVERRIDE=FQ","FILING_STATUS=MR","FA_ADJUSTED=GAAP","Sort=A","Dates=H","DateFormat=P","Fill=—","Direction=H","UseDPDF=Y")</f>
        <v>-178.22569999999999</v>
      </c>
      <c r="J9" s="21" t="str">
        <f>_xll.BDH("AAL US Equity","RETURN_ON_CAP","FQ1 2013","FQ1 2013","Currency=USD","Period=FQ","BEST_FPERIOD_OVERRIDE=FQ","FILING_STATUS=MR","FA_ADJUSTED=GAAP","Sort=A","Dates=H","DateFormat=P","Fill=—","Direction=H","UseDPDF=Y")</f>
        <v>—</v>
      </c>
      <c r="K9" s="21">
        <f>_xll.BDH("AAL US Equity","RETURN_ON_CAP","FQ2 2013","FQ2 2013","Currency=USD","Period=FQ","BEST_FPERIOD_OVERRIDE=FQ","FILING_STATUS=MR","FA_ADJUSTED=GAAP","Sort=A","Dates=H","DateFormat=P","Fill=—","Direction=H","UseDPDF=Y")</f>
        <v>84.532899999999998</v>
      </c>
      <c r="L9" s="21">
        <f>_xll.BDH("AAL US Equity","RETURN_ON_CAP","FQ3 2013","FQ3 2013","Currency=USD","Period=FQ","BEST_FPERIOD_OVERRIDE=FQ","FILING_STATUS=MR","FA_ADJUSTED=GAAP","Sort=A","Dates=H","DateFormat=P","Fill=—","Direction=H","UseDPDF=Y")</f>
        <v>57.169199999999996</v>
      </c>
      <c r="M9" s="21">
        <f>_xll.BDH("AAL US Equity","RETURN_ON_CAP","FQ4 2013","FQ4 2013","Currency=USD","Period=FQ","BEST_FPERIOD_OVERRIDE=FQ","FILING_STATUS=MR","FA_ADJUSTED=GAAP","Sort=A","Dates=H","DateFormat=P","Fill=—","Direction=H","UseDPDF=Y")</f>
        <v>-12.4246</v>
      </c>
      <c r="N9" s="21">
        <f>_xll.BDH("AAL US Equity","RETURN_ON_CAP","FQ1 2014","FQ1 2014","Currency=USD","Period=FQ","BEST_FPERIOD_OVERRIDE=FQ","FILING_STATUS=MR","FA_ADJUSTED=GAAP","Sort=A","Dates=H","DateFormat=P","Fill=—","Direction=H","UseDPDF=Y")</f>
        <v>-4.6163999999999996</v>
      </c>
      <c r="O9" s="21">
        <f>_xll.BDH("AAL US Equity","RETURN_ON_CAP","FQ2 2014","FQ2 2014","Currency=USD","Period=FQ","BEST_FPERIOD_OVERRIDE=FQ","FILING_STATUS=MR","FA_ADJUSTED=GAAP","Sort=A","Dates=H","DateFormat=P","Fill=—","Direction=H","UseDPDF=Y")</f>
        <v>1.9039999999999999</v>
      </c>
      <c r="P9" s="21">
        <f>_xll.BDH("AAL US Equity","RETURN_ON_CAP","FQ3 2014","FQ3 2014","Currency=USD","Period=FQ","BEST_FPERIOD_OVERRIDE=FQ","FILING_STATUS=MR","FA_ADJUSTED=GAAP","Sort=A","Dates=H","DateFormat=P","Fill=—","Direction=H","UseDPDF=Y")</f>
        <v>8.5669000000000004</v>
      </c>
      <c r="Q9" s="21">
        <f>_xll.BDH("AAL US Equity","RETURN_ON_CAP","FQ4 2014","FQ4 2014","Currency=USD","Period=FQ","BEST_FPERIOD_OVERRIDE=FQ","FILING_STATUS=MR","FA_ADJUSTED=GAAP","Sort=A","Dates=H","DateFormat=P","Fill=—","Direction=H","UseDPDF=Y")</f>
        <v>18.516200000000001</v>
      </c>
      <c r="R9" s="21">
        <f>_xll.BDH("AAL US Equity","RETURN_ON_CAP","FQ1 2015","FQ1 2015","Currency=USD","Period=FQ","BEST_FPERIOD_OVERRIDE=FQ","FILING_STATUS=MR","FA_ADJUSTED=GAAP","Sort=A","Dates=H","DateFormat=P","Fill=—","Direction=H","UseDPDF=Y")</f>
        <v>19.6828</v>
      </c>
      <c r="S9" s="21">
        <f>_xll.BDH("AAL US Equity","RETURN_ON_CAP","FQ2 2015","FQ2 2015","Currency=USD","Period=FQ","BEST_FPERIOD_OVERRIDE=FQ","FILING_STATUS=MR","FA_ADJUSTED=GAAP","Sort=A","Dates=H","DateFormat=P","Fill=—","Direction=H","UseDPDF=Y")</f>
        <v>23.076000000000001</v>
      </c>
      <c r="T9" s="21">
        <f>_xll.BDH("AAL US Equity","RETURN_ON_CAP","FQ3 2015","FQ3 2015","Currency=USD","Period=FQ","BEST_FPERIOD_OVERRIDE=FQ","FILING_STATUS=MR","FA_ADJUSTED=GAAP","Sort=A","Dates=H","DateFormat=P","Fill=—","Direction=H","UseDPDF=Y")</f>
        <v>24.8628</v>
      </c>
      <c r="U9" s="21">
        <f>_xll.BDH("AAL US Equity","RETURN_ON_CAP","FQ4 2015","FQ4 2015","Currency=USD","Period=FQ","BEST_FPERIOD_OVERRIDE=FQ","FILING_STATUS=MR","FA_ADJUSTED=GAAP","Sort=A","Dates=H","DateFormat=P","Fill=—","Direction=H","UseDPDF=Y")</f>
        <v>35.625500000000002</v>
      </c>
      <c r="V9" s="21">
        <f>_xll.BDH("AAL US Equity","RETURN_ON_CAP","FQ1 2016","FQ1 2016","Currency=USD","Period=FQ","BEST_FPERIOD_OVERRIDE=FQ","FILING_STATUS=MR","FA_ADJUSTED=GAAP","Sort=A","Dates=H","DateFormat=P","Fill=—","Direction=H","UseDPDF=Y")</f>
        <v>33.109699999999997</v>
      </c>
      <c r="W9" s="21">
        <f>_xll.BDH("AAL US Equity","RETURN_ON_CAP","FQ2 2016","FQ2 2016","Currency=USD","Period=FQ","BEST_FPERIOD_OVERRIDE=FQ","FILING_STATUS=MR","FA_ADJUSTED=GAAP","Sort=A","Dates=H","DateFormat=P","Fill=—","Direction=H","UseDPDF=Y")</f>
        <v>29.17</v>
      </c>
      <c r="X9" s="21">
        <f>_xll.BDH("AAL US Equity","RETURN_ON_CAP","FQ3 2016","FQ3 2016","Currency=USD","Period=FQ","BEST_FPERIOD_OVERRIDE=FQ","FILING_STATUS=MR","FA_ADJUSTED=GAAP","Sort=A","Dates=H","DateFormat=P","Fill=—","Direction=H","UseDPDF=Y")</f>
        <v>24.190999999999999</v>
      </c>
      <c r="Y9" s="21">
        <f>_xll.BDH("AAL US Equity","RETURN_ON_CAP","FQ4 2016","FQ4 2016","Currency=USD","Period=FQ","BEST_FPERIOD_OVERRIDE=FQ","FILING_STATUS=MR","FA_ADJUSTED=GAAP","Sort=A","Dates=H","DateFormat=P","Fill=—","Direction=H","UseDPDF=Y")</f>
        <v>12.1251</v>
      </c>
      <c r="Z9" s="21">
        <f>_xll.BDH("AAL US Equity","RETURN_ON_CAP","FQ1 2017","FQ1 2017","Currency=USD","Period=FQ","BEST_FPERIOD_OVERRIDE=FQ","FILING_STATUS=MR","FA_ADJUSTED=GAAP","Sort=A","Dates=H","DateFormat=P","Fill=—","Direction=H","UseDPDF=Y")</f>
        <v>10.817600000000001</v>
      </c>
      <c r="AA9" s="21">
        <f>_xll.BDH("AAL US Equity","RETURN_ON_CAP","FQ2 2017","FQ2 2017","Currency=USD","Period=FQ","BEST_FPERIOD_OVERRIDE=FQ","FILING_STATUS=MR","FA_ADJUSTED=GAAP","Sort=A","Dates=H","DateFormat=P","Fill=—","Direction=H","UseDPDF=Y")</f>
        <v>10.2707</v>
      </c>
      <c r="AB9" s="21">
        <f>_xll.BDH("AAL US Equity","RETURN_ON_CAP","FQ3 2017","FQ3 2017","Currency=USD","Period=FQ","BEST_FPERIOD_OVERRIDE=FQ","FILING_STATUS=MR","FA_ADJUSTED=GAAP","Sort=A","Dates=H","DateFormat=P","Fill=—","Direction=H","UseDPDF=Y")</f>
        <v>9.9223999999999997</v>
      </c>
      <c r="AC9" s="21">
        <f>_xll.BDH("AAL US Equity","RETURN_ON_CAP","FQ4 2017","FQ4 2017","Currency=USD","Period=FQ","BEST_FPERIOD_OVERRIDE=FQ","FILING_STATUS=MR","FA_ADJUSTED=GAAP","Sort=A","Dates=H","DateFormat=P","Fill=—","Direction=H","UseDPDF=Y")</f>
        <v>6.4076000000000004</v>
      </c>
      <c r="AD9" s="21">
        <f>_xll.BDH("AAL US Equity","RETURN_ON_CAP","FQ1 2018","FQ1 2018","Currency=USD","Period=FQ","BEST_FPERIOD_OVERRIDE=FQ","FILING_STATUS=MR","FA_ADJUSTED=GAAP","Sort=A","Dates=H","DateFormat=P","Fill=—","Direction=H","UseDPDF=Y")</f>
        <v>5.7100999999999997</v>
      </c>
      <c r="AE9" s="21">
        <f>_xll.BDH("AAL US Equity","RETURN_ON_CAP","FQ2 2018","FQ2 2018","Currency=USD","Period=FQ","BEST_FPERIOD_OVERRIDE=FQ","FILING_STATUS=MR","FA_ADJUSTED=GAAP","Sort=A","Dates=H","DateFormat=P","Fill=—","Direction=H","UseDPDF=Y")</f>
        <v>4.3762999999999996</v>
      </c>
      <c r="AF9" s="21">
        <f>_xll.BDH("AAL US Equity","RETURN_ON_CAP","FQ3 2018","FQ3 2018","Currency=USD","Period=FQ","BEST_FPERIOD_OVERRIDE=FQ","FILING_STATUS=MR","FA_ADJUSTED=GAAP","Sort=A","Dates=H","DateFormat=P","Fill=—","Direction=H","UseDPDF=Y")</f>
        <v>2.9664999999999999</v>
      </c>
      <c r="AG9" s="21">
        <f>_xll.BDH("AAL US Equity","RETURN_ON_CAP","FQ4 2018","FQ4 2018","Currency=USD","Period=FQ","BEST_FPERIOD_OVERRIDE=FQ","FILING_STATUS=MR","FA_ADJUSTED=GAAP","Sort=A","Dates=H","DateFormat=P","Fill=—","Direction=H","UseDPDF=Y")</f>
        <v>7.5353000000000003</v>
      </c>
      <c r="AH9" s="21">
        <f>_xll.BDH("AAL US Equity","RETURN_ON_CAP","FQ1 2019","FQ1 2019","Currency=USD","Period=FQ","BEST_FPERIOD_OVERRIDE=FQ","FILING_STATUS=MR","FA_ADJUSTED=GAAP","Sort=A","Dates=H","DateFormat=P","Fill=—","Direction=H","UseDPDF=Y")</f>
        <v>7.9077000000000002</v>
      </c>
      <c r="AI9" s="21">
        <f>_xll.BDH("AAL US Equity","RETURN_ON_CAP","FQ2 2019","FQ2 2019","Currency=USD","Period=FQ","BEST_FPERIOD_OVERRIDE=FQ","FILING_STATUS=MR","FA_ADJUSTED=GAAP","Sort=A","Dates=H","DateFormat=P","Fill=—","Direction=H","UseDPDF=Y")</f>
        <v>8.1321999999999992</v>
      </c>
      <c r="AJ9" s="21">
        <f>_xll.BDH("AAL US Equity","RETURN_ON_CAP","FQ3 2019","FQ3 2019","Currency=USD","Period=FQ","BEST_FPERIOD_OVERRIDE=FQ","FILING_STATUS=MR","FA_ADJUSTED=GAAP","Sort=A","Dates=H","DateFormat=P","Fill=—","Direction=H","UseDPDF=Y")</f>
        <v>8.2613000000000003</v>
      </c>
      <c r="AK9" s="21">
        <f>_xll.BDH("AAL US Equity","RETURN_ON_CAP","FQ4 2019","FQ4 2019","Currency=USD","Period=FQ","BEST_FPERIOD_OVERRIDE=FQ","FILING_STATUS=MR","FA_ADJUSTED=GAAP","Sort=A","Dates=H","DateFormat=P","Fill=—","Direction=H","UseDPDF=Y")</f>
        <v>7.4549000000000003</v>
      </c>
      <c r="AL9" s="21">
        <f>_xll.BDH("AAL US Equity","RETURN_ON_CAP","FQ1 2020","FQ1 2020","Currency=USD","Period=FQ","BEST_FPERIOD_OVERRIDE=FQ","FILING_STATUS=MR","FA_ADJUSTED=GAAP","Sort=A","Dates=H","DateFormat=P","Fill=—","Direction=H","UseDPDF=Y")</f>
        <v>0.35489999999999999</v>
      </c>
      <c r="AM9" s="21">
        <f>_xll.BDH("AAL US Equity","RETURN_ON_CAP","FQ2 2020","FQ2 2020","Currency=USD","Period=FQ","BEST_FPERIOD_OVERRIDE=FQ","FILING_STATUS=MR","FA_ADJUSTED=GAAP","Sort=A","Dates=H","DateFormat=P","Fill=—","Direction=H","UseDPDF=Y")</f>
        <v>-7.3502000000000001</v>
      </c>
      <c r="AN9" s="21">
        <f>_xll.BDH("AAL US Equity","RETURN_ON_CAP","FQ3 2020","FQ3 2020","Currency=USD","Period=FQ","BEST_FPERIOD_OVERRIDE=FQ","FILING_STATUS=MR","FA_ADJUSTED=GAAP","Sort=A","Dates=H","DateFormat=P","Fill=—","Direction=H","UseDPDF=Y")</f>
        <v>-15.4001</v>
      </c>
      <c r="AO9" s="21">
        <f>_xll.BDH("AAL US Equity","RETURN_ON_CAP","FQ4 2020","FQ4 2020","Currency=USD","Period=FQ","BEST_FPERIOD_OVERRIDE=FQ","FILING_STATUS=MR","FA_ADJUSTED=GAAP","Sort=A","Dates=H","DateFormat=P","Fill=—","Direction=H","UseDPDF=Y")</f>
        <v>-23.460799999999999</v>
      </c>
      <c r="AP9" s="21">
        <f>_xll.BDH("AAL US Equity","RETURN_ON_CAP","FQ1 2021","FQ1 2021","Currency=USD","Period=FQ","BEST_FPERIOD_OVERRIDE=FQ","FILING_STATUS=MR","FA_ADJUSTED=GAAP","Sort=A","Dates=H","DateFormat=P","Fill=—","Direction=H","UseDPDF=Y")</f>
        <v>-19.113499999999998</v>
      </c>
    </row>
    <row r="10" spans="1:42" x14ac:dyDescent="0.25">
      <c r="A10" s="18" t="s">
        <v>91</v>
      </c>
      <c r="B10" s="18" t="s">
        <v>92</v>
      </c>
      <c r="C10" s="21">
        <f>_xll.BDH("AAL US Equity","RETURN_ON_INV_CAPITAL","FQ2 2011","FQ2 2011","Currency=USD","Period=FQ","BEST_FPERIOD_OVERRIDE=FQ","FILING_STATUS=MR","FA_ADJUSTED=GAAP","Sort=A","Dates=H","DateFormat=P","Fill=—","Direction=H","UseDPDF=Y")</f>
        <v>0.84540000000000004</v>
      </c>
      <c r="D10" s="21">
        <f>_xll.BDH("AAL US Equity","RETURN_ON_INV_CAPITAL","FQ3 2011","FQ3 2011","Currency=USD","Period=FQ","BEST_FPERIOD_OVERRIDE=FQ","FILING_STATUS=MR","FA_ADJUSTED=GAAP","Sort=A","Dates=H","DateFormat=P","Fill=—","Direction=H","UseDPDF=Y")</f>
        <v>-3.4996</v>
      </c>
      <c r="E10" s="21">
        <f>_xll.BDH("AAL US Equity","RETURN_ON_INV_CAPITAL","FQ4 2011","FQ4 2011","Currency=USD","Period=FQ","BEST_FPERIOD_OVERRIDE=FQ","FILING_STATUS=MR","FA_ADJUSTED=GAAP","Sort=A","Dates=H","DateFormat=P","Fill=—","Direction=H","UseDPDF=Y")</f>
        <v>-28.3795</v>
      </c>
      <c r="F10" s="21">
        <f>_xll.BDH("AAL US Equity","RETURN_ON_INV_CAPITAL","FQ1 2012","FQ1 2012","Currency=USD","Period=FQ","BEST_FPERIOD_OVERRIDE=FQ","FILING_STATUS=MR","FA_ADJUSTED=GAAP","Sort=A","Dates=H","DateFormat=P","Fill=—","Direction=H","UseDPDF=Y")</f>
        <v>-37.126899999999999</v>
      </c>
      <c r="G10" s="21">
        <f>_xll.BDH("AAL US Equity","RETURN_ON_INV_CAPITAL","FQ2 2012","FQ2 2012","Currency=USD","Period=FQ","BEST_FPERIOD_OVERRIDE=FQ","FILING_STATUS=MR","FA_ADJUSTED=GAAP","Sort=A","Dates=H","DateFormat=P","Fill=—","Direction=H","UseDPDF=Y")</f>
        <v>-38.596299999999999</v>
      </c>
      <c r="H10" s="21">
        <f>_xll.BDH("AAL US Equity","RETURN_ON_INV_CAPITAL","FQ3 2012","FQ3 2012","Currency=USD","Period=FQ","BEST_FPERIOD_OVERRIDE=FQ","FILING_STATUS=MR","FA_ADJUSTED=GAAP","Sort=A","Dates=H","DateFormat=P","Fill=—","Direction=H","UseDPDF=Y")</f>
        <v>-34.956299999999999</v>
      </c>
      <c r="I10" s="21">
        <f>_xll.BDH("AAL US Equity","RETURN_ON_INV_CAPITAL","FQ4 2012","FQ4 2012","Currency=USD","Period=FQ","BEST_FPERIOD_OVERRIDE=FQ","FILING_STATUS=MR","FA_ADJUSTED=GAAP","Sort=A","Dates=H","DateFormat=P","Fill=—","Direction=H","UseDPDF=Y")</f>
        <v>13.762499999999999</v>
      </c>
      <c r="J10" s="21" t="str">
        <f>_xll.BDH("AAL US Equity","RETURN_ON_INV_CAPITAL","FQ1 2013","FQ1 2013","Currency=USD","Period=FQ","BEST_FPERIOD_OVERRIDE=FQ","FILING_STATUS=MR","FA_ADJUSTED=GAAP","Sort=A","Dates=H","DateFormat=P","Fill=—","Direction=H","UseDPDF=Y")</f>
        <v>—</v>
      </c>
      <c r="K10" s="21">
        <f>_xll.BDH("AAL US Equity","RETURN_ON_INV_CAPITAL","FQ2 2013","FQ2 2013","Currency=USD","Period=FQ","BEST_FPERIOD_OVERRIDE=FQ","FILING_STATUS=MR","FA_ADJUSTED=GAAP","Sort=A","Dates=H","DateFormat=P","Fill=—","Direction=H","UseDPDF=Y")</f>
        <v>241.30330000000001</v>
      </c>
      <c r="L10" s="21">
        <f>_xll.BDH("AAL US Equity","RETURN_ON_INV_CAPITAL","FQ3 2013","FQ3 2013","Currency=USD","Period=FQ","BEST_FPERIOD_OVERRIDE=FQ","FILING_STATUS=MR","FA_ADJUSTED=GAAP","Sort=A","Dates=H","DateFormat=P","Fill=—","Direction=H","UseDPDF=Y")</f>
        <v>104.15989999999999</v>
      </c>
      <c r="M10" s="21">
        <f>_xll.BDH("AAL US Equity","RETURN_ON_INV_CAPITAL","FQ4 2013","FQ4 2013","Currency=USD","Period=FQ","BEST_FPERIOD_OVERRIDE=FQ","FILING_STATUS=MR","FA_ADJUSTED=GAAP","Sort=A","Dates=H","DateFormat=P","Fill=—","Direction=H","UseDPDF=Y")</f>
        <v>7.4455999999999998</v>
      </c>
      <c r="N10" s="21">
        <f>_xll.BDH("AAL US Equity","RETURN_ON_INV_CAPITAL","FQ1 2014","FQ1 2014","Currency=USD","Period=FQ","BEST_FPERIOD_OVERRIDE=FQ","FILING_STATUS=MR","FA_ADJUSTED=GAAP","Sort=A","Dates=H","DateFormat=P","Fill=—","Direction=H","UseDPDF=Y")</f>
        <v>15.3058</v>
      </c>
      <c r="O10" s="21">
        <f>_xll.BDH("AAL US Equity","RETURN_ON_INV_CAPITAL","FQ2 2014","FQ2 2014","Currency=USD","Period=FQ","BEST_FPERIOD_OVERRIDE=FQ","FILING_STATUS=MR","FA_ADJUSTED=GAAP","Sort=A","Dates=H","DateFormat=P","Fill=—","Direction=H","UseDPDF=Y")</f>
        <v>17.802399999999999</v>
      </c>
      <c r="P10" s="21">
        <f>_xll.BDH("AAL US Equity","RETURN_ON_INV_CAPITAL","FQ3 2014","FQ3 2014","Currency=USD","Period=FQ","BEST_FPERIOD_OVERRIDE=FQ","FILING_STATUS=MR","FA_ADJUSTED=GAAP","Sort=A","Dates=H","DateFormat=P","Fill=—","Direction=H","UseDPDF=Y")</f>
        <v>20.563199999999998</v>
      </c>
      <c r="Q10" s="21">
        <f>_xll.BDH("AAL US Equity","RETURN_ON_INV_CAPITAL","FQ4 2014","FQ4 2014","Currency=USD","Period=FQ","BEST_FPERIOD_OVERRIDE=FQ","FILING_STATUS=MR","FA_ADJUSTED=GAAP","Sort=A","Dates=H","DateFormat=P","Fill=—","Direction=H","UseDPDF=Y")</f>
        <v>19.415900000000001</v>
      </c>
      <c r="R10" s="21">
        <f>_xll.BDH("AAL US Equity","RETURN_ON_INV_CAPITAL","FQ1 2015","FQ1 2015","Currency=USD","Period=FQ","BEST_FPERIOD_OVERRIDE=FQ","FILING_STATUS=MR","FA_ADJUSTED=GAAP","Sort=A","Dates=H","DateFormat=P","Fill=—","Direction=H","UseDPDF=Y")</f>
        <v>20.802</v>
      </c>
      <c r="S10" s="21">
        <f>_xll.BDH("AAL US Equity","RETURN_ON_INV_CAPITAL","FQ2 2015","FQ2 2015","Currency=USD","Period=FQ","BEST_FPERIOD_OVERRIDE=FQ","FILING_STATUS=MR","FA_ADJUSTED=GAAP","Sort=A","Dates=H","DateFormat=P","Fill=—","Direction=H","UseDPDF=Y")</f>
        <v>24.030200000000001</v>
      </c>
      <c r="T10" s="21">
        <f>_xll.BDH("AAL US Equity","RETURN_ON_INV_CAPITAL","FQ3 2015","FQ3 2015","Currency=USD","Period=FQ","BEST_FPERIOD_OVERRIDE=FQ","FILING_STATUS=MR","FA_ADJUSTED=GAAP","Sort=A","Dates=H","DateFormat=P","Fill=—","Direction=H","UseDPDF=Y")</f>
        <v>25.619299999999999</v>
      </c>
      <c r="U10" s="21">
        <f>_xll.BDH("AAL US Equity","RETURN_ON_INV_CAPITAL","FQ4 2015","FQ4 2015","Currency=USD","Period=FQ","BEST_FPERIOD_OVERRIDE=FQ","FILING_STATUS=MR","FA_ADJUSTED=GAAP","Sort=A","Dates=H","DateFormat=P","Fill=—","Direction=H","UseDPDF=Y")</f>
        <v>44.016399999999997</v>
      </c>
      <c r="V10" s="21">
        <f>_xll.BDH("AAL US Equity","RETURN_ON_INV_CAPITAL","FQ1 2016","FQ1 2016","Currency=USD","Period=FQ","BEST_FPERIOD_OVERRIDE=FQ","FILING_STATUS=MR","FA_ADJUSTED=GAAP","Sort=A","Dates=H","DateFormat=P","Fill=—","Direction=H","UseDPDF=Y")</f>
        <v>35.715600000000002</v>
      </c>
      <c r="W10" s="21">
        <f>_xll.BDH("AAL US Equity","RETURN_ON_INV_CAPITAL","FQ2 2016","FQ2 2016","Currency=USD","Period=FQ","BEST_FPERIOD_OVERRIDE=FQ","FILING_STATUS=MR","FA_ADJUSTED=GAAP","Sort=A","Dates=H","DateFormat=P","Fill=—","Direction=H","UseDPDF=Y")</f>
        <v>31.615200000000002</v>
      </c>
      <c r="X10" s="21">
        <f>_xll.BDH("AAL US Equity","RETURN_ON_INV_CAPITAL","FQ3 2016","FQ3 2016","Currency=USD","Period=FQ","BEST_FPERIOD_OVERRIDE=FQ","FILING_STATUS=MR","FA_ADJUSTED=GAAP","Sort=A","Dates=H","DateFormat=P","Fill=—","Direction=H","UseDPDF=Y")</f>
        <v>26.0383</v>
      </c>
      <c r="Y10" s="21">
        <f>_xll.BDH("AAL US Equity","RETURN_ON_INV_CAPITAL","FQ4 2016","FQ4 2016","Currency=USD","Period=FQ","BEST_FPERIOD_OVERRIDE=FQ","FILING_STATUS=MR","FA_ADJUSTED=GAAP","Sort=A","Dates=H","DateFormat=P","Fill=—","Direction=H","UseDPDF=Y")</f>
        <v>16.5928</v>
      </c>
      <c r="Z10" s="21">
        <f>_xll.BDH("AAL US Equity","RETURN_ON_INV_CAPITAL","FQ1 2017","FQ1 2017","Currency=USD","Period=FQ","BEST_FPERIOD_OVERRIDE=FQ","FILING_STATUS=MR","FA_ADJUSTED=GAAP","Sort=A","Dates=H","DateFormat=P","Fill=—","Direction=H","UseDPDF=Y")</f>
        <v>11.22</v>
      </c>
      <c r="AA10" s="21">
        <f>_xll.BDH("AAL US Equity","RETURN_ON_INV_CAPITAL","FQ2 2017","FQ2 2017","Currency=USD","Period=FQ","BEST_FPERIOD_OVERRIDE=FQ","FILING_STATUS=MR","FA_ADJUSTED=GAAP","Sort=A","Dates=H","DateFormat=P","Fill=—","Direction=H","UseDPDF=Y")</f>
        <v>10.4871</v>
      </c>
      <c r="AB10" s="21">
        <f>_xll.BDH("AAL US Equity","RETURN_ON_INV_CAPITAL","FQ3 2017","FQ3 2017","Currency=USD","Period=FQ","BEST_FPERIOD_OVERRIDE=FQ","FILING_STATUS=MR","FA_ADJUSTED=GAAP","Sort=A","Dates=H","DateFormat=P","Fill=—","Direction=H","UseDPDF=Y")</f>
        <v>9.7623999999999995</v>
      </c>
      <c r="AC10" s="21">
        <f>_xll.BDH("AAL US Equity","RETURN_ON_INV_CAPITAL","FQ4 2017","FQ4 2017","Currency=USD","Period=FQ","BEST_FPERIOD_OVERRIDE=FQ","FILING_STATUS=MR","FA_ADJUSTED=GAAP","Sort=A","Dates=H","DateFormat=P","Fill=—","Direction=H","UseDPDF=Y")</f>
        <v>7.7968999999999999</v>
      </c>
      <c r="AD10" s="21">
        <f>_xll.BDH("AAL US Equity","RETURN_ON_INV_CAPITAL","FQ1 2018","FQ1 2018","Currency=USD","Period=FQ","BEST_FPERIOD_OVERRIDE=FQ","FILING_STATUS=MR","FA_ADJUSTED=GAAP","Sort=A","Dates=H","DateFormat=P","Fill=—","Direction=H","UseDPDF=Y")</f>
        <v>5.1451000000000002</v>
      </c>
      <c r="AE10" s="21">
        <f>_xll.BDH("AAL US Equity","RETURN_ON_INV_CAPITAL","FQ2 2018","FQ2 2018","Currency=USD","Period=FQ","BEST_FPERIOD_OVERRIDE=FQ","FILING_STATUS=MR","FA_ADJUSTED=GAAP","Sort=A","Dates=H","DateFormat=P","Fill=—","Direction=H","UseDPDF=Y")</f>
        <v>3.9948999999999999</v>
      </c>
      <c r="AF10" s="21">
        <f>_xll.BDH("AAL US Equity","RETURN_ON_INV_CAPITAL","FQ3 2018","FQ3 2018","Currency=USD","Period=FQ","BEST_FPERIOD_OVERRIDE=FQ","FILING_STATUS=MR","FA_ADJUSTED=GAAP","Sort=A","Dates=H","DateFormat=P","Fill=—","Direction=H","UseDPDF=Y")</f>
        <v>2.9529999999999998</v>
      </c>
      <c r="AG10" s="21">
        <f>_xll.BDH("AAL US Equity","RETURN_ON_INV_CAPITAL","FQ4 2018","FQ4 2018","Currency=USD","Period=FQ","BEST_FPERIOD_OVERRIDE=FQ","FILING_STATUS=MR","FA_ADJUSTED=GAAP","Sort=A","Dates=H","DateFormat=P","Fill=—","Direction=H","UseDPDF=Y")</f>
        <v>8.2349999999999994</v>
      </c>
      <c r="AH10" s="21">
        <f>_xll.BDH("AAL US Equity","RETURN_ON_INV_CAPITAL","FQ1 2019","FQ1 2019","Currency=USD","Period=FQ","BEST_FPERIOD_OVERRIDE=FQ","FILING_STATUS=MR","FA_ADJUSTED=GAAP","Sort=A","Dates=H","DateFormat=P","Fill=—","Direction=H","UseDPDF=Y")</f>
        <v>6.6486000000000001</v>
      </c>
      <c r="AI10" s="21">
        <f>_xll.BDH("AAL US Equity","RETURN_ON_INV_CAPITAL","FQ2 2019","FQ2 2019","Currency=USD","Period=FQ","BEST_FPERIOD_OVERRIDE=FQ","FILING_STATUS=MR","FA_ADJUSTED=GAAP","Sort=A","Dates=H","DateFormat=P","Fill=—","Direction=H","UseDPDF=Y")</f>
        <v>7.0328999999999997</v>
      </c>
      <c r="AJ10" s="21">
        <f>_xll.BDH("AAL US Equity","RETURN_ON_INV_CAPITAL","FQ3 2019","FQ3 2019","Currency=USD","Period=FQ","BEST_FPERIOD_OVERRIDE=FQ","FILING_STATUS=MR","FA_ADJUSTED=GAAP","Sort=A","Dates=H","DateFormat=P","Fill=—","Direction=H","UseDPDF=Y")</f>
        <v>7.3776000000000002</v>
      </c>
      <c r="AK10" s="21">
        <f>_xll.BDH("AAL US Equity","RETURN_ON_INV_CAPITAL","FQ4 2019","FQ4 2019","Currency=USD","Period=FQ","BEST_FPERIOD_OVERRIDE=FQ","FILING_STATUS=MR","FA_ADJUSTED=GAAP","Sort=A","Dates=H","DateFormat=P","Fill=—","Direction=H","UseDPDF=Y")</f>
        <v>9.0571999999999999</v>
      </c>
      <c r="AL10" s="21">
        <f>_xll.BDH("AAL US Equity","RETURN_ON_INV_CAPITAL","FQ1 2020","FQ1 2020","Currency=USD","Period=FQ","BEST_FPERIOD_OVERRIDE=FQ","FILING_STATUS=MR","FA_ADJUSTED=GAAP","Sort=A","Dates=H","DateFormat=P","Fill=—","Direction=H","UseDPDF=Y")</f>
        <v>0.1057</v>
      </c>
      <c r="AM10" s="21">
        <f>_xll.BDH("AAL US Equity","RETURN_ON_INV_CAPITAL","FQ2 2020","FQ2 2020","Currency=USD","Period=FQ","BEST_FPERIOD_OVERRIDE=FQ","FILING_STATUS=MR","FA_ADJUSTED=GAAP","Sort=A","Dates=H","DateFormat=P","Fill=—","Direction=H","UseDPDF=Y")</f>
        <v>-7.8898000000000001</v>
      </c>
      <c r="AN10" s="21">
        <f>_xll.BDH("AAL US Equity","RETURN_ON_INV_CAPITAL","FQ3 2020","FQ3 2020","Currency=USD","Period=FQ","BEST_FPERIOD_OVERRIDE=FQ","FILING_STATUS=MR","FA_ADJUSTED=GAAP","Sort=A","Dates=H","DateFormat=P","Fill=—","Direction=H","UseDPDF=Y")</f>
        <v>-16.305</v>
      </c>
      <c r="AO10" s="21">
        <f>_xll.BDH("AAL US Equity","RETURN_ON_INV_CAPITAL","FQ4 2020","FQ4 2020","Currency=USD","Period=FQ","BEST_FPERIOD_OVERRIDE=FQ","FILING_STATUS=MR","FA_ADJUSTED=GAAP","Sort=A","Dates=H","DateFormat=P","Fill=—","Direction=H","UseDPDF=Y")</f>
        <v>-31.2927</v>
      </c>
      <c r="AP10" s="21">
        <f>_xll.BDH("AAL US Equity","RETURN_ON_INV_CAPITAL","FQ1 2021","FQ1 2021","Currency=USD","Period=FQ","BEST_FPERIOD_OVERRIDE=FQ","FILING_STATUS=MR","FA_ADJUSTED=GAAP","Sort=A","Dates=H","DateFormat=P","Fill=—","Direction=H","UseDPDF=Y")</f>
        <v>-20.594799999999999</v>
      </c>
    </row>
    <row r="11" spans="1:42" x14ac:dyDescent="0.25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14" t="s">
        <v>93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18" t="s">
        <v>94</v>
      </c>
      <c r="B13" s="18" t="s">
        <v>95</v>
      </c>
      <c r="C13" s="21">
        <f>_xll.BDH("AAL US Equity","EBITDA_TO_REVENUE","FQ2 2011","FQ2 2011","Currency=USD","Period=FQ","BEST_FPERIOD_OVERRIDE=FQ","FILING_STATUS=MR","FA_ADJUSTED=GAAP","Sort=A","Dates=H","DateFormat=P","Fill=—","Direction=H","UseDPDF=Y")</f>
        <v>3.0749</v>
      </c>
      <c r="D13" s="21">
        <f>_xll.BDH("AAL US Equity","EBITDA_TO_REVENUE","FQ3 2011","FQ3 2011","Currency=USD","Period=FQ","BEST_FPERIOD_OVERRIDE=FQ","FILING_STATUS=MR","FA_ADJUSTED=GAAP","Sort=A","Dates=H","DateFormat=P","Fill=—","Direction=H","UseDPDF=Y")</f>
        <v>4.8933999999999997</v>
      </c>
      <c r="E13" s="21">
        <f>_xll.BDH("AAL US Equity","EBITDA_TO_REVENUE","FQ4 2011","FQ4 2011","Currency=USD","Period=FQ","BEST_FPERIOD_OVERRIDE=FQ","FILING_STATUS=MR","FA_ADJUSTED=GAAP","Sort=A","Dates=H","DateFormat=P","Fill=—","Direction=H","UseDPDF=Y")</f>
        <v>-8.5963999999999992</v>
      </c>
      <c r="F13" s="21">
        <f>_xll.BDH("AAL US Equity","EBITDA_TO_REVENUE","FQ1 2012","FQ1 2012","Currency=USD","Period=FQ","BEST_FPERIOD_OVERRIDE=FQ","FILING_STATUS=MR","FA_ADJUSTED=GAAP","Sort=A","Dates=H","DateFormat=P","Fill=—","Direction=H","UseDPDF=Y")</f>
        <v>2.8325</v>
      </c>
      <c r="G13" s="21">
        <f>_xll.BDH("AAL US Equity","EBITDA_TO_REVENUE","FQ2 2012","FQ2 2012","Currency=USD","Period=FQ","BEST_FPERIOD_OVERRIDE=FQ","FILING_STATUS=MR","FA_ADJUSTED=GAAP","Sort=A","Dates=H","DateFormat=P","Fill=—","Direction=H","UseDPDF=Y")</f>
        <v>6.2461000000000002</v>
      </c>
      <c r="H13" s="21">
        <f>_xll.BDH("AAL US Equity","EBITDA_TO_REVENUE","FQ3 2012","FQ3 2012","Currency=USD","Period=FQ","BEST_FPERIOD_OVERRIDE=FQ","FILING_STATUS=MR","FA_ADJUSTED=GAAP","Sort=A","Dates=H","DateFormat=P","Fill=—","Direction=H","UseDPDF=Y")</f>
        <v>4.7751999999999999</v>
      </c>
      <c r="I13" s="21">
        <f>_xll.BDH("AAL US Equity","EBITDA_TO_REVENUE","FQ4 2012","FQ4 2012","Currency=USD","Period=FQ","BEST_FPERIOD_OVERRIDE=FQ","FILING_STATUS=MR","FA_ADJUSTED=GAAP","Sort=A","Dates=H","DateFormat=P","Fill=—","Direction=H","UseDPDF=Y")</f>
        <v>4.1266999999999996</v>
      </c>
      <c r="J13" s="21">
        <f>_xll.BDH("AAL US Equity","EBITDA_TO_REVENUE","FQ1 2013","FQ1 2013","Currency=USD","Period=FQ","BEST_FPERIOD_OVERRIDE=FQ","FILING_STATUS=MR","FA_ADJUSTED=GAAP","Sort=A","Dates=H","DateFormat=P","Fill=—","Direction=H","UseDPDF=Y")</f>
        <v>5.1984000000000004</v>
      </c>
      <c r="K13" s="21">
        <f>_xll.BDH("AAL US Equity","EBITDA_TO_REVENUE","FQ2 2013","FQ2 2013","Currency=USD","Period=FQ","BEST_FPERIOD_OVERRIDE=FQ","FILING_STATUS=MR","FA_ADJUSTED=GAAP","Sort=A","Dates=H","DateFormat=P","Fill=—","Direction=H","UseDPDF=Y")</f>
        <v>11.784800000000001</v>
      </c>
      <c r="L13" s="21">
        <f>_xll.BDH("AAL US Equity","EBITDA_TO_REVENUE","FQ3 2013","FQ3 2013","Currency=USD","Period=FQ","BEST_FPERIOD_OVERRIDE=FQ","FILING_STATUS=MR","FA_ADJUSTED=GAAP","Sort=A","Dates=H","DateFormat=P","Fill=—","Direction=H","UseDPDF=Y")</f>
        <v>13.854699999999999</v>
      </c>
      <c r="M13" s="21">
        <f>_xll.BDH("AAL US Equity","EBITDA_TO_REVENUE","FQ4 2013","FQ4 2013","Currency=USD","Period=FQ","BEST_FPERIOD_OVERRIDE=FQ","FILING_STATUS=MR","FA_ADJUSTED=GAAP","Sort=A","Dates=H","DateFormat=P","Fill=—","Direction=H","UseDPDF=Y")</f>
        <v>5.3753000000000002</v>
      </c>
      <c r="N13" s="21">
        <f>_xll.BDH("AAL US Equity","EBITDA_TO_REVENUE","FQ1 2014","FQ1 2014","Currency=USD","Period=FQ","BEST_FPERIOD_OVERRIDE=FQ","FILING_STATUS=MR","FA_ADJUSTED=GAAP","Sort=A","Dates=H","DateFormat=P","Fill=—","Direction=H","UseDPDF=Y")</f>
        <v>10.9055</v>
      </c>
      <c r="O13" s="21">
        <f>_xll.BDH("AAL US Equity","EBITDA_TO_REVENUE","FQ2 2014","FQ2 2014","Currency=USD","Period=FQ","BEST_FPERIOD_OVERRIDE=FQ","FILING_STATUS=MR","FA_ADJUSTED=GAAP","Sort=A","Dates=H","DateFormat=P","Fill=—","Direction=H","UseDPDF=Y")</f>
        <v>15.5702</v>
      </c>
      <c r="P13" s="21">
        <f>_xll.BDH("AAL US Equity","EBITDA_TO_REVENUE","FQ3 2014","FQ3 2014","Currency=USD","Period=FQ","BEST_FPERIOD_OVERRIDE=FQ","FILING_STATUS=MR","FA_ADJUSTED=GAAP","Sort=A","Dates=H","DateFormat=P","Fill=—","Direction=H","UseDPDF=Y")</f>
        <v>14.7859</v>
      </c>
      <c r="Q13" s="21">
        <f>_xll.BDH("AAL US Equity","EBITDA_TO_REVENUE","FQ4 2014","FQ4 2014","Currency=USD","Period=FQ","BEST_FPERIOD_OVERRIDE=FQ","FILING_STATUS=MR","FA_ADJUSTED=GAAP","Sort=A","Dates=H","DateFormat=P","Fill=—","Direction=H","UseDPDF=Y")</f>
        <v>12.372</v>
      </c>
      <c r="R13" s="21">
        <f>_xll.BDH("AAL US Equity","EBITDA_TO_REVENUE","FQ1 2015","FQ1 2015","Currency=USD","Period=FQ","BEST_FPERIOD_OVERRIDE=FQ","FILING_STATUS=MR","FA_ADJUSTED=GAAP","Sort=A","Dates=H","DateFormat=P","Fill=—","Direction=H","UseDPDF=Y")</f>
        <v>16.4038</v>
      </c>
      <c r="S13" s="21">
        <f>_xll.BDH("AAL US Equity","EBITDA_TO_REVENUE","FQ2 2015","FQ2 2015","Currency=USD","Period=FQ","BEST_FPERIOD_OVERRIDE=FQ","FILING_STATUS=MR","FA_ADJUSTED=GAAP","Sort=A","Dates=H","DateFormat=P","Fill=—","Direction=H","UseDPDF=Y")</f>
        <v>21.4649</v>
      </c>
      <c r="T13" s="21">
        <f>_xll.BDH("AAL US Equity","EBITDA_TO_REVENUE","FQ3 2015","FQ3 2015","Currency=USD","Period=FQ","BEST_FPERIOD_OVERRIDE=FQ","FILING_STATUS=MR","FA_ADJUSTED=GAAP","Sort=A","Dates=H","DateFormat=P","Fill=—","Direction=H","UseDPDF=Y")</f>
        <v>22.417300000000001</v>
      </c>
      <c r="U13" s="21">
        <f>_xll.BDH("AAL US Equity","EBITDA_TO_REVENUE","FQ4 2015","FQ4 2015","Currency=USD","Period=FQ","BEST_FPERIOD_OVERRIDE=FQ","FILING_STATUS=MR","FA_ADJUSTED=GAAP","Sort=A","Dates=H","DateFormat=P","Fill=—","Direction=H","UseDPDF=Y")</f>
        <v>15.3375</v>
      </c>
      <c r="V13" s="21">
        <f>_xll.BDH("AAL US Equity","EBITDA_TO_REVENUE","FQ1 2016","FQ1 2016","Currency=USD","Period=FQ","BEST_FPERIOD_OVERRIDE=FQ","FILING_STATUS=MR","FA_ADJUSTED=GAAP","Sort=A","Dates=H","DateFormat=P","Fill=—","Direction=H","UseDPDF=Y")</f>
        <v>18.6328</v>
      </c>
      <c r="W13" s="21">
        <f>_xll.BDH("AAL US Equity","EBITDA_TO_REVENUE","FQ2 2016","FQ2 2016","Currency=USD","Period=FQ","BEST_FPERIOD_OVERRIDE=FQ","FILING_STATUS=MR","FA_ADJUSTED=GAAP","Sort=A","Dates=H","DateFormat=P","Fill=—","Direction=H","UseDPDF=Y")</f>
        <v>21.200399999999998</v>
      </c>
      <c r="X13" s="21">
        <f>_xll.BDH("AAL US Equity","EBITDA_TO_REVENUE","FQ3 2016","FQ3 2016","Currency=USD","Period=FQ","BEST_FPERIOD_OVERRIDE=FQ","FILING_STATUS=MR","FA_ADJUSTED=GAAP","Sort=A","Dates=H","DateFormat=P","Fill=—","Direction=H","UseDPDF=Y")</f>
        <v>18.010200000000001</v>
      </c>
      <c r="Y13" s="21">
        <f>_xll.BDH("AAL US Equity","EBITDA_TO_REVENUE","FQ4 2016","FQ4 2016","Currency=USD","Period=FQ","BEST_FPERIOD_OVERRIDE=FQ","FILING_STATUS=MR","FA_ADJUSTED=GAAP","Sort=A","Dates=H","DateFormat=P","Fill=—","Direction=H","UseDPDF=Y")</f>
        <v>12.6571</v>
      </c>
      <c r="Z13" s="21">
        <f>_xll.BDH("AAL US Equity","EBITDA_TO_REVENUE","FQ1 2017","FQ1 2017","Currency=USD","Period=FQ","BEST_FPERIOD_OVERRIDE=FQ","FILING_STATUS=MR","FA_ADJUSTED=GAAP","Sort=A","Dates=H","DateFormat=P","Fill=—","Direction=H","UseDPDF=Y")</f>
        <v>12.4338</v>
      </c>
      <c r="AA13" s="21">
        <f>_xll.BDH("AAL US Equity","EBITDA_TO_REVENUE","FQ2 2017","FQ2 2017","Currency=USD","Period=FQ","BEST_FPERIOD_OVERRIDE=FQ","FILING_STATUS=MR","FA_ADJUSTED=GAAP","Sort=A","Dates=H","DateFormat=P","Fill=—","Direction=H","UseDPDF=Y")</f>
        <v>18.651499999999999</v>
      </c>
      <c r="AB13" s="21">
        <f>_xll.BDH("AAL US Equity","EBITDA_TO_REVENUE","FQ3 2017","FQ3 2017","Currency=USD","Period=FQ","BEST_FPERIOD_OVERRIDE=FQ","FILING_STATUS=MR","FA_ADJUSTED=GAAP","Sort=A","Dates=H","DateFormat=P","Fill=—","Direction=H","UseDPDF=Y")</f>
        <v>16.114899999999999</v>
      </c>
      <c r="AC13" s="21">
        <f>_xll.BDH("AAL US Equity","EBITDA_TO_REVENUE","FQ4 2017","FQ4 2017","Currency=USD","Period=FQ","BEST_FPERIOD_OVERRIDE=FQ","FILING_STATUS=MR","FA_ADJUSTED=GAAP","Sort=A","Dates=H","DateFormat=P","Fill=—","Direction=H","UseDPDF=Y")</f>
        <v>10.979200000000001</v>
      </c>
      <c r="AD13" s="21">
        <f>_xll.BDH("AAL US Equity","EBITDA_TO_REVENUE","FQ1 2018","FQ1 2018","Currency=USD","Period=FQ","BEST_FPERIOD_OVERRIDE=FQ","FILING_STATUS=MR","FA_ADJUSTED=GAAP","Sort=A","Dates=H","DateFormat=P","Fill=—","Direction=H","UseDPDF=Y")</f>
        <v>8.0376999999999992</v>
      </c>
      <c r="AE13" s="21">
        <f>_xll.BDH("AAL US Equity","EBITDA_TO_REVENUE","FQ2 2018","FQ2 2018","Currency=USD","Period=FQ","BEST_FPERIOD_OVERRIDE=FQ","FILING_STATUS=MR","FA_ADJUSTED=GAAP","Sort=A","Dates=H","DateFormat=P","Fill=—","Direction=H","UseDPDF=Y")</f>
        <v>13.9741</v>
      </c>
      <c r="AF13" s="21">
        <f>_xll.BDH("AAL US Equity","EBITDA_TO_REVENUE","FQ3 2018","FQ3 2018","Currency=USD","Period=FQ","BEST_FPERIOD_OVERRIDE=FQ","FILING_STATUS=MR","FA_ADJUSTED=GAAP","Sort=A","Dates=H","DateFormat=P","Fill=—","Direction=H","UseDPDF=Y")</f>
        <v>10.632400000000001</v>
      </c>
      <c r="AG13" s="21">
        <f>_xll.BDH("AAL US Equity","EBITDA_TO_REVENUE","FQ4 2018","FQ4 2018","Currency=USD","Period=FQ","BEST_FPERIOD_OVERRIDE=FQ","FILING_STATUS=MR","FA_ADJUSTED=GAAP","Sort=A","Dates=H","DateFormat=P","Fill=—","Direction=H","UseDPDF=Y")</f>
        <v>9.8189999999999991</v>
      </c>
      <c r="AH13" s="21">
        <f>_xll.BDH("AAL US Equity","EBITDA_TO_REVENUE","FQ1 2019","FQ1 2019","Currency=USD","Period=FQ","BEST_FPERIOD_OVERRIDE=FQ","FILING_STATUS=MR","FA_ADJUSTED=GAAP","Sort=A","Dates=H","DateFormat=P","Fill=—","Direction=H","UseDPDF=Y")</f>
        <v>8.0782000000000007</v>
      </c>
      <c r="AI13" s="21">
        <f>_xll.BDH("AAL US Equity","EBITDA_TO_REVENUE","FQ2 2019","FQ2 2019","Currency=USD","Period=FQ","BEST_FPERIOD_OVERRIDE=FQ","FILING_STATUS=MR","FA_ADJUSTED=GAAP","Sort=A","Dates=H","DateFormat=P","Fill=—","Direction=H","UseDPDF=Y")</f>
        <v>15.894600000000001</v>
      </c>
      <c r="AJ13" s="21">
        <f>_xll.BDH("AAL US Equity","EBITDA_TO_REVENUE","FQ3 2019","FQ3 2019","Currency=USD","Period=FQ","BEST_FPERIOD_OVERRIDE=FQ","FILING_STATUS=MR","FA_ADJUSTED=GAAP","Sort=A","Dates=H","DateFormat=P","Fill=—","Direction=H","UseDPDF=Y")</f>
        <v>11.6867</v>
      </c>
      <c r="AK13" s="21">
        <f>_xll.BDH("AAL US Equity","EBITDA_TO_REVENUE","FQ4 2019","FQ4 2019","Currency=USD","Period=FQ","BEST_FPERIOD_OVERRIDE=FQ","FILING_STATUS=MR","FA_ADJUSTED=GAAP","Sort=A","Dates=H","DateFormat=P","Fill=—","Direction=H","UseDPDF=Y")</f>
        <v>10.916600000000001</v>
      </c>
      <c r="AL13" s="21">
        <f>_xll.BDH("AAL US Equity","EBITDA_TO_REVENUE","FQ1 2020","FQ1 2020","Currency=USD","Period=FQ","BEST_FPERIOD_OVERRIDE=FQ","FILING_STATUS=MR","FA_ADJUSTED=GAAP","Sort=A","Dates=H","DateFormat=P","Fill=—","Direction=H","UseDPDF=Y")</f>
        <v>-22.384</v>
      </c>
      <c r="AM13" s="21">
        <f>_xll.BDH("AAL US Equity","EBITDA_TO_REVENUE","FQ2 2020","FQ2 2020","Currency=USD","Period=FQ","BEST_FPERIOD_OVERRIDE=FQ","FILING_STATUS=MR","FA_ADJUSTED=GAAP","Sort=A","Dates=H","DateFormat=P","Fill=—","Direction=H","UseDPDF=Y")</f>
        <v>-117.26260000000001</v>
      </c>
      <c r="AN13" s="21">
        <f>_xll.BDH("AAL US Equity","EBITDA_TO_REVENUE","FQ3 2020","FQ3 2020","Currency=USD","Period=FQ","BEST_FPERIOD_OVERRIDE=FQ","FILING_STATUS=MR","FA_ADJUSTED=GAAP","Sort=A","Dates=H","DateFormat=P","Fill=—","Direction=H","UseDPDF=Y")</f>
        <v>-72.297499999999999</v>
      </c>
      <c r="AO13" s="21">
        <f>_xll.BDH("AAL US Equity","EBITDA_TO_REVENUE","FQ4 2020","FQ4 2020","Currency=USD","Period=FQ","BEST_FPERIOD_OVERRIDE=FQ","FILING_STATUS=MR","FA_ADJUSTED=GAAP","Sort=A","Dates=H","DateFormat=P","Fill=—","Direction=H","UseDPDF=Y")</f>
        <v>-48.398299999999999</v>
      </c>
      <c r="AP13" s="21">
        <f>_xll.BDH("AAL US Equity","EBITDA_TO_REVENUE","FQ1 2021","FQ1 2021","Currency=USD","Period=FQ","BEST_FPERIOD_OVERRIDE=FQ","FILING_STATUS=MR","FA_ADJUSTED=GAAP","Sort=A","Dates=H","DateFormat=P","Fill=—","Direction=H","UseDPDF=Y")</f>
        <v>-18.862300000000001</v>
      </c>
    </row>
    <row r="14" spans="1:42" x14ac:dyDescent="0.25">
      <c r="A14" s="19" t="s">
        <v>96</v>
      </c>
      <c r="B14" s="19" t="s">
        <v>95</v>
      </c>
      <c r="C14" s="23">
        <v>-62.317408714773997</v>
      </c>
      <c r="D14" s="23">
        <v>-53.592611918400898</v>
      </c>
      <c r="E14" s="23" t="s">
        <v>97</v>
      </c>
      <c r="F14" s="23">
        <v>256.19085823077398</v>
      </c>
      <c r="G14" s="23">
        <v>103.131961585868</v>
      </c>
      <c r="H14" s="23">
        <v>-2.41374518479161</v>
      </c>
      <c r="I14" s="23" t="s">
        <v>97</v>
      </c>
      <c r="J14" s="23">
        <v>83.525699435805393</v>
      </c>
      <c r="K14" s="23">
        <v>88.673345474193994</v>
      </c>
      <c r="L14" s="23">
        <v>190.13671991568199</v>
      </c>
      <c r="M14" s="23">
        <v>30.2583225235499</v>
      </c>
      <c r="N14" s="23">
        <v>109.783749927382</v>
      </c>
      <c r="O14" s="23">
        <v>32.121619992171297</v>
      </c>
      <c r="P14" s="23">
        <v>6.7209677917613098</v>
      </c>
      <c r="Q14" s="23">
        <v>130.16383018542899</v>
      </c>
      <c r="R14" s="23">
        <v>50.418189872534398</v>
      </c>
      <c r="S14" s="23">
        <v>37.858283816305097</v>
      </c>
      <c r="T14" s="23">
        <v>51.613061833895998</v>
      </c>
      <c r="U14" s="23">
        <v>23.968871117285602</v>
      </c>
      <c r="V14" s="23">
        <v>13.5881139627226</v>
      </c>
      <c r="W14" s="23">
        <v>-1.2319253387956699</v>
      </c>
      <c r="X14" s="23">
        <v>-19.6595260025545</v>
      </c>
      <c r="Y14" s="23">
        <v>-17.476285391472501</v>
      </c>
      <c r="Z14" s="23">
        <v>-33.269061196012402</v>
      </c>
      <c r="AA14" s="23">
        <v>-12.0231551961812</v>
      </c>
      <c r="AB14" s="23">
        <v>-10.523390253319899</v>
      </c>
      <c r="AC14" s="23">
        <v>-13.2565577609468</v>
      </c>
      <c r="AD14" s="23">
        <v>-35.356180877476902</v>
      </c>
      <c r="AE14" s="23">
        <v>-25.077938917934901</v>
      </c>
      <c r="AF14" s="23">
        <v>-34.021304864792597</v>
      </c>
      <c r="AG14" s="23">
        <v>-10.5672166746985</v>
      </c>
      <c r="AH14" s="23">
        <v>0.50439871460565699</v>
      </c>
      <c r="AI14" s="23">
        <v>13.7439421694279</v>
      </c>
      <c r="AJ14" s="23">
        <v>9.9156089570678692</v>
      </c>
      <c r="AK14" s="23">
        <v>11.179012483985099</v>
      </c>
      <c r="AL14" s="23" t="s">
        <v>97</v>
      </c>
      <c r="AM14" s="23" t="s">
        <v>97</v>
      </c>
      <c r="AN14" s="23" t="s">
        <v>97</v>
      </c>
      <c r="AO14" s="23" t="s">
        <v>97</v>
      </c>
      <c r="AP14" s="23">
        <v>15.7333300333613</v>
      </c>
    </row>
    <row r="15" spans="1:42" x14ac:dyDescent="0.25">
      <c r="A15" s="18" t="s">
        <v>98</v>
      </c>
      <c r="B15" s="18" t="s">
        <v>99</v>
      </c>
      <c r="C15" s="21">
        <f>_xll.BDH("AAL US Equity","OPER_MARGIN","FQ2 2011","FQ2 2011","Currency=USD","Period=FQ","BEST_FPERIOD_OVERRIDE=FQ","FILING_STATUS=MR","FA_ADJUSTED=GAAP","Sort=A","Dates=H","DateFormat=P","Fill=—","Direction=H","UseDPDF=Y")</f>
        <v>-1.2758</v>
      </c>
      <c r="D15" s="21">
        <f>_xll.BDH("AAL US Equity","OPER_MARGIN","FQ3 2011","FQ3 2011","Currency=USD","Period=FQ","BEST_FPERIOD_OVERRIDE=FQ","FILING_STATUS=MR","FA_ADJUSTED=GAAP","Sort=A","Dates=H","DateFormat=P","Fill=—","Direction=H","UseDPDF=Y")</f>
        <v>0.61170000000000002</v>
      </c>
      <c r="E15" s="21">
        <f>_xll.BDH("AAL US Equity","OPER_MARGIN","FQ4 2011","FQ4 2011","Currency=USD","Period=FQ","BEST_FPERIOD_OVERRIDE=FQ","FILING_STATUS=MR","FA_ADJUSTED=GAAP","Sort=A","Dates=H","DateFormat=P","Fill=—","Direction=H","UseDPDF=Y")</f>
        <v>-13.1464</v>
      </c>
      <c r="F15" s="21">
        <f>_xll.BDH("AAL US Equity","OPER_MARGIN","FQ1 2012","FQ1 2012","Currency=USD","Period=FQ","BEST_FPERIOD_OVERRIDE=FQ","FILING_STATUS=MR","FA_ADJUSTED=GAAP","Sort=A","Dates=H","DateFormat=P","Fill=—","Direction=H","UseDPDF=Y")</f>
        <v>-1.4742</v>
      </c>
      <c r="G15" s="21">
        <f>_xll.BDH("AAL US Equity","OPER_MARGIN","FQ2 2012","FQ2 2012","Currency=USD","Period=FQ","BEST_FPERIOD_OVERRIDE=FQ","FILING_STATUS=MR","FA_ADJUSTED=GAAP","Sort=A","Dates=H","DateFormat=P","Fill=—","Direction=H","UseDPDF=Y")</f>
        <v>2.2008999999999999</v>
      </c>
      <c r="H15" s="21">
        <f>_xll.BDH("AAL US Equity","OPER_MARGIN","FQ3 2012","FQ3 2012","Currency=USD","Period=FQ","BEST_FPERIOD_OVERRIDE=FQ","FILING_STATUS=MR","FA_ADJUSTED=GAAP","Sort=A","Dates=H","DateFormat=P","Fill=—","Direction=H","UseDPDF=Y")</f>
        <v>0.79330000000000001</v>
      </c>
      <c r="I15" s="21">
        <f>_xll.BDH("AAL US Equity","OPER_MARGIN","FQ4 2012","FQ4 2012","Currency=USD","Period=FQ","BEST_FPERIOD_OVERRIDE=FQ","FILING_STATUS=MR","FA_ADJUSTED=GAAP","Sort=A","Dates=H","DateFormat=P","Fill=—","Direction=H","UseDPDF=Y")</f>
        <v>0.1179</v>
      </c>
      <c r="J15" s="21">
        <f>_xll.BDH("AAL US Equity","OPER_MARGIN","FQ1 2013","FQ1 2013","Currency=USD","Period=FQ","BEST_FPERIOD_OVERRIDE=FQ","FILING_STATUS=MR","FA_ADJUSTED=GAAP","Sort=A","Dates=H","DateFormat=P","Fill=—","Direction=H","UseDPDF=Y")</f>
        <v>1.1642999999999999</v>
      </c>
      <c r="K15" s="21">
        <f>_xll.BDH("AAL US Equity","OPER_MARGIN","FQ2 2013","FQ2 2013","Currency=USD","Period=FQ","BEST_FPERIOD_OVERRIDE=FQ","FILING_STATUS=MR","FA_ADJUSTED=GAAP","Sort=A","Dates=H","DateFormat=P","Fill=—","Direction=H","UseDPDF=Y")</f>
        <v>7.9391999999999996</v>
      </c>
      <c r="L15" s="21">
        <f>_xll.BDH("AAL US Equity","OPER_MARGIN","FQ3 2013","FQ3 2013","Currency=USD","Period=FQ","BEST_FPERIOD_OVERRIDE=FQ","FILING_STATUS=MR","FA_ADJUSTED=GAAP","Sort=A","Dates=H","DateFormat=P","Fill=—","Direction=H","UseDPDF=Y")</f>
        <v>10.266500000000001</v>
      </c>
      <c r="M15" s="21">
        <f>_xll.BDH("AAL US Equity","OPER_MARGIN","FQ4 2013","FQ4 2013","Currency=USD","Period=FQ","BEST_FPERIOD_OVERRIDE=FQ","FILING_STATUS=MR","FA_ADJUSTED=GAAP","Sort=A","Dates=H","DateFormat=P","Fill=—","Direction=H","UseDPDF=Y")</f>
        <v>1.5609999999999999</v>
      </c>
      <c r="N15" s="21">
        <f>_xll.BDH("AAL US Equity","OPER_MARGIN","FQ1 2014","FQ1 2014","Currency=USD","Period=FQ","BEST_FPERIOD_OVERRIDE=FQ","FILING_STATUS=MR","FA_ADJUSTED=GAAP","Sort=A","Dates=H","DateFormat=P","Fill=—","Direction=H","UseDPDF=Y")</f>
        <v>7.3037000000000001</v>
      </c>
      <c r="O15" s="21">
        <f>_xll.BDH("AAL US Equity","OPER_MARGIN","FQ2 2014","FQ2 2014","Currency=USD","Period=FQ","BEST_FPERIOD_OVERRIDE=FQ","FILING_STATUS=MR","FA_ADJUSTED=GAAP","Sort=A","Dates=H","DateFormat=P","Fill=—","Direction=H","UseDPDF=Y")</f>
        <v>12.320600000000001</v>
      </c>
      <c r="P15" s="21">
        <f>_xll.BDH("AAL US Equity","OPER_MARGIN","FQ3 2014","FQ3 2014","Currency=USD","Period=FQ","BEST_FPERIOD_OVERRIDE=FQ","FILING_STATUS=MR","FA_ADJUSTED=GAAP","Sort=A","Dates=H","DateFormat=P","Fill=—","Direction=H","UseDPDF=Y")</f>
        <v>11.3116</v>
      </c>
      <c r="Q15" s="21">
        <f>_xll.BDH("AAL US Equity","OPER_MARGIN","FQ4 2014","FQ4 2014","Currency=USD","Period=FQ","BEST_FPERIOD_OVERRIDE=FQ","FILING_STATUS=MR","FA_ADJUSTED=GAAP","Sort=A","Dates=H","DateFormat=P","Fill=—","Direction=H","UseDPDF=Y")</f>
        <v>8.4646000000000008</v>
      </c>
      <c r="R15" s="21">
        <f>_xll.BDH("AAL US Equity","OPER_MARGIN","FQ1 2015","FQ1 2015","Currency=USD","Period=FQ","BEST_FPERIOD_OVERRIDE=FQ","FILING_STATUS=MR","FA_ADJUSTED=GAAP","Sort=A","Dates=H","DateFormat=P","Fill=—","Direction=H","UseDPDF=Y")</f>
        <v>12.3741</v>
      </c>
      <c r="S15" s="21">
        <f>_xll.BDH("AAL US Equity","OPER_MARGIN","FQ2 2015","FQ2 2015","Currency=USD","Period=FQ","BEST_FPERIOD_OVERRIDE=FQ","FILING_STATUS=MR","FA_ADJUSTED=GAAP","Sort=A","Dates=H","DateFormat=P","Fill=—","Direction=H","UseDPDF=Y")</f>
        <v>17.742699999999999</v>
      </c>
      <c r="T15" s="21">
        <f>_xll.BDH("AAL US Equity","OPER_MARGIN","FQ3 2015","FQ3 2015","Currency=USD","Period=FQ","BEST_FPERIOD_OVERRIDE=FQ","FILING_STATUS=MR","FA_ADJUSTED=GAAP","Sort=A","Dates=H","DateFormat=P","Fill=—","Direction=H","UseDPDF=Y")</f>
        <v>18.671800000000001</v>
      </c>
      <c r="U15" s="21">
        <f>_xll.BDH("AAL US Equity","OPER_MARGIN","FQ4 2015","FQ4 2015","Currency=USD","Period=FQ","BEST_FPERIOD_OVERRIDE=FQ","FILING_STATUS=MR","FA_ADJUSTED=GAAP","Sort=A","Dates=H","DateFormat=P","Fill=—","Direction=H","UseDPDF=Y")</f>
        <v>11.090299999999999</v>
      </c>
      <c r="V15" s="21">
        <f>_xll.BDH("AAL US Equity","OPER_MARGIN","FQ1 2016","FQ1 2016","Currency=USD","Period=FQ","BEST_FPERIOD_OVERRIDE=FQ","FILING_STATUS=MR","FA_ADJUSTED=GAAP","Sort=A","Dates=H","DateFormat=P","Fill=—","Direction=H","UseDPDF=Y")</f>
        <v>14.1494</v>
      </c>
      <c r="W15" s="21">
        <f>_xll.BDH("AAL US Equity","OPER_MARGIN","FQ2 2016","FQ2 2016","Currency=USD","Period=FQ","BEST_FPERIOD_OVERRIDE=FQ","FILING_STATUS=MR","FA_ADJUSTED=GAAP","Sort=A","Dates=H","DateFormat=P","Fill=—","Direction=H","UseDPDF=Y")</f>
        <v>16.896699999999999</v>
      </c>
      <c r="X15" s="21">
        <f>_xll.BDH("AAL US Equity","OPER_MARGIN","FQ3 2016","FQ3 2016","Currency=USD","Period=FQ","BEST_FPERIOD_OVERRIDE=FQ","FILING_STATUS=MR","FA_ADJUSTED=GAAP","Sort=A","Dates=H","DateFormat=P","Fill=—","Direction=H","UseDPDF=Y")</f>
        <v>13.5076</v>
      </c>
      <c r="Y15" s="21">
        <f>_xll.BDH("AAL US Equity","OPER_MARGIN","FQ4 2016","FQ4 2016","Currency=USD","Period=FQ","BEST_FPERIOD_OVERRIDE=FQ","FILING_STATUS=MR","FA_ADJUSTED=GAAP","Sort=A","Dates=H","DateFormat=P","Fill=—","Direction=H","UseDPDF=Y")</f>
        <v>7.8353000000000002</v>
      </c>
      <c r="Z15" s="21">
        <f>_xll.BDH("AAL US Equity","OPER_MARGIN","FQ1 2017","FQ1 2017","Currency=USD","Period=FQ","BEST_FPERIOD_OVERRIDE=FQ","FILING_STATUS=MR","FA_ADJUSTED=GAAP","Sort=A","Dates=H","DateFormat=P","Fill=—","Direction=H","UseDPDF=Y")</f>
        <v>7.5050999999999997</v>
      </c>
      <c r="AA15" s="21">
        <f>_xll.BDH("AAL US Equity","OPER_MARGIN","FQ2 2017","FQ2 2017","Currency=USD","Period=FQ","BEST_FPERIOD_OVERRIDE=FQ","FILING_STATUS=MR","FA_ADJUSTED=GAAP","Sort=A","Dates=H","DateFormat=P","Fill=—","Direction=H","UseDPDF=Y")</f>
        <v>14.2425</v>
      </c>
      <c r="AB15" s="21">
        <f>_xll.BDH("AAL US Equity","OPER_MARGIN","FQ3 2017","FQ3 2017","Currency=USD","Period=FQ","BEST_FPERIOD_OVERRIDE=FQ","FILING_STATUS=MR","FA_ADJUSTED=GAAP","Sort=A","Dates=H","DateFormat=P","Fill=—","Direction=H","UseDPDF=Y")</f>
        <v>11.454599999999999</v>
      </c>
      <c r="AC15" s="21">
        <f>_xll.BDH("AAL US Equity","OPER_MARGIN","FQ4 2017","FQ4 2017","Currency=USD","Period=FQ","BEST_FPERIOD_OVERRIDE=FQ","FILING_STATUS=MR","FA_ADJUSTED=GAAP","Sort=A","Dates=H","DateFormat=P","Fill=—","Direction=H","UseDPDF=Y")</f>
        <v>6.0125999999999999</v>
      </c>
      <c r="AD15" s="21">
        <f>_xll.BDH("AAL US Equity","OPER_MARGIN","FQ1 2018","FQ1 2018","Currency=USD","Period=FQ","BEST_FPERIOD_OVERRIDE=FQ","FILING_STATUS=MR","FA_ADJUSTED=GAAP","Sort=A","Dates=H","DateFormat=P","Fill=—","Direction=H","UseDPDF=Y")</f>
        <v>3.8073000000000001</v>
      </c>
      <c r="AE15" s="21">
        <f>_xll.BDH("AAL US Equity","OPER_MARGIN","FQ2 2018","FQ2 2018","Currency=USD","Period=FQ","BEST_FPERIOD_OVERRIDE=FQ","FILING_STATUS=MR","FA_ADJUSTED=GAAP","Sort=A","Dates=H","DateFormat=P","Fill=—","Direction=H","UseDPDF=Y")</f>
        <v>8.6232000000000006</v>
      </c>
      <c r="AF15" s="21">
        <f>_xll.BDH("AAL US Equity","OPER_MARGIN","FQ3 2018","FQ3 2018","Currency=USD","Period=FQ","BEST_FPERIOD_OVERRIDE=FQ","FILING_STATUS=MR","FA_ADJUSTED=GAAP","Sort=A","Dates=H","DateFormat=P","Fill=—","Direction=H","UseDPDF=Y")</f>
        <v>5.9260999999999999</v>
      </c>
      <c r="AG15" s="21">
        <f>_xll.BDH("AAL US Equity","OPER_MARGIN","FQ4 2018","FQ4 2018","Currency=USD","Period=FQ","BEST_FPERIOD_OVERRIDE=FQ","FILING_STATUS=MR","FA_ADJUSTED=GAAP","Sort=A","Dates=H","DateFormat=P","Fill=—","Direction=H","UseDPDF=Y")</f>
        <v>5.0101000000000004</v>
      </c>
      <c r="AH15" s="21">
        <f>_xll.BDH("AAL US Equity","OPER_MARGIN","FQ1 2019","FQ1 2019","Currency=USD","Period=FQ","BEST_FPERIOD_OVERRIDE=FQ","FILING_STATUS=MR","FA_ADJUSTED=GAAP","Sort=A","Dates=H","DateFormat=P","Fill=—","Direction=H","UseDPDF=Y")</f>
        <v>3.5430999999999999</v>
      </c>
      <c r="AI15" s="21">
        <f>_xll.BDH("AAL US Equity","OPER_MARGIN","FQ2 2019","FQ2 2019","Currency=USD","Period=FQ","BEST_FPERIOD_OVERRIDE=FQ","FILING_STATUS=MR","FA_ADJUSTED=GAAP","Sort=A","Dates=H","DateFormat=P","Fill=—","Direction=H","UseDPDF=Y")</f>
        <v>9.6404999999999994</v>
      </c>
      <c r="AJ15" s="21">
        <f>_xll.BDH("AAL US Equity","OPER_MARGIN","FQ3 2019","FQ3 2019","Currency=USD","Period=FQ","BEST_FPERIOD_OVERRIDE=FQ","FILING_STATUS=MR","FA_ADJUSTED=GAAP","Sort=A","Dates=H","DateFormat=P","Fill=—","Direction=H","UseDPDF=Y")</f>
        <v>6.7835999999999999</v>
      </c>
      <c r="AK15" s="21">
        <f>_xll.BDH("AAL US Equity","OPER_MARGIN","FQ4 2019","FQ4 2019","Currency=USD","Period=FQ","BEST_FPERIOD_OVERRIDE=FQ","FILING_STATUS=MR","FA_ADJUSTED=GAAP","Sort=A","Dates=H","DateFormat=P","Fill=—","Direction=H","UseDPDF=Y")</f>
        <v>6.4439000000000002</v>
      </c>
      <c r="AL15" s="21">
        <f>_xll.BDH("AAL US Equity","OPER_MARGIN","FQ1 2020","FQ1 2020","Currency=USD","Period=FQ","BEST_FPERIOD_OVERRIDE=FQ","FILING_STATUS=MR","FA_ADJUSTED=GAAP","Sort=A","Dates=H","DateFormat=P","Fill=—","Direction=H","UseDPDF=Y")</f>
        <v>-29.935400000000001</v>
      </c>
      <c r="AM15" s="21">
        <f>_xll.BDH("AAL US Equity","OPER_MARGIN","FQ2 2020","FQ2 2020","Currency=USD","Period=FQ","BEST_FPERIOD_OVERRIDE=FQ","FILING_STATUS=MR","FA_ADJUSTED=GAAP","Sort=A","Dates=H","DateFormat=P","Fill=—","Direction=H","UseDPDF=Y")</f>
        <v>-153.26759999999999</v>
      </c>
      <c r="AN15" s="21">
        <f>_xll.BDH("AAL US Equity","OPER_MARGIN","FQ3 2020","FQ3 2020","Currency=USD","Period=FQ","BEST_FPERIOD_OVERRIDE=FQ","FILING_STATUS=MR","FA_ADJUSTED=GAAP","Sort=A","Dates=H","DateFormat=P","Fill=—","Direction=H","UseDPDF=Y")</f>
        <v>-90.482200000000006</v>
      </c>
      <c r="AO15" s="21">
        <f>_xll.BDH("AAL US Equity","OPER_MARGIN","FQ4 2020","FQ4 2020","Currency=USD","Period=FQ","BEST_FPERIOD_OVERRIDE=FQ","FILING_STATUS=MR","FA_ADJUSTED=GAAP","Sort=A","Dates=H","DateFormat=P","Fill=—","Direction=H","UseDPDF=Y")</f>
        <v>-62.453400000000002</v>
      </c>
      <c r="AP15" s="21">
        <f>_xll.BDH("AAL US Equity","OPER_MARGIN","FQ1 2021","FQ1 2021","Currency=USD","Period=FQ","BEST_FPERIOD_OVERRIDE=FQ","FILING_STATUS=MR","FA_ADJUSTED=GAAP","Sort=A","Dates=H","DateFormat=P","Fill=—","Direction=H","UseDPDF=Y")</f>
        <v>-32.809399999999997</v>
      </c>
    </row>
    <row r="16" spans="1:42" x14ac:dyDescent="0.25">
      <c r="A16" s="18" t="s">
        <v>100</v>
      </c>
      <c r="B16" s="18" t="s">
        <v>101</v>
      </c>
      <c r="C16" s="21" t="str">
        <f>_xll.BDH("AAL US Equity","INCREMENTAL_OPERATING_MARGIN","FQ2 2011","FQ2 2011","Currency=USD","Period=FQ","BEST_FPERIOD_OVERRIDE=FQ","FILING_STATUS=MR","FA_ADJUSTED=GAAP","Sort=A","Dates=H","DateFormat=P","Fill=—","Direction=H","UseDPDF=Y")</f>
        <v>—</v>
      </c>
      <c r="D16" s="21" t="str">
        <f>_xll.BDH("AAL US Equity","INCREMENTAL_OPERATING_MARGIN","FQ3 2011","FQ3 2011","Currency=USD","Period=FQ","BEST_FPERIOD_OVERRIDE=FQ","FILING_STATUS=MR","FA_ADJUSTED=GAAP","Sort=A","Dates=H","DateFormat=P","Fill=—","Direction=H","UseDPDF=Y")</f>
        <v>—</v>
      </c>
      <c r="E16" s="21" t="str">
        <f>_xll.BDH("AAL US Equity","INCREMENTAL_OPERATING_MARGIN","FQ4 2011","FQ4 2011","Currency=USD","Period=FQ","BEST_FPERIOD_OVERRIDE=FQ","FILING_STATUS=MR","FA_ADJUSTED=GAAP","Sort=A","Dates=H","DateFormat=P","Fill=—","Direction=H","UseDPDF=Y")</f>
        <v>—</v>
      </c>
      <c r="F16" s="21">
        <f>_xll.BDH("AAL US Equity","INCREMENTAL_OPERATING_MARGIN","FQ1 2012","FQ1 2012","Currency=USD","Period=FQ","BEST_FPERIOD_OVERRIDE=FQ","FILING_STATUS=MR","FA_ADJUSTED=GAAP","Sort=A","Dates=H","DateFormat=P","Fill=—","Direction=H","UseDPDF=Y")</f>
        <v>28.373000000000001</v>
      </c>
      <c r="G16" s="21">
        <f>_xll.BDH("AAL US Equity","INCREMENTAL_OPERATING_MARGIN","FQ2 2012","FQ2 2012","Currency=USD","Period=FQ","BEST_FPERIOD_OVERRIDE=FQ","FILING_STATUS=MR","FA_ADJUSTED=GAAP","Sort=A","Dates=H","DateFormat=P","Fill=—","Direction=H","UseDPDF=Y")</f>
        <v>65.088800000000006</v>
      </c>
      <c r="H16" s="21">
        <f>_xll.BDH("AAL US Equity","INCREMENTAL_OPERATING_MARGIN","FQ3 2012","FQ3 2012","Currency=USD","Period=FQ","BEST_FPERIOD_OVERRIDE=FQ","FILING_STATUS=MR","FA_ADJUSTED=GAAP","Sort=A","Dates=H","DateFormat=P","Fill=—","Direction=H","UseDPDF=Y")</f>
        <v>22.641500000000001</v>
      </c>
      <c r="I16" s="21" t="str">
        <f>_xll.BDH("AAL US Equity","INCREMENTAL_OPERATING_MARGIN","FQ4 2012","FQ4 2012","Currency=USD","Period=FQ","BEST_FPERIOD_OVERRIDE=FQ","FILING_STATUS=MR","FA_ADJUSTED=GAAP","Sort=A","Dates=H","DateFormat=P","Fill=—","Direction=H","UseDPDF=Y")</f>
        <v>—</v>
      </c>
      <c r="J16" s="21">
        <f>_xll.BDH("AAL US Equity","INCREMENTAL_OPERATING_MARGIN","FQ1 2013","FQ1 2013","Currency=USD","Period=FQ","BEST_FPERIOD_OVERRIDE=FQ","FILING_STATUS=MR","FA_ADJUSTED=GAAP","Sort=A","Dates=H","DateFormat=P","Fill=—","Direction=H","UseDPDF=Y")</f>
        <v>262.29509999999999</v>
      </c>
      <c r="K16" s="21" t="str">
        <f>_xll.BDH("AAL US Equity","INCREMENTAL_OPERATING_MARGIN","FQ2 2013","FQ2 2013","Currency=USD","Period=FQ","BEST_FPERIOD_OVERRIDE=FQ","FILING_STATUS=MR","FA_ADJUSTED=GAAP","Sort=A","Dates=H","DateFormat=P","Fill=—","Direction=H","UseDPDF=Y")</f>
        <v>—</v>
      </c>
      <c r="L16" s="21">
        <f>_xll.BDH("AAL US Equity","INCREMENTAL_OPERATING_MARGIN","FQ3 2013","FQ3 2013","Currency=USD","Period=FQ","BEST_FPERIOD_OVERRIDE=FQ","FILING_STATUS=MR","FA_ADJUSTED=GAAP","Sort=A","Dates=H","DateFormat=P","Fill=—","Direction=H","UseDPDF=Y")</f>
        <v>162.90729999999999</v>
      </c>
      <c r="M16" s="21">
        <f>_xll.BDH("AAL US Equity","INCREMENTAL_OPERATING_MARGIN","FQ4 2013","FQ4 2013","Currency=USD","Period=FQ","BEST_FPERIOD_OVERRIDE=FQ","FILING_STATUS=MR","FA_ADJUSTED=GAAP","Sort=A","Dates=H","DateFormat=P","Fill=—","Direction=H","UseDPDF=Y")</f>
        <v>7.5524000000000004</v>
      </c>
      <c r="N16" s="21">
        <f>_xll.BDH("AAL US Equity","INCREMENTAL_OPERATING_MARGIN","FQ1 2014","FQ1 2014","Currency=USD","Period=FQ","BEST_FPERIOD_OVERRIDE=FQ","FILING_STATUS=MR","FA_ADJUSTED=GAAP","Sort=A","Dates=H","DateFormat=P","Fill=—","Direction=H","UseDPDF=Y")</f>
        <v>16.910399999999999</v>
      </c>
      <c r="O16" s="21">
        <f>_xll.BDH("AAL US Equity","INCREMENTAL_OPERATING_MARGIN","FQ2 2014","FQ2 2014","Currency=USD","Period=FQ","BEST_FPERIOD_OVERRIDE=FQ","FILING_STATUS=MR","FA_ADJUSTED=GAAP","Sort=A","Dates=H","DateFormat=P","Fill=—","Direction=H","UseDPDF=Y")</f>
        <v>18.079899999999999</v>
      </c>
      <c r="P16" s="21">
        <f>_xll.BDH("AAL US Equity","INCREMENTAL_OPERATING_MARGIN","FQ3 2014","FQ3 2014","Currency=USD","Period=FQ","BEST_FPERIOD_OVERRIDE=FQ","FILING_STATUS=MR","FA_ADJUSTED=GAAP","Sort=A","Dates=H","DateFormat=P","Fill=—","Direction=H","UseDPDF=Y")</f>
        <v>12.966799999999999</v>
      </c>
      <c r="Q16" s="21">
        <f>_xll.BDH("AAL US Equity","INCREMENTAL_OPERATING_MARGIN","FQ4 2014","FQ4 2014","Currency=USD","Period=FQ","BEST_FPERIOD_OVERRIDE=FQ","FILING_STATUS=MR","FA_ADJUSTED=GAAP","Sort=A","Dates=H","DateFormat=P","Fill=—","Direction=H","UseDPDF=Y")</f>
        <v>26.6738</v>
      </c>
      <c r="R16" s="21" t="str">
        <f>_xll.BDH("AAL US Equity","INCREMENTAL_OPERATING_MARGIN","FQ1 2015","FQ1 2015","Currency=USD","Period=FQ","BEST_FPERIOD_OVERRIDE=FQ","FILING_STATUS=MR","FA_ADJUSTED=GAAP","Sort=A","Dates=H","DateFormat=P","Fill=—","Direction=H","UseDPDF=Y")</f>
        <v>—</v>
      </c>
      <c r="S16" s="21" t="str">
        <f>_xll.BDH("AAL US Equity","INCREMENTAL_OPERATING_MARGIN","FQ2 2015","FQ2 2015","Currency=USD","Period=FQ","BEST_FPERIOD_OVERRIDE=FQ","FILING_STATUS=MR","FA_ADJUSTED=GAAP","Sort=A","Dates=H","DateFormat=P","Fill=—","Direction=H","UseDPDF=Y")</f>
        <v>—</v>
      </c>
      <c r="T16" s="21" t="str">
        <f>_xll.BDH("AAL US Equity","INCREMENTAL_OPERATING_MARGIN","FQ3 2015","FQ3 2015","Currency=USD","Period=FQ","BEST_FPERIOD_OVERRIDE=FQ","FILING_STATUS=MR","FA_ADJUSTED=GAAP","Sort=A","Dates=H","DateFormat=P","Fill=—","Direction=H","UseDPDF=Y")</f>
        <v>—</v>
      </c>
      <c r="U16" s="21" t="str">
        <f>_xll.BDH("AAL US Equity","INCREMENTAL_OPERATING_MARGIN","FQ4 2015","FQ4 2015","Currency=USD","Period=FQ","BEST_FPERIOD_OVERRIDE=FQ","FILING_STATUS=MR","FA_ADJUSTED=GAAP","Sort=A","Dates=H","DateFormat=P","Fill=—","Direction=H","UseDPDF=Y")</f>
        <v>—</v>
      </c>
      <c r="V16" s="21" t="str">
        <f>_xll.BDH("AAL US Equity","INCREMENTAL_OPERATING_MARGIN","FQ1 2016","FQ1 2016","Currency=USD","Period=FQ","BEST_FPERIOD_OVERRIDE=FQ","FILING_STATUS=MR","FA_ADJUSTED=GAAP","Sort=A","Dates=H","DateFormat=P","Fill=—","Direction=H","UseDPDF=Y")</f>
        <v>—</v>
      </c>
      <c r="W16" s="21">
        <f>_xll.BDH("AAL US Equity","INCREMENTAL_OPERATING_MARGIN","FQ2 2016","FQ2 2016","Currency=USD","Period=FQ","BEST_FPERIOD_OVERRIDE=FQ","FILING_STATUS=MR","FA_ADJUSTED=GAAP","Sort=A","Dates=H","DateFormat=P","Fill=—","Direction=H","UseDPDF=Y")</f>
        <v>-36.637900000000002</v>
      </c>
      <c r="X16" s="21">
        <f>_xll.BDH("AAL US Equity","INCREMENTAL_OPERATING_MARGIN","FQ3 2016","FQ3 2016","Currency=USD","Period=FQ","BEST_FPERIOD_OVERRIDE=FQ","FILING_STATUS=MR","FA_ADJUSTED=GAAP","Sort=A","Dates=H","DateFormat=P","Fill=—","Direction=H","UseDPDF=Y")</f>
        <v>-507.1429</v>
      </c>
      <c r="Y16" s="21" t="str">
        <f>_xll.BDH("AAL US Equity","INCREMENTAL_OPERATING_MARGIN","FQ4 2016","FQ4 2016","Currency=USD","Period=FQ","BEST_FPERIOD_OVERRIDE=FQ","FILING_STATUS=MR","FA_ADJUSTED=GAAP","Sort=A","Dates=H","DateFormat=P","Fill=—","Direction=H","UseDPDF=Y")</f>
        <v>—</v>
      </c>
      <c r="Z16" s="21" t="str">
        <f>_xll.BDH("AAL US Equity","INCREMENTAL_OPERATING_MARGIN","FQ1 2017","FQ1 2017","Currency=USD","Period=FQ","BEST_FPERIOD_OVERRIDE=FQ","FILING_STATUS=MR","FA_ADJUSTED=GAAP","Sort=A","Dates=H","DateFormat=P","Fill=—","Direction=H","UseDPDF=Y")</f>
        <v>—</v>
      </c>
      <c r="AA16" s="21" t="str">
        <f>_xll.BDH("AAL US Equity","INCREMENTAL_OPERATING_MARGIN","FQ2 2017","FQ2 2017","Currency=USD","Period=FQ","BEST_FPERIOD_OVERRIDE=FQ","FILING_STATUS=MR","FA_ADJUSTED=GAAP","Sort=A","Dates=H","DateFormat=P","Fill=—","Direction=H","UseDPDF=Y")</f>
        <v>—</v>
      </c>
      <c r="AB16" s="21" t="str">
        <f>_xll.BDH("AAL US Equity","INCREMENTAL_OPERATING_MARGIN","FQ3 2017","FQ3 2017","Currency=USD","Period=FQ","BEST_FPERIOD_OVERRIDE=FQ","FILING_STATUS=MR","FA_ADJUSTED=GAAP","Sort=A","Dates=H","DateFormat=P","Fill=—","Direction=H","UseDPDF=Y")</f>
        <v>—</v>
      </c>
      <c r="AC16" s="21" t="str">
        <f>_xll.BDH("AAL US Equity","INCREMENTAL_OPERATING_MARGIN","FQ4 2017","FQ4 2017","Currency=USD","Period=FQ","BEST_FPERIOD_OVERRIDE=FQ","FILING_STATUS=MR","FA_ADJUSTED=GAAP","Sort=A","Dates=H","DateFormat=P","Fill=—","Direction=H","UseDPDF=Y")</f>
        <v>—</v>
      </c>
      <c r="AD16" s="21" t="str">
        <f>_xll.BDH("AAL US Equity","INCREMENTAL_OPERATING_MARGIN","FQ1 2018","FQ1 2018","Currency=USD","Period=FQ","BEST_FPERIOD_OVERRIDE=FQ","FILING_STATUS=MR","FA_ADJUSTED=GAAP","Sort=A","Dates=H","DateFormat=P","Fill=—","Direction=H","UseDPDF=Y")</f>
        <v>—</v>
      </c>
      <c r="AE16" s="21" t="str">
        <f>_xll.BDH("AAL US Equity","INCREMENTAL_OPERATING_MARGIN","FQ2 2018","FQ2 2018","Currency=USD","Period=FQ","BEST_FPERIOD_OVERRIDE=FQ","FILING_STATUS=MR","FA_ADJUSTED=GAAP","Sort=A","Dates=H","DateFormat=P","Fill=—","Direction=H","UseDPDF=Y")</f>
        <v>—</v>
      </c>
      <c r="AF16" s="21" t="str">
        <f>_xll.BDH("AAL US Equity","INCREMENTAL_OPERATING_MARGIN","FQ3 2018","FQ3 2018","Currency=USD","Period=FQ","BEST_FPERIOD_OVERRIDE=FQ","FILING_STATUS=MR","FA_ADJUSTED=GAAP","Sort=A","Dates=H","DateFormat=P","Fill=—","Direction=H","UseDPDF=Y")</f>
        <v>—</v>
      </c>
      <c r="AG16" s="21" t="str">
        <f>_xll.BDH("AAL US Equity","INCREMENTAL_OPERATING_MARGIN","FQ4 2018","FQ4 2018","Currency=USD","Period=FQ","BEST_FPERIOD_OVERRIDE=FQ","FILING_STATUS=MR","FA_ADJUSTED=GAAP","Sort=A","Dates=H","DateFormat=P","Fill=—","Direction=H","UseDPDF=Y")</f>
        <v>—</v>
      </c>
      <c r="AH16" s="21" t="str">
        <f>_xll.BDH("AAL US Equity","INCREMENTAL_OPERATING_MARGIN","FQ1 2019","FQ1 2019","Currency=USD","Period=FQ","BEST_FPERIOD_OVERRIDE=FQ","FILING_STATUS=MR","FA_ADJUSTED=GAAP","Sort=A","Dates=H","DateFormat=P","Fill=—","Direction=H","UseDPDF=Y")</f>
        <v>—</v>
      </c>
      <c r="AI16" s="21">
        <f>_xll.BDH("AAL US Equity","INCREMENTAL_OPERATING_MARGIN","FQ2 2019","FQ2 2019","Currency=USD","Period=FQ","BEST_FPERIOD_OVERRIDE=FQ","FILING_STATUS=MR","FA_ADJUSTED=GAAP","Sort=A","Dates=H","DateFormat=P","Fill=—","Direction=H","UseDPDF=Y")</f>
        <v>47.0032</v>
      </c>
      <c r="AJ16" s="21">
        <f>_xll.BDH("AAL US Equity","INCREMENTAL_OPERATING_MARGIN","FQ3 2019","FQ3 2019","Currency=USD","Period=FQ","BEST_FPERIOD_OVERRIDE=FQ","FILING_STATUS=MR","FA_ADJUSTED=GAAP","Sort=A","Dates=H","DateFormat=P","Fill=—","Direction=H","UseDPDF=Y")</f>
        <v>34.943199999999997</v>
      </c>
      <c r="AK16" s="21">
        <f>_xll.BDH("AAL US Equity","INCREMENTAL_OPERATING_MARGIN","FQ4 2019","FQ4 2019","Currency=USD","Period=FQ","BEST_FPERIOD_OVERRIDE=FQ","FILING_STATUS=MR","FA_ADJUSTED=GAAP","Sort=A","Dates=H","DateFormat=P","Fill=—","Direction=H","UseDPDF=Y")</f>
        <v>48.2667</v>
      </c>
      <c r="AL16" s="21">
        <f>_xll.BDH("AAL US Equity","INCREMENTAL_OPERATING_MARGIN","FQ1 2020","FQ1 2020","Currency=USD","Period=FQ","BEST_FPERIOD_OVERRIDE=FQ","FILING_STATUS=MR","FA_ADJUSTED=GAAP","Sort=A","Dates=H","DateFormat=P","Fill=—","Direction=H","UseDPDF=Y")</f>
        <v>-141.32429999999999</v>
      </c>
      <c r="AM16" s="21">
        <f>_xll.BDH("AAL US Equity","INCREMENTAL_OPERATING_MARGIN","FQ2 2020","FQ2 2020","Currency=USD","Period=FQ","BEST_FPERIOD_OVERRIDE=FQ","FILING_STATUS=MR","FA_ADJUSTED=GAAP","Sort=A","Dates=H","DateFormat=P","Fill=—","Direction=H","UseDPDF=Y")</f>
        <v>-35.200200000000002</v>
      </c>
      <c r="AN16" s="21">
        <f>_xll.BDH("AAL US Equity","INCREMENTAL_OPERATING_MARGIN","FQ3 2020","FQ3 2020","Currency=USD","Period=FQ","BEST_FPERIOD_OVERRIDE=FQ","FILING_STATUS=MR","FA_ADJUSTED=GAAP","Sort=A","Dates=H","DateFormat=P","Fill=—","Direction=H","UseDPDF=Y")</f>
        <v>-42.103499999999997</v>
      </c>
      <c r="AO16" s="21">
        <f>_xll.BDH("AAL US Equity","INCREMENTAL_OPERATING_MARGIN","FQ4 2020","FQ4 2020","Currency=USD","Period=FQ","BEST_FPERIOD_OVERRIDE=FQ","FILING_STATUS=MR","FA_ADJUSTED=GAAP","Sort=A","Dates=H","DateFormat=P","Fill=—","Direction=H","UseDPDF=Y")</f>
        <v>-44.523699999999998</v>
      </c>
      <c r="AP16" s="21" t="str">
        <f>_xll.BDH("AAL US Equity","INCREMENTAL_OPERATING_MARGIN","FQ1 2021","FQ1 2021","Currency=USD","Period=FQ","BEST_FPERIOD_OVERRIDE=FQ","FILING_STATUS=MR","FA_ADJUSTED=GAAP","Sort=A","Dates=H","DateFormat=P","Fill=—","Direction=H","UseDPDF=Y")</f>
        <v>—</v>
      </c>
    </row>
    <row r="17" spans="1:42" x14ac:dyDescent="0.25">
      <c r="A17" s="18" t="s">
        <v>102</v>
      </c>
      <c r="B17" s="18" t="s">
        <v>103</v>
      </c>
      <c r="C17" s="21">
        <f>_xll.BDH("AAL US Equity","PRETAX_INC_TO_NET_SALES","FQ2 2011","FQ2 2011","Currency=USD","Period=FQ","BEST_FPERIOD_OVERRIDE=FQ","FILING_STATUS=MR","FA_ADJUSTED=GAAP","Sort=A","Dates=H","DateFormat=P","Fill=—","Direction=H","UseDPDF=Y")</f>
        <v>-4.6777999999999995</v>
      </c>
      <c r="D17" s="21">
        <f>_xll.BDH("AAL US Equity","PRETAX_INC_TO_NET_SALES","FQ3 2011","FQ3 2011","Currency=USD","Period=FQ","BEST_FPERIOD_OVERRIDE=FQ","FILING_STATUS=MR","FA_ADJUSTED=GAAP","Sort=A","Dates=H","DateFormat=P","Fill=—","Direction=H","UseDPDF=Y")</f>
        <v>-2.5407999999999999</v>
      </c>
      <c r="E17" s="21">
        <f>_xll.BDH("AAL US Equity","PRETAX_INC_TO_NET_SALES","FQ4 2011","FQ4 2011","Currency=USD","Period=FQ","BEST_FPERIOD_OVERRIDE=FQ","FILING_STATUS=MR","FA_ADJUSTED=GAAP","Sort=A","Dates=H","DateFormat=P","Fill=—","Direction=H","UseDPDF=Y")</f>
        <v>-18.384799999999998</v>
      </c>
      <c r="F17" s="21">
        <f>_xll.BDH("AAL US Equity","PRETAX_INC_TO_NET_SALES","FQ1 2012","FQ1 2012","Currency=USD","Period=FQ","BEST_FPERIOD_OVERRIDE=FQ","FILING_STATUS=MR","FA_ADJUSTED=GAAP","Sort=A","Dates=H","DateFormat=P","Fill=—","Direction=H","UseDPDF=Y")</f>
        <v>-27.4971</v>
      </c>
      <c r="G17" s="21">
        <f>_xll.BDH("AAL US Equity","PRETAX_INC_TO_NET_SALES","FQ2 2012","FQ2 2012","Currency=USD","Period=FQ","BEST_FPERIOD_OVERRIDE=FQ","FILING_STATUS=MR","FA_ADJUSTED=GAAP","Sort=A","Dates=H","DateFormat=P","Fill=—","Direction=H","UseDPDF=Y")</f>
        <v>-3.7353000000000001</v>
      </c>
      <c r="H17" s="21">
        <f>_xll.BDH("AAL US Equity","PRETAX_INC_TO_NET_SALES","FQ3 2012","FQ3 2012","Currency=USD","Period=FQ","BEST_FPERIOD_OVERRIDE=FQ","FILING_STATUS=MR","FA_ADJUSTED=GAAP","Sort=A","Dates=H","DateFormat=P","Fill=—","Direction=H","UseDPDF=Y")</f>
        <v>-3.702</v>
      </c>
      <c r="I17" s="21">
        <f>_xll.BDH("AAL US Equity","PRETAX_INC_TO_NET_SALES","FQ4 2012","FQ4 2012","Currency=USD","Period=FQ","BEST_FPERIOD_OVERRIDE=FQ","FILING_STATUS=MR","FA_ADJUSTED=GAAP","Sort=A","Dates=H","DateFormat=P","Fill=—","Direction=H","UseDPDF=Y")</f>
        <v>-5.1710000000000003</v>
      </c>
      <c r="J17" s="21">
        <f>_xll.BDH("AAL US Equity","PRETAX_INC_TO_NET_SALES","FQ1 2013","FQ1 2013","Currency=USD","Period=FQ","BEST_FPERIOD_OVERRIDE=FQ","FILING_STATUS=MR","FA_ADJUSTED=GAAP","Sort=A","Dates=H","DateFormat=P","Fill=—","Direction=H","UseDPDF=Y")</f>
        <v>-5.9527999999999999</v>
      </c>
      <c r="K17" s="21">
        <f>_xll.BDH("AAL US Equity","PRETAX_INC_TO_NET_SALES","FQ2 2013","FQ2 2013","Currency=USD","Period=FQ","BEST_FPERIOD_OVERRIDE=FQ","FILING_STATUS=MR","FA_ADJUSTED=GAAP","Sort=A","Dates=H","DateFormat=P","Fill=—","Direction=H","UseDPDF=Y")</f>
        <v>3.4114</v>
      </c>
      <c r="L17" s="21">
        <f>_xll.BDH("AAL US Equity","PRETAX_INC_TO_NET_SALES","FQ3 2013","FQ3 2013","Currency=USD","Period=FQ","BEST_FPERIOD_OVERRIDE=FQ","FILING_STATUS=MR","FA_ADJUSTED=GAAP","Sort=A","Dates=H","DateFormat=P","Fill=—","Direction=H","UseDPDF=Y")</f>
        <v>4.2325999999999997</v>
      </c>
      <c r="M17" s="21">
        <f>_xll.BDH("AAL US Equity","PRETAX_INC_TO_NET_SALES","FQ4 2013","FQ4 2013","Currency=USD","Period=FQ","BEST_FPERIOD_OVERRIDE=FQ","FILING_STATUS=MR","FA_ADJUSTED=GAAP","Sort=A","Dates=H","DateFormat=P","Fill=—","Direction=H","UseDPDF=Y")</f>
        <v>-31.546099999999999</v>
      </c>
      <c r="N17" s="21">
        <f>_xll.BDH("AAL US Equity","PRETAX_INC_TO_NET_SALES","FQ1 2014","FQ1 2014","Currency=USD","Period=FQ","BEST_FPERIOD_OVERRIDE=FQ","FILING_STATUS=MR","FA_ADJUSTED=GAAP","Sort=A","Dates=H","DateFormat=P","Fill=—","Direction=H","UseDPDF=Y")</f>
        <v>4.9325000000000001</v>
      </c>
      <c r="O17" s="21">
        <f>_xll.BDH("AAL US Equity","PRETAX_INC_TO_NET_SALES","FQ2 2014","FQ2 2014","Currency=USD","Period=FQ","BEST_FPERIOD_OVERRIDE=FQ","FILING_STATUS=MR","FA_ADJUSTED=GAAP","Sort=A","Dates=H","DateFormat=P","Fill=—","Direction=H","UseDPDF=Y")</f>
        <v>10.603300000000001</v>
      </c>
      <c r="P17" s="21">
        <f>_xll.BDH("AAL US Equity","PRETAX_INC_TO_NET_SALES","FQ3 2014","FQ3 2014","Currency=USD","Period=FQ","BEST_FPERIOD_OVERRIDE=FQ","FILING_STATUS=MR","FA_ADJUSTED=GAAP","Sort=A","Dates=H","DateFormat=P","Fill=—","Direction=H","UseDPDF=Y")</f>
        <v>8.5196000000000005</v>
      </c>
      <c r="Q17" s="21">
        <f>_xll.BDH("AAL US Equity","PRETAX_INC_TO_NET_SALES","FQ4 2014","FQ4 2014","Currency=USD","Period=FQ","BEST_FPERIOD_OVERRIDE=FQ","FILING_STATUS=MR","FA_ADJUSTED=GAAP","Sort=A","Dates=H","DateFormat=P","Fill=—","Direction=H","UseDPDF=Y")</f>
        <v>5.5807000000000002</v>
      </c>
      <c r="R17" s="21">
        <f>_xll.BDH("AAL US Equity","PRETAX_INC_TO_NET_SALES","FQ1 2015","FQ1 2015","Currency=USD","Period=FQ","BEST_FPERIOD_OVERRIDE=FQ","FILING_STATUS=MR","FA_ADJUSTED=GAAP","Sort=A","Dates=H","DateFormat=P","Fill=—","Direction=H","UseDPDF=Y")</f>
        <v>9.5960000000000001</v>
      </c>
      <c r="S17" s="21">
        <f>_xll.BDH("AAL US Equity","PRETAX_INC_TO_NET_SALES","FQ2 2015","FQ2 2015","Currency=USD","Period=FQ","BEST_FPERIOD_OVERRIDE=FQ","FILING_STATUS=MR","FA_ADJUSTED=GAAP","Sort=A","Dates=H","DateFormat=P","Fill=—","Direction=H","UseDPDF=Y")</f>
        <v>15.877000000000001</v>
      </c>
      <c r="T17" s="21">
        <f>_xll.BDH("AAL US Equity","PRETAX_INC_TO_NET_SALES","FQ3 2015","FQ3 2015","Currency=USD","Period=FQ","BEST_FPERIOD_OVERRIDE=FQ","FILING_STATUS=MR","FA_ADJUSTED=GAAP","Sort=A","Dates=H","DateFormat=P","Fill=—","Direction=H","UseDPDF=Y")</f>
        <v>15.962999999999999</v>
      </c>
      <c r="U17" s="21">
        <f>_xll.BDH("AAL US Equity","PRETAX_INC_TO_NET_SALES","FQ4 2015","FQ4 2015","Currency=USD","Period=FQ","BEST_FPERIOD_OVERRIDE=FQ","FILING_STATUS=MR","FA_ADJUSTED=GAAP","Sort=A","Dates=H","DateFormat=P","Fill=—","Direction=H","UseDPDF=Y")</f>
        <v>2.5337000000000001</v>
      </c>
      <c r="V17" s="21">
        <f>_xll.BDH("AAL US Equity","PRETAX_INC_TO_NET_SALES","FQ1 2016","FQ1 2016","Currency=USD","Period=FQ","BEST_FPERIOD_OVERRIDE=FQ","FILING_STATUS=MR","FA_ADJUSTED=GAAP","Sort=A","Dates=H","DateFormat=P","Fill=—","Direction=H","UseDPDF=Y")</f>
        <v>11.838900000000001</v>
      </c>
      <c r="W17" s="21">
        <f>_xll.BDH("AAL US Equity","PRETAX_INC_TO_NET_SALES","FQ2 2016","FQ2 2016","Currency=USD","Period=FQ","BEST_FPERIOD_OVERRIDE=FQ","FILING_STATUS=MR","FA_ADJUSTED=GAAP","Sort=A","Dates=H","DateFormat=P","Fill=—","Direction=H","UseDPDF=Y")</f>
        <v>14.407</v>
      </c>
      <c r="X17" s="21">
        <f>_xll.BDH("AAL US Equity","PRETAX_INC_TO_NET_SALES","FQ3 2016","FQ3 2016","Currency=USD","Period=FQ","BEST_FPERIOD_OVERRIDE=FQ","FILING_STATUS=MR","FA_ADJUSTED=GAAP","Sort=A","Dates=H","DateFormat=P","Fill=—","Direction=H","UseDPDF=Y")</f>
        <v>11.2233</v>
      </c>
      <c r="Y17" s="21">
        <f>_xll.BDH("AAL US Equity","PRETAX_INC_TO_NET_SALES","FQ4 2016","FQ4 2016","Currency=USD","Period=FQ","BEST_FPERIOD_OVERRIDE=FQ","FILING_STATUS=MR","FA_ADJUSTED=GAAP","Sort=A","Dates=H","DateFormat=P","Fill=—","Direction=H","UseDPDF=Y")</f>
        <v>5.1078000000000001</v>
      </c>
      <c r="Z17" s="21">
        <f>_xll.BDH("AAL US Equity","PRETAX_INC_TO_NET_SALES","FQ1 2017","FQ1 2017","Currency=USD","Period=FQ","BEST_FPERIOD_OVERRIDE=FQ","FILING_STATUS=MR","FA_ADJUSTED=GAAP","Sort=A","Dates=H","DateFormat=P","Fill=—","Direction=H","UseDPDF=Y")</f>
        <v>5.4481000000000002</v>
      </c>
      <c r="AA17" s="21">
        <f>_xll.BDH("AAL US Equity","PRETAX_INC_TO_NET_SALES","FQ2 2017","FQ2 2017","Currency=USD","Period=FQ","BEST_FPERIOD_OVERRIDE=FQ","FILING_STATUS=MR","FA_ADJUSTED=GAAP","Sort=A","Dates=H","DateFormat=P","Fill=—","Direction=H","UseDPDF=Y")</f>
        <v>12.372</v>
      </c>
      <c r="AB17" s="21">
        <f>_xll.BDH("AAL US Equity","PRETAX_INC_TO_NET_SALES","FQ3 2017","FQ3 2017","Currency=USD","Period=FQ","BEST_FPERIOD_OVERRIDE=FQ","FILING_STATUS=MR","FA_ADJUSTED=GAAP","Sort=A","Dates=H","DateFormat=P","Fill=—","Direction=H","UseDPDF=Y")</f>
        <v>9.6944999999999997</v>
      </c>
      <c r="AC17" s="21">
        <f>_xll.BDH("AAL US Equity","PRETAX_INC_TO_NET_SALES","FQ4 2017","FQ4 2017","Currency=USD","Period=FQ","BEST_FPERIOD_OVERRIDE=FQ","FILING_STATUS=MR","FA_ADJUSTED=GAAP","Sort=A","Dates=H","DateFormat=P","Fill=—","Direction=H","UseDPDF=Y")</f>
        <v>3.8451</v>
      </c>
      <c r="AD17" s="21">
        <f>_xll.BDH("AAL US Equity","PRETAX_INC_TO_NET_SALES","FQ1 2018","FQ1 2018","Currency=USD","Period=FQ","BEST_FPERIOD_OVERRIDE=FQ","FILING_STATUS=MR","FA_ADJUSTED=GAAP","Sort=A","Dates=H","DateFormat=P","Fill=—","Direction=H","UseDPDF=Y")</f>
        <v>2.2881999999999998</v>
      </c>
      <c r="AE17" s="21">
        <f>_xll.BDH("AAL US Equity","PRETAX_INC_TO_NET_SALES","FQ2 2018","FQ2 2018","Currency=USD","Period=FQ","BEST_FPERIOD_OVERRIDE=FQ","FILING_STATUS=MR","FA_ADJUSTED=GAAP","Sort=A","Dates=H","DateFormat=P","Fill=—","Direction=H","UseDPDF=Y")</f>
        <v>6.4931999999999999</v>
      </c>
      <c r="AF17" s="21">
        <f>_xll.BDH("AAL US Equity","PRETAX_INC_TO_NET_SALES","FQ3 2018","FQ3 2018","Currency=USD","Period=FQ","BEST_FPERIOD_OVERRIDE=FQ","FILING_STATUS=MR","FA_ADJUSTED=GAAP","Sort=A","Dates=H","DateFormat=P","Fill=—","Direction=H","UseDPDF=Y")</f>
        <v>4.2910000000000004</v>
      </c>
      <c r="AG17" s="21">
        <f>_xll.BDH("AAL US Equity","PRETAX_INC_TO_NET_SALES","FQ4 2018","FQ4 2018","Currency=USD","Period=FQ","BEST_FPERIOD_OVERRIDE=FQ","FILING_STATUS=MR","FA_ADJUSTED=GAAP","Sort=A","Dates=H","DateFormat=P","Fill=—","Direction=H","UseDPDF=Y")</f>
        <v>3.5289999999999999</v>
      </c>
      <c r="AH17" s="21">
        <f>_xll.BDH("AAL US Equity","PRETAX_INC_TO_NET_SALES","FQ1 2019","FQ1 2019","Currency=USD","Period=FQ","BEST_FPERIOD_OVERRIDE=FQ","FILING_STATUS=MR","FA_ADJUSTED=GAAP","Sort=A","Dates=H","DateFormat=P","Fill=—","Direction=H","UseDPDF=Y")</f>
        <v>2.3148</v>
      </c>
      <c r="AI17" s="21">
        <f>_xll.BDH("AAL US Equity","PRETAX_INC_TO_NET_SALES","FQ2 2019","FQ2 2019","Currency=USD","Period=FQ","BEST_FPERIOD_OVERRIDE=FQ","FILING_STATUS=MR","FA_ADJUSTED=GAAP","Sort=A","Dates=H","DateFormat=P","Fill=—","Direction=H","UseDPDF=Y")</f>
        <v>7.3746</v>
      </c>
      <c r="AJ17" s="21">
        <f>_xll.BDH("AAL US Equity","PRETAX_INC_TO_NET_SALES","FQ3 2019","FQ3 2019","Currency=USD","Period=FQ","BEST_FPERIOD_OVERRIDE=FQ","FILING_STATUS=MR","FA_ADJUSTED=GAAP","Sort=A","Dates=H","DateFormat=P","Fill=—","Direction=H","UseDPDF=Y")</f>
        <v>4.6763000000000003</v>
      </c>
      <c r="AK17" s="21">
        <f>_xll.BDH("AAL US Equity","PRETAX_INC_TO_NET_SALES","FQ4 2019","FQ4 2019","Currency=USD","Period=FQ","BEST_FPERIOD_OVERRIDE=FQ","FILING_STATUS=MR","FA_ADJUSTED=GAAP","Sort=A","Dates=H","DateFormat=P","Fill=—","Direction=H","UseDPDF=Y")</f>
        <v>5.0560999999999998</v>
      </c>
      <c r="AL17" s="21">
        <f>_xll.BDH("AAL US Equity","PRETAX_INC_TO_NET_SALES","FQ1 2020","FQ1 2020","Currency=USD","Period=FQ","BEST_FPERIOD_OVERRIDE=FQ","FILING_STATUS=MR","FA_ADJUSTED=GAAP","Sort=A","Dates=H","DateFormat=P","Fill=—","Direction=H","UseDPDF=Y")</f>
        <v>-33.940100000000001</v>
      </c>
      <c r="AM17" s="21">
        <f>_xll.BDH("AAL US Equity","PRETAX_INC_TO_NET_SALES","FQ2 2020","FQ2 2020","Currency=USD","Period=FQ","BEST_FPERIOD_OVERRIDE=FQ","FILING_STATUS=MR","FA_ADJUSTED=GAAP","Sort=A","Dates=H","DateFormat=P","Fill=—","Direction=H","UseDPDF=Y")</f>
        <v>-163.93340000000001</v>
      </c>
      <c r="AN17" s="21">
        <f>_xll.BDH("AAL US Equity","PRETAX_INC_TO_NET_SALES","FQ3 2020","FQ3 2020","Currency=USD","Period=FQ","BEST_FPERIOD_OVERRIDE=FQ","FILING_STATUS=MR","FA_ADJUSTED=GAAP","Sort=A","Dates=H","DateFormat=P","Fill=—","Direction=H","UseDPDF=Y")</f>
        <v>-97.541799999999995</v>
      </c>
      <c r="AO17" s="21">
        <f>_xll.BDH("AAL US Equity","PRETAX_INC_TO_NET_SALES","FQ4 2020","FQ4 2020","Currency=USD","Period=FQ","BEST_FPERIOD_OVERRIDE=FQ","FILING_STATUS=MR","FA_ADJUSTED=GAAP","Sort=A","Dates=H","DateFormat=P","Fill=—","Direction=H","UseDPDF=Y")</f>
        <v>-69.754199999999997</v>
      </c>
      <c r="AP17" s="21">
        <f>_xll.BDH("AAL US Equity","PRETAX_INC_TO_NET_SALES","FQ1 2021","FQ1 2021","Currency=USD","Period=FQ","BEST_FPERIOD_OVERRIDE=FQ","FILING_STATUS=MR","FA_ADJUSTED=GAAP","Sort=A","Dates=H","DateFormat=P","Fill=—","Direction=H","UseDPDF=Y")</f>
        <v>-39.246499999999997</v>
      </c>
    </row>
    <row r="18" spans="1:42" x14ac:dyDescent="0.25">
      <c r="A18" s="18" t="s">
        <v>104</v>
      </c>
      <c r="B18" s="18" t="s">
        <v>105</v>
      </c>
      <c r="C18" s="21">
        <f>_xll.BDH("AAL US Equity","INC_BEF_XO_ITEMS_TO_NET_SALES","FQ2 2011","FQ2 2011","Currency=USD","Period=FQ","BEST_FPERIOD_OVERRIDE=FQ","FILING_STATUS=MR","FA_ADJUSTED=GAAP","Sort=A","Dates=H","DateFormat=P","Fill=—","Direction=H","UseDPDF=Y")</f>
        <v>-4.6777999999999995</v>
      </c>
      <c r="D18" s="21">
        <f>_xll.BDH("AAL US Equity","INC_BEF_XO_ITEMS_TO_NET_SALES","FQ3 2011","FQ3 2011","Currency=USD","Period=FQ","BEST_FPERIOD_OVERRIDE=FQ","FILING_STATUS=MR","FA_ADJUSTED=GAAP","Sort=A","Dates=H","DateFormat=P","Fill=—","Direction=H","UseDPDF=Y")</f>
        <v>-2.5407999999999999</v>
      </c>
      <c r="E18" s="21">
        <f>_xll.BDH("AAL US Equity","INC_BEF_XO_ITEMS_TO_NET_SALES","FQ4 2011","FQ4 2011","Currency=USD","Period=FQ","BEST_FPERIOD_OVERRIDE=FQ","FILING_STATUS=MR","FA_ADJUSTED=GAAP","Sort=A","Dates=H","DateFormat=P","Fill=—","Direction=H","UseDPDF=Y")</f>
        <v>-18.384799999999998</v>
      </c>
      <c r="F18" s="21">
        <f>_xll.BDH("AAL US Equity","INC_BEF_XO_ITEMS_TO_NET_SALES","FQ1 2012","FQ1 2012","Currency=USD","Period=FQ","BEST_FPERIOD_OVERRIDE=FQ","FILING_STATUS=MR","FA_ADJUSTED=GAAP","Sort=A","Dates=H","DateFormat=P","Fill=—","Direction=H","UseDPDF=Y")</f>
        <v>-27.4971</v>
      </c>
      <c r="G18" s="21">
        <f>_xll.BDH("AAL US Equity","INC_BEF_XO_ITEMS_TO_NET_SALES","FQ2 2012","FQ2 2012","Currency=USD","Period=FQ","BEST_FPERIOD_OVERRIDE=FQ","FILING_STATUS=MR","FA_ADJUSTED=GAAP","Sort=A","Dates=H","DateFormat=P","Fill=—","Direction=H","UseDPDF=Y")</f>
        <v>-3.7353000000000001</v>
      </c>
      <c r="H18" s="21">
        <f>_xll.BDH("AAL US Equity","INC_BEF_XO_ITEMS_TO_NET_SALES","FQ3 2012","FQ3 2012","Currency=USD","Period=FQ","BEST_FPERIOD_OVERRIDE=FQ","FILING_STATUS=MR","FA_ADJUSTED=GAAP","Sort=A","Dates=H","DateFormat=P","Fill=—","Direction=H","UseDPDF=Y")</f>
        <v>-3.702</v>
      </c>
      <c r="I18" s="21">
        <f>_xll.BDH("AAL US Equity","INC_BEF_XO_ITEMS_TO_NET_SALES","FQ4 2012","FQ4 2012","Currency=USD","Period=FQ","BEST_FPERIOD_OVERRIDE=FQ","FILING_STATUS=MR","FA_ADJUSTED=GAAP","Sort=A","Dates=H","DateFormat=P","Fill=—","Direction=H","UseDPDF=Y")</f>
        <v>4.4130000000000003</v>
      </c>
      <c r="J18" s="21">
        <f>_xll.BDH("AAL US Equity","INC_BEF_XO_ITEMS_TO_NET_SALES","FQ1 2013","FQ1 2013","Currency=USD","Period=FQ","BEST_FPERIOD_OVERRIDE=FQ","FILING_STATUS=MR","FA_ADJUSTED=GAAP","Sort=A","Dates=H","DateFormat=P","Fill=—","Direction=H","UseDPDF=Y")</f>
        <v>-5.5919999999999996</v>
      </c>
      <c r="K18" s="21">
        <f>_xll.BDH("AAL US Equity","INC_BEF_XO_ITEMS_TO_NET_SALES","FQ2 2013","FQ2 2013","Currency=USD","Period=FQ","BEST_FPERIOD_OVERRIDE=FQ","FILING_STATUS=MR","FA_ADJUSTED=GAAP","Sort=A","Dates=H","DateFormat=P","Fill=—","Direction=H","UseDPDF=Y")</f>
        <v>3.4114</v>
      </c>
      <c r="L18" s="21">
        <f>_xll.BDH("AAL US Equity","INC_BEF_XO_ITEMS_TO_NET_SALES","FQ3 2013","FQ3 2013","Currency=USD","Period=FQ","BEST_FPERIOD_OVERRIDE=FQ","FILING_STATUS=MR","FA_ADJUSTED=GAAP","Sort=A","Dates=H","DateFormat=P","Fill=—","Direction=H","UseDPDF=Y")</f>
        <v>4.2325999999999997</v>
      </c>
      <c r="M18" s="21">
        <f>_xll.BDH("AAL US Equity","INC_BEF_XO_ITEMS_TO_NET_SALES","FQ4 2013","FQ4 2013","Currency=USD","Period=FQ","BEST_FPERIOD_OVERRIDE=FQ","FILING_STATUS=MR","FA_ADJUSTED=GAAP","Sort=A","Dates=H","DateFormat=P","Fill=—","Direction=H","UseDPDF=Y")</f>
        <v>-27.148099999999999</v>
      </c>
      <c r="N18" s="21">
        <f>_xll.BDH("AAL US Equity","INC_BEF_XO_ITEMS_TO_NET_SALES","FQ1 2014","FQ1 2014","Currency=USD","Period=FQ","BEST_FPERIOD_OVERRIDE=FQ","FILING_STATUS=MR","FA_ADJUSTED=GAAP","Sort=A","Dates=H","DateFormat=P","Fill=—","Direction=H","UseDPDF=Y")</f>
        <v>4.8024000000000004</v>
      </c>
      <c r="O18" s="21">
        <f>_xll.BDH("AAL US Equity","INC_BEF_XO_ITEMS_TO_NET_SALES","FQ2 2014","FQ2 2014","Currency=USD","Period=FQ","BEST_FPERIOD_OVERRIDE=FQ","FILING_STATUS=MR","FA_ADJUSTED=GAAP","Sort=A","Dates=H","DateFormat=P","Fill=—","Direction=H","UseDPDF=Y")</f>
        <v>7.609</v>
      </c>
      <c r="P18" s="21">
        <f>_xll.BDH("AAL US Equity","INC_BEF_XO_ITEMS_TO_NET_SALES","FQ3 2014","FQ3 2014","Currency=USD","Period=FQ","BEST_FPERIOD_OVERRIDE=FQ","FILING_STATUS=MR","FA_ADJUSTED=GAAP","Sort=A","Dates=H","DateFormat=P","Fill=—","Direction=H","UseDPDF=Y")</f>
        <v>8.4567999999999994</v>
      </c>
      <c r="Q18" s="21">
        <f>_xll.BDH("AAL US Equity","INC_BEF_XO_ITEMS_TO_NET_SALES","FQ4 2014","FQ4 2014","Currency=USD","Period=FQ","BEST_FPERIOD_OVERRIDE=FQ","FILING_STATUS=MR","FA_ADJUSTED=GAAP","Sort=A","Dates=H","DateFormat=P","Fill=—","Direction=H","UseDPDF=Y")</f>
        <v>5.8760000000000003</v>
      </c>
      <c r="R18" s="21">
        <f>_xll.BDH("AAL US Equity","INC_BEF_XO_ITEMS_TO_NET_SALES","FQ1 2015","FQ1 2015","Currency=USD","Period=FQ","BEST_FPERIOD_OVERRIDE=FQ","FILING_STATUS=MR","FA_ADJUSTED=GAAP","Sort=A","Dates=H","DateFormat=P","Fill=—","Direction=H","UseDPDF=Y")</f>
        <v>9.4840999999999998</v>
      </c>
      <c r="S18" s="21">
        <f>_xll.BDH("AAL US Equity","INC_BEF_XO_ITEMS_TO_NET_SALES","FQ2 2015","FQ2 2015","Currency=USD","Period=FQ","BEST_FPERIOD_OVERRIDE=FQ","FILING_STATUS=MR","FA_ADJUSTED=GAAP","Sort=A","Dates=H","DateFormat=P","Fill=—","Direction=H","UseDPDF=Y")</f>
        <v>15.7384</v>
      </c>
      <c r="T18" s="21">
        <f>_xll.BDH("AAL US Equity","INC_BEF_XO_ITEMS_TO_NET_SALES","FQ3 2015","FQ3 2015","Currency=USD","Period=FQ","BEST_FPERIOD_OVERRIDE=FQ","FILING_STATUS=MR","FA_ADJUSTED=GAAP","Sort=A","Dates=H","DateFormat=P","Fill=—","Direction=H","UseDPDF=Y")</f>
        <v>15.813599999999999</v>
      </c>
      <c r="U18" s="21">
        <f>_xll.BDH("AAL US Equity","INC_BEF_XO_ITEMS_TO_NET_SALES","FQ4 2015","FQ4 2015","Currency=USD","Period=FQ","BEST_FPERIOD_OVERRIDE=FQ","FILING_STATUS=MR","FA_ADJUSTED=GAAP","Sort=A","Dates=H","DateFormat=P","Fill=—","Direction=H","UseDPDF=Y")</f>
        <v>34.070599999999999</v>
      </c>
      <c r="V18" s="21">
        <f>_xll.BDH("AAL US Equity","INC_BEF_XO_ITEMS_TO_NET_SALES","FQ1 2016","FQ1 2016","Currency=USD","Period=FQ","BEST_FPERIOD_OVERRIDE=FQ","FILING_STATUS=MR","FA_ADJUSTED=GAAP","Sort=A","Dates=H","DateFormat=P","Fill=—","Direction=H","UseDPDF=Y")</f>
        <v>7.4192</v>
      </c>
      <c r="W18" s="21">
        <f>_xll.BDH("AAL US Equity","INC_BEF_XO_ITEMS_TO_NET_SALES","FQ2 2016","FQ2 2016","Currency=USD","Period=FQ","BEST_FPERIOD_OVERRIDE=FQ","FILING_STATUS=MR","FA_ADJUSTED=GAAP","Sort=A","Dates=H","DateFormat=P","Fill=—","Direction=H","UseDPDF=Y")</f>
        <v>9.1671999999999993</v>
      </c>
      <c r="X18" s="21">
        <f>_xll.BDH("AAL US Equity","INC_BEF_XO_ITEMS_TO_NET_SALES","FQ3 2016","FQ3 2016","Currency=USD","Period=FQ","BEST_FPERIOD_OVERRIDE=FQ","FILING_STATUS=MR","FA_ADJUSTED=GAAP","Sort=A","Dates=H","DateFormat=P","Fill=—","Direction=H","UseDPDF=Y")</f>
        <v>6.9568000000000003</v>
      </c>
      <c r="Y18" s="21">
        <f>_xll.BDH("AAL US Equity","INC_BEF_XO_ITEMS_TO_NET_SALES","FQ4 2016","FQ4 2016","Currency=USD","Period=FQ","BEST_FPERIOD_OVERRIDE=FQ","FILING_STATUS=MR","FA_ADJUSTED=GAAP","Sort=A","Dates=H","DateFormat=P","Fill=—","Direction=H","UseDPDF=Y")</f>
        <v>2.9523000000000001</v>
      </c>
      <c r="Z18" s="21">
        <f>_xll.BDH("AAL US Equity","INC_BEF_XO_ITEMS_TO_NET_SALES","FQ1 2017","FQ1 2017","Currency=USD","Period=FQ","BEST_FPERIOD_OVERRIDE=FQ","FILING_STATUS=MR","FA_ADJUSTED=GAAP","Sort=A","Dates=H","DateFormat=P","Fill=—","Direction=H","UseDPDF=Y")</f>
        <v>3.4622999999999999</v>
      </c>
      <c r="AA18" s="21">
        <f>_xll.BDH("AAL US Equity","INC_BEF_XO_ITEMS_TO_NET_SALES","FQ2 2017","FQ2 2017","Currency=USD","Period=FQ","BEST_FPERIOD_OVERRIDE=FQ","FILING_STATUS=MR","FA_ADJUSTED=GAAP","Sort=A","Dates=H","DateFormat=P","Fill=—","Direction=H","UseDPDF=Y")</f>
        <v>7.6957000000000004</v>
      </c>
      <c r="AB18" s="21">
        <f>_xll.BDH("AAL US Equity","INC_BEF_XO_ITEMS_TO_NET_SALES","FQ3 2017","FQ3 2017","Currency=USD","Period=FQ","BEST_FPERIOD_OVERRIDE=FQ","FILING_STATUS=MR","FA_ADJUSTED=GAAP","Sort=A","Dates=H","DateFormat=P","Fill=—","Direction=H","UseDPDF=Y")</f>
        <v>6.0282999999999998</v>
      </c>
      <c r="AC18" s="21">
        <f>_xll.BDH("AAL US Equity","INC_BEF_XO_ITEMS_TO_NET_SALES","FQ4 2017","FQ4 2017","Currency=USD","Period=FQ","BEST_FPERIOD_OVERRIDE=FQ","FILING_STATUS=MR","FA_ADJUSTED=GAAP","Sort=A","Dates=H","DateFormat=P","Fill=—","Direction=H","UseDPDF=Y")</f>
        <v>-5.4943</v>
      </c>
      <c r="AD18" s="21">
        <f>_xll.BDH("AAL US Equity","INC_BEF_XO_ITEMS_TO_NET_SALES","FQ1 2018","FQ1 2018","Currency=USD","Period=FQ","BEST_FPERIOD_OVERRIDE=FQ","FILING_STATUS=MR","FA_ADJUSTED=GAAP","Sort=A","Dates=H","DateFormat=P","Fill=—","Direction=H","UseDPDF=Y")</f>
        <v>1.5286999999999999</v>
      </c>
      <c r="AE18" s="21">
        <f>_xll.BDH("AAL US Equity","INC_BEF_XO_ITEMS_TO_NET_SALES","FQ2 2018","FQ2 2018","Currency=USD","Period=FQ","BEST_FPERIOD_OVERRIDE=FQ","FILING_STATUS=MR","FA_ADJUSTED=GAAP","Sort=A","Dates=H","DateFormat=P","Fill=—","Direction=H","UseDPDF=Y")</f>
        <v>4.7754000000000003</v>
      </c>
      <c r="AF18" s="21">
        <f>_xll.BDH("AAL US Equity","INC_BEF_XO_ITEMS_TO_NET_SALES","FQ3 2018","FQ3 2018","Currency=USD","Period=FQ","BEST_FPERIOD_OVERRIDE=FQ","FILING_STATUS=MR","FA_ADJUSTED=GAAP","Sort=A","Dates=H","DateFormat=P","Fill=—","Direction=H","UseDPDF=Y")</f>
        <v>3.2183000000000002</v>
      </c>
      <c r="AG18" s="21">
        <f>_xll.BDH("AAL US Equity","INC_BEF_XO_ITEMS_TO_NET_SALES","FQ4 2018","FQ4 2018","Currency=USD","Period=FQ","BEST_FPERIOD_OVERRIDE=FQ","FILING_STATUS=MR","FA_ADJUSTED=GAAP","Sort=A","Dates=H","DateFormat=P","Fill=—","Direction=H","UseDPDF=Y")</f>
        <v>2.9163999999999999</v>
      </c>
      <c r="AH18" s="21">
        <f>_xll.BDH("AAL US Equity","INC_BEF_XO_ITEMS_TO_NET_SALES","FQ1 2019","FQ1 2019","Currency=USD","Period=FQ","BEST_FPERIOD_OVERRIDE=FQ","FILING_STATUS=MR","FA_ADJUSTED=GAAP","Sort=A","Dates=H","DateFormat=P","Fill=—","Direction=H","UseDPDF=Y")</f>
        <v>1.7479</v>
      </c>
      <c r="AI18" s="21">
        <f>_xll.BDH("AAL US Equity","INC_BEF_XO_ITEMS_TO_NET_SALES","FQ2 2019","FQ2 2019","Currency=USD","Period=FQ","BEST_FPERIOD_OVERRIDE=FQ","FILING_STATUS=MR","FA_ADJUSTED=GAAP","Sort=A","Dates=H","DateFormat=P","Fill=—","Direction=H","UseDPDF=Y")</f>
        <v>5.5350999999999999</v>
      </c>
      <c r="AJ18" s="21">
        <f>_xll.BDH("AAL US Equity","INC_BEF_XO_ITEMS_TO_NET_SALES","FQ3 2019","FQ3 2019","Currency=USD","Period=FQ","BEST_FPERIOD_OVERRIDE=FQ","FILING_STATUS=MR","FA_ADJUSTED=GAAP","Sort=A","Dates=H","DateFormat=P","Fill=—","Direction=H","UseDPDF=Y")</f>
        <v>3.5681000000000003</v>
      </c>
      <c r="AK18" s="21">
        <f>_xll.BDH("AAL US Equity","INC_BEF_XO_ITEMS_TO_NET_SALES","FQ4 2019","FQ4 2019","Currency=USD","Period=FQ","BEST_FPERIOD_OVERRIDE=FQ","FILING_STATUS=MR","FA_ADJUSTED=GAAP","Sort=A","Dates=H","DateFormat=P","Fill=—","Direction=H","UseDPDF=Y")</f>
        <v>3.6595</v>
      </c>
      <c r="AL18" s="21">
        <f>_xll.BDH("AAL US Equity","INC_BEF_XO_ITEMS_TO_NET_SALES","FQ1 2020","FQ1 2020","Currency=USD","Period=FQ","BEST_FPERIOD_OVERRIDE=FQ","FILING_STATUS=MR","FA_ADJUSTED=GAAP","Sort=A","Dates=H","DateFormat=P","Fill=—","Direction=H","UseDPDF=Y")</f>
        <v>-26.318300000000001</v>
      </c>
      <c r="AM18" s="21">
        <f>_xll.BDH("AAL US Equity","INC_BEF_XO_ITEMS_TO_NET_SALES","FQ2 2020","FQ2 2020","Currency=USD","Period=FQ","BEST_FPERIOD_OVERRIDE=FQ","FILING_STATUS=MR","FA_ADJUSTED=GAAP","Sort=A","Dates=H","DateFormat=P","Fill=—","Direction=H","UseDPDF=Y")</f>
        <v>-127.4353</v>
      </c>
      <c r="AN18" s="21">
        <f>_xll.BDH("AAL US Equity","INC_BEF_XO_ITEMS_TO_NET_SALES","FQ3 2020","FQ3 2020","Currency=USD","Period=FQ","BEST_FPERIOD_OVERRIDE=FQ","FILING_STATUS=MR","FA_ADJUSTED=GAAP","Sort=A","Dates=H","DateFormat=P","Fill=—","Direction=H","UseDPDF=Y")</f>
        <v>-75.606700000000004</v>
      </c>
      <c r="AO18" s="21">
        <f>_xll.BDH("AAL US Equity","INC_BEF_XO_ITEMS_TO_NET_SALES","FQ4 2020","FQ4 2020","Currency=USD","Period=FQ","BEST_FPERIOD_OVERRIDE=FQ","FILING_STATUS=MR","FA_ADJUSTED=GAAP","Sort=A","Dates=H","DateFormat=P","Fill=—","Direction=H","UseDPDF=Y")</f>
        <v>-54.084899999999998</v>
      </c>
      <c r="AP18" s="21">
        <f>_xll.BDH("AAL US Equity","INC_BEF_XO_ITEMS_TO_NET_SALES","FQ1 2021","FQ1 2021","Currency=USD","Period=FQ","BEST_FPERIOD_OVERRIDE=FQ","FILING_STATUS=MR","FA_ADJUSTED=GAAP","Sort=A","Dates=H","DateFormat=P","Fill=—","Direction=H","UseDPDF=Y")</f>
        <v>-31.1876</v>
      </c>
    </row>
    <row r="19" spans="1:42" x14ac:dyDescent="0.25">
      <c r="A19" s="18" t="s">
        <v>106</v>
      </c>
      <c r="B19" s="18" t="s">
        <v>107</v>
      </c>
      <c r="C19" s="21">
        <f>_xll.BDH("AAL US Equity","PROF_MARGIN","FQ2 2011","FQ2 2011","Currency=USD","Period=FQ","BEST_FPERIOD_OVERRIDE=FQ","FILING_STATUS=MR","FA_ADJUSTED=GAAP","Sort=A","Dates=H","DateFormat=P","Fill=—","Direction=H","UseDPDF=Y")</f>
        <v>-4.6777999999999995</v>
      </c>
      <c r="D19" s="21">
        <f>_xll.BDH("AAL US Equity","PROF_MARGIN","FQ3 2011","FQ3 2011","Currency=USD","Period=FQ","BEST_FPERIOD_OVERRIDE=FQ","FILING_STATUS=MR","FA_ADJUSTED=GAAP","Sort=A","Dates=H","DateFormat=P","Fill=—","Direction=H","UseDPDF=Y")</f>
        <v>-2.5407999999999999</v>
      </c>
      <c r="E19" s="21">
        <f>_xll.BDH("AAL US Equity","PROF_MARGIN","FQ4 2011","FQ4 2011","Currency=USD","Period=FQ","BEST_FPERIOD_OVERRIDE=FQ","FILING_STATUS=MR","FA_ADJUSTED=GAAP","Sort=A","Dates=H","DateFormat=P","Fill=—","Direction=H","UseDPDF=Y")</f>
        <v>-18.384799999999998</v>
      </c>
      <c r="F19" s="21">
        <f>_xll.BDH("AAL US Equity","PROF_MARGIN","FQ1 2012","FQ1 2012","Currency=USD","Period=FQ","BEST_FPERIOD_OVERRIDE=FQ","FILING_STATUS=MR","FA_ADJUSTED=GAAP","Sort=A","Dates=H","DateFormat=P","Fill=—","Direction=H","UseDPDF=Y")</f>
        <v>-27.4971</v>
      </c>
      <c r="G19" s="21">
        <f>_xll.BDH("AAL US Equity","PROF_MARGIN","FQ2 2012","FQ2 2012","Currency=USD","Period=FQ","BEST_FPERIOD_OVERRIDE=FQ","FILING_STATUS=MR","FA_ADJUSTED=GAAP","Sort=A","Dates=H","DateFormat=P","Fill=—","Direction=H","UseDPDF=Y")</f>
        <v>-3.7353000000000001</v>
      </c>
      <c r="H19" s="21">
        <f>_xll.BDH("AAL US Equity","PROF_MARGIN","FQ3 2012","FQ3 2012","Currency=USD","Period=FQ","BEST_FPERIOD_OVERRIDE=FQ","FILING_STATUS=MR","FA_ADJUSTED=GAAP","Sort=A","Dates=H","DateFormat=P","Fill=—","Direction=H","UseDPDF=Y")</f>
        <v>-3.702</v>
      </c>
      <c r="I19" s="21">
        <f>_xll.BDH("AAL US Equity","PROF_MARGIN","FQ4 2012","FQ4 2012","Currency=USD","Period=FQ","BEST_FPERIOD_OVERRIDE=FQ","FILING_STATUS=MR","FA_ADJUSTED=GAAP","Sort=A","Dates=H","DateFormat=P","Fill=—","Direction=H","UseDPDF=Y")</f>
        <v>4.4130000000000003</v>
      </c>
      <c r="J19" s="21">
        <f>_xll.BDH("AAL US Equity","PROF_MARGIN","FQ1 2013","FQ1 2013","Currency=USD","Period=FQ","BEST_FPERIOD_OVERRIDE=FQ","FILING_STATUS=MR","FA_ADJUSTED=GAAP","Sort=A","Dates=H","DateFormat=P","Fill=—","Direction=H","UseDPDF=Y")</f>
        <v>-5.5919999999999996</v>
      </c>
      <c r="K19" s="21">
        <f>_xll.BDH("AAL US Equity","PROF_MARGIN","FQ2 2013","FQ2 2013","Currency=USD","Period=FQ","BEST_FPERIOD_OVERRIDE=FQ","FILING_STATUS=MR","FA_ADJUSTED=GAAP","Sort=A","Dates=H","DateFormat=P","Fill=—","Direction=H","UseDPDF=Y")</f>
        <v>3.4114</v>
      </c>
      <c r="L19" s="21">
        <f>_xll.BDH("AAL US Equity","PROF_MARGIN","FQ3 2013","FQ3 2013","Currency=USD","Period=FQ","BEST_FPERIOD_OVERRIDE=FQ","FILING_STATUS=MR","FA_ADJUSTED=GAAP","Sort=A","Dates=H","DateFormat=P","Fill=—","Direction=H","UseDPDF=Y")</f>
        <v>4.2325999999999997</v>
      </c>
      <c r="M19" s="21">
        <f>_xll.BDH("AAL US Equity","PROF_MARGIN","FQ4 2013","FQ4 2013","Currency=USD","Period=FQ","BEST_FPERIOD_OVERRIDE=FQ","FILING_STATUS=MR","FA_ADJUSTED=GAAP","Sort=A","Dates=H","DateFormat=P","Fill=—","Direction=H","UseDPDF=Y")</f>
        <v>-27.148099999999999</v>
      </c>
      <c r="N19" s="21">
        <f>_xll.BDH("AAL US Equity","PROF_MARGIN","FQ1 2014","FQ1 2014","Currency=USD","Period=FQ","BEST_FPERIOD_OVERRIDE=FQ","FILING_STATUS=MR","FA_ADJUSTED=GAAP","Sort=A","Dates=H","DateFormat=P","Fill=—","Direction=H","UseDPDF=Y")</f>
        <v>4.8024000000000004</v>
      </c>
      <c r="O19" s="21">
        <f>_xll.BDH("AAL US Equity","PROF_MARGIN","FQ2 2014","FQ2 2014","Currency=USD","Period=FQ","BEST_FPERIOD_OVERRIDE=FQ","FILING_STATUS=MR","FA_ADJUSTED=GAAP","Sort=A","Dates=H","DateFormat=P","Fill=—","Direction=H","UseDPDF=Y")</f>
        <v>7.609</v>
      </c>
      <c r="P19" s="21">
        <f>_xll.BDH("AAL US Equity","PROF_MARGIN","FQ3 2014","FQ3 2014","Currency=USD","Period=FQ","BEST_FPERIOD_OVERRIDE=FQ","FILING_STATUS=MR","FA_ADJUSTED=GAAP","Sort=A","Dates=H","DateFormat=P","Fill=—","Direction=H","UseDPDF=Y")</f>
        <v>8.4567999999999994</v>
      </c>
      <c r="Q19" s="21">
        <f>_xll.BDH("AAL US Equity","PROF_MARGIN","FQ4 2014","FQ4 2014","Currency=USD","Period=FQ","BEST_FPERIOD_OVERRIDE=FQ","FILING_STATUS=MR","FA_ADJUSTED=GAAP","Sort=A","Dates=H","DateFormat=P","Fill=—","Direction=H","UseDPDF=Y")</f>
        <v>5.8760000000000003</v>
      </c>
      <c r="R19" s="21">
        <f>_xll.BDH("AAL US Equity","PROF_MARGIN","FQ1 2015","FQ1 2015","Currency=USD","Period=FQ","BEST_FPERIOD_OVERRIDE=FQ","FILING_STATUS=MR","FA_ADJUSTED=GAAP","Sort=A","Dates=H","DateFormat=P","Fill=—","Direction=H","UseDPDF=Y")</f>
        <v>9.4840999999999998</v>
      </c>
      <c r="S19" s="21">
        <f>_xll.BDH("AAL US Equity","PROF_MARGIN","FQ2 2015","FQ2 2015","Currency=USD","Period=FQ","BEST_FPERIOD_OVERRIDE=FQ","FILING_STATUS=MR","FA_ADJUSTED=GAAP","Sort=A","Dates=H","DateFormat=P","Fill=—","Direction=H","UseDPDF=Y")</f>
        <v>15.7384</v>
      </c>
      <c r="T19" s="21">
        <f>_xll.BDH("AAL US Equity","PROF_MARGIN","FQ3 2015","FQ3 2015","Currency=USD","Period=FQ","BEST_FPERIOD_OVERRIDE=FQ","FILING_STATUS=MR","FA_ADJUSTED=GAAP","Sort=A","Dates=H","DateFormat=P","Fill=—","Direction=H","UseDPDF=Y")</f>
        <v>15.813599999999999</v>
      </c>
      <c r="U19" s="21">
        <f>_xll.BDH("AAL US Equity","PROF_MARGIN","FQ4 2015","FQ4 2015","Currency=USD","Period=FQ","BEST_FPERIOD_OVERRIDE=FQ","FILING_STATUS=MR","FA_ADJUSTED=GAAP","Sort=A","Dates=H","DateFormat=P","Fill=—","Direction=H","UseDPDF=Y")</f>
        <v>34.070599999999999</v>
      </c>
      <c r="V19" s="21">
        <f>_xll.BDH("AAL US Equity","PROF_MARGIN","FQ1 2016","FQ1 2016","Currency=USD","Period=FQ","BEST_FPERIOD_OVERRIDE=FQ","FILING_STATUS=MR","FA_ADJUSTED=GAAP","Sort=A","Dates=H","DateFormat=P","Fill=—","Direction=H","UseDPDF=Y")</f>
        <v>7.4192</v>
      </c>
      <c r="W19" s="21">
        <f>_xll.BDH("AAL US Equity","PROF_MARGIN","FQ2 2016","FQ2 2016","Currency=USD","Period=FQ","BEST_FPERIOD_OVERRIDE=FQ","FILING_STATUS=MR","FA_ADJUSTED=GAAP","Sort=A","Dates=H","DateFormat=P","Fill=—","Direction=H","UseDPDF=Y")</f>
        <v>9.1671999999999993</v>
      </c>
      <c r="X19" s="21">
        <f>_xll.BDH("AAL US Equity","PROF_MARGIN","FQ3 2016","FQ3 2016","Currency=USD","Period=FQ","BEST_FPERIOD_OVERRIDE=FQ","FILING_STATUS=MR","FA_ADJUSTED=GAAP","Sort=A","Dates=H","DateFormat=P","Fill=—","Direction=H","UseDPDF=Y")</f>
        <v>6.9568000000000003</v>
      </c>
      <c r="Y19" s="21">
        <f>_xll.BDH("AAL US Equity","PROF_MARGIN","FQ4 2016","FQ4 2016","Currency=USD","Period=FQ","BEST_FPERIOD_OVERRIDE=FQ","FILING_STATUS=MR","FA_ADJUSTED=GAAP","Sort=A","Dates=H","DateFormat=P","Fill=—","Direction=H","UseDPDF=Y")</f>
        <v>2.9523000000000001</v>
      </c>
      <c r="Z19" s="21">
        <f>_xll.BDH("AAL US Equity","PROF_MARGIN","FQ1 2017","FQ1 2017","Currency=USD","Period=FQ","BEST_FPERIOD_OVERRIDE=FQ","FILING_STATUS=MR","FA_ADJUSTED=GAAP","Sort=A","Dates=H","DateFormat=P","Fill=—","Direction=H","UseDPDF=Y")</f>
        <v>3.4622999999999999</v>
      </c>
      <c r="AA19" s="21">
        <f>_xll.BDH("AAL US Equity","PROF_MARGIN","FQ2 2017","FQ2 2017","Currency=USD","Period=FQ","BEST_FPERIOD_OVERRIDE=FQ","FILING_STATUS=MR","FA_ADJUSTED=GAAP","Sort=A","Dates=H","DateFormat=P","Fill=—","Direction=H","UseDPDF=Y")</f>
        <v>7.6957000000000004</v>
      </c>
      <c r="AB19" s="21">
        <f>_xll.BDH("AAL US Equity","PROF_MARGIN","FQ3 2017","FQ3 2017","Currency=USD","Period=FQ","BEST_FPERIOD_OVERRIDE=FQ","FILING_STATUS=MR","FA_ADJUSTED=GAAP","Sort=A","Dates=H","DateFormat=P","Fill=—","Direction=H","UseDPDF=Y")</f>
        <v>6.0282999999999998</v>
      </c>
      <c r="AC19" s="21">
        <f>_xll.BDH("AAL US Equity","PROF_MARGIN","FQ4 2017","FQ4 2017","Currency=USD","Period=FQ","BEST_FPERIOD_OVERRIDE=FQ","FILING_STATUS=MR","FA_ADJUSTED=GAAP","Sort=A","Dates=H","DateFormat=P","Fill=—","Direction=H","UseDPDF=Y")</f>
        <v>-5.4943</v>
      </c>
      <c r="AD19" s="21">
        <f>_xll.BDH("AAL US Equity","PROF_MARGIN","FQ1 2018","FQ1 2018","Currency=USD","Period=FQ","BEST_FPERIOD_OVERRIDE=FQ","FILING_STATUS=MR","FA_ADJUSTED=GAAP","Sort=A","Dates=H","DateFormat=P","Fill=—","Direction=H","UseDPDF=Y")</f>
        <v>1.5286999999999999</v>
      </c>
      <c r="AE19" s="21">
        <f>_xll.BDH("AAL US Equity","PROF_MARGIN","FQ2 2018","FQ2 2018","Currency=USD","Period=FQ","BEST_FPERIOD_OVERRIDE=FQ","FILING_STATUS=MR","FA_ADJUSTED=GAAP","Sort=A","Dates=H","DateFormat=P","Fill=—","Direction=H","UseDPDF=Y")</f>
        <v>4.7754000000000003</v>
      </c>
      <c r="AF19" s="21">
        <f>_xll.BDH("AAL US Equity","PROF_MARGIN","FQ3 2018","FQ3 2018","Currency=USD","Period=FQ","BEST_FPERIOD_OVERRIDE=FQ","FILING_STATUS=MR","FA_ADJUSTED=GAAP","Sort=A","Dates=H","DateFormat=P","Fill=—","Direction=H","UseDPDF=Y")</f>
        <v>3.2183000000000002</v>
      </c>
      <c r="AG19" s="21">
        <f>_xll.BDH("AAL US Equity","PROF_MARGIN","FQ4 2018","FQ4 2018","Currency=USD","Period=FQ","BEST_FPERIOD_OVERRIDE=FQ","FILING_STATUS=MR","FA_ADJUSTED=GAAP","Sort=A","Dates=H","DateFormat=P","Fill=—","Direction=H","UseDPDF=Y")</f>
        <v>2.9163999999999999</v>
      </c>
      <c r="AH19" s="21">
        <f>_xll.BDH("AAL US Equity","PROF_MARGIN","FQ1 2019","FQ1 2019","Currency=USD","Period=FQ","BEST_FPERIOD_OVERRIDE=FQ","FILING_STATUS=MR","FA_ADJUSTED=GAAP","Sort=A","Dates=H","DateFormat=P","Fill=—","Direction=H","UseDPDF=Y")</f>
        <v>1.7479</v>
      </c>
      <c r="AI19" s="21">
        <f>_xll.BDH("AAL US Equity","PROF_MARGIN","FQ2 2019","FQ2 2019","Currency=USD","Period=FQ","BEST_FPERIOD_OVERRIDE=FQ","FILING_STATUS=MR","FA_ADJUSTED=GAAP","Sort=A","Dates=H","DateFormat=P","Fill=—","Direction=H","UseDPDF=Y")</f>
        <v>5.5350999999999999</v>
      </c>
      <c r="AJ19" s="21">
        <f>_xll.BDH("AAL US Equity","PROF_MARGIN","FQ3 2019","FQ3 2019","Currency=USD","Period=FQ","BEST_FPERIOD_OVERRIDE=FQ","FILING_STATUS=MR","FA_ADJUSTED=GAAP","Sort=A","Dates=H","DateFormat=P","Fill=—","Direction=H","UseDPDF=Y")</f>
        <v>3.5681000000000003</v>
      </c>
      <c r="AK19" s="21">
        <f>_xll.BDH("AAL US Equity","PROF_MARGIN","FQ4 2019","FQ4 2019","Currency=USD","Period=FQ","BEST_FPERIOD_OVERRIDE=FQ","FILING_STATUS=MR","FA_ADJUSTED=GAAP","Sort=A","Dates=H","DateFormat=P","Fill=—","Direction=H","UseDPDF=Y")</f>
        <v>3.6595</v>
      </c>
      <c r="AL19" s="21">
        <f>_xll.BDH("AAL US Equity","PROF_MARGIN","FQ1 2020","FQ1 2020","Currency=USD","Period=FQ","BEST_FPERIOD_OVERRIDE=FQ","FILING_STATUS=MR","FA_ADJUSTED=GAAP","Sort=A","Dates=H","DateFormat=P","Fill=—","Direction=H","UseDPDF=Y")</f>
        <v>-26.318300000000001</v>
      </c>
      <c r="AM19" s="21">
        <f>_xll.BDH("AAL US Equity","PROF_MARGIN","FQ2 2020","FQ2 2020","Currency=USD","Period=FQ","BEST_FPERIOD_OVERRIDE=FQ","FILING_STATUS=MR","FA_ADJUSTED=GAAP","Sort=A","Dates=H","DateFormat=P","Fill=—","Direction=H","UseDPDF=Y")</f>
        <v>-127.4353</v>
      </c>
      <c r="AN19" s="21">
        <f>_xll.BDH("AAL US Equity","PROF_MARGIN","FQ3 2020","FQ3 2020","Currency=USD","Period=FQ","BEST_FPERIOD_OVERRIDE=FQ","FILING_STATUS=MR","FA_ADJUSTED=GAAP","Sort=A","Dates=H","DateFormat=P","Fill=—","Direction=H","UseDPDF=Y")</f>
        <v>-75.606700000000004</v>
      </c>
      <c r="AO19" s="21">
        <f>_xll.BDH("AAL US Equity","PROF_MARGIN","FQ4 2020","FQ4 2020","Currency=USD","Period=FQ","BEST_FPERIOD_OVERRIDE=FQ","FILING_STATUS=MR","FA_ADJUSTED=GAAP","Sort=A","Dates=H","DateFormat=P","Fill=—","Direction=H","UseDPDF=Y")</f>
        <v>-54.084899999999998</v>
      </c>
      <c r="AP19" s="21">
        <f>_xll.BDH("AAL US Equity","PROF_MARGIN","FQ1 2021","FQ1 2021","Currency=USD","Period=FQ","BEST_FPERIOD_OVERRIDE=FQ","FILING_STATUS=MR","FA_ADJUSTED=GAAP","Sort=A","Dates=H","DateFormat=P","Fill=—","Direction=H","UseDPDF=Y")</f>
        <v>-31.1876</v>
      </c>
    </row>
    <row r="20" spans="1:42" x14ac:dyDescent="0.25">
      <c r="A20" s="18" t="s">
        <v>108</v>
      </c>
      <c r="B20" s="18" t="s">
        <v>109</v>
      </c>
      <c r="C20" s="21">
        <f>_xll.BDH("AAL US Equity","NET_INCOME_TO_COMMON_MARGIN","FQ2 2011","FQ2 2011","Currency=USD","Period=FQ","BEST_FPERIOD_OVERRIDE=FQ","FILING_STATUS=MR","FA_ADJUSTED=GAAP","Sort=A","Dates=H","DateFormat=P","Fill=—","Direction=H","UseDPDF=Y")</f>
        <v>-4.6777999999999995</v>
      </c>
      <c r="D20" s="21">
        <f>_xll.BDH("AAL US Equity","NET_INCOME_TO_COMMON_MARGIN","FQ3 2011","FQ3 2011","Currency=USD","Period=FQ","BEST_FPERIOD_OVERRIDE=FQ","FILING_STATUS=MR","FA_ADJUSTED=GAAP","Sort=A","Dates=H","DateFormat=P","Fill=—","Direction=H","UseDPDF=Y")</f>
        <v>-2.5407999999999999</v>
      </c>
      <c r="E20" s="21">
        <f>_xll.BDH("AAL US Equity","NET_INCOME_TO_COMMON_MARGIN","FQ4 2011","FQ4 2011","Currency=USD","Period=FQ","BEST_FPERIOD_OVERRIDE=FQ","FILING_STATUS=MR","FA_ADJUSTED=GAAP","Sort=A","Dates=H","DateFormat=P","Fill=—","Direction=H","UseDPDF=Y")</f>
        <v>-18.384799999999998</v>
      </c>
      <c r="F20" s="21">
        <f>_xll.BDH("AAL US Equity","NET_INCOME_TO_COMMON_MARGIN","FQ1 2012","FQ1 2012","Currency=USD","Period=FQ","BEST_FPERIOD_OVERRIDE=FQ","FILING_STATUS=MR","FA_ADJUSTED=GAAP","Sort=A","Dates=H","DateFormat=P","Fill=—","Direction=H","UseDPDF=Y")</f>
        <v>-27.4971</v>
      </c>
      <c r="G20" s="21">
        <f>_xll.BDH("AAL US Equity","NET_INCOME_TO_COMMON_MARGIN","FQ2 2012","FQ2 2012","Currency=USD","Period=FQ","BEST_FPERIOD_OVERRIDE=FQ","FILING_STATUS=MR","FA_ADJUSTED=GAAP","Sort=A","Dates=H","DateFormat=P","Fill=—","Direction=H","UseDPDF=Y")</f>
        <v>-3.7353000000000001</v>
      </c>
      <c r="H20" s="21">
        <f>_xll.BDH("AAL US Equity","NET_INCOME_TO_COMMON_MARGIN","FQ3 2012","FQ3 2012","Currency=USD","Period=FQ","BEST_FPERIOD_OVERRIDE=FQ","FILING_STATUS=MR","FA_ADJUSTED=GAAP","Sort=A","Dates=H","DateFormat=P","Fill=—","Direction=H","UseDPDF=Y")</f>
        <v>-3.702</v>
      </c>
      <c r="I20" s="21">
        <f>_xll.BDH("AAL US Equity","NET_INCOME_TO_COMMON_MARGIN","FQ4 2012","FQ4 2012","Currency=USD","Period=FQ","BEST_FPERIOD_OVERRIDE=FQ","FILING_STATUS=MR","FA_ADJUSTED=GAAP","Sort=A","Dates=H","DateFormat=P","Fill=—","Direction=H","UseDPDF=Y")</f>
        <v>4.4130000000000003</v>
      </c>
      <c r="J20" s="21">
        <f>_xll.BDH("AAL US Equity","NET_INCOME_TO_COMMON_MARGIN","FQ1 2013","FQ1 2013","Currency=USD","Period=FQ","BEST_FPERIOD_OVERRIDE=FQ","FILING_STATUS=MR","FA_ADJUSTED=GAAP","Sort=A","Dates=H","DateFormat=P","Fill=—","Direction=H","UseDPDF=Y")</f>
        <v>-5.5919999999999996</v>
      </c>
      <c r="K20" s="21">
        <f>_xll.BDH("AAL US Equity","NET_INCOME_TO_COMMON_MARGIN","FQ2 2013","FQ2 2013","Currency=USD","Period=FQ","BEST_FPERIOD_OVERRIDE=FQ","FILING_STATUS=MR","FA_ADJUSTED=GAAP","Sort=A","Dates=H","DateFormat=P","Fill=—","Direction=H","UseDPDF=Y")</f>
        <v>3.4114</v>
      </c>
      <c r="L20" s="21">
        <f>_xll.BDH("AAL US Equity","NET_INCOME_TO_COMMON_MARGIN","FQ3 2013","FQ3 2013","Currency=USD","Period=FQ","BEST_FPERIOD_OVERRIDE=FQ","FILING_STATUS=MR","FA_ADJUSTED=GAAP","Sort=A","Dates=H","DateFormat=P","Fill=—","Direction=H","UseDPDF=Y")</f>
        <v>4.2325999999999997</v>
      </c>
      <c r="M20" s="21">
        <f>_xll.BDH("AAL US Equity","NET_INCOME_TO_COMMON_MARGIN","FQ4 2013","FQ4 2013","Currency=USD","Period=FQ","BEST_FPERIOD_OVERRIDE=FQ","FILING_STATUS=MR","FA_ADJUSTED=GAAP","Sort=A","Dates=H","DateFormat=P","Fill=—","Direction=H","UseDPDF=Y")</f>
        <v>-27.148099999999999</v>
      </c>
      <c r="N20" s="21">
        <f>_xll.BDH("AAL US Equity","NET_INCOME_TO_COMMON_MARGIN","FQ1 2014","FQ1 2014","Currency=USD","Period=FQ","BEST_FPERIOD_OVERRIDE=FQ","FILING_STATUS=MR","FA_ADJUSTED=GAAP","Sort=A","Dates=H","DateFormat=P","Fill=—","Direction=H","UseDPDF=Y")</f>
        <v>4.8024000000000004</v>
      </c>
      <c r="O20" s="21">
        <f>_xll.BDH("AAL US Equity","NET_INCOME_TO_COMMON_MARGIN","FQ2 2014","FQ2 2014","Currency=USD","Period=FQ","BEST_FPERIOD_OVERRIDE=FQ","FILING_STATUS=MR","FA_ADJUSTED=GAAP","Sort=A","Dates=H","DateFormat=P","Fill=—","Direction=H","UseDPDF=Y")</f>
        <v>7.609</v>
      </c>
      <c r="P20" s="21">
        <f>_xll.BDH("AAL US Equity","NET_INCOME_TO_COMMON_MARGIN","FQ3 2014","FQ3 2014","Currency=USD","Period=FQ","BEST_FPERIOD_OVERRIDE=FQ","FILING_STATUS=MR","FA_ADJUSTED=GAAP","Sort=A","Dates=H","DateFormat=P","Fill=—","Direction=H","UseDPDF=Y")</f>
        <v>8.4567999999999994</v>
      </c>
      <c r="Q20" s="21">
        <f>_xll.BDH("AAL US Equity","NET_INCOME_TO_COMMON_MARGIN","FQ4 2014","FQ4 2014","Currency=USD","Period=FQ","BEST_FPERIOD_OVERRIDE=FQ","FILING_STATUS=MR","FA_ADJUSTED=GAAP","Sort=A","Dates=H","DateFormat=P","Fill=—","Direction=H","UseDPDF=Y")</f>
        <v>5.8760000000000003</v>
      </c>
      <c r="R20" s="21">
        <f>_xll.BDH("AAL US Equity","NET_INCOME_TO_COMMON_MARGIN","FQ1 2015","FQ1 2015","Currency=USD","Period=FQ","BEST_FPERIOD_OVERRIDE=FQ","FILING_STATUS=MR","FA_ADJUSTED=GAAP","Sort=A","Dates=H","DateFormat=P","Fill=—","Direction=H","UseDPDF=Y")</f>
        <v>9.4840999999999998</v>
      </c>
      <c r="S20" s="21">
        <f>_xll.BDH("AAL US Equity","NET_INCOME_TO_COMMON_MARGIN","FQ2 2015","FQ2 2015","Currency=USD","Period=FQ","BEST_FPERIOD_OVERRIDE=FQ","FILING_STATUS=MR","FA_ADJUSTED=GAAP","Sort=A","Dates=H","DateFormat=P","Fill=—","Direction=H","UseDPDF=Y")</f>
        <v>15.7384</v>
      </c>
      <c r="T20" s="21">
        <f>_xll.BDH("AAL US Equity","NET_INCOME_TO_COMMON_MARGIN","FQ3 2015","FQ3 2015","Currency=USD","Period=FQ","BEST_FPERIOD_OVERRIDE=FQ","FILING_STATUS=MR","FA_ADJUSTED=GAAP","Sort=A","Dates=H","DateFormat=P","Fill=—","Direction=H","UseDPDF=Y")</f>
        <v>15.813599999999999</v>
      </c>
      <c r="U20" s="21">
        <f>_xll.BDH("AAL US Equity","NET_INCOME_TO_COMMON_MARGIN","FQ4 2015","FQ4 2015","Currency=USD","Period=FQ","BEST_FPERIOD_OVERRIDE=FQ","FILING_STATUS=MR","FA_ADJUSTED=GAAP","Sort=A","Dates=H","DateFormat=P","Fill=—","Direction=H","UseDPDF=Y")</f>
        <v>34.070599999999999</v>
      </c>
      <c r="V20" s="21">
        <f>_xll.BDH("AAL US Equity","NET_INCOME_TO_COMMON_MARGIN","FQ1 2016","FQ1 2016","Currency=USD","Period=FQ","BEST_FPERIOD_OVERRIDE=FQ","FILING_STATUS=MR","FA_ADJUSTED=GAAP","Sort=A","Dates=H","DateFormat=P","Fill=—","Direction=H","UseDPDF=Y")</f>
        <v>7.4192</v>
      </c>
      <c r="W20" s="21">
        <f>_xll.BDH("AAL US Equity","NET_INCOME_TO_COMMON_MARGIN","FQ2 2016","FQ2 2016","Currency=USD","Period=FQ","BEST_FPERIOD_OVERRIDE=FQ","FILING_STATUS=MR","FA_ADJUSTED=GAAP","Sort=A","Dates=H","DateFormat=P","Fill=—","Direction=H","UseDPDF=Y")</f>
        <v>9.1671999999999993</v>
      </c>
      <c r="X20" s="21">
        <f>_xll.BDH("AAL US Equity","NET_INCOME_TO_COMMON_MARGIN","FQ3 2016","FQ3 2016","Currency=USD","Period=FQ","BEST_FPERIOD_OVERRIDE=FQ","FILING_STATUS=MR","FA_ADJUSTED=GAAP","Sort=A","Dates=H","DateFormat=P","Fill=—","Direction=H","UseDPDF=Y")</f>
        <v>6.9568000000000003</v>
      </c>
      <c r="Y20" s="21">
        <f>_xll.BDH("AAL US Equity","NET_INCOME_TO_COMMON_MARGIN","FQ4 2016","FQ4 2016","Currency=USD","Period=FQ","BEST_FPERIOD_OVERRIDE=FQ","FILING_STATUS=MR","FA_ADJUSTED=GAAP","Sort=A","Dates=H","DateFormat=P","Fill=—","Direction=H","UseDPDF=Y")</f>
        <v>2.9523000000000001</v>
      </c>
      <c r="Z20" s="21">
        <f>_xll.BDH("AAL US Equity","NET_INCOME_TO_COMMON_MARGIN","FQ1 2017","FQ1 2017","Currency=USD","Period=FQ","BEST_FPERIOD_OVERRIDE=FQ","FILING_STATUS=MR","FA_ADJUSTED=GAAP","Sort=A","Dates=H","DateFormat=P","Fill=—","Direction=H","UseDPDF=Y")</f>
        <v>3.4622999999999999</v>
      </c>
      <c r="AA20" s="21">
        <f>_xll.BDH("AAL US Equity","NET_INCOME_TO_COMMON_MARGIN","FQ2 2017","FQ2 2017","Currency=USD","Period=FQ","BEST_FPERIOD_OVERRIDE=FQ","FILING_STATUS=MR","FA_ADJUSTED=GAAP","Sort=A","Dates=H","DateFormat=P","Fill=—","Direction=H","UseDPDF=Y")</f>
        <v>7.6957000000000004</v>
      </c>
      <c r="AB20" s="21">
        <f>_xll.BDH("AAL US Equity","NET_INCOME_TO_COMMON_MARGIN","FQ3 2017","FQ3 2017","Currency=USD","Period=FQ","BEST_FPERIOD_OVERRIDE=FQ","FILING_STATUS=MR","FA_ADJUSTED=GAAP","Sort=A","Dates=H","DateFormat=P","Fill=—","Direction=H","UseDPDF=Y")</f>
        <v>6.0282999999999998</v>
      </c>
      <c r="AC20" s="21">
        <f>_xll.BDH("AAL US Equity","NET_INCOME_TO_COMMON_MARGIN","FQ4 2017","FQ4 2017","Currency=USD","Period=FQ","BEST_FPERIOD_OVERRIDE=FQ","FILING_STATUS=MR","FA_ADJUSTED=GAAP","Sort=A","Dates=H","DateFormat=P","Fill=—","Direction=H","UseDPDF=Y")</f>
        <v>-5.4943</v>
      </c>
      <c r="AD20" s="21">
        <f>_xll.BDH("AAL US Equity","NET_INCOME_TO_COMMON_MARGIN","FQ1 2018","FQ1 2018","Currency=USD","Period=FQ","BEST_FPERIOD_OVERRIDE=FQ","FILING_STATUS=MR","FA_ADJUSTED=GAAP","Sort=A","Dates=H","DateFormat=P","Fill=—","Direction=H","UseDPDF=Y")</f>
        <v>1.5286999999999999</v>
      </c>
      <c r="AE20" s="21">
        <f>_xll.BDH("AAL US Equity","NET_INCOME_TO_COMMON_MARGIN","FQ2 2018","FQ2 2018","Currency=USD","Period=FQ","BEST_FPERIOD_OVERRIDE=FQ","FILING_STATUS=MR","FA_ADJUSTED=GAAP","Sort=A","Dates=H","DateFormat=P","Fill=—","Direction=H","UseDPDF=Y")</f>
        <v>4.7754000000000003</v>
      </c>
      <c r="AF20" s="21">
        <f>_xll.BDH("AAL US Equity","NET_INCOME_TO_COMMON_MARGIN","FQ3 2018","FQ3 2018","Currency=USD","Period=FQ","BEST_FPERIOD_OVERRIDE=FQ","FILING_STATUS=MR","FA_ADJUSTED=GAAP","Sort=A","Dates=H","DateFormat=P","Fill=—","Direction=H","UseDPDF=Y")</f>
        <v>3.2183000000000002</v>
      </c>
      <c r="AG20" s="21">
        <f>_xll.BDH("AAL US Equity","NET_INCOME_TO_COMMON_MARGIN","FQ4 2018","FQ4 2018","Currency=USD","Period=FQ","BEST_FPERIOD_OVERRIDE=FQ","FILING_STATUS=MR","FA_ADJUSTED=GAAP","Sort=A","Dates=H","DateFormat=P","Fill=—","Direction=H","UseDPDF=Y")</f>
        <v>2.9163999999999999</v>
      </c>
      <c r="AH20" s="21">
        <f>_xll.BDH("AAL US Equity","NET_INCOME_TO_COMMON_MARGIN","FQ1 2019","FQ1 2019","Currency=USD","Period=FQ","BEST_FPERIOD_OVERRIDE=FQ","FILING_STATUS=MR","FA_ADJUSTED=GAAP","Sort=A","Dates=H","DateFormat=P","Fill=—","Direction=H","UseDPDF=Y")</f>
        <v>1.7479</v>
      </c>
      <c r="AI20" s="21">
        <f>_xll.BDH("AAL US Equity","NET_INCOME_TO_COMMON_MARGIN","FQ2 2019","FQ2 2019","Currency=USD","Period=FQ","BEST_FPERIOD_OVERRIDE=FQ","FILING_STATUS=MR","FA_ADJUSTED=GAAP","Sort=A","Dates=H","DateFormat=P","Fill=—","Direction=H","UseDPDF=Y")</f>
        <v>5.5350999999999999</v>
      </c>
      <c r="AJ20" s="21">
        <f>_xll.BDH("AAL US Equity","NET_INCOME_TO_COMMON_MARGIN","FQ3 2019","FQ3 2019","Currency=USD","Period=FQ","BEST_FPERIOD_OVERRIDE=FQ","FILING_STATUS=MR","FA_ADJUSTED=GAAP","Sort=A","Dates=H","DateFormat=P","Fill=—","Direction=H","UseDPDF=Y")</f>
        <v>3.5681000000000003</v>
      </c>
      <c r="AK20" s="21">
        <f>_xll.BDH("AAL US Equity","NET_INCOME_TO_COMMON_MARGIN","FQ4 2019","FQ4 2019","Currency=USD","Period=FQ","BEST_FPERIOD_OVERRIDE=FQ","FILING_STATUS=MR","FA_ADJUSTED=GAAP","Sort=A","Dates=H","DateFormat=P","Fill=—","Direction=H","UseDPDF=Y")</f>
        <v>3.6595</v>
      </c>
      <c r="AL20" s="21">
        <f>_xll.BDH("AAL US Equity","NET_INCOME_TO_COMMON_MARGIN","FQ1 2020","FQ1 2020","Currency=USD","Period=FQ","BEST_FPERIOD_OVERRIDE=FQ","FILING_STATUS=MR","FA_ADJUSTED=GAAP","Sort=A","Dates=H","DateFormat=P","Fill=—","Direction=H","UseDPDF=Y")</f>
        <v>-26.318300000000001</v>
      </c>
      <c r="AM20" s="21">
        <f>_xll.BDH("AAL US Equity","NET_INCOME_TO_COMMON_MARGIN","FQ2 2020","FQ2 2020","Currency=USD","Period=FQ","BEST_FPERIOD_OVERRIDE=FQ","FILING_STATUS=MR","FA_ADJUSTED=GAAP","Sort=A","Dates=H","DateFormat=P","Fill=—","Direction=H","UseDPDF=Y")</f>
        <v>-127.4353</v>
      </c>
      <c r="AN20" s="21">
        <f>_xll.BDH("AAL US Equity","NET_INCOME_TO_COMMON_MARGIN","FQ3 2020","FQ3 2020","Currency=USD","Period=FQ","BEST_FPERIOD_OVERRIDE=FQ","FILING_STATUS=MR","FA_ADJUSTED=GAAP","Sort=A","Dates=H","DateFormat=P","Fill=—","Direction=H","UseDPDF=Y")</f>
        <v>-75.606700000000004</v>
      </c>
      <c r="AO20" s="21">
        <f>_xll.BDH("AAL US Equity","NET_INCOME_TO_COMMON_MARGIN","FQ4 2020","FQ4 2020","Currency=USD","Period=FQ","BEST_FPERIOD_OVERRIDE=FQ","FILING_STATUS=MR","FA_ADJUSTED=GAAP","Sort=A","Dates=H","DateFormat=P","Fill=—","Direction=H","UseDPDF=Y")</f>
        <v>-54.084899999999998</v>
      </c>
      <c r="AP20" s="21">
        <f>_xll.BDH("AAL US Equity","NET_INCOME_TO_COMMON_MARGIN","FQ1 2021","FQ1 2021","Currency=USD","Period=FQ","BEST_FPERIOD_OVERRIDE=FQ","FILING_STATUS=MR","FA_ADJUSTED=GAAP","Sort=A","Dates=H","DateFormat=P","Fill=—","Direction=H","UseDPDF=Y")</f>
        <v>-31.1876</v>
      </c>
    </row>
    <row r="21" spans="1:42" x14ac:dyDescent="0.25">
      <c r="A21" s="1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</row>
    <row r="22" spans="1:42" x14ac:dyDescent="0.25">
      <c r="A22" s="14" t="s">
        <v>110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x14ac:dyDescent="0.25">
      <c r="A23" s="18" t="s">
        <v>111</v>
      </c>
      <c r="B23" s="18" t="s">
        <v>112</v>
      </c>
      <c r="C23" s="21" t="str">
        <f>_xll.BDH("AAL US Equity","EFF_TAX_RATE","FQ2 2011","FQ2 2011","Currency=USD","Period=FQ","BEST_FPERIOD_OVERRIDE=FQ","FILING_STATUS=MR","FA_ADJUSTED=GAAP","Sort=A","Dates=H","DateFormat=P","Fill=—","Direction=H","UseDPDF=Y")</f>
        <v>—</v>
      </c>
      <c r="D23" s="21" t="str">
        <f>_xll.BDH("AAL US Equity","EFF_TAX_RATE","FQ3 2011","FQ3 2011","Currency=USD","Period=FQ","BEST_FPERIOD_OVERRIDE=FQ","FILING_STATUS=MR","FA_ADJUSTED=GAAP","Sort=A","Dates=H","DateFormat=P","Fill=—","Direction=H","UseDPDF=Y")</f>
        <v>—</v>
      </c>
      <c r="E23" s="21" t="str">
        <f>_xll.BDH("AAL US Equity","EFF_TAX_RATE","FQ4 2011","FQ4 2011","Currency=USD","Period=FQ","BEST_FPERIOD_OVERRIDE=FQ","FILING_STATUS=MR","FA_ADJUSTED=GAAP","Sort=A","Dates=H","DateFormat=P","Fill=—","Direction=H","UseDPDF=Y")</f>
        <v>—</v>
      </c>
      <c r="F23" s="21" t="str">
        <f>_xll.BDH("AAL US Equity","EFF_TAX_RATE","FQ1 2012","FQ1 2012","Currency=USD","Period=FQ","BEST_FPERIOD_OVERRIDE=FQ","FILING_STATUS=MR","FA_ADJUSTED=GAAP","Sort=A","Dates=H","DateFormat=P","Fill=—","Direction=H","UseDPDF=Y")</f>
        <v>—</v>
      </c>
      <c r="G23" s="21" t="str">
        <f>_xll.BDH("AAL US Equity","EFF_TAX_RATE","FQ2 2012","FQ2 2012","Currency=USD","Period=FQ","BEST_FPERIOD_OVERRIDE=FQ","FILING_STATUS=MR","FA_ADJUSTED=GAAP","Sort=A","Dates=H","DateFormat=P","Fill=—","Direction=H","UseDPDF=Y")</f>
        <v>—</v>
      </c>
      <c r="H23" s="21" t="str">
        <f>_xll.BDH("AAL US Equity","EFF_TAX_RATE","FQ3 2012","FQ3 2012","Currency=USD","Period=FQ","BEST_FPERIOD_OVERRIDE=FQ","FILING_STATUS=MR","FA_ADJUSTED=GAAP","Sort=A","Dates=H","DateFormat=P","Fill=—","Direction=H","UseDPDF=Y")</f>
        <v>—</v>
      </c>
      <c r="I23" s="21" t="str">
        <f>_xll.BDH("AAL US Equity","EFF_TAX_RATE","FQ4 2012","FQ4 2012","Currency=USD","Period=FQ","BEST_FPERIOD_OVERRIDE=FQ","FILING_STATUS=MR","FA_ADJUSTED=GAAP","Sort=A","Dates=H","DateFormat=P","Fill=—","Direction=H","UseDPDF=Y")</f>
        <v>—</v>
      </c>
      <c r="J23" s="21" t="str">
        <f>_xll.BDH("AAL US Equity","EFF_TAX_RATE","FQ1 2013","FQ1 2013","Currency=USD","Period=FQ","BEST_FPERIOD_OVERRIDE=FQ","FILING_STATUS=MR","FA_ADJUSTED=GAAP","Sort=A","Dates=H","DateFormat=P","Fill=—","Direction=H","UseDPDF=Y")</f>
        <v>—</v>
      </c>
      <c r="K23" s="21">
        <f>_xll.BDH("AAL US Equity","EFF_TAX_RATE","FQ2 2013","FQ2 2013","Currency=USD","Period=FQ","BEST_FPERIOD_OVERRIDE=FQ","FILING_STATUS=MR","FA_ADJUSTED=GAAP","Sort=A","Dates=H","DateFormat=P","Fill=—","Direction=H","UseDPDF=Y")</f>
        <v>0</v>
      </c>
      <c r="L23" s="21">
        <f>_xll.BDH("AAL US Equity","EFF_TAX_RATE","FQ3 2013","FQ3 2013","Currency=USD","Period=FQ","BEST_FPERIOD_OVERRIDE=FQ","FILING_STATUS=MR","FA_ADJUSTED=GAAP","Sort=A","Dates=H","DateFormat=P","Fill=—","Direction=H","UseDPDF=Y")</f>
        <v>0</v>
      </c>
      <c r="M23" s="21" t="str">
        <f>_xll.BDH("AAL US Equity","EFF_TAX_RATE","FQ4 2013","FQ4 2013","Currency=USD","Period=FQ","BEST_FPERIOD_OVERRIDE=FQ","FILING_STATUS=MR","FA_ADJUSTED=GAAP","Sort=A","Dates=H","DateFormat=P","Fill=—","Direction=H","UseDPDF=Y")</f>
        <v>—</v>
      </c>
      <c r="N23" s="21">
        <f>_xll.BDH("AAL US Equity","EFF_TAX_RATE","FQ1 2014","FQ1 2014","Currency=USD","Period=FQ","BEST_FPERIOD_OVERRIDE=FQ","FILING_STATUS=MR","FA_ADJUSTED=GAAP","Sort=A","Dates=H","DateFormat=P","Fill=—","Direction=H","UseDPDF=Y")</f>
        <v>2.6368999999999998</v>
      </c>
      <c r="O23" s="21">
        <f>_xll.BDH("AAL US Equity","EFF_TAX_RATE","FQ2 2014","FQ2 2014","Currency=USD","Period=FQ","BEST_FPERIOD_OVERRIDE=FQ","FILING_STATUS=MR","FA_ADJUSTED=GAAP","Sort=A","Dates=H","DateFormat=P","Fill=—","Direction=H","UseDPDF=Y")</f>
        <v>28.2392</v>
      </c>
      <c r="P23" s="21">
        <f>_xll.BDH("AAL US Equity","EFF_TAX_RATE","FQ3 2014","FQ3 2014","Currency=USD","Period=FQ","BEST_FPERIOD_OVERRIDE=FQ","FILING_STATUS=MR","FA_ADJUSTED=GAAP","Sort=A","Dates=H","DateFormat=P","Fill=—","Direction=H","UseDPDF=Y")</f>
        <v>0.73760000000000003</v>
      </c>
      <c r="Q23" s="21" t="str">
        <f>_xll.BDH("AAL US Equity","EFF_TAX_RATE","FQ4 2014","FQ4 2014","Currency=USD","Period=FQ","BEST_FPERIOD_OVERRIDE=FQ","FILING_STATUS=MR","FA_ADJUSTED=GAAP","Sort=A","Dates=H","DateFormat=P","Fill=—","Direction=H","UseDPDF=Y")</f>
        <v>—</v>
      </c>
      <c r="R23" s="21">
        <f>_xll.BDH("AAL US Equity","EFF_TAX_RATE","FQ1 2015","FQ1 2015","Currency=USD","Period=FQ","BEST_FPERIOD_OVERRIDE=FQ","FILING_STATUS=MR","FA_ADJUSTED=GAAP","Sort=A","Dates=H","DateFormat=P","Fill=—","Direction=H","UseDPDF=Y")</f>
        <v>1.1665000000000001</v>
      </c>
      <c r="S23" s="21">
        <f>_xll.BDH("AAL US Equity","EFF_TAX_RATE","FQ2 2015","FQ2 2015","Currency=USD","Period=FQ","BEST_FPERIOD_OVERRIDE=FQ","FILING_STATUS=MR","FA_ADJUSTED=GAAP","Sort=A","Dates=H","DateFormat=P","Fill=—","Direction=H","UseDPDF=Y")</f>
        <v>0.87260000000000004</v>
      </c>
      <c r="T23" s="21">
        <f>_xll.BDH("AAL US Equity","EFF_TAX_RATE","FQ3 2015","FQ3 2015","Currency=USD","Period=FQ","BEST_FPERIOD_OVERRIDE=FQ","FILING_STATUS=MR","FA_ADJUSTED=GAAP","Sort=A","Dates=H","DateFormat=P","Fill=—","Direction=H","UseDPDF=Y")</f>
        <v>0.93620000000000003</v>
      </c>
      <c r="U23" s="21" t="str">
        <f>_xll.BDH("AAL US Equity","EFF_TAX_RATE","FQ4 2015","FQ4 2015","Currency=USD","Period=FQ","BEST_FPERIOD_OVERRIDE=FQ","FILING_STATUS=MR","FA_ADJUSTED=GAAP","Sort=A","Dates=H","DateFormat=P","Fill=—","Direction=H","UseDPDF=Y")</f>
        <v>—</v>
      </c>
      <c r="V23" s="21">
        <f>_xll.BDH("AAL US Equity","EFF_TAX_RATE","FQ1 2016","FQ1 2016","Currency=USD","Period=FQ","BEST_FPERIOD_OVERRIDE=FQ","FILING_STATUS=MR","FA_ADJUSTED=GAAP","Sort=A","Dates=H","DateFormat=P","Fill=—","Direction=H","UseDPDF=Y")</f>
        <v>37.332099999999997</v>
      </c>
      <c r="W23" s="21">
        <f>_xll.BDH("AAL US Equity","EFF_TAX_RATE","FQ2 2016","FQ2 2016","Currency=USD","Period=FQ","BEST_FPERIOD_OVERRIDE=FQ","FILING_STATUS=MR","FA_ADJUSTED=GAAP","Sort=A","Dates=H","DateFormat=P","Fill=—","Direction=H","UseDPDF=Y")</f>
        <v>36.369700000000002</v>
      </c>
      <c r="X23" s="21">
        <f>_xll.BDH("AAL US Equity","EFF_TAX_RATE","FQ3 2016","FQ3 2016","Currency=USD","Period=FQ","BEST_FPERIOD_OVERRIDE=FQ","FILING_STATUS=MR","FA_ADJUSTED=GAAP","Sort=A","Dates=H","DateFormat=P","Fill=—","Direction=H","UseDPDF=Y")</f>
        <v>38.015099999999997</v>
      </c>
      <c r="Y23" s="21">
        <f>_xll.BDH("AAL US Equity","EFF_TAX_RATE","FQ4 2016","FQ4 2016","Currency=USD","Period=FQ","BEST_FPERIOD_OVERRIDE=FQ","FILING_STATUS=MR","FA_ADJUSTED=GAAP","Sort=A","Dates=H","DateFormat=P","Fill=—","Direction=H","UseDPDF=Y")</f>
        <v>42.2</v>
      </c>
      <c r="Z23" s="21">
        <f>_xll.BDH("AAL US Equity","EFF_TAX_RATE","FQ1 2017","FQ1 2017","Currency=USD","Period=FQ","BEST_FPERIOD_OVERRIDE=FQ","FILING_STATUS=MR","FA_ADJUSTED=GAAP","Sort=A","Dates=H","DateFormat=P","Fill=—","Direction=H","UseDPDF=Y")</f>
        <v>36.448599999999999</v>
      </c>
      <c r="AA23" s="21">
        <f>_xll.BDH("AAL US Equity","EFF_TAX_RATE","FQ2 2017","FQ2 2017","Currency=USD","Period=FQ","BEST_FPERIOD_OVERRIDE=FQ","FILING_STATUS=MR","FA_ADJUSTED=GAAP","Sort=A","Dates=H","DateFormat=P","Fill=—","Direction=H","UseDPDF=Y")</f>
        <v>37.796999999999997</v>
      </c>
      <c r="AB23" s="21">
        <f>_xll.BDH("AAL US Equity","EFF_TAX_RATE","FQ3 2017","FQ3 2017","Currency=USD","Period=FQ","BEST_FPERIOD_OVERRIDE=FQ","FILING_STATUS=MR","FA_ADJUSTED=GAAP","Sort=A","Dates=H","DateFormat=P","Fill=—","Direction=H","UseDPDF=Y")</f>
        <v>37.817500000000003</v>
      </c>
      <c r="AC23" s="21">
        <f>_xll.BDH("AAL US Equity","EFF_TAX_RATE","FQ4 2017","FQ4 2017","Currency=USD","Period=FQ","BEST_FPERIOD_OVERRIDE=FQ","FILING_STATUS=MR","FA_ADJUSTED=GAAP","Sort=A","Dates=H","DateFormat=P","Fill=—","Direction=H","UseDPDF=Y")</f>
        <v>242.8922</v>
      </c>
      <c r="AD23" s="21">
        <f>_xll.BDH("AAL US Equity","EFF_TAX_RATE","FQ1 2018","FQ1 2018","Currency=USD","Period=FQ","BEST_FPERIOD_OVERRIDE=FQ","FILING_STATUS=MR","FA_ADJUSTED=GAAP","Sort=A","Dates=H","DateFormat=P","Fill=—","Direction=H","UseDPDF=Y")</f>
        <v>33.193300000000001</v>
      </c>
      <c r="AE23" s="21">
        <f>_xll.BDH("AAL US Equity","EFF_TAX_RATE","FQ2 2018","FQ2 2018","Currency=USD","Period=FQ","BEST_FPERIOD_OVERRIDE=FQ","FILING_STATUS=MR","FA_ADJUSTED=GAAP","Sort=A","Dates=H","DateFormat=P","Fill=—","Direction=H","UseDPDF=Y")</f>
        <v>26.454999999999998</v>
      </c>
      <c r="AF23" s="21">
        <f>_xll.BDH("AAL US Equity","EFF_TAX_RATE","FQ3 2018","FQ3 2018","Currency=USD","Period=FQ","BEST_FPERIOD_OVERRIDE=FQ","FILING_STATUS=MR","FA_ADJUSTED=GAAP","Sort=A","Dates=H","DateFormat=P","Fill=—","Direction=H","UseDPDF=Y")</f>
        <v>25</v>
      </c>
      <c r="AG23" s="21">
        <f>_xll.BDH("AAL US Equity","EFF_TAX_RATE","FQ4 2018","FQ4 2018","Currency=USD","Period=FQ","BEST_FPERIOD_OVERRIDE=FQ","FILING_STATUS=MR","FA_ADJUSTED=GAAP","Sort=A","Dates=H","DateFormat=P","Fill=—","Direction=H","UseDPDF=Y")</f>
        <v>17.357500000000002</v>
      </c>
      <c r="AH23" s="21">
        <f>_xll.BDH("AAL US Equity","EFF_TAX_RATE","FQ1 2019","FQ1 2019","Currency=USD","Period=FQ","BEST_FPERIOD_OVERRIDE=FQ","FILING_STATUS=MR","FA_ADJUSTED=GAAP","Sort=A","Dates=H","DateFormat=P","Fill=—","Direction=H","UseDPDF=Y")</f>
        <v>24.489799999999999</v>
      </c>
      <c r="AI23" s="21">
        <f>_xll.BDH("AAL US Equity","EFF_TAX_RATE","FQ2 2019","FQ2 2019","Currency=USD","Period=FQ","BEST_FPERIOD_OVERRIDE=FQ","FILING_STATUS=MR","FA_ADJUSTED=GAAP","Sort=A","Dates=H","DateFormat=P","Fill=—","Direction=H","UseDPDF=Y")</f>
        <v>24.943300000000001</v>
      </c>
      <c r="AJ23" s="21">
        <f>_xll.BDH("AAL US Equity","EFF_TAX_RATE","FQ3 2019","FQ3 2019","Currency=USD","Period=FQ","BEST_FPERIOD_OVERRIDE=FQ","FILING_STATUS=MR","FA_ADJUSTED=GAAP","Sort=A","Dates=H","DateFormat=P","Fill=—","Direction=H","UseDPDF=Y")</f>
        <v>23.698399999999999</v>
      </c>
      <c r="AK23" s="21">
        <f>_xll.BDH("AAL US Equity","EFF_TAX_RATE","FQ4 2019","FQ4 2019","Currency=USD","Period=FQ","BEST_FPERIOD_OVERRIDE=FQ","FILING_STATUS=MR","FA_ADJUSTED=GAAP","Sort=A","Dates=H","DateFormat=P","Fill=—","Direction=H","UseDPDF=Y")</f>
        <v>27.622399999999999</v>
      </c>
      <c r="AL23" s="21" t="str">
        <f>_xll.BDH("AAL US Equity","EFF_TAX_RATE","FQ1 2020","FQ1 2020","Currency=USD","Period=FQ","BEST_FPERIOD_OVERRIDE=FQ","FILING_STATUS=MR","FA_ADJUSTED=GAAP","Sort=A","Dates=H","DateFormat=P","Fill=—","Direction=H","UseDPDF=Y")</f>
        <v>—</v>
      </c>
      <c r="AM23" s="21" t="str">
        <f>_xll.BDH("AAL US Equity","EFF_TAX_RATE","FQ2 2020","FQ2 2020","Currency=USD","Period=FQ","BEST_FPERIOD_OVERRIDE=FQ","FILING_STATUS=MR","FA_ADJUSTED=GAAP","Sort=A","Dates=H","DateFormat=P","Fill=—","Direction=H","UseDPDF=Y")</f>
        <v>—</v>
      </c>
      <c r="AN23" s="21" t="str">
        <f>_xll.BDH("AAL US Equity","EFF_TAX_RATE","FQ3 2020","FQ3 2020","Currency=USD","Period=FQ","BEST_FPERIOD_OVERRIDE=FQ","FILING_STATUS=MR","FA_ADJUSTED=GAAP","Sort=A","Dates=H","DateFormat=P","Fill=—","Direction=H","UseDPDF=Y")</f>
        <v>—</v>
      </c>
      <c r="AO23" s="21" t="str">
        <f>_xll.BDH("AAL US Equity","EFF_TAX_RATE","FQ4 2020","FQ4 2020","Currency=USD","Period=FQ","BEST_FPERIOD_OVERRIDE=FQ","FILING_STATUS=MR","FA_ADJUSTED=GAAP","Sort=A","Dates=H","DateFormat=P","Fill=—","Direction=H","UseDPDF=Y")</f>
        <v>—</v>
      </c>
      <c r="AP23" s="21" t="str">
        <f>_xll.BDH("AAL US Equity","EFF_TAX_RATE","FQ1 2021","FQ1 2021","Currency=USD","Period=FQ","BEST_FPERIOD_OVERRIDE=FQ","FILING_STATUS=MR","FA_ADJUSTED=GAAP","Sort=A","Dates=H","DateFormat=P","Fill=—","Direction=H","UseDPDF=Y")</f>
        <v>—</v>
      </c>
    </row>
    <row r="24" spans="1:42" x14ac:dyDescent="0.25">
      <c r="A24" s="18" t="s">
        <v>113</v>
      </c>
      <c r="B24" s="18" t="s">
        <v>114</v>
      </c>
      <c r="C24" s="21" t="str">
        <f>_xll.BDH("AAL US Equity","DVD_PAYOUT_RATIO","FQ2 2011","FQ2 2011","Currency=USD","Period=FQ","BEST_FPERIOD_OVERRIDE=FQ","FILING_STATUS=MR","FA_ADJUSTED=GAAP","Sort=A","Dates=H","DateFormat=P","Fill=—","Direction=H","UseDPDF=Y")</f>
        <v>—</v>
      </c>
      <c r="D24" s="21" t="str">
        <f>_xll.BDH("AAL US Equity","DVD_PAYOUT_RATIO","FQ3 2011","FQ3 2011","Currency=USD","Period=FQ","BEST_FPERIOD_OVERRIDE=FQ","FILING_STATUS=MR","FA_ADJUSTED=GAAP","Sort=A","Dates=H","DateFormat=P","Fill=—","Direction=H","UseDPDF=Y")</f>
        <v>—</v>
      </c>
      <c r="E24" s="21" t="str">
        <f>_xll.BDH("AAL US Equity","DVD_PAYOUT_RATIO","FQ4 2011","FQ4 2011","Currency=USD","Period=FQ","BEST_FPERIOD_OVERRIDE=FQ","FILING_STATUS=MR","FA_ADJUSTED=GAAP","Sort=A","Dates=H","DateFormat=P","Fill=—","Direction=H","UseDPDF=Y")</f>
        <v>—</v>
      </c>
      <c r="F24" s="21" t="str">
        <f>_xll.BDH("AAL US Equity","DVD_PAYOUT_RATIO","FQ1 2012","FQ1 2012","Currency=USD","Period=FQ","BEST_FPERIOD_OVERRIDE=FQ","FILING_STATUS=MR","FA_ADJUSTED=GAAP","Sort=A","Dates=H","DateFormat=P","Fill=—","Direction=H","UseDPDF=Y")</f>
        <v>—</v>
      </c>
      <c r="G24" s="21" t="str">
        <f>_xll.BDH("AAL US Equity","DVD_PAYOUT_RATIO","FQ2 2012","FQ2 2012","Currency=USD","Period=FQ","BEST_FPERIOD_OVERRIDE=FQ","FILING_STATUS=MR","FA_ADJUSTED=GAAP","Sort=A","Dates=H","DateFormat=P","Fill=—","Direction=H","UseDPDF=Y")</f>
        <v>—</v>
      </c>
      <c r="H24" s="21" t="str">
        <f>_xll.BDH("AAL US Equity","DVD_PAYOUT_RATIO","FQ3 2012","FQ3 2012","Currency=USD","Period=FQ","BEST_FPERIOD_OVERRIDE=FQ","FILING_STATUS=MR","FA_ADJUSTED=GAAP","Sort=A","Dates=H","DateFormat=P","Fill=—","Direction=H","UseDPDF=Y")</f>
        <v>—</v>
      </c>
      <c r="I24" s="21">
        <f>_xll.BDH("AAL US Equity","DVD_PAYOUT_RATIO","FQ4 2012","FQ4 2012","Currency=USD","Period=FQ","BEST_FPERIOD_OVERRIDE=FQ","FILING_STATUS=MR","FA_ADJUSTED=GAAP","Sort=A","Dates=H","DateFormat=P","Fill=—","Direction=H","UseDPDF=Y")</f>
        <v>0</v>
      </c>
      <c r="J24" s="21" t="str">
        <f>_xll.BDH("AAL US Equity","DVD_PAYOUT_RATIO","FQ1 2013","FQ1 2013","Currency=USD","Period=FQ","BEST_FPERIOD_OVERRIDE=FQ","FILING_STATUS=MR","FA_ADJUSTED=GAAP","Sort=A","Dates=H","DateFormat=P","Fill=—","Direction=H","UseDPDF=Y")</f>
        <v>—</v>
      </c>
      <c r="K24" s="21">
        <f>_xll.BDH("AAL US Equity","DVD_PAYOUT_RATIO","FQ2 2013","FQ2 2013","Currency=USD","Period=FQ","BEST_FPERIOD_OVERRIDE=FQ","FILING_STATUS=MR","FA_ADJUSTED=GAAP","Sort=A","Dates=H","DateFormat=P","Fill=—","Direction=H","UseDPDF=Y")</f>
        <v>0</v>
      </c>
      <c r="L24" s="21">
        <f>_xll.BDH("AAL US Equity","DVD_PAYOUT_RATIO","FQ3 2013","FQ3 2013","Currency=USD","Period=FQ","BEST_FPERIOD_OVERRIDE=FQ","FILING_STATUS=MR","FA_ADJUSTED=GAAP","Sort=A","Dates=H","DateFormat=P","Fill=—","Direction=H","UseDPDF=Y")</f>
        <v>0</v>
      </c>
      <c r="M24" s="21" t="str">
        <f>_xll.BDH("AAL US Equity","DVD_PAYOUT_RATIO","FQ4 2013","FQ4 2013","Currency=USD","Period=FQ","BEST_FPERIOD_OVERRIDE=FQ","FILING_STATUS=MR","FA_ADJUSTED=GAAP","Sort=A","Dates=H","DateFormat=P","Fill=—","Direction=H","UseDPDF=Y")</f>
        <v>—</v>
      </c>
      <c r="N24" s="21">
        <f>_xll.BDH("AAL US Equity","DVD_PAYOUT_RATIO","FQ1 2014","FQ1 2014","Currency=USD","Period=FQ","BEST_FPERIOD_OVERRIDE=FQ","FILING_STATUS=MR","FA_ADJUSTED=GAAP","Sort=A","Dates=H","DateFormat=P","Fill=—","Direction=H","UseDPDF=Y")</f>
        <v>0</v>
      </c>
      <c r="O24" s="21">
        <f>_xll.BDH("AAL US Equity","DVD_PAYOUT_RATIO","FQ2 2014","FQ2 2014","Currency=USD","Period=FQ","BEST_FPERIOD_OVERRIDE=FQ","FILING_STATUS=MR","FA_ADJUSTED=GAAP","Sort=A","Dates=H","DateFormat=P","Fill=—","Direction=H","UseDPDF=Y")</f>
        <v>0</v>
      </c>
      <c r="P24" s="21">
        <f>_xll.BDH("AAL US Equity","DVD_PAYOUT_RATIO","FQ3 2014","FQ3 2014","Currency=USD","Period=FQ","BEST_FPERIOD_OVERRIDE=FQ","FILING_STATUS=MR","FA_ADJUSTED=GAAP","Sort=A","Dates=H","DateFormat=P","Fill=—","Direction=H","UseDPDF=Y")</f>
        <v>7.6334</v>
      </c>
      <c r="Q24" s="21">
        <f>_xll.BDH("AAL US Equity","DVD_PAYOUT_RATIO","FQ4 2014","FQ4 2014","Currency=USD","Period=FQ","BEST_FPERIOD_OVERRIDE=FQ","FILING_STATUS=MR","FA_ADJUSTED=GAAP","Sort=A","Dates=H","DateFormat=P","Fill=—","Direction=H","UseDPDF=Y")</f>
        <v>11.828900000000001</v>
      </c>
      <c r="R24" s="21">
        <f>_xll.BDH("AAL US Equity","DVD_PAYOUT_RATIO","FQ1 2015","FQ1 2015","Currency=USD","Period=FQ","BEST_FPERIOD_OVERRIDE=FQ","FILING_STATUS=MR","FA_ADJUSTED=GAAP","Sort=A","Dates=H","DateFormat=P","Fill=—","Direction=H","UseDPDF=Y")</f>
        <v>7.4722999999999997</v>
      </c>
      <c r="S24" s="21">
        <f>_xll.BDH("AAL US Equity","DVD_PAYOUT_RATIO","FQ2 2015","FQ2 2015","Currency=USD","Period=FQ","BEST_FPERIOD_OVERRIDE=FQ","FILING_STATUS=MR","FA_ADJUSTED=GAAP","Sort=A","Dates=H","DateFormat=P","Fill=—","Direction=H","UseDPDF=Y")</f>
        <v>4.0418000000000003</v>
      </c>
      <c r="T24" s="21">
        <f>_xll.BDH("AAL US Equity","DVD_PAYOUT_RATIO","FQ3 2015","FQ3 2015","Currency=USD","Period=FQ","BEST_FPERIOD_OVERRIDE=FQ","FILING_STATUS=MR","FA_ADJUSTED=GAAP","Sort=A","Dates=H","DateFormat=P","Fill=—","Direction=H","UseDPDF=Y")</f>
        <v>3.9093999999999998</v>
      </c>
      <c r="U24" s="21">
        <f>_xll.BDH("AAL US Equity","DVD_PAYOUT_RATIO","FQ4 2015","FQ4 2015","Currency=USD","Period=FQ","BEST_FPERIOD_OVERRIDE=FQ","FILING_STATUS=MR","FA_ADJUSTED=GAAP","Sort=A","Dates=H","DateFormat=P","Fill=—","Direction=H","UseDPDF=Y")</f>
        <v>1.9097</v>
      </c>
      <c r="V24" s="21">
        <f>_xll.BDH("AAL US Equity","DVD_PAYOUT_RATIO","FQ1 2016","FQ1 2016","Currency=USD","Period=FQ","BEST_FPERIOD_OVERRIDE=FQ","FILING_STATUS=MR","FA_ADJUSTED=GAAP","Sort=A","Dates=H","DateFormat=P","Fill=—","Direction=H","UseDPDF=Y")</f>
        <v>8.7142999999999997</v>
      </c>
      <c r="W24" s="21">
        <f>_xll.BDH("AAL US Equity","DVD_PAYOUT_RATIO","FQ2 2016","FQ2 2016","Currency=USD","Period=FQ","BEST_FPERIOD_OVERRIDE=FQ","FILING_STATUS=MR","FA_ADJUSTED=GAAP","Sort=A","Dates=H","DateFormat=P","Fill=—","Direction=H","UseDPDF=Y")</f>
        <v>5.9263000000000003</v>
      </c>
      <c r="X24" s="21">
        <f>_xll.BDH("AAL US Equity","DVD_PAYOUT_RATIO","FQ3 2016","FQ3 2016","Currency=USD","Period=FQ","BEST_FPERIOD_OVERRIDE=FQ","FILING_STATUS=MR","FA_ADJUSTED=GAAP","Sort=A","Dates=H","DateFormat=P","Fill=—","Direction=H","UseDPDF=Y")</f>
        <v>7.1291000000000002</v>
      </c>
      <c r="Y24" s="21">
        <f>_xll.BDH("AAL US Equity","DVD_PAYOUT_RATIO","FQ4 2016","FQ4 2016","Currency=USD","Period=FQ","BEST_FPERIOD_OVERRIDE=FQ","FILING_STATUS=MR","FA_ADJUSTED=GAAP","Sort=A","Dates=H","DateFormat=P","Fill=—","Direction=H","UseDPDF=Y")</f>
        <v>17.805199999999999</v>
      </c>
      <c r="Z24" s="21">
        <f>_xll.BDH("AAL US Equity","DVD_PAYOUT_RATIO","FQ1 2017","FQ1 2017","Currency=USD","Period=FQ","BEST_FPERIOD_OVERRIDE=FQ","FILING_STATUS=MR","FA_ADJUSTED=GAAP","Sort=A","Dates=H","DateFormat=P","Fill=—","Direction=H","UseDPDF=Y")</f>
        <v>15</v>
      </c>
      <c r="AA24" s="21">
        <f>_xll.BDH("AAL US Equity","DVD_PAYOUT_RATIO","FQ2 2017","FQ2 2017","Currency=USD","Period=FQ","BEST_FPERIOD_OVERRIDE=FQ","FILING_STATUS=MR","FA_ADJUSTED=GAAP","Sort=A","Dates=H","DateFormat=P","Fill=—","Direction=H","UseDPDF=Y")</f>
        <v>5.6807999999999996</v>
      </c>
      <c r="AB24" s="21">
        <f>_xll.BDH("AAL US Equity","DVD_PAYOUT_RATIO","FQ3 2017","FQ3 2017","Currency=USD","Period=FQ","BEST_FPERIOD_OVERRIDE=FQ","FILING_STATUS=MR","FA_ADJUSTED=GAAP","Sort=A","Dates=H","DateFormat=P","Fill=—","Direction=H","UseDPDF=Y")</f>
        <v>7.4130000000000003</v>
      </c>
      <c r="AC24" s="21" t="str">
        <f>_xll.BDH("AAL US Equity","DVD_PAYOUT_RATIO","FQ4 2017","FQ4 2017","Currency=USD","Period=FQ","BEST_FPERIOD_OVERRIDE=FQ","FILING_STATUS=MR","FA_ADJUSTED=GAAP","Sort=A","Dates=H","DateFormat=P","Fill=—","Direction=H","UseDPDF=Y")</f>
        <v>—</v>
      </c>
      <c r="AD24" s="21">
        <f>_xll.BDH("AAL US Equity","DVD_PAYOUT_RATIO","FQ1 2018","FQ1 2018","Currency=USD","Period=FQ","BEST_FPERIOD_OVERRIDE=FQ","FILING_STATUS=MR","FA_ADJUSTED=GAAP","Sort=A","Dates=H","DateFormat=P","Fill=—","Direction=H","UseDPDF=Y")</f>
        <v>29.7042</v>
      </c>
      <c r="AE24" s="21">
        <f>_xll.BDH("AAL US Equity","DVD_PAYOUT_RATIO","FQ2 2018","FQ2 2018","Currency=USD","Period=FQ","BEST_FPERIOD_OVERRIDE=FQ","FILING_STATUS=MR","FA_ADJUSTED=GAAP","Sort=A","Dates=H","DateFormat=P","Fill=—","Direction=H","UseDPDF=Y")</f>
        <v>8.3369</v>
      </c>
      <c r="AF24" s="21">
        <f>_xll.BDH("AAL US Equity","DVD_PAYOUT_RATIO","FQ3 2018","FQ3 2018","Currency=USD","Period=FQ","BEST_FPERIOD_OVERRIDE=FQ","FILING_STATUS=MR","FA_ADJUSTED=GAAP","Sort=A","Dates=H","DateFormat=P","Fill=—","Direction=H","UseDPDF=Y")</f>
        <v>12.3797</v>
      </c>
      <c r="AG24" s="21">
        <f>_xll.BDH("AAL US Equity","DVD_PAYOUT_RATIO","FQ4 2018","FQ4 2018","Currency=USD","Period=FQ","BEST_FPERIOD_OVERRIDE=FQ","FILING_STATUS=MR","FA_ADJUSTED=GAAP","Sort=A","Dates=H","DateFormat=P","Fill=—","Direction=H","UseDPDF=Y")</f>
        <v>14.550800000000001</v>
      </c>
      <c r="AH24" s="21">
        <f>_xll.BDH("AAL US Equity","DVD_PAYOUT_RATIO","FQ1 2019","FQ1 2019","Currency=USD","Period=FQ","BEST_FPERIOD_OVERRIDE=FQ","FILING_STATUS=MR","FA_ADJUSTED=GAAP","Sort=A","Dates=H","DateFormat=P","Fill=—","Direction=H","UseDPDF=Y")</f>
        <v>24.4298</v>
      </c>
      <c r="AI24" s="21">
        <f>_xll.BDH("AAL US Equity","DVD_PAYOUT_RATIO","FQ2 2019","FQ2 2019","Currency=USD","Period=FQ","BEST_FPERIOD_OVERRIDE=FQ","FILING_STATUS=MR","FA_ADJUSTED=GAAP","Sort=A","Dates=H","DateFormat=P","Fill=—","Direction=H","UseDPDF=Y")</f>
        <v>6.7222</v>
      </c>
      <c r="AJ24" s="21">
        <f>_xll.BDH("AAL US Equity","DVD_PAYOUT_RATIO","FQ3 2019","FQ3 2019","Currency=USD","Period=FQ","BEST_FPERIOD_OVERRIDE=FQ","FILING_STATUS=MR","FA_ADJUSTED=GAAP","Sort=A","Dates=H","DateFormat=P","Fill=—","Direction=H","UseDPDF=Y")</f>
        <v>10.398</v>
      </c>
      <c r="AK24" s="21">
        <f>_xll.BDH("AAL US Equity","DVD_PAYOUT_RATIO","FQ4 2019","FQ4 2019","Currency=USD","Period=FQ","BEST_FPERIOD_OVERRIDE=FQ","FILING_STATUS=MR","FA_ADJUSTED=GAAP","Sort=A","Dates=H","DateFormat=P","Fill=—","Direction=H","UseDPDF=Y")</f>
        <v>10.655200000000001</v>
      </c>
      <c r="AL24" s="21" t="str">
        <f>_xll.BDH("AAL US Equity","DVD_PAYOUT_RATIO","FQ1 2020","FQ1 2020","Currency=USD","Period=FQ","BEST_FPERIOD_OVERRIDE=FQ","FILING_STATUS=MR","FA_ADJUSTED=GAAP","Sort=A","Dates=H","DateFormat=P","Fill=—","Direction=H","UseDPDF=Y")</f>
        <v>—</v>
      </c>
      <c r="AM24" s="21" t="str">
        <f>_xll.BDH("AAL US Equity","DVD_PAYOUT_RATIO","FQ2 2020","FQ2 2020","Currency=USD","Period=FQ","BEST_FPERIOD_OVERRIDE=FQ","FILING_STATUS=MR","FA_ADJUSTED=GAAP","Sort=A","Dates=H","DateFormat=P","Fill=—","Direction=H","UseDPDF=Y")</f>
        <v>—</v>
      </c>
      <c r="AN24" s="21" t="str">
        <f>_xll.BDH("AAL US Equity","DVD_PAYOUT_RATIO","FQ3 2020","FQ3 2020","Currency=USD","Period=FQ","BEST_FPERIOD_OVERRIDE=FQ","FILING_STATUS=MR","FA_ADJUSTED=GAAP","Sort=A","Dates=H","DateFormat=P","Fill=—","Direction=H","UseDPDF=Y")</f>
        <v>—</v>
      </c>
      <c r="AO24" s="21" t="str">
        <f>_xll.BDH("AAL US Equity","DVD_PAYOUT_RATIO","FQ4 2020","FQ4 2020","Currency=USD","Period=FQ","BEST_FPERIOD_OVERRIDE=FQ","FILING_STATUS=MR","FA_ADJUSTED=GAAP","Sort=A","Dates=H","DateFormat=P","Fill=—","Direction=H","UseDPDF=Y")</f>
        <v>—</v>
      </c>
      <c r="AP24" s="21" t="str">
        <f>_xll.BDH("AAL US Equity","DVD_PAYOUT_RATIO","FQ1 2021","FQ1 2021","Currency=USD","Period=FQ","BEST_FPERIOD_OVERRIDE=FQ","FILING_STATUS=MR","FA_ADJUSTED=GAAP","Sort=A","Dates=H","DateFormat=P","Fill=—","Direction=H","UseDPDF=Y")</f>
        <v>—</v>
      </c>
    </row>
    <row r="25" spans="1:42" x14ac:dyDescent="0.25">
      <c r="A25" s="18" t="s">
        <v>115</v>
      </c>
      <c r="B25" s="18" t="s">
        <v>116</v>
      </c>
      <c r="C25" s="21" t="str">
        <f>_xll.BDH("AAL US Equity","SUSTAIN_GROWTH_RT","FQ2 2011","FQ2 2011","Currency=USD","Period=FQ","BEST_FPERIOD_OVERRIDE=FQ","FILING_STATUS=MR","FA_ADJUSTED=GAAP","Sort=A","Dates=H","DateFormat=P","Fill=—","Direction=H","UseDPDF=Y")</f>
        <v>—</v>
      </c>
      <c r="D25" s="21" t="str">
        <f>_xll.BDH("AAL US Equity","SUSTAIN_GROWTH_RT","FQ3 2011","FQ3 2011","Currency=USD","Period=FQ","BEST_FPERIOD_OVERRIDE=FQ","FILING_STATUS=MR","FA_ADJUSTED=GAAP","Sort=A","Dates=H","DateFormat=P","Fill=—","Direction=H","UseDPDF=Y")</f>
        <v>—</v>
      </c>
      <c r="E25" s="21" t="str">
        <f>_xll.BDH("AAL US Equity","SUSTAIN_GROWTH_RT","FQ4 2011","FQ4 2011","Currency=USD","Period=FQ","BEST_FPERIOD_OVERRIDE=FQ","FILING_STATUS=MR","FA_ADJUSTED=GAAP","Sort=A","Dates=H","DateFormat=P","Fill=—","Direction=H","UseDPDF=Y")</f>
        <v>—</v>
      </c>
      <c r="F25" s="21" t="str">
        <f>_xll.BDH("AAL US Equity","SUSTAIN_GROWTH_RT","FQ1 2012","FQ1 2012","Currency=USD","Period=FQ","BEST_FPERIOD_OVERRIDE=FQ","FILING_STATUS=MR","FA_ADJUSTED=GAAP","Sort=A","Dates=H","DateFormat=P","Fill=—","Direction=H","UseDPDF=Y")</f>
        <v>—</v>
      </c>
      <c r="G25" s="21" t="str">
        <f>_xll.BDH("AAL US Equity","SUSTAIN_GROWTH_RT","FQ2 2012","FQ2 2012","Currency=USD","Period=FQ","BEST_FPERIOD_OVERRIDE=FQ","FILING_STATUS=MR","FA_ADJUSTED=GAAP","Sort=A","Dates=H","DateFormat=P","Fill=—","Direction=H","UseDPDF=Y")</f>
        <v>—</v>
      </c>
      <c r="H25" s="21" t="str">
        <f>_xll.BDH("AAL US Equity","SUSTAIN_GROWTH_RT","FQ3 2012","FQ3 2012","Currency=USD","Period=FQ","BEST_FPERIOD_OVERRIDE=FQ","FILING_STATUS=MR","FA_ADJUSTED=GAAP","Sort=A","Dates=H","DateFormat=P","Fill=—","Direction=H","UseDPDF=Y")</f>
        <v>—</v>
      </c>
      <c r="I25" s="21" t="str">
        <f>_xll.BDH("AAL US Equity","SUSTAIN_GROWTH_RT","FQ4 2012","FQ4 2012","Currency=USD","Period=FQ","BEST_FPERIOD_OVERRIDE=FQ","FILING_STATUS=MR","FA_ADJUSTED=GAAP","Sort=A","Dates=H","DateFormat=P","Fill=—","Direction=H","UseDPDF=Y")</f>
        <v>—</v>
      </c>
      <c r="J25" s="21" t="str">
        <f>_xll.BDH("AAL US Equity","SUSTAIN_GROWTH_RT","FQ1 2013","FQ1 2013","Currency=USD","Period=FQ","BEST_FPERIOD_OVERRIDE=FQ","FILING_STATUS=MR","FA_ADJUSTED=GAAP","Sort=A","Dates=H","DateFormat=P","Fill=—","Direction=H","UseDPDF=Y")</f>
        <v>—</v>
      </c>
      <c r="K25" s="21" t="str">
        <f>_xll.BDH("AAL US Equity","SUSTAIN_GROWTH_RT","FQ2 2013","FQ2 2013","Currency=USD","Period=FQ","BEST_FPERIOD_OVERRIDE=FQ","FILING_STATUS=MR","FA_ADJUSTED=GAAP","Sort=A","Dates=H","DateFormat=P","Fill=—","Direction=H","UseDPDF=Y")</f>
        <v>—</v>
      </c>
      <c r="L25" s="21" t="str">
        <f>_xll.BDH("AAL US Equity","SUSTAIN_GROWTH_RT","FQ3 2013","FQ3 2013","Currency=USD","Period=FQ","BEST_FPERIOD_OVERRIDE=FQ","FILING_STATUS=MR","FA_ADJUSTED=GAAP","Sort=A","Dates=H","DateFormat=P","Fill=—","Direction=H","UseDPDF=Y")</f>
        <v>—</v>
      </c>
      <c r="M25" s="21" t="str">
        <f>_xll.BDH("AAL US Equity","SUSTAIN_GROWTH_RT","FQ4 2013","FQ4 2013","Currency=USD","Period=FQ","BEST_FPERIOD_OVERRIDE=FQ","FILING_STATUS=MR","FA_ADJUSTED=GAAP","Sort=A","Dates=H","DateFormat=P","Fill=—","Direction=H","UseDPDF=Y")</f>
        <v>—</v>
      </c>
      <c r="N25" s="21" t="str">
        <f>_xll.BDH("AAL US Equity","SUSTAIN_GROWTH_RT","FQ1 2014","FQ1 2014","Currency=USD","Period=FQ","BEST_FPERIOD_OVERRIDE=FQ","FILING_STATUS=MR","FA_ADJUSTED=GAAP","Sort=A","Dates=H","DateFormat=P","Fill=—","Direction=H","UseDPDF=Y")</f>
        <v>—</v>
      </c>
      <c r="O25" s="21" t="str">
        <f>_xll.BDH("AAL US Equity","SUSTAIN_GROWTH_RT","FQ2 2014","FQ2 2014","Currency=USD","Period=FQ","BEST_FPERIOD_OVERRIDE=FQ","FILING_STATUS=MR","FA_ADJUSTED=GAAP","Sort=A","Dates=H","DateFormat=P","Fill=—","Direction=H","UseDPDF=Y")</f>
        <v>—</v>
      </c>
      <c r="P25" s="21" t="str">
        <f>_xll.BDH("AAL US Equity","SUSTAIN_GROWTH_RT","FQ3 2014","FQ3 2014","Currency=USD","Period=FQ","BEST_FPERIOD_OVERRIDE=FQ","FILING_STATUS=MR","FA_ADJUSTED=GAAP","Sort=A","Dates=H","DateFormat=P","Fill=—","Direction=H","UseDPDF=Y")</f>
        <v>—</v>
      </c>
      <c r="Q25" s="21" t="str">
        <f>_xll.BDH("AAL US Equity","SUSTAIN_GROWTH_RT","FQ4 2014","FQ4 2014","Currency=USD","Period=FQ","BEST_FPERIOD_OVERRIDE=FQ","FILING_STATUS=MR","FA_ADJUSTED=GAAP","Sort=A","Dates=H","DateFormat=P","Fill=—","Direction=H","UseDPDF=Y")</f>
        <v>—</v>
      </c>
      <c r="R25" s="21">
        <f>_xll.BDH("AAL US Equity","SUSTAIN_GROWTH_RT","FQ1 2015","FQ1 2015","Currency=USD","Period=FQ","BEST_FPERIOD_OVERRIDE=FQ","FILING_STATUS=MR","FA_ADJUSTED=GAAP","Sort=A","Dates=H","DateFormat=P","Fill=—","Direction=H","UseDPDF=Y")</f>
        <v>159.92740000000001</v>
      </c>
      <c r="S25" s="21">
        <f>_xll.BDH("AAL US Equity","SUSTAIN_GROWTH_RT","FQ2 2015","FQ2 2015","Currency=USD","Period=FQ","BEST_FPERIOD_OVERRIDE=FQ","FILING_STATUS=MR","FA_ADJUSTED=GAAP","Sort=A","Dates=H","DateFormat=P","Fill=—","Direction=H","UseDPDF=Y")</f>
        <v>103.7621</v>
      </c>
      <c r="T25" s="21">
        <f>_xll.BDH("AAL US Equity","SUSTAIN_GROWTH_RT","FQ3 2015","FQ3 2015","Currency=USD","Period=FQ","BEST_FPERIOD_OVERRIDE=FQ","FILING_STATUS=MR","FA_ADJUSTED=GAAP","Sort=A","Dates=H","DateFormat=P","Fill=—","Direction=H","UseDPDF=Y")</f>
        <v>108.40309999999999</v>
      </c>
      <c r="U25" s="21">
        <f>_xll.BDH("AAL US Equity","SUSTAIN_GROWTH_RT","FQ4 2015","FQ4 2015","Currency=USD","Period=FQ","BEST_FPERIOD_OVERRIDE=FQ","FILING_STATUS=MR","FA_ADJUSTED=GAAP","Sort=A","Dates=H","DateFormat=P","Fill=—","Direction=H","UseDPDF=Y")</f>
        <v>195.00200000000001</v>
      </c>
      <c r="V25" s="21">
        <f>_xll.BDH("AAL US Equity","SUSTAIN_GROWTH_RT","FQ1 2016","FQ1 2016","Currency=USD","Period=FQ","BEST_FPERIOD_OVERRIDE=FQ","FILING_STATUS=MR","FA_ADJUSTED=GAAP","Sort=A","Dates=H","DateFormat=P","Fill=—","Direction=H","UseDPDF=Y")</f>
        <v>180.22640000000001</v>
      </c>
      <c r="W25" s="21">
        <f>_xll.BDH("AAL US Equity","SUSTAIN_GROWTH_RT","FQ2 2016","FQ2 2016","Currency=USD","Period=FQ","BEST_FPERIOD_OVERRIDE=FQ","FILING_STATUS=MR","FA_ADJUSTED=GAAP","Sort=A","Dates=H","DateFormat=P","Fill=—","Direction=H","UseDPDF=Y")</f>
        <v>156.80529999999999</v>
      </c>
      <c r="X25" s="21">
        <f>_xll.BDH("AAL US Equity","SUSTAIN_GROWTH_RT","FQ3 2016","FQ3 2016","Currency=USD","Period=FQ","BEST_FPERIOD_OVERRIDE=FQ","FILING_STATUS=MR","FA_ADJUSTED=GAAP","Sort=A","Dates=H","DateFormat=P","Fill=—","Direction=H","UseDPDF=Y")</f>
        <v>129.1285</v>
      </c>
      <c r="Y25" s="21">
        <f>_xll.BDH("AAL US Equity","SUSTAIN_GROWTH_RT","FQ4 2016","FQ4 2016","Currency=USD","Period=FQ","BEST_FPERIOD_OVERRIDE=FQ","FILING_STATUS=MR","FA_ADJUSTED=GAAP","Sort=A","Dates=H","DateFormat=P","Fill=—","Direction=H","UseDPDF=Y")</f>
        <v>46.699199999999998</v>
      </c>
      <c r="Z25" s="21">
        <f>_xll.BDH("AAL US Equity","SUSTAIN_GROWTH_RT","FQ1 2017","FQ1 2017","Currency=USD","Period=FQ","BEST_FPERIOD_OVERRIDE=FQ","FILING_STATUS=MR","FA_ADJUSTED=GAAP","Sort=A","Dates=H","DateFormat=P","Fill=—","Direction=H","UseDPDF=Y")</f>
        <v>48.208599999999997</v>
      </c>
      <c r="AA25" s="21">
        <f>_xll.BDH("AAL US Equity","SUSTAIN_GROWTH_RT","FQ2 2017","FQ2 2017","Currency=USD","Period=FQ","BEST_FPERIOD_OVERRIDE=FQ","FILING_STATUS=MR","FA_ADJUSTED=GAAP","Sort=A","Dates=H","DateFormat=P","Fill=—","Direction=H","UseDPDF=Y")</f>
        <v>52.406100000000002</v>
      </c>
      <c r="AB25" s="21">
        <f>_xll.BDH("AAL US Equity","SUSTAIN_GROWTH_RT","FQ3 2017","FQ3 2017","Currency=USD","Period=FQ","BEST_FPERIOD_OVERRIDE=FQ","FILING_STATUS=MR","FA_ADJUSTED=GAAP","Sort=A","Dates=H","DateFormat=P","Fill=—","Direction=H","UseDPDF=Y")</f>
        <v>47.831200000000003</v>
      </c>
      <c r="AC25" s="21" t="str">
        <f>_xll.BDH("AAL US Equity","SUSTAIN_GROWTH_RT","FQ4 2017","FQ4 2017","Currency=USD","Period=FQ","BEST_FPERIOD_OVERRIDE=FQ","FILING_STATUS=MR","FA_ADJUSTED=GAAP","Sort=A","Dates=H","DateFormat=P","Fill=—","Direction=H","UseDPDF=Y")</f>
        <v>—</v>
      </c>
      <c r="AD25" s="21" t="str">
        <f>_xll.BDH("AAL US Equity","SUSTAIN_GROWTH_RT","FQ1 2018","FQ1 2018","Currency=USD","Period=FQ","BEST_FPERIOD_OVERRIDE=FQ","FILING_STATUS=MR","FA_ADJUSTED=GAAP","Sort=A","Dates=H","DateFormat=P","Fill=—","Direction=H","UseDPDF=Y")</f>
        <v>—</v>
      </c>
      <c r="AE25" s="21" t="str">
        <f>_xll.BDH("AAL US Equity","SUSTAIN_GROWTH_RT","FQ2 2018","FQ2 2018","Currency=USD","Period=FQ","BEST_FPERIOD_OVERRIDE=FQ","FILING_STATUS=MR","FA_ADJUSTED=GAAP","Sort=A","Dates=H","DateFormat=P","Fill=—","Direction=H","UseDPDF=Y")</f>
        <v>—</v>
      </c>
      <c r="AF25" s="21" t="str">
        <f>_xll.BDH("AAL US Equity","SUSTAIN_GROWTH_RT","FQ3 2018","FQ3 2018","Currency=USD","Period=FQ","BEST_FPERIOD_OVERRIDE=FQ","FILING_STATUS=MR","FA_ADJUSTED=GAAP","Sort=A","Dates=H","DateFormat=P","Fill=—","Direction=H","UseDPDF=Y")</f>
        <v>—</v>
      </c>
      <c r="AG25" s="21" t="str">
        <f>_xll.BDH("AAL US Equity","SUSTAIN_GROWTH_RT","FQ4 2018","FQ4 2018","Currency=USD","Period=FQ","BEST_FPERIOD_OVERRIDE=FQ","FILING_STATUS=MR","FA_ADJUSTED=GAAP","Sort=A","Dates=H","DateFormat=P","Fill=—","Direction=H","UseDPDF=Y")</f>
        <v>—</v>
      </c>
      <c r="AH25" s="21" t="str">
        <f>_xll.BDH("AAL US Equity","SUSTAIN_GROWTH_RT","FQ1 2019","FQ1 2019","Currency=USD","Period=FQ","BEST_FPERIOD_OVERRIDE=FQ","FILING_STATUS=MR","FA_ADJUSTED=GAAP","Sort=A","Dates=H","DateFormat=P","Fill=—","Direction=H","UseDPDF=Y")</f>
        <v>—</v>
      </c>
      <c r="AI25" s="21" t="str">
        <f>_xll.BDH("AAL US Equity","SUSTAIN_GROWTH_RT","FQ2 2019","FQ2 2019","Currency=USD","Period=FQ","BEST_FPERIOD_OVERRIDE=FQ","FILING_STATUS=MR","FA_ADJUSTED=GAAP","Sort=A","Dates=H","DateFormat=P","Fill=—","Direction=H","UseDPDF=Y")</f>
        <v>—</v>
      </c>
      <c r="AJ25" s="21" t="str">
        <f>_xll.BDH("AAL US Equity","SUSTAIN_GROWTH_RT","FQ3 2019","FQ3 2019","Currency=USD","Period=FQ","BEST_FPERIOD_OVERRIDE=FQ","FILING_STATUS=MR","FA_ADJUSTED=GAAP","Sort=A","Dates=H","DateFormat=P","Fill=—","Direction=H","UseDPDF=Y")</f>
        <v>—</v>
      </c>
      <c r="AK25" s="21" t="str">
        <f>_xll.BDH("AAL US Equity","SUSTAIN_GROWTH_RT","FQ4 2019","FQ4 2019","Currency=USD","Period=FQ","BEST_FPERIOD_OVERRIDE=FQ","FILING_STATUS=MR","FA_ADJUSTED=GAAP","Sort=A","Dates=H","DateFormat=P","Fill=—","Direction=H","UseDPDF=Y")</f>
        <v>—</v>
      </c>
      <c r="AL25" s="21" t="str">
        <f>_xll.BDH("AAL US Equity","SUSTAIN_GROWTH_RT","FQ1 2020","FQ1 2020","Currency=USD","Period=FQ","BEST_FPERIOD_OVERRIDE=FQ","FILING_STATUS=MR","FA_ADJUSTED=GAAP","Sort=A","Dates=H","DateFormat=P","Fill=—","Direction=H","UseDPDF=Y")</f>
        <v>—</v>
      </c>
      <c r="AM25" s="21" t="str">
        <f>_xll.BDH("AAL US Equity","SUSTAIN_GROWTH_RT","FQ2 2020","FQ2 2020","Currency=USD","Period=FQ","BEST_FPERIOD_OVERRIDE=FQ","FILING_STATUS=MR","FA_ADJUSTED=GAAP","Sort=A","Dates=H","DateFormat=P","Fill=—","Direction=H","UseDPDF=Y")</f>
        <v>—</v>
      </c>
      <c r="AN25" s="21" t="str">
        <f>_xll.BDH("AAL US Equity","SUSTAIN_GROWTH_RT","FQ3 2020","FQ3 2020","Currency=USD","Period=FQ","BEST_FPERIOD_OVERRIDE=FQ","FILING_STATUS=MR","FA_ADJUSTED=GAAP","Sort=A","Dates=H","DateFormat=P","Fill=—","Direction=H","UseDPDF=Y")</f>
        <v>—</v>
      </c>
      <c r="AO25" s="21" t="str">
        <f>_xll.BDH("AAL US Equity","SUSTAIN_GROWTH_RT","FQ4 2020","FQ4 2020","Currency=USD","Period=FQ","BEST_FPERIOD_OVERRIDE=FQ","FILING_STATUS=MR","FA_ADJUSTED=GAAP","Sort=A","Dates=H","DateFormat=P","Fill=—","Direction=H","UseDPDF=Y")</f>
        <v>—</v>
      </c>
      <c r="AP25" s="21" t="str">
        <f>_xll.BDH("AAL US Equity","SUSTAIN_GROWTH_RT","FQ1 2021","FQ1 2021","Currency=USD","Period=FQ","BEST_FPERIOD_OVERRIDE=FQ","FILING_STATUS=MR","FA_ADJUSTED=GAAP","Sort=A","Dates=H","DateFormat=P","Fill=—","Direction=H","UseDPDF=Y")</f>
        <v>—</v>
      </c>
    </row>
    <row r="26" spans="1:42" x14ac:dyDescent="0.25">
      <c r="A26" s="15" t="s">
        <v>117</v>
      </c>
      <c r="B26" s="15"/>
      <c r="C26" s="15" t="s"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158</v>
      </c>
      <c r="D4" s="3" t="s">
        <v>157</v>
      </c>
      <c r="E4" s="3" t="s">
        <v>156</v>
      </c>
      <c r="F4" s="3" t="s">
        <v>155</v>
      </c>
      <c r="G4" s="3" t="s">
        <v>154</v>
      </c>
      <c r="H4" s="3" t="s">
        <v>153</v>
      </c>
      <c r="I4" s="3" t="s">
        <v>152</v>
      </c>
      <c r="J4" s="3" t="s">
        <v>151</v>
      </c>
      <c r="K4" s="3" t="s">
        <v>150</v>
      </c>
      <c r="L4" s="3" t="s">
        <v>149</v>
      </c>
      <c r="M4" s="3" t="s">
        <v>148</v>
      </c>
      <c r="N4" s="3" t="s">
        <v>147</v>
      </c>
      <c r="O4" s="3" t="s">
        <v>146</v>
      </c>
      <c r="P4" s="3" t="s">
        <v>145</v>
      </c>
      <c r="Q4" s="3" t="s">
        <v>144</v>
      </c>
      <c r="R4" s="3" t="s">
        <v>143</v>
      </c>
      <c r="S4" s="3" t="s">
        <v>142</v>
      </c>
      <c r="T4" s="3" t="s">
        <v>141</v>
      </c>
      <c r="U4" s="3" t="s">
        <v>140</v>
      </c>
      <c r="V4" s="3" t="s">
        <v>139</v>
      </c>
      <c r="W4" s="3" t="s">
        <v>138</v>
      </c>
      <c r="X4" s="3" t="s">
        <v>137</v>
      </c>
      <c r="Y4" s="3" t="s">
        <v>136</v>
      </c>
      <c r="Z4" s="3" t="s">
        <v>135</v>
      </c>
      <c r="AA4" s="3" t="s">
        <v>134</v>
      </c>
      <c r="AB4" s="3" t="s">
        <v>133</v>
      </c>
      <c r="AC4" s="3" t="s">
        <v>132</v>
      </c>
      <c r="AD4" s="3" t="s">
        <v>131</v>
      </c>
      <c r="AE4" s="3" t="s">
        <v>130</v>
      </c>
      <c r="AF4" s="3" t="s">
        <v>129</v>
      </c>
      <c r="AG4" s="3" t="s">
        <v>128</v>
      </c>
      <c r="AH4" s="3" t="s">
        <v>127</v>
      </c>
      <c r="AI4" s="3" t="s">
        <v>126</v>
      </c>
      <c r="AJ4" s="3" t="s">
        <v>125</v>
      </c>
      <c r="AK4" s="3" t="s">
        <v>124</v>
      </c>
      <c r="AL4" s="3" t="s">
        <v>123</v>
      </c>
      <c r="AM4" s="3" t="s">
        <v>122</v>
      </c>
      <c r="AN4" s="3" t="s">
        <v>121</v>
      </c>
      <c r="AO4" s="3" t="s">
        <v>120</v>
      </c>
      <c r="AP4" s="3" t="s">
        <v>119</v>
      </c>
    </row>
    <row r="5" spans="1:42" x14ac:dyDescent="0.25">
      <c r="A5" s="4" t="s">
        <v>118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94</v>
      </c>
      <c r="B9" s="8" t="s">
        <v>95</v>
      </c>
      <c r="C9" s="21">
        <f>_xll.BDP("AAL US Equity","EBITDA_TO_REVENUE","EQY_FUND_YEAR=2011","FUND_PER=C2","EQY_FUND_CRNCY=USD","FILING_STATUS=MR","FA_ADJUSTED=GAAP","Fill=—")</f>
        <v>2.0005151541169401</v>
      </c>
      <c r="D9" s="21">
        <f>_xll.BDP("AAL US Equity","EBITDA_TO_REVENUE","EQY_FUND_YEAR=2011","FUND_PER=C3","EQY_FUND_CRNCY=USD","FILING_STATUS=MR","FA_ADJUSTED=GAAP","Fill=—")</f>
        <v>3.0239138878100205</v>
      </c>
      <c r="E9" s="21">
        <f>_xll.BDP("AAL US Equity","EBITDA_TO_REVENUE","EQY_FUND_YEAR=2011","FUND_PER=C4","EQY_FUND_CRNCY=USD","FILING_STATUS=MR","FA_ADJUSTED=GAAP","Fill=—")</f>
        <v>0.20434546895199968</v>
      </c>
      <c r="F9" s="21">
        <f>_xll.BDP("AAL US Equity","EBITDA_TO_REVENUE","EQY_FUND_YEAR=2012","FUND_PER=C1","EQY_FUND_CRNCY=USD","FILING_STATUS=MR","FA_ADJUSTED=GAAP","Fill=—")</f>
        <v>2.8325327149246315</v>
      </c>
      <c r="G9" s="21">
        <f>_xll.BDP("AAL US Equity","EBITDA_TO_REVENUE","EQY_FUND_YEAR=2012","FUND_PER=C2","EQY_FUND_CRNCY=USD","FILING_STATUS=MR","FA_ADJUSTED=GAAP","Fill=—")</f>
        <v>4.5956765412329865</v>
      </c>
      <c r="H9" s="21">
        <f>_xll.BDP("AAL US Equity","EBITDA_TO_REVENUE","EQY_FUND_YEAR=2012","FUND_PER=C3","EQY_FUND_CRNCY=USD","FILING_STATUS=MR","FA_ADJUSTED=GAAP","Fill=—")</f>
        <v>4.6569404799661696</v>
      </c>
      <c r="I9" s="21">
        <f>_xll.BDP("AAL US Equity","EBITDA_TO_REVENUE","EQY_FUND_YEAR=2012","FUND_PER=C4","EQY_FUND_CRNCY=USD","FILING_STATUS=MR","FA_ADJUSTED=GAAP","Fill=—")</f>
        <v>4.67913900623617</v>
      </c>
      <c r="J9" s="21">
        <f>_xll.BDP("AAL US Equity","EBITDA_TO_REVENUE","EQY_FUND_YEAR=2013","FUND_PER=C1","EQY_FUND_CRNCY=USD","FILING_STATUS=MR","FA_ADJUSTED=GAAP","Fill=—")</f>
        <v>5.1984257133486391</v>
      </c>
      <c r="K9" s="21">
        <f>_xll.BDP("AAL US Equity","EBITDA_TO_REVENUE","EQY_FUND_YEAR=2013","FUND_PER=C2","EQY_FUND_CRNCY=USD","FILING_STATUS=MR","FA_ADJUSTED=GAAP","Fill=—")</f>
        <v>8.5837251932732919</v>
      </c>
      <c r="L9" s="21">
        <f>_xll.BDP("AAL US Equity","EBITDA_TO_REVENUE","EQY_FUND_YEAR=2013","FUND_PER=C3","EQY_FUND_CRNCY=USD","FILING_STATUS=MR","FA_ADJUSTED=GAAP","Fill=—")</f>
        <v>10.441290322580645</v>
      </c>
      <c r="M9" s="21">
        <f>_xll.BDP("AAL US Equity","EBITDA_TO_REVENUE","EQY_FUND_YEAR=2013","FUND_PER=C4","EQY_FUND_CRNCY=USD","FILING_STATUS=MR","FA_ADJUSTED=GAAP","Fill=—")</f>
        <v>9.0453576636876942</v>
      </c>
      <c r="N9" s="21">
        <f>_xll.BDP("AAL US Equity","EBITDA_TO_REVENUE","EQY_FUND_YEAR=2014","FUND_PER=C1","EQY_FUND_CRNCY=USD","FILING_STATUS=MR","FA_ADJUSTED=GAAP","Fill=—")</f>
        <v>10.905452726363182</v>
      </c>
      <c r="O9" s="21">
        <f>_xll.BDP("AAL US Equity","EBITDA_TO_REVENUE","EQY_FUND_YEAR=2014","FUND_PER=C2","EQY_FUND_CRNCY=USD","FILING_STATUS=MR","FA_ADJUSTED=GAAP","Fill=—")</f>
        <v>13.38578989274507</v>
      </c>
      <c r="P9" s="21">
        <f>_xll.BDP("AAL US Equity","EBITDA_TO_REVENUE","EQY_FUND_YEAR=2014","FUND_PER=C3","EQY_FUND_CRNCY=USD","FILING_STATUS=MR","FA_ADJUSTED=GAAP","Fill=—")</f>
        <v>13.86580486303478</v>
      </c>
      <c r="Q9" s="21">
        <f>_xll.BDP("AAL US Equity","EBITDA_TO_REVENUE","EQY_FUND_YEAR=2014","FUND_PER=C4","EQY_FUND_CRNCY=USD","FILING_STATUS=MR","FA_ADJUSTED=GAAP","Fill=—")</f>
        <v>13.509964830011722</v>
      </c>
      <c r="R9" s="21">
        <f>_xll.BDP("AAL US Equity","EBITDA_TO_REVENUE","EQY_FUND_YEAR=2015","FUND_PER=C1","EQY_FUND_CRNCY=USD","FILING_STATUS=MR","FA_ADJUSTED=GAAP","Fill=—")</f>
        <v>16.403785488958992</v>
      </c>
      <c r="S9" s="21">
        <f>_xll.BDP("AAL US Equity","EBITDA_TO_REVENUE","EQY_FUND_YEAR=2015","FUND_PER=C2","EQY_FUND_CRNCY=USD","FILING_STATUS=MR","FA_ADJUSTED=GAAP","Fill=—")</f>
        <v>19.056841289822795</v>
      </c>
      <c r="T9" s="21">
        <f>_xll.BDP("AAL US Equity","EBITDA_TO_REVENUE","EQY_FUND_YEAR=2015","FUND_PER=C3","EQY_FUND_CRNCY=USD","FILING_STATUS=MR","FA_ADJUSTED=GAAP","Fill=—")</f>
        <v>20.204081632653061</v>
      </c>
      <c r="U9" s="21">
        <f>_xll.BDP("AAL US Equity","EBITDA_TO_REVENUE","EQY_FUND_YEAR=2015","FUND_PER=C4","EQY_FUND_CRNCY=USD","FILING_STATUS=MR","FA_ADJUSTED=GAAP","Fill=—")</f>
        <v>19.060746523542328</v>
      </c>
      <c r="V9" s="21">
        <f>_xll.BDP("AAL US Equity","EBITDA_TO_REVENUE","EQY_FUND_YEAR=2016","FUND_PER=C1","EQY_FUND_CRNCY=USD","FILING_STATUS=MR","FA_ADJUSTED=GAAP","Fill=—")</f>
        <v>18.632750397456281</v>
      </c>
      <c r="W9" s="21">
        <f>_xll.BDP("AAL US Equity","EBITDA_TO_REVENUE","EQY_FUND_YEAR=2016","FUND_PER=C2","EQY_FUND_CRNCY=USD","FILING_STATUS=MR","FA_ADJUSTED=GAAP","Fill=—")</f>
        <v>19.981816345085363</v>
      </c>
      <c r="X9" s="21">
        <f>_xll.BDP("AAL US Equity","EBITDA_TO_REVENUE","EQY_FUND_YEAR=2016","FUND_PER=C3","EQY_FUND_CRNCY=USD","FILING_STATUS=MR","FA_ADJUSTED=GAAP","Fill=—")</f>
        <v>19.291895626994833</v>
      </c>
      <c r="Y9" s="21">
        <f>_xll.BDP("AAL US Equity","EBITDA_TO_REVENUE","EQY_FUND_YEAR=2016","FUND_PER=C4","EQY_FUND_CRNCY=USD","FILING_STATUS=MR","FA_ADJUSTED=GAAP","Fill=—")</f>
        <v>17.67546042807367</v>
      </c>
      <c r="Z9" s="21">
        <f>_xll.BDP("AAL US Equity","EBITDA_TO_REVENUE","EQY_FUND_YEAR=2017","FUND_PER=C1","EQY_FUND_CRNCY=USD","FILING_STATUS=MR","FA_ADJUSTED=GAAP","Fill=—")</f>
        <v>12.433808553971486</v>
      </c>
      <c r="AA9" s="21">
        <f>_xll.BDP("AAL US Equity","EBITDA_TO_REVENUE","EQY_FUND_YEAR=2017","FUND_PER=C2","EQY_FUND_CRNCY=USD","FILING_STATUS=MR","FA_ADJUSTED=GAAP","Fill=—")</f>
        <v>15.750463248919086</v>
      </c>
      <c r="AB9" s="21">
        <f>_xll.BDP("AAL US Equity","EBITDA_TO_REVENUE","EQY_FUND_YEAR=2017","FUND_PER=C3","EQY_FUND_CRNCY=USD","FILING_STATUS=MR","FA_ADJUSTED=GAAP","Fill=—")</f>
        <v>15.87579269626066</v>
      </c>
      <c r="AC9" s="21">
        <f>_xll.BDP("AAL US Equity","EBITDA_TO_REVENUE","EQY_FUND_YEAR=2017","FUND_PER=C4","EQY_FUND_CRNCY=USD","FILING_STATUS=MR","FA_ADJUSTED=GAAP","Fill=—")</f>
        <v>14.659096241377693</v>
      </c>
      <c r="AD9" s="21">
        <f>_xll.BDP("AAL US Equity","EBITDA_TO_REVENUE","EQY_FUND_YEAR=2018","FUND_PER=C1","EQY_FUND_CRNCY=USD","FILING_STATUS=MR","FA_ADJUSTED=GAAP","Fill=—")</f>
        <v>8.0376886837804058</v>
      </c>
      <c r="AE9" s="21">
        <f>_xll.BDP("AAL US Equity","EBITDA_TO_REVENUE","EQY_FUND_YEAR=2018","FUND_PER=C2","EQY_FUND_CRNCY=USD","FILING_STATUS=MR","FA_ADJUSTED=GAAP","Fill=—")</f>
        <v>11.173108328796951</v>
      </c>
      <c r="AF9" s="21">
        <f>_xll.BDP("AAL US Equity","EBITDA_TO_REVENUE","EQY_FUND_YEAR=2018","FUND_PER=C3","EQY_FUND_CRNCY=USD","FILING_STATUS=MR","FA_ADJUSTED=GAAP","Fill=—")</f>
        <v>10.987114245751869</v>
      </c>
      <c r="AG9" s="21">
        <f>_xll.BDP("AAL US Equity","EBITDA_TO_REVENUE","EQY_FUND_YEAR=2018","FUND_PER=C4","EQY_FUND_CRNCY=USD","FILING_STATUS=MR","FA_ADJUSTED=GAAP","Fill=—")</f>
        <v>15.09171325295795</v>
      </c>
      <c r="AH9" s="21">
        <f>_xll.BDP("AAL US Equity","EBITDA_TO_REVENUE","EQY_FUND_YEAR=2019","FUND_PER=C1","EQY_FUND_CRNCY=USD","FILING_STATUS=MR","FA_ADJUSTED=GAAP","Fill=—")</f>
        <v>8.0782312925170068</v>
      </c>
      <c r="AI9" s="21">
        <f>_xll.BDP("AAL US Equity","EBITDA_TO_REVENUE","EQY_FUND_YEAR=2019","FUND_PER=C2","EQY_FUND_CRNCY=USD","FILING_STATUS=MR","FA_ADJUSTED=GAAP","Fill=—")</f>
        <v>12.224982256919802</v>
      </c>
      <c r="AJ9" s="21">
        <f>_xll.BDP("AAL US Equity","EBITDA_TO_REVENUE","EQY_FUND_YEAR=2019","FUND_PER=C3","EQY_FUND_CRNCY=USD","FILING_STATUS=MR","FA_ADJUSTED=GAAP","Fill=—")</f>
        <v>11.757364678566246</v>
      </c>
      <c r="AK9" s="21">
        <f>_xll.BDP("AAL US Equity","EBITDA_TO_REVENUE","EQY_FUND_YEAR=2019","FUND_PER=C4","EQY_FUND_CRNCY=USD","FILING_STATUS=MR","FA_ADJUSTED=GAAP","Fill=—")</f>
        <v>16.190351337178814</v>
      </c>
      <c r="AL9" s="21">
        <f>_xll.BDP("AAL US Equity","EBITDA_TO_REVENUE","EQY_FUND_YEAR=2020","FUND_PER=C1","EQY_FUND_CRNCY=USD","FILING_STATUS=MR","FA_ADJUSTED=GAAP","Fill=—")</f>
        <v>-22.384028185554904</v>
      </c>
      <c r="AM9" s="21">
        <f>_xll.BDP("AAL US Equity","EBITDA_TO_REVENUE","EQY_FUND_YEAR=2020","FUND_PER=C2","EQY_FUND_CRNCY=USD","FILING_STATUS=MR","FA_ADJUSTED=GAAP","Fill=—")</f>
        <v>-37.555489789878663</v>
      </c>
      <c r="AN9" s="21">
        <f>_xll.BDP("AAL US Equity","EBITDA_TO_REVENUE","EQY_FUND_YEAR=2020","FUND_PER=C3","EQY_FUND_CRNCY=USD","FILING_STATUS=MR","FA_ADJUSTED=GAAP","Fill=—")</f>
        <v>-45.848673829739269</v>
      </c>
      <c r="AO9" s="21">
        <f>_xll.BDP("AAL US Equity","EBITDA_TO_REVENUE","EQY_FUND_YEAR=2020","FUND_PER=C4","EQY_FUND_CRNCY=USD","FILING_STATUS=MR","FA_ADJUSTED=GAAP","Fill=—")</f>
        <v>-35.150256676472289</v>
      </c>
      <c r="AP9" s="21">
        <f>_xll.BDP("AAL US Equity","EBITDA_TO_REVENUE","EQY_FUND_YEAR=2021","FUND_PER=C1","EQY_FUND_CRNCY=USD","FILING_STATUS=MR","FA_ADJUSTED=GAAP","Fill=—")</f>
        <v>-18.862275449101794</v>
      </c>
    </row>
    <row r="10" spans="1:42" x14ac:dyDescent="0.25">
      <c r="A10" s="6" t="s">
        <v>96</v>
      </c>
      <c r="B10" s="6" t="s">
        <v>95</v>
      </c>
      <c r="C10" s="23">
        <v>-50.255706874657001</v>
      </c>
      <c r="D10" s="23">
        <v>-52.148292607587102</v>
      </c>
      <c r="E10" s="23">
        <v>-96.766360464288297</v>
      </c>
      <c r="F10" s="23">
        <v>256.19085823077398</v>
      </c>
      <c r="G10" s="23">
        <v>129.72469589080799</v>
      </c>
      <c r="H10" s="23">
        <v>54.0037183597153</v>
      </c>
      <c r="I10" s="23">
        <v>2189.8230932981</v>
      </c>
      <c r="J10" s="23">
        <v>83.525699435805393</v>
      </c>
      <c r="K10" s="23">
        <v>86.778248340777594</v>
      </c>
      <c r="L10" s="23">
        <v>124.20924469716201</v>
      </c>
      <c r="M10" s="23">
        <v>93.312444875007998</v>
      </c>
      <c r="N10" s="23">
        <v>109.783749927382</v>
      </c>
      <c r="O10" s="23">
        <v>55.943835572551599</v>
      </c>
      <c r="P10" s="23">
        <v>32.797815212488103</v>
      </c>
      <c r="Q10" s="23">
        <v>49.357991137553597</v>
      </c>
      <c r="R10" s="23">
        <v>50.418189872534398</v>
      </c>
      <c r="S10" s="23">
        <v>42.366203264805399</v>
      </c>
      <c r="T10" s="23">
        <v>45.711568855901298</v>
      </c>
      <c r="U10" s="23">
        <v>41.086575723919303</v>
      </c>
      <c r="V10" s="23">
        <v>13.5881139627226</v>
      </c>
      <c r="W10" s="23">
        <v>4.8537687857079801</v>
      </c>
      <c r="X10" s="23">
        <v>-4.5148599179116298</v>
      </c>
      <c r="Y10" s="23">
        <v>-7.2677476911056997</v>
      </c>
      <c r="Z10" s="23">
        <v>-33.269061196012402</v>
      </c>
      <c r="AA10" s="23">
        <v>-21.176018235779999</v>
      </c>
      <c r="AB10" s="23">
        <v>-17.707450838424599</v>
      </c>
      <c r="AC10" s="23">
        <v>-17.0652644966524</v>
      </c>
      <c r="AD10" s="23">
        <v>-35.356180877476902</v>
      </c>
      <c r="AE10" s="23">
        <v>-29.061717106347899</v>
      </c>
      <c r="AF10" s="23">
        <v>-30.793290136751001</v>
      </c>
      <c r="AG10" s="23">
        <v>2.9511847115265502</v>
      </c>
      <c r="AH10" s="23">
        <v>0.50439871460565699</v>
      </c>
      <c r="AI10" s="23">
        <v>9.4143366375765893</v>
      </c>
      <c r="AJ10" s="23">
        <v>7.0104942935879304</v>
      </c>
      <c r="AK10" s="23">
        <v>7.2797435254699003</v>
      </c>
      <c r="AL10" s="23" t="s">
        <v>97</v>
      </c>
      <c r="AM10" s="23" t="s">
        <v>97</v>
      </c>
      <c r="AN10" s="23" t="s">
        <v>97</v>
      </c>
      <c r="AO10" s="23" t="s">
        <v>97</v>
      </c>
      <c r="AP10" s="23">
        <v>15.7333300333613</v>
      </c>
    </row>
    <row r="11" spans="1:42" x14ac:dyDescent="0.25">
      <c r="A11" s="8" t="s">
        <v>98</v>
      </c>
      <c r="B11" s="8" t="s">
        <v>99</v>
      </c>
      <c r="C11" s="21">
        <f>_xll.BDP("AAL US Equity","OPER_MARGIN","EQY_FUND_YEAR=2011","FUND_PER=C2","EQY_FUND_CRNCY=USD","FILING_STATUS=MR","FA_ADJUSTED=GAAP","Fill=—")</f>
        <v>-2.6530437022409203</v>
      </c>
      <c r="D11" s="21">
        <f>_xll.BDP("AAL US Equity","OPER_MARGIN","EQY_FUND_YEAR=2011","FUND_PER=C3","EQY_FUND_CRNCY=USD","FILING_STATUS=MR","FA_ADJUSTED=GAAP","Fill=—")</f>
        <v>-1.4980857792820286</v>
      </c>
      <c r="E11" s="21">
        <f>_xll.BDP("AAL US Equity","OPER_MARGIN","EQY_FUND_YEAR=2011","FUND_PER=C4","EQY_FUND_CRNCY=USD","FILING_STATUS=MR","FA_ADJUSTED=GAAP","Fill=—")</f>
        <v>-4.3246173735351761</v>
      </c>
      <c r="F11" s="21">
        <f>_xll.BDP("AAL US Equity","OPER_MARGIN","EQY_FUND_YEAR=2012","FUND_PER=C1","EQY_FUND_CRNCY=USD","FILING_STATUS=MR","FA_ADJUSTED=GAAP","Fill=—")</f>
        <v>-1.4742421732648665</v>
      </c>
      <c r="G11" s="21">
        <f>_xll.BDP("AAL US Equity","OPER_MARGIN","EQY_FUND_YEAR=2012","FUND_PER=C2","EQY_FUND_CRNCY=USD","FILING_STATUS=MR","FA_ADJUSTED=GAAP","Fill=—")</f>
        <v>0.42433947157726182</v>
      </c>
      <c r="H11" s="21">
        <f>_xll.BDP("AAL US Equity","OPER_MARGIN","EQY_FUND_YEAR=2012","FUND_PER=C3","EQY_FUND_CRNCY=USD","FILING_STATUS=MR","FA_ADJUSTED=GAAP","Fill=—")</f>
        <v>0.54974098741938893</v>
      </c>
      <c r="I11" s="21">
        <f>_xll.BDP("AAL US Equity","OPER_MARGIN","EQY_FUND_YEAR=2012","FUND_PER=C4","EQY_FUND_CRNCY=USD","FILING_STATUS=MR","FA_ADJUSTED=GAAP","Fill=—")</f>
        <v>0.59545363106014892</v>
      </c>
      <c r="J11" s="21">
        <f>_xll.BDP("AAL US Equity","OPER_MARGIN","EQY_FUND_YEAR=2013","FUND_PER=C1","EQY_FUND_CRNCY=USD","FILING_STATUS=MR","FA_ADJUSTED=GAAP","Fill=—")</f>
        <v>1.164316169235815</v>
      </c>
      <c r="K11" s="21">
        <f>_xll.BDP("AAL US Equity","OPER_MARGIN","EQY_FUND_YEAR=2013","FUND_PER=C2","EQY_FUND_CRNCY=USD","FILING_STATUS=MR","FA_ADJUSTED=GAAP","Fill=—")</f>
        <v>4.6465290507691082</v>
      </c>
      <c r="L11" s="21">
        <f>_xll.BDP("AAL US Equity","OPER_MARGIN","EQY_FUND_YEAR=2013","FUND_PER=C3","EQY_FUND_CRNCY=USD","FILING_STATUS=MR","FA_ADJUSTED=GAAP","Fill=—")</f>
        <v>6.6270967741935483</v>
      </c>
      <c r="M11" s="21">
        <f>_xll.BDP("AAL US Equity","OPER_MARGIN","EQY_FUND_YEAR=2013","FUND_PER=C4","EQY_FUND_CRNCY=USD","FILING_STATUS=MR","FA_ADJUSTED=GAAP","Fill=—")</f>
        <v>5.2312754739558018</v>
      </c>
      <c r="N11" s="21">
        <f>_xll.BDP("AAL US Equity","OPER_MARGIN","EQY_FUND_YEAR=2014","FUND_PER=C1","EQY_FUND_CRNCY=USD","FILING_STATUS=MR","FA_ADJUSTED=GAAP","Fill=—")</f>
        <v>7.3036518259129561</v>
      </c>
      <c r="O11" s="21">
        <f>_xll.BDP("AAL US Equity","OPER_MARGIN","EQY_FUND_YEAR=2014","FUND_PER=C2","EQY_FUND_CRNCY=USD","FILING_STATUS=MR","FA_ADJUSTED=GAAP","Fill=—")</f>
        <v>9.9714299096061065</v>
      </c>
      <c r="P11" s="21">
        <f>_xll.BDP("AAL US Equity","OPER_MARGIN","EQY_FUND_YEAR=2014","FUND_PER=C3","EQY_FUND_CRNCY=USD","FILING_STATUS=MR","FA_ADJUSTED=GAAP","Fill=—")</f>
        <v>10.430901815943368</v>
      </c>
      <c r="Q11" s="21">
        <f>_xll.BDP("AAL US Equity","OPER_MARGIN","EQY_FUND_YEAR=2014","FUND_PER=C4","EQY_FUND_CRNCY=USD","FILING_STATUS=MR","FA_ADJUSTED=GAAP","Fill=—")</f>
        <v>9.9624853458382177</v>
      </c>
      <c r="R11" s="21">
        <f>_xll.BDP("AAL US Equity","OPER_MARGIN","EQY_FUND_YEAR=2015","FUND_PER=C1","EQY_FUND_CRNCY=USD","FILING_STATUS=MR","FA_ADJUSTED=GAAP","Fill=—")</f>
        <v>12.374071435840033</v>
      </c>
      <c r="S11" s="21">
        <f>_xll.BDP("AAL US Equity","OPER_MARGIN","EQY_FUND_YEAR=2015","FUND_PER=C2","EQY_FUND_CRNCY=USD","FILING_STATUS=MR","FA_ADJUSTED=GAAP","Fill=—")</f>
        <v>15.188341241406022</v>
      </c>
      <c r="T11" s="21">
        <f>_xll.BDP("AAL US Equity","OPER_MARGIN","EQY_FUND_YEAR=2015","FUND_PER=C3","EQY_FUND_CRNCY=USD","FILING_STATUS=MR","FA_ADJUSTED=GAAP","Fill=—")</f>
        <v>16.377551020408163</v>
      </c>
      <c r="U11" s="21">
        <f>_xll.BDP("AAL US Equity","OPER_MARGIN","EQY_FUND_YEAR=2015","FUND_PER=C4","EQY_FUND_CRNCY=USD","FILING_STATUS=MR","FA_ADJUSTED=GAAP","Fill=—")</f>
        <v>15.135398877775067</v>
      </c>
      <c r="V11" s="21">
        <f>_xll.BDP("AAL US Equity","OPER_MARGIN","EQY_FUND_YEAR=2016","FUND_PER=C1","EQY_FUND_CRNCY=USD","FILING_STATUS=MR","FA_ADJUSTED=GAAP","Fill=—")</f>
        <v>14.149443561208267</v>
      </c>
      <c r="W11" s="21">
        <f>_xll.BDP("AAL US Equity","OPER_MARGIN","EQY_FUND_YEAR=2016","FUND_PER=C2","EQY_FUND_CRNCY=USD","FILING_STATUS=MR","FA_ADJUSTED=GAAP","Fill=—")</f>
        <v>15.59248408930195</v>
      </c>
      <c r="X11" s="21">
        <f>_xll.BDP("AAL US Equity","OPER_MARGIN","EQY_FUND_YEAR=2016","FUND_PER=C3","EQY_FUND_CRNCY=USD","FILING_STATUS=MR","FA_ADJUSTED=GAAP","Fill=—")</f>
        <v>14.862952847882596</v>
      </c>
      <c r="Y11" s="21">
        <f>_xll.BDP("AAL US Equity","OPER_MARGIN","EQY_FUND_YEAR=2016","FUND_PER=C4","EQY_FUND_CRNCY=USD","FILING_STATUS=MR","FA_ADJUSTED=GAAP","Fill=—")</f>
        <v>13.150821304131407</v>
      </c>
      <c r="Z11" s="21">
        <f>_xll.BDP("AAL US Equity","OPER_MARGIN","EQY_FUND_YEAR=2017","FUND_PER=C1","EQY_FUND_CRNCY=USD","FILING_STATUS=MR","FA_ADJUSTED=GAAP","Fill=—")</f>
        <v>7.505091649694501</v>
      </c>
      <c r="AA11" s="21">
        <f>_xll.BDP("AAL US Equity","OPER_MARGIN","EQY_FUND_YEAR=2017","FUND_PER=C2","EQY_FUND_CRNCY=USD","FILING_STATUS=MR","FA_ADJUSTED=GAAP","Fill=—")</f>
        <v>11.098968974200599</v>
      </c>
      <c r="AB11" s="21">
        <f>_xll.BDP("AAL US Equity","OPER_MARGIN","EQY_FUND_YEAR=2017","FUND_PER=C3","EQY_FUND_CRNCY=USD","FILING_STATUS=MR","FA_ADJUSTED=GAAP","Fill=—")</f>
        <v>11.221142732185811</v>
      </c>
      <c r="AC11" s="21">
        <f>_xll.BDP("AAL US Equity","OPER_MARGIN","EQY_FUND_YEAR=2017","FUND_PER=C4","EQY_FUND_CRNCY=USD","FILING_STATUS=MR","FA_ADJUSTED=GAAP","Fill=—")</f>
        <v>9.9267983670404956</v>
      </c>
      <c r="AD11" s="21">
        <f>_xll.BDP("AAL US Equity","OPER_MARGIN","EQY_FUND_YEAR=2018","FUND_PER=C1","EQY_FUND_CRNCY=USD","FILING_STATUS=MR","FA_ADJUSTED=GAAP","Fill=—")</f>
        <v>3.8073262186328241</v>
      </c>
      <c r="AE11" s="21">
        <f>_xll.BDP("AAL US Equity","OPER_MARGIN","EQY_FUND_YEAR=2018","FUND_PER=C2","EQY_FUND_CRNCY=USD","FILING_STATUS=MR","FA_ADJUSTED=GAAP","Fill=—")</f>
        <v>6.3509344946470687</v>
      </c>
      <c r="AF11" s="21">
        <f>_xll.BDP("AAL US Equity","OPER_MARGIN","EQY_FUND_YEAR=2018","FUND_PER=C3","EQY_FUND_CRNCY=USD","FILING_STATUS=MR","FA_ADJUSTED=GAAP","Fill=—")</f>
        <v>6.204803142576556</v>
      </c>
      <c r="AG11" s="21">
        <f>_xll.BDP("AAL US Equity","OPER_MARGIN","EQY_FUND_YEAR=2018","FUND_PER=C4","EQY_FUND_CRNCY=USD","FILING_STATUS=MR","FA_ADJUSTED=GAAP","Fill=—")</f>
        <v>5.9630452841202493</v>
      </c>
      <c r="AH11" s="21">
        <f>_xll.BDP("AAL US Equity","OPER_MARGIN","EQY_FUND_YEAR=2019","FUND_PER=C1","EQY_FUND_CRNCY=USD","FILING_STATUS=MR","FA_ADJUSTED=GAAP","Fill=—")</f>
        <v>3.5430839002267573</v>
      </c>
      <c r="AI11" s="21">
        <f>_xll.BDP("AAL US Equity","OPER_MARGIN","EQY_FUND_YEAR=2019","FUND_PER=C2","EQY_FUND_CRNCY=USD","FILING_STATUS=MR","FA_ADJUSTED=GAAP","Fill=—")</f>
        <v>6.7778566359119941</v>
      </c>
      <c r="AJ11" s="21">
        <f>_xll.BDP("AAL US Equity","OPER_MARGIN","EQY_FUND_YEAR=2019","FUND_PER=C3","EQY_FUND_CRNCY=USD","FILING_STATUS=MR","FA_ADJUSTED=GAAP","Fill=—")</f>
        <v>6.7798577855173416</v>
      </c>
      <c r="AK11" s="21">
        <f>_xll.BDP("AAL US Equity","OPER_MARGIN","EQY_FUND_YEAR=2019","FUND_PER=C4","EQY_FUND_CRNCY=USD","FILING_STATUS=MR","FA_ADJUSTED=GAAP","Fill=—")</f>
        <v>6.6968187379828699</v>
      </c>
      <c r="AL11" s="21">
        <f>_xll.BDP("AAL US Equity","OPER_MARGIN","EQY_FUND_YEAR=2020","FUND_PER=C1","EQY_FUND_CRNCY=USD","FILING_STATUS=MR","FA_ADJUSTED=GAAP","Fill=—")</f>
        <v>-29.935408103347033</v>
      </c>
      <c r="AM11" s="21">
        <f>_xll.BDP("AAL US Equity","OPER_MARGIN","EQY_FUND_YEAR=2020","FUND_PER=C2","EQY_FUND_CRNCY=USD","FILING_STATUS=MR","FA_ADJUSTED=GAAP","Fill=—")</f>
        <v>-49.659662622077541</v>
      </c>
      <c r="AN11" s="21">
        <f>_xll.BDP("AAL US Equity","OPER_MARGIN","EQY_FUND_YEAR=2020","FUND_PER=C3","EQY_FUND_CRNCY=USD","FILING_STATUS=MR","FA_ADJUSTED=GAAP","Fill=—")</f>
        <v>-59.403411225486515</v>
      </c>
      <c r="AO11" s="21">
        <f>_xll.BDP("AAL US Equity","OPER_MARGIN","EQY_FUND_YEAR=2020","FUND_PER=C4","EQY_FUND_CRNCY=USD","FILING_STATUS=MR","FA_ADJUSTED=GAAP","Fill=—")</f>
        <v>-60.108438599527027</v>
      </c>
      <c r="AP11" s="21">
        <f>_xll.BDP("AAL US Equity","OPER_MARGIN","EQY_FUND_YEAR=2021","FUND_PER=C1","EQY_FUND_CRNCY=USD","FILING_STATUS=MR","FA_ADJUSTED=GAAP","Fill=—")</f>
        <v>-32.809381237524946</v>
      </c>
    </row>
    <row r="12" spans="1:42" x14ac:dyDescent="0.25">
      <c r="A12" s="8" t="s">
        <v>106</v>
      </c>
      <c r="B12" s="8" t="s">
        <v>107</v>
      </c>
      <c r="C12" s="21">
        <f>_xll.BDP("AAL US Equity","PROF_MARGIN","EQY_FUND_YEAR=2011","FUND_PER=C2","EQY_FUND_CRNCY=USD","FILING_STATUS=MR","FA_ADJUSTED=GAAP","Fill=—")</f>
        <v>-6.1990212071778146</v>
      </c>
      <c r="D12" s="21">
        <f>_xll.BDP("AAL US Equity","PROF_MARGIN","EQY_FUND_YEAR=2011","FUND_PER=C3","EQY_FUND_CRNCY=USD","FILING_STATUS=MR","FA_ADJUSTED=GAAP","Fill=—")</f>
        <v>-4.9048438106863452</v>
      </c>
      <c r="E12" s="21">
        <f>_xll.BDP("AAL US Equity","PROF_MARGIN","EQY_FUND_YEAR=2011","FUND_PER=C4","EQY_FUND_CRNCY=USD","FILING_STATUS=MR","FA_ADJUSTED=GAAP","Fill=—")</f>
        <v>-8.2530547562450476</v>
      </c>
      <c r="F12" s="21">
        <f>_xll.BDP("AAL US Equity","PROF_MARGIN","EQY_FUND_YEAR=2012","FUND_PER=C1","EQY_FUND_CRNCY=USD","FILING_STATUS=MR","FA_ADJUSTED=GAAP","Fill=—")</f>
        <v>-27.497101209209873</v>
      </c>
      <c r="G12" s="21">
        <f>_xll.BDP("AAL US Equity","PROF_MARGIN","EQY_FUND_YEAR=2012","FUND_PER=C2","EQY_FUND_CRNCY=USD","FILING_STATUS=MR","FA_ADJUSTED=GAAP","Fill=—")</f>
        <v>-15.212169735788631</v>
      </c>
      <c r="H12" s="21">
        <f>_xll.BDP("AAL US Equity","PROF_MARGIN","EQY_FUND_YEAR=2012","FUND_PER=C3","EQY_FUND_CRNCY=USD","FILING_STATUS=MR","FA_ADJUSTED=GAAP","Fill=—")</f>
        <v>-11.306692039327624</v>
      </c>
      <c r="I12" s="21">
        <f>_xll.BDP("AAL US Equity","PROF_MARGIN","EQY_FUND_YEAR=2012","FUND_PER=C4","EQY_FUND_CRNCY=USD","FILING_STATUS=MR","FA_ADJUSTED=GAAP","Fill=—")</f>
        <v>-7.5477771072218864</v>
      </c>
      <c r="J12" s="21">
        <f>_xll.BDP("AAL US Equity","PROF_MARGIN","EQY_FUND_YEAR=2013","FUND_PER=C1","EQY_FUND_CRNCY=USD","FILING_STATUS=MR","FA_ADJUSTED=GAAP","Fill=—")</f>
        <v>-5.5919973761889148</v>
      </c>
      <c r="K12" s="21">
        <f>_xll.BDP("AAL US Equity","PROF_MARGIN","EQY_FUND_YEAR=2013","FUND_PER=C2","EQY_FUND_CRNCY=USD","FILING_STATUS=MR","FA_ADJUSTED=GAAP","Fill=—")</f>
        <v>-0.97234398661034516</v>
      </c>
      <c r="L12" s="21">
        <f>_xll.BDP("AAL US Equity","PROF_MARGIN","EQY_FUND_YEAR=2013","FUND_PER=C3","EQY_FUND_CRNCY=USD","FILING_STATUS=MR","FA_ADJUSTED=GAAP","Fill=—")</f>
        <v>0.86193548387096774</v>
      </c>
      <c r="M12" s="21">
        <f>_xll.BDP("AAL US Equity","PROF_MARGIN","EQY_FUND_YEAR=2013","FUND_PER=C4","EQY_FUND_CRNCY=USD","FILING_STATUS=MR","FA_ADJUSTED=GAAP","Fill=—")</f>
        <v>-6.8578693489885199</v>
      </c>
      <c r="N12" s="21">
        <f>_xll.BDP("AAL US Equity","PROF_MARGIN","EQY_FUND_YEAR=2014","FUND_PER=C1","EQY_FUND_CRNCY=USD","FILING_STATUS=MR","FA_ADJUSTED=GAAP","Fill=—")</f>
        <v>4.8024012006003005</v>
      </c>
      <c r="O12" s="21">
        <f>_xll.BDP("AAL US Equity","PROF_MARGIN","EQY_FUND_YEAR=2014","FUND_PER=C2","EQY_FUND_CRNCY=USD","FILING_STATUS=MR","FA_ADJUSTED=GAAP","Fill=—")</f>
        <v>6.2901035080324101</v>
      </c>
      <c r="P12" s="21">
        <f>_xll.BDP("AAL US Equity","PROF_MARGIN","EQY_FUND_YEAR=2014","FUND_PER=C3","EQY_FUND_CRNCY=USD","FILING_STATUS=MR","FA_ADJUSTED=GAAP","Fill=—")</f>
        <v>7.0329332102185287</v>
      </c>
      <c r="Q12" s="21">
        <f>_xll.BDP("AAL US Equity","PROF_MARGIN","EQY_FUND_YEAR=2014","FUND_PER=C4","EQY_FUND_CRNCY=USD","FILING_STATUS=MR","FA_ADJUSTED=GAAP","Fill=—")</f>
        <v>6.757327080890974</v>
      </c>
      <c r="R12" s="21">
        <f>_xll.BDP("AAL US Equity","PROF_MARGIN","EQY_FUND_YEAR=2015","FUND_PER=C1","EQY_FUND_CRNCY=USD","FILING_STATUS=MR","FA_ADJUSTED=GAAP","Fill=—")</f>
        <v>9.4840744886537092</v>
      </c>
      <c r="S12" s="21">
        <f>_xll.BDP("AAL US Equity","PROF_MARGIN","EQY_FUND_YEAR=2015","FUND_PER=C2","EQY_FUND_CRNCY=USD","FILING_STATUS=MR","FA_ADJUSTED=GAAP","Fill=—")</f>
        <v>12.76266098576547</v>
      </c>
      <c r="T12" s="21">
        <f>_xll.BDP("AAL US Equity","PROF_MARGIN","EQY_FUND_YEAR=2015","FUND_PER=C3","EQY_FUND_CRNCY=USD","FILING_STATUS=MR","FA_ADJUSTED=GAAP","Fill=—")</f>
        <v>13.804209183673469</v>
      </c>
      <c r="U12" s="21">
        <f>_xll.BDP("AAL US Equity","PROF_MARGIN","EQY_FUND_YEAR=2015","FUND_PER=C4","EQY_FUND_CRNCY=USD","FILING_STATUS=MR","FA_ADJUSTED=GAAP","Fill=—")</f>
        <v>18.565503781410101</v>
      </c>
      <c r="V12" s="21">
        <f>_xll.BDP("AAL US Equity","PROF_MARGIN","EQY_FUND_YEAR=2016","FUND_PER=C1","EQY_FUND_CRNCY=USD","FILING_STATUS=MR","FA_ADJUSTED=GAAP","Fill=—")</f>
        <v>7.4191838897721256</v>
      </c>
      <c r="W12" s="21">
        <f>_xll.BDP("AAL US Equity","PROF_MARGIN","EQY_FUND_YEAR=2016","FUND_PER=C2","EQY_FUND_CRNCY=USD","FILING_STATUS=MR","FA_ADJUSTED=GAAP","Fill=—")</f>
        <v>8.3341751692090114</v>
      </c>
      <c r="X12" s="21">
        <f>_xll.BDP("AAL US Equity","PROF_MARGIN","EQY_FUND_YEAR=2016","FUND_PER=C3","EQY_FUND_CRNCY=USD","FILING_STATUS=MR","FA_ADJUSTED=GAAP","Fill=—")</f>
        <v>7.8542989700898289</v>
      </c>
      <c r="Y12" s="21">
        <f>_xll.BDP("AAL US Equity","PROF_MARGIN","EQY_FUND_YEAR=2016","FUND_PER=C4","EQY_FUND_CRNCY=USD","FILING_STATUS=MR","FA_ADJUSTED=GAAP","Fill=—")</f>
        <v>6.6600298656047787</v>
      </c>
      <c r="Z12" s="21">
        <f>_xll.BDP("AAL US Equity","PROF_MARGIN","EQY_FUND_YEAR=2017","FUND_PER=C1","EQY_FUND_CRNCY=USD","FILING_STATUS=MR","FA_ADJUSTED=GAAP","Fill=—")</f>
        <v>3.4623217922606928</v>
      </c>
      <c r="AA12" s="21">
        <f>_xll.BDP("AAL US Equity","PROF_MARGIN","EQY_FUND_YEAR=2017","FUND_PER=C2","EQY_FUND_CRNCY=USD","FILING_STATUS=MR","FA_ADJUSTED=GAAP","Fill=—")</f>
        <v>5.7205302418396924</v>
      </c>
      <c r="AB12" s="21">
        <f>_xll.BDP("AAL US Equity","PROF_MARGIN","EQY_FUND_YEAR=2017","FUND_PER=C3","EQY_FUND_CRNCY=USD","FILING_STATUS=MR","FA_ADJUSTED=GAAP","Fill=—")</f>
        <v>5.8261222704695266</v>
      </c>
      <c r="AC12" s="21">
        <f>_xll.BDP("AAL US Equity","PROF_MARGIN","EQY_FUND_YEAR=2017","FUND_PER=C4","EQY_FUND_CRNCY=USD","FILING_STATUS=MR","FA_ADJUSTED=GAAP","Fill=—")</f>
        <v>3.0078363286565621</v>
      </c>
      <c r="AD12" s="21">
        <f>_xll.BDP("AAL US Equity","PROF_MARGIN","EQY_FUND_YEAR=2018","FUND_PER=C1","EQY_FUND_CRNCY=USD","FILING_STATUS=MR","FA_ADJUSTED=GAAP","Fill=—")</f>
        <v>1.5286991635419671</v>
      </c>
      <c r="AE12" s="21">
        <f>_xll.BDP("AAL US Equity","PROF_MARGIN","EQY_FUND_YEAR=2018","FUND_PER=C2","EQY_FUND_CRNCY=USD","FILING_STATUS=MR","FA_ADJUSTED=GAAP","Fill=—")</f>
        <v>3.2480493558337868</v>
      </c>
      <c r="AF12" s="21">
        <f>_xll.BDP("AAL US Equity","PROF_MARGIN","EQY_FUND_YEAR=2018","FUND_PER=C3","EQY_FUND_CRNCY=USD","FILING_STATUS=MR","FA_ADJUSTED=GAAP","Fill=—")</f>
        <v>3.2378061482605718</v>
      </c>
      <c r="AG12" s="21">
        <f>_xll.BDP("AAL US Equity","PROF_MARGIN","EQY_FUND_YEAR=2018","FUND_PER=C4","EQY_FUND_CRNCY=USD","FILING_STATUS=MR","FA_ADJUSTED=GAAP","Fill=—")</f>
        <v>3.1701129296603132</v>
      </c>
      <c r="AH12" s="21">
        <f>_xll.BDP("AAL US Equity","PROF_MARGIN","EQY_FUND_YEAR=2019","FUND_PER=C1","EQY_FUND_CRNCY=USD","FILING_STATUS=MR","FA_ADJUSTED=GAAP","Fill=—")</f>
        <v>1.7479213907785336</v>
      </c>
      <c r="AI12" s="21">
        <f>_xll.BDP("AAL US Equity","PROF_MARGIN","EQY_FUND_YEAR=2019","FUND_PER=C2","EQY_FUND_CRNCY=USD","FILING_STATUS=MR","FA_ADJUSTED=GAAP","Fill=—")</f>
        <v>3.7570972320794893</v>
      </c>
      <c r="AJ12" s="21">
        <f>_xll.BDP("AAL US Equity","PROF_MARGIN","EQY_FUND_YEAR=2019","FUND_PER=C3","EQY_FUND_CRNCY=USD","FILING_STATUS=MR","FA_ADJUSTED=GAAP","Fill=—")</f>
        <v>3.6917718763604701</v>
      </c>
      <c r="AK12" s="21">
        <f>_xll.BDP("AAL US Equity","PROF_MARGIN","EQY_FUND_YEAR=2019","FUND_PER=C4","EQY_FUND_CRNCY=USD","FILING_STATUS=MR","FA_ADJUSTED=GAAP","Fill=—")</f>
        <v>3.6837965390665963</v>
      </c>
      <c r="AL12" s="21">
        <f>_xll.BDP("AAL US Equity","PROF_MARGIN","EQY_FUND_YEAR=2020","FUND_PER=C1","EQY_FUND_CRNCY=USD","FILING_STATUS=MR","FA_ADJUSTED=GAAP","Fill=—")</f>
        <v>-26.318261890780974</v>
      </c>
      <c r="AM12" s="21">
        <f>_xll.BDP("AAL US Equity","PROF_MARGIN","EQY_FUND_YEAR=2020","FUND_PER=C2","EQY_FUND_CRNCY=USD","FILING_STATUS=MR","FA_ADJUSTED=GAAP","Fill=—")</f>
        <v>-42.497780408404857</v>
      </c>
      <c r="AN12" s="21">
        <f>_xll.BDP("AAL US Equity","PROF_MARGIN","EQY_FUND_YEAR=2020","FUND_PER=C3","EQY_FUND_CRNCY=USD","FILING_STATUS=MR","FA_ADJUSTED=GAAP","Fill=—")</f>
        <v>-50.394469907581339</v>
      </c>
      <c r="AO12" s="21">
        <f>_xll.BDP("AAL US Equity","PROF_MARGIN","EQY_FUND_YEAR=2020","FUND_PER=C4","EQY_FUND_CRNCY=USD","FILING_STATUS=MR","FA_ADJUSTED=GAAP","Fill=—")</f>
        <v>-51.248774297744703</v>
      </c>
      <c r="AP12" s="21">
        <f>_xll.BDP("AAL US Equity","PROF_MARGIN","EQY_FUND_YEAR=2021","FUND_PER=C1","EQY_FUND_CRNCY=USD","FILING_STATUS=MR","FA_ADJUSTED=GAAP","Fill=—")</f>
        <v>-31.187624750499005</v>
      </c>
    </row>
    <row r="13" spans="1:42" x14ac:dyDescent="0.25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</row>
    <row r="14" spans="1:42" x14ac:dyDescent="0.25">
      <c r="A14" s="7" t="s">
        <v>110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x14ac:dyDescent="0.25">
      <c r="A15" s="8" t="s">
        <v>111</v>
      </c>
      <c r="B15" s="8" t="s">
        <v>112</v>
      </c>
      <c r="C15" s="21" t="str">
        <f>_xll.BDP("AAL US Equity","EFF_TAX_RATE","EQY_FUND_YEAR=2011","FUND_PER=C2","EQY_FUND_CRNCY=USD","FILING_STATUS=MR","FA_ADJUSTED=GAAP","Fill=—")</f>
        <v>—</v>
      </c>
      <c r="D15" s="21" t="str">
        <f>_xll.BDP("AAL US Equity","EFF_TAX_RATE","EQY_FUND_YEAR=2011","FUND_PER=C3","EQY_FUND_CRNCY=USD","FILING_STATUS=MR","FA_ADJUSTED=GAAP","Fill=—")</f>
        <v>—</v>
      </c>
      <c r="E15" s="21" t="str">
        <f>_xll.BDP("AAL US Equity","EFF_TAX_RATE","EQY_FUND_YEAR=2011","FUND_PER=C4","EQY_FUND_CRNCY=USD","FILING_STATUS=MR","FA_ADJUSTED=GAAP","Fill=—")</f>
        <v>—</v>
      </c>
      <c r="F15" s="21" t="str">
        <f>_xll.BDP("AAL US Equity","EFF_TAX_RATE","EQY_FUND_YEAR=2012","FUND_PER=C1","EQY_FUND_CRNCY=USD","FILING_STATUS=MR","FA_ADJUSTED=GAAP","Fill=—")</f>
        <v>—</v>
      </c>
      <c r="G15" s="21" t="str">
        <f>_xll.BDP("AAL US Equity","EFF_TAX_RATE","EQY_FUND_YEAR=2012","FUND_PER=C2","EQY_FUND_CRNCY=USD","FILING_STATUS=MR","FA_ADJUSTED=GAAP","Fill=—")</f>
        <v>—</v>
      </c>
      <c r="H15" s="21" t="str">
        <f>_xll.BDP("AAL US Equity","EFF_TAX_RATE","EQY_FUND_YEAR=2012","FUND_PER=C3","EQY_FUND_CRNCY=USD","FILING_STATUS=MR","FA_ADJUSTED=GAAP","Fill=—")</f>
        <v>—</v>
      </c>
      <c r="I15" s="21" t="str">
        <f>_xll.BDP("AAL US Equity","EFF_TAX_RATE","EQY_FUND_YEAR=2012","FUND_PER=C4","EQY_FUND_CRNCY=USD","FILING_STATUS=MR","FA_ADJUSTED=GAAP","Fill=—")</f>
        <v>—</v>
      </c>
      <c r="J15" s="21" t="str">
        <f>_xll.BDP("AAL US Equity","EFF_TAX_RATE","EQY_FUND_YEAR=2013","FUND_PER=C1","EQY_FUND_CRNCY=USD","FILING_STATUS=MR","FA_ADJUSTED=GAAP","Fill=—")</f>
        <v>—</v>
      </c>
      <c r="K15" s="21" t="str">
        <f>_xll.BDP("AAL US Equity","EFF_TAX_RATE","EQY_FUND_YEAR=2013","FUND_PER=C2","EQY_FUND_CRNCY=USD","FILING_STATUS=MR","FA_ADJUSTED=GAAP","Fill=—")</f>
        <v>—</v>
      </c>
      <c r="L15" s="21" t="str">
        <f>_xll.BDP("AAL US Equity","EFF_TAX_RATE","EQY_FUND_YEAR=2013","FUND_PER=C3","EQY_FUND_CRNCY=USD","FILING_STATUS=MR","FA_ADJUSTED=GAAP","Fill=—")</f>
        <v>—</v>
      </c>
      <c r="M15" s="21" t="str">
        <f>_xll.BDP("AAL US Equity","EFF_TAX_RATE","EQY_FUND_YEAR=2013","FUND_PER=C4","EQY_FUND_CRNCY=USD","FILING_STATUS=MR","FA_ADJUSTED=GAAP","Fill=—")</f>
        <v>—</v>
      </c>
      <c r="N15" s="21">
        <f>_xll.BDP("AAL US Equity","EFF_TAX_RATE","EQY_FUND_YEAR=2014","FUND_PER=C1","EQY_FUND_CRNCY=USD","FILING_STATUS=MR","FA_ADJUSTED=GAAP","Fill=—")</f>
        <v>2.6369168356997972</v>
      </c>
      <c r="O15" s="21">
        <f>_xll.BDP("AAL US Equity","EFF_TAX_RATE","EQY_FUND_YEAR=2014","FUND_PER=C2","EQY_FUND_CRNCY=USD","FILING_STATUS=MR","FA_ADJUSTED=GAAP","Fill=—")</f>
        <v>20.813679245283019</v>
      </c>
      <c r="P15" s="21">
        <f>_xll.BDP("AAL US Equity","EFF_TAX_RATE","EQY_FUND_YEAR=2014","FUND_PER=C3","EQY_FUND_CRNCY=USD","FILING_STATUS=MR","FA_ADJUSTED=GAAP","Fill=—")</f>
        <v>13.610586011342155</v>
      </c>
      <c r="Q15" s="21">
        <f>_xll.BDP("AAL US Equity","EFF_TAX_RATE","EQY_FUND_YEAR=2014","FUND_PER=C4","EQY_FUND_CRNCY=USD","FILING_STATUS=MR","FA_ADJUSTED=GAAP","Fill=—")</f>
        <v>10.273972602739725</v>
      </c>
      <c r="R15" s="21">
        <f>_xll.BDP("AAL US Equity","EFF_TAX_RATE","EQY_FUND_YEAR=2015","FUND_PER=C1","EQY_FUND_CRNCY=USD","FILING_STATUS=MR","FA_ADJUSTED=GAAP","Fill=—")</f>
        <v>1.166489925768823</v>
      </c>
      <c r="S15" s="21">
        <f>_xll.BDP("AAL US Equity","EFF_TAX_RATE","EQY_FUND_YEAR=2015","FUND_PER=C2","EQY_FUND_CRNCY=USD","FILING_STATUS=MR","FA_ADJUSTED=GAAP","Fill=—")</f>
        <v>0.97670924117205116</v>
      </c>
      <c r="T15" s="21">
        <f>_xll.BDP("AAL US Equity","EFF_TAX_RATE","EQY_FUND_YEAR=2015","FUND_PER=C3","EQY_FUND_CRNCY=USD","FILING_STATUS=MR","FA_ADJUSTED=GAAP","Fill=—")</f>
        <v>0.96087851750171582</v>
      </c>
      <c r="U15" s="21" t="str">
        <f>_xll.BDP("AAL US Equity","EFF_TAX_RATE","EQY_FUND_YEAR=2015","FUND_PER=C4","EQY_FUND_CRNCY=USD","FILING_STATUS=MR","FA_ADJUSTED=GAAP","Fill=—")</f>
        <v>—</v>
      </c>
      <c r="V15" s="21">
        <f>_xll.BDP("AAL US Equity","EFF_TAX_RATE","EQY_FUND_YEAR=2016","FUND_PER=C1","EQY_FUND_CRNCY=USD","FILING_STATUS=MR","FA_ADJUSTED=GAAP","Fill=—")</f>
        <v>37.33213965980304</v>
      </c>
      <c r="W15" s="21">
        <f>_xll.BDP("AAL US Equity","EFF_TAX_RATE","EQY_FUND_YEAR=2016","FUND_PER=C2","EQY_FUND_CRNCY=USD","FILING_STATUS=MR","FA_ADJUSTED=GAAP","Fill=—")</f>
        <v>36.781609195402297</v>
      </c>
      <c r="X15" s="21">
        <f>_xll.BDP("AAL US Equity","EFF_TAX_RATE","EQY_FUND_YEAR=2016","FUND_PER=C3","EQY_FUND_CRNCY=USD","FILING_STATUS=MR","FA_ADJUSTED=GAAP","Fill=—")</f>
        <v>37.16767570413267</v>
      </c>
      <c r="Y15" s="21">
        <f>_xll.BDP("AAL US Equity","EFF_TAX_RATE","EQY_FUND_YEAR=2016","FUND_PER=C4","EQY_FUND_CRNCY=USD","FILING_STATUS=MR","FA_ADJUSTED=GAAP","Fill=—")</f>
        <v>37.752965806001399</v>
      </c>
      <c r="Z15" s="21">
        <f>_xll.BDP("AAL US Equity","EFF_TAX_RATE","EQY_FUND_YEAR=2017","FUND_PER=C1","EQY_FUND_CRNCY=USD","FILING_STATUS=MR","FA_ADJUSTED=GAAP","Fill=—")</f>
        <v>36.44859813084112</v>
      </c>
      <c r="AA15" s="21">
        <f>_xll.BDP("AAL US Equity","EFF_TAX_RATE","EQY_FUND_YEAR=2017","FUND_PER=C2","EQY_FUND_CRNCY=USD","FILING_STATUS=MR","FA_ADJUSTED=GAAP","Fill=—")</f>
        <v>37.422037422037427</v>
      </c>
      <c r="AB15" s="21">
        <f>_xll.BDP("AAL US Equity","EFF_TAX_RATE","EQY_FUND_YEAR=2017","FUND_PER=C3","EQY_FUND_CRNCY=USD","FILING_STATUS=MR","FA_ADJUSTED=GAAP","Fill=—")</f>
        <v>37.562772012052228</v>
      </c>
      <c r="AC15" s="21">
        <f>_xll.BDP("AAL US Equity","EFF_TAX_RATE","EQY_FUND_YEAR=2017","FUND_PER=C4","EQY_FUND_CRNCY=USD","FILING_STATUS=MR","FA_ADJUSTED=GAAP","Fill=—")</f>
        <v>62.238586156111928</v>
      </c>
      <c r="AD15" s="21">
        <f>_xll.BDP("AAL US Equity","EFF_TAX_RATE","EQY_FUND_YEAR=2018","FUND_PER=C1","EQY_FUND_CRNCY=USD","FILING_STATUS=MR","FA_ADJUSTED=GAAP","Fill=—")</f>
        <v>33.193277310924366</v>
      </c>
      <c r="AE15" s="21">
        <f>_xll.BDP("AAL US Equity","EFF_TAX_RATE","EQY_FUND_YEAR=2018","FUND_PER=C2","EQY_FUND_CRNCY=USD","FILING_STATUS=MR","FA_ADJUSTED=GAAP","Fill=—")</f>
        <v>27.967806841046279</v>
      </c>
      <c r="AF15" s="21">
        <f>_xll.BDP("AAL US Equity","EFF_TAX_RATE","EQY_FUND_YEAR=2018","FUND_PER=C3","EQY_FUND_CRNCY=USD","FILING_STATUS=MR","FA_ADJUSTED=GAAP","Fill=—")</f>
        <v>26.930826057756885</v>
      </c>
      <c r="AG15" s="21">
        <f>_xll.BDP("AAL US Equity","EFF_TAX_RATE","EQY_FUND_YEAR=2018","FUND_PER=C4","EQY_FUND_CRNCY=USD","FILING_STATUS=MR","FA_ADJUSTED=GAAP","Fill=—")</f>
        <v>25.053078556263269</v>
      </c>
      <c r="AH15" s="21">
        <f>_xll.BDP("AAL US Equity","EFF_TAX_RATE","EQY_FUND_YEAR=2019","FUND_PER=C1","EQY_FUND_CRNCY=USD","FILING_STATUS=MR","FA_ADJUSTED=GAAP","Fill=—")</f>
        <v>24.489795918367346</v>
      </c>
      <c r="AI15" s="21">
        <f>_xll.BDP("AAL US Equity","EFF_TAX_RATE","EQY_FUND_YEAR=2019","FUND_PER=C2","EQY_FUND_CRNCY=USD","FILING_STATUS=MR","FA_ADJUSTED=GAAP","Fill=—")</f>
        <v>24.911347517730498</v>
      </c>
      <c r="AJ15" s="21">
        <f>_xll.BDP("AAL US Equity","EFF_TAX_RATE","EQY_FUND_YEAR=2019","FUND_PER=C3","EQY_FUND_CRNCY=USD","FILING_STATUS=MR","FA_ADJUSTED=GAAP","Fill=—")</f>
        <v>24.510385756676559</v>
      </c>
      <c r="AK15" s="21">
        <f>_xll.BDP("AAL US Equity","EFF_TAX_RATE","EQY_FUND_YEAR=2019","FUND_PER=C4","EQY_FUND_CRNCY=USD","FILING_STATUS=MR","FA_ADJUSTED=GAAP","Fill=—")</f>
        <v>25.265957446808514</v>
      </c>
      <c r="AL15" s="21" t="str">
        <f>_xll.BDP("AAL US Equity","EFF_TAX_RATE","EQY_FUND_YEAR=2020","FUND_PER=C1","EQY_FUND_CRNCY=USD","FILING_STATUS=MR","FA_ADJUSTED=GAAP","Fill=—")</f>
        <v>—</v>
      </c>
      <c r="AM15" s="21" t="str">
        <f>_xll.BDP("AAL US Equity","EFF_TAX_RATE","EQY_FUND_YEAR=2020","FUND_PER=C2","EQY_FUND_CRNCY=USD","FILING_STATUS=MR","FA_ADJUSTED=GAAP","Fill=—")</f>
        <v>—</v>
      </c>
      <c r="AN15" s="21" t="str">
        <f>_xll.BDP("AAL US Equity","EFF_TAX_RATE","EQY_FUND_YEAR=2020","FUND_PER=C3","EQY_FUND_CRNCY=USD","FILING_STATUS=MR","FA_ADJUSTED=GAAP","Fill=—")</f>
        <v>—</v>
      </c>
      <c r="AO15" s="21" t="str">
        <f>_xll.BDP("AAL US Equity","EFF_TAX_RATE","EQY_FUND_YEAR=2020","FUND_PER=C4","EQY_FUND_CRNCY=USD","FILING_STATUS=MR","FA_ADJUSTED=GAAP","Fill=—")</f>
        <v>—</v>
      </c>
      <c r="AP15" s="21" t="str">
        <f>_xll.BDP("AAL US Equity","EFF_TAX_RATE","EQY_FUND_YEAR=2021","FUND_PER=C1","EQY_FUND_CRNCY=USD","FILING_STATUS=MR","FA_ADJUSTED=GAAP","Fill=—")</f>
        <v>—</v>
      </c>
    </row>
    <row r="16" spans="1:42" x14ac:dyDescent="0.25">
      <c r="A16" s="8" t="s">
        <v>113</v>
      </c>
      <c r="B16" s="8" t="s">
        <v>114</v>
      </c>
      <c r="C16" s="21" t="str">
        <f>_xll.BDP("AAL US Equity","DVD_PAYOUT_RATIO","EQY_FUND_YEAR=2011","FUND_PER=C2","EQY_FUND_CRNCY=USD","FILING_STATUS=MR","FA_ADJUSTED=GAAP","Fill=—")</f>
        <v>—</v>
      </c>
      <c r="D16" s="21" t="str">
        <f>_xll.BDP("AAL US Equity","DVD_PAYOUT_RATIO","EQY_FUND_YEAR=2011","FUND_PER=C3","EQY_FUND_CRNCY=USD","FILING_STATUS=MR","FA_ADJUSTED=GAAP","Fill=—")</f>
        <v>—</v>
      </c>
      <c r="E16" s="21" t="str">
        <f>_xll.BDP("AAL US Equity","DVD_PAYOUT_RATIO","EQY_FUND_YEAR=2011","FUND_PER=C4","EQY_FUND_CRNCY=USD","FILING_STATUS=MR","FA_ADJUSTED=GAAP","Fill=—")</f>
        <v>—</v>
      </c>
      <c r="F16" s="21" t="str">
        <f>_xll.BDP("AAL US Equity","DVD_PAYOUT_RATIO","EQY_FUND_YEAR=2012","FUND_PER=C1","EQY_FUND_CRNCY=USD","FILING_STATUS=MR","FA_ADJUSTED=GAAP","Fill=—")</f>
        <v>—</v>
      </c>
      <c r="G16" s="21" t="str">
        <f>_xll.BDP("AAL US Equity","DVD_PAYOUT_RATIO","EQY_FUND_YEAR=2012","FUND_PER=C2","EQY_FUND_CRNCY=USD","FILING_STATUS=MR","FA_ADJUSTED=GAAP","Fill=—")</f>
        <v>—</v>
      </c>
      <c r="H16" s="21" t="str">
        <f>_xll.BDP("AAL US Equity","DVD_PAYOUT_RATIO","EQY_FUND_YEAR=2012","FUND_PER=C3","EQY_FUND_CRNCY=USD","FILING_STATUS=MR","FA_ADJUSTED=GAAP","Fill=—")</f>
        <v>—</v>
      </c>
      <c r="I16" s="21" t="str">
        <f>_xll.BDP("AAL US Equity","DVD_PAYOUT_RATIO","EQY_FUND_YEAR=2012","FUND_PER=C4","EQY_FUND_CRNCY=USD","FILING_STATUS=MR","FA_ADJUSTED=GAAP","Fill=—")</f>
        <v>—</v>
      </c>
      <c r="J16" s="21" t="str">
        <f>_xll.BDP("AAL US Equity","DVD_PAYOUT_RATIO","EQY_FUND_YEAR=2013","FUND_PER=C1","EQY_FUND_CRNCY=USD","FILING_STATUS=MR","FA_ADJUSTED=GAAP","Fill=—")</f>
        <v>—</v>
      </c>
      <c r="K16" s="21" t="str">
        <f>_xll.BDP("AAL US Equity","DVD_PAYOUT_RATIO","EQY_FUND_YEAR=2013","FUND_PER=C2","EQY_FUND_CRNCY=USD","FILING_STATUS=MR","FA_ADJUSTED=GAAP","Fill=—")</f>
        <v>—</v>
      </c>
      <c r="L16" s="21">
        <f>_xll.BDP("AAL US Equity","DVD_PAYOUT_RATIO","EQY_FUND_YEAR=2013","FUND_PER=C3","EQY_FUND_CRNCY=USD","FILING_STATUS=MR","FA_ADJUSTED=GAAP","Fill=—")</f>
        <v>0</v>
      </c>
      <c r="M16" s="21" t="str">
        <f>_xll.BDP("AAL US Equity","DVD_PAYOUT_RATIO","EQY_FUND_YEAR=2013","FUND_PER=C4","EQY_FUND_CRNCY=USD","FILING_STATUS=MR","FA_ADJUSTED=GAAP","Fill=—")</f>
        <v>—</v>
      </c>
      <c r="N16" s="21">
        <f>_xll.BDP("AAL US Equity","DVD_PAYOUT_RATIO","EQY_FUND_YEAR=2014","FUND_PER=C1","EQY_FUND_CRNCY=USD","FILING_STATUS=MR","FA_ADJUSTED=GAAP","Fill=—")</f>
        <v>0</v>
      </c>
      <c r="O16" s="21">
        <f>_xll.BDP("AAL US Equity","DVD_PAYOUT_RATIO","EQY_FUND_YEAR=2014","FUND_PER=C2","EQY_FUND_CRNCY=USD","FILING_STATUS=MR","FA_ADJUSTED=GAAP","Fill=—")</f>
        <v>0</v>
      </c>
      <c r="P16" s="21">
        <f>_xll.BDP("AAL US Equity","DVD_PAYOUT_RATIO","EQY_FUND_YEAR=2014","FUND_PER=C3","EQY_FUND_CRNCY=USD","FILING_STATUS=MR","FA_ADJUSTED=GAAP","Fill=—")</f>
        <v>3.1562932166301976</v>
      </c>
      <c r="Q16" s="21">
        <f>_xll.BDP("AAL US Equity","DVD_PAYOUT_RATIO","EQY_FUND_YEAR=2014","FUND_PER=C4","EQY_FUND_CRNCY=USD","FILING_STATUS=MR","FA_ADJUSTED=GAAP","Fill=—")</f>
        <v>4.9965301873698822</v>
      </c>
      <c r="R16" s="21">
        <f>_xll.BDP("AAL US Equity","DVD_PAYOUT_RATIO","EQY_FUND_YEAR=2015","FUND_PER=C1","EQY_FUND_CRNCY=USD","FILING_STATUS=MR","FA_ADJUSTED=GAAP","Fill=—")</f>
        <v>7.4722639484978535</v>
      </c>
      <c r="S16" s="21">
        <f>_xll.BDP("AAL US Equity","DVD_PAYOUT_RATIO","EQY_FUND_YEAR=2015","FUND_PER=C2","EQY_FUND_CRNCY=USD","FILING_STATUS=MR","FA_ADJUSTED=GAAP","Fill=—")</f>
        <v>5.2547116843702577</v>
      </c>
      <c r="T16" s="21">
        <f>_xll.BDP("AAL US Equity","DVD_PAYOUT_RATIO","EQY_FUND_YEAR=2015","FUND_PER=C3","EQY_FUND_CRNCY=USD","FILING_STATUS=MR","FA_ADJUSTED=GAAP","Fill=—")</f>
        <v>4.7286001386001386</v>
      </c>
      <c r="U16" s="21">
        <f>_xll.BDP("AAL US Equity","DVD_PAYOUT_RATIO","EQY_FUND_YEAR=2015","FUND_PER=C4","EQY_FUND_CRNCY=USD","FILING_STATUS=MR","FA_ADJUSTED=GAAP","Fill=—")</f>
        <v>3.5132352168199739</v>
      </c>
      <c r="V16" s="21">
        <f>_xll.BDP("AAL US Equity","DVD_PAYOUT_RATIO","EQY_FUND_YEAR=2016","FUND_PER=C1","EQY_FUND_CRNCY=USD","FILING_STATUS=MR","FA_ADJUSTED=GAAP","Fill=—")</f>
        <v>8.7142857142857153</v>
      </c>
      <c r="W16" s="21">
        <f>_xll.BDP("AAL US Equity","DVD_PAYOUT_RATIO","EQY_FUND_YEAR=2016","FUND_PER=C2","EQY_FUND_CRNCY=USD","FILING_STATUS=MR","FA_ADJUSTED=GAAP","Fill=—")</f>
        <v>7.2121212121212128</v>
      </c>
      <c r="X16" s="21">
        <f>_xll.BDP("AAL US Equity","DVD_PAYOUT_RATIO","EQY_FUND_YEAR=2016","FUND_PER=C3","EQY_FUND_CRNCY=USD","FILING_STATUS=MR","FA_ADJUSTED=GAAP","Fill=—")</f>
        <v>7.0995307917888564</v>
      </c>
      <c r="Y16" s="21">
        <f>_xll.BDP("AAL US Equity","DVD_PAYOUT_RATIO","EQY_FUND_YEAR=2016","FUND_PER=C4","EQY_FUND_CRNCY=USD","FILING_STATUS=MR","FA_ADJUSTED=GAAP","Fill=—")</f>
        <v>8.2557249626307918</v>
      </c>
      <c r="Z16" s="21">
        <f>_xll.BDP("AAL US Equity","DVD_PAYOUT_RATIO","EQY_FUND_YEAR=2017","FUND_PER=C1","EQY_FUND_CRNCY=USD","FILING_STATUS=MR","FA_ADJUSTED=GAAP","Fill=—")</f>
        <v>15</v>
      </c>
      <c r="AA16" s="21">
        <f>_xll.BDP("AAL US Equity","DVD_PAYOUT_RATIO","EQY_FUND_YEAR=2017","FUND_PER=C2","EQY_FUND_CRNCY=USD","FILING_STATUS=MR","FA_ADJUSTED=GAAP","Fill=—")</f>
        <v>8.2617940199335553</v>
      </c>
      <c r="AB16" s="21">
        <f>_xll.BDP("AAL US Equity","DVD_PAYOUT_RATIO","EQY_FUND_YEAR=2017","FUND_PER=C3","EQY_FUND_CRNCY=USD","FILING_STATUS=MR","FA_ADJUSTED=GAAP","Fill=—")</f>
        <v>8.0428954423592494</v>
      </c>
      <c r="AC16" s="21">
        <f>_xll.BDP("AAL US Equity","DVD_PAYOUT_RATIO","EQY_FUND_YEAR=2017","FUND_PER=C4","EQY_FUND_CRNCY=USD","FILING_STATUS=MR","FA_ADJUSTED=GAAP","Fill=—")</f>
        <v>15.44461778471139</v>
      </c>
      <c r="AD16" s="21">
        <f>_xll.BDP("AAL US Equity","DVD_PAYOUT_RATIO","EQY_FUND_YEAR=2018","FUND_PER=C1","EQY_FUND_CRNCY=USD","FILING_STATUS=MR","FA_ADJUSTED=GAAP","Fill=—")</f>
        <v>29.70421383647799</v>
      </c>
      <c r="AE16" s="21">
        <f>_xll.BDP("AAL US Equity","DVD_PAYOUT_RATIO","EQY_FUND_YEAR=2018","FUND_PER=C2","EQY_FUND_CRNCY=USD","FILING_STATUS=MR","FA_ADJUSTED=GAAP","Fill=—")</f>
        <v>13.070251396648045</v>
      </c>
      <c r="AF16" s="21">
        <f>_xll.BDP("AAL US Equity","DVD_PAYOUT_RATIO","EQY_FUND_YEAR=2018","FUND_PER=C3","EQY_FUND_CRNCY=USD","FILING_STATUS=MR","FA_ADJUSTED=GAAP","Fill=—")</f>
        <v>12.834154411764706</v>
      </c>
      <c r="AG16" s="21">
        <f>_xll.BDP("AAL US Equity","DVD_PAYOUT_RATIO","EQY_FUND_YEAR=2018","FUND_PER=C4","EQY_FUND_CRNCY=USD","FILING_STATUS=MR","FA_ADJUSTED=GAAP","Fill=—")</f>
        <v>13.172804532577903</v>
      </c>
      <c r="AH16" s="21">
        <f>_xll.BDP("AAL US Equity","DVD_PAYOUT_RATIO","EQY_FUND_YEAR=2019","FUND_PER=C1","EQY_FUND_CRNCY=USD","FILING_STATUS=MR","FA_ADJUSTED=GAAP","Fill=—")</f>
        <v>24.429783783783783</v>
      </c>
      <c r="AI16" s="21">
        <f>_xll.BDP("AAL US Equity","DVD_PAYOUT_RATIO","EQY_FUND_YEAR=2019","FUND_PER=C2","EQY_FUND_CRNCY=USD","FILING_STATUS=MR","FA_ADJUSTED=GAAP","Fill=—")</f>
        <v>10.58982290436836</v>
      </c>
      <c r="AJ16" s="21">
        <f>_xll.BDP("AAL US Equity","DVD_PAYOUT_RATIO","EQY_FUND_YEAR=2019","FUND_PER=C3","EQY_FUND_CRNCY=USD","FILING_STATUS=MR","FA_ADJUSTED=GAAP","Fill=—")</f>
        <v>10.525731132075473</v>
      </c>
      <c r="AK16" s="21">
        <f>_xll.BDP("AAL US Equity","DVD_PAYOUT_RATIO","EQY_FUND_YEAR=2019","FUND_PER=C4","EQY_FUND_CRNCY=USD","FILING_STATUS=MR","FA_ADJUSTED=GAAP","Fill=—")</f>
        <v>10.55753262158956</v>
      </c>
      <c r="AL16" s="21" t="str">
        <f>_xll.BDP("AAL US Equity","DVD_PAYOUT_RATIO","EQY_FUND_YEAR=2020","FUND_PER=C1","EQY_FUND_CRNCY=USD","FILING_STATUS=MR","FA_ADJUSTED=GAAP","Fill=—")</f>
        <v>—</v>
      </c>
      <c r="AM16" s="21" t="str">
        <f>_xll.BDP("AAL US Equity","DVD_PAYOUT_RATIO","EQY_FUND_YEAR=2020","FUND_PER=C2","EQY_FUND_CRNCY=USD","FILING_STATUS=MR","FA_ADJUSTED=GAAP","Fill=—")</f>
        <v>—</v>
      </c>
      <c r="AN16" s="21" t="str">
        <f>_xll.BDP("AAL US Equity","DVD_PAYOUT_RATIO","EQY_FUND_YEAR=2020","FUND_PER=C3","EQY_FUND_CRNCY=USD","FILING_STATUS=MR","FA_ADJUSTED=GAAP","Fill=—")</f>
        <v>—</v>
      </c>
      <c r="AO16" s="21" t="str">
        <f>_xll.BDP("AAL US Equity","DVD_PAYOUT_RATIO","EQY_FUND_YEAR=2020","FUND_PER=C4","EQY_FUND_CRNCY=USD","FILING_STATUS=MR","FA_ADJUSTED=GAAP","Fill=—")</f>
        <v>—</v>
      </c>
      <c r="AP16" s="21" t="str">
        <f>_xll.BDP("AAL US Equity","DVD_PAYOUT_RATIO","EQY_FUND_YEAR=2021","FUND_PER=C1","EQY_FUND_CRNCY=USD","FILING_STATUS=MR","FA_ADJUSTED=GAAP","Fill=—")</f>
        <v>—</v>
      </c>
    </row>
    <row r="17" spans="1:42" x14ac:dyDescent="0.25">
      <c r="A17" s="15" t="s">
        <v>117</v>
      </c>
      <c r="B17" s="15"/>
      <c r="C17" s="15" t="s"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opLeftCell="U1" workbookViewId="0">
      <selection activeCell="J24" sqref="J24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192</v>
      </c>
      <c r="B6" s="8" t="s">
        <v>191</v>
      </c>
      <c r="C6" s="21">
        <f>_xll.BDH("AAL US Equity","CASH_RATIO","FQ2 2011","FQ2 2011","Currency=USD","Period=FQ","BEST_FPERIOD_OVERRIDE=FQ","FILING_STATUS=MR","Sort=A","Dates=H","DateFormat=P","Fill=—","Direction=H","UseDPDF=Y")</f>
        <v>0.53</v>
      </c>
      <c r="D6" s="21">
        <f>_xll.BDH("AAL US Equity","CASH_RATIO","FQ3 2011","FQ3 2011","Currency=USD","Period=FQ","BEST_FPERIOD_OVERRIDE=FQ","FILING_STATUS=MR","Sort=A","Dates=H","DateFormat=P","Fill=—","Direction=H","UseDPDF=Y")</f>
        <v>0.48149999999999998</v>
      </c>
      <c r="E6" s="21">
        <f>_xll.BDH("AAL US Equity","CASH_RATIO","FQ4 2011","FQ4 2011","Currency=USD","Period=FQ","BEST_FPERIOD_OVERRIDE=FQ","FILING_STATUS=MR","Sort=A","Dates=H","DateFormat=P","Fill=—","Direction=H","UseDPDF=Y")</f>
        <v>0.46360000000000001</v>
      </c>
      <c r="F6" s="21">
        <f>_xll.BDH("AAL US Equity","CASH_RATIO","FQ1 2012","FQ1 2012","Currency=USD","Period=FQ","BEST_FPERIOD_OVERRIDE=FQ","FILING_STATUS=MR","Sort=A","Dates=H","DateFormat=P","Fill=—","Direction=H","UseDPDF=Y")</f>
        <v>0.505</v>
      </c>
      <c r="G6" s="21">
        <f>_xll.BDH("AAL US Equity","CASH_RATIO","FQ2 2012","FQ2 2012","Currency=USD","Period=FQ","BEST_FPERIOD_OVERRIDE=FQ","FILING_STATUS=MR","Sort=A","Dates=H","DateFormat=P","Fill=—","Direction=H","UseDPDF=Y")</f>
        <v>0.49469999999999997</v>
      </c>
      <c r="H6" s="21">
        <f>_xll.BDH("AAL US Equity","CASH_RATIO","FQ3 2012","FQ3 2012","Currency=USD","Period=FQ","BEST_FPERIOD_OVERRIDE=FQ","FILING_STATUS=MR","Sort=A","Dates=H","DateFormat=P","Fill=—","Direction=H","UseDPDF=Y")</f>
        <v>0.44090000000000001</v>
      </c>
      <c r="I6" s="21">
        <f>_xll.BDH("AAL US Equity","CASH_RATIO","FQ4 2012","FQ4 2012","Currency=USD","Period=FQ","BEST_FPERIOD_OVERRIDE=FQ","FILING_STATUS=MR","Sort=A","Dates=H","DateFormat=P","Fill=—","Direction=H","UseDPDF=Y")</f>
        <v>0.41830000000000001</v>
      </c>
      <c r="J6" s="21">
        <f>_xll.BDH("AAL US Equity","CASH_RATIO","FQ1 2013","FQ1 2013","Currency=USD","Period=FQ","BEST_FPERIOD_OVERRIDE=FQ","FILING_STATUS=MR","Sort=A","Dates=H","DateFormat=P","Fill=—","Direction=H","UseDPDF=Y")</f>
        <v>0.42480000000000001</v>
      </c>
      <c r="K6" s="21">
        <f>_xll.BDH("AAL US Equity","CASH_RATIO","FQ2 2013","FQ2 2013","Currency=USD","Period=FQ","BEST_FPERIOD_OVERRIDE=FQ","FILING_STATUS=MR","Sort=A","Dates=H","DateFormat=P","Fill=—","Direction=H","UseDPDF=Y")</f>
        <v>0.58209999999999995</v>
      </c>
      <c r="L6" s="21">
        <f>_xll.BDH("AAL US Equity","CASH_RATIO","FQ3 2013","FQ3 2013","Currency=USD","Period=FQ","BEST_FPERIOD_OVERRIDE=FQ","FILING_STATUS=MR","Sort=A","Dates=H","DateFormat=P","Fill=—","Direction=H","UseDPDF=Y")</f>
        <v>0.66969999999999996</v>
      </c>
      <c r="M6" s="21">
        <f>_xll.BDH("AAL US Equity","CASH_RATIO","FQ4 2013","FQ4 2013","Currency=USD","Period=FQ","BEST_FPERIOD_OVERRIDE=FQ","FILING_STATUS=MR","Sort=A","Dates=H","DateFormat=P","Fill=—","Direction=H","UseDPDF=Y")</f>
        <v>0.67010000000000003</v>
      </c>
      <c r="N6" s="21">
        <f>_xll.BDH("AAL US Equity","CASH_RATIO","FQ1 2014","FQ1 2014","Currency=USD","Period=FQ","BEST_FPERIOD_OVERRIDE=FQ","FILING_STATUS=MR","Sort=A","Dates=H","DateFormat=P","Fill=—","Direction=H","UseDPDF=Y")</f>
        <v>0.64090000000000003</v>
      </c>
      <c r="O6" s="21">
        <f>_xll.BDH("AAL US Equity","CASH_RATIO","FQ2 2014","FQ2 2014","Currency=USD","Period=FQ","BEST_FPERIOD_OVERRIDE=FQ","FILING_STATUS=MR","Sort=A","Dates=H","DateFormat=P","Fill=—","Direction=H","UseDPDF=Y")</f>
        <v>0.62690000000000001</v>
      </c>
      <c r="P6" s="21">
        <f>_xll.BDH("AAL US Equity","CASH_RATIO","FQ3 2014","FQ3 2014","Currency=USD","Period=FQ","BEST_FPERIOD_OVERRIDE=FQ","FILING_STATUS=MR","Sort=A","Dates=H","DateFormat=P","Fill=—","Direction=H","UseDPDF=Y")</f>
        <v>0.56879999999999997</v>
      </c>
      <c r="Q6" s="21">
        <f>_xll.BDH("AAL US Equity","CASH_RATIO","FQ4 2014","FQ4 2014","Currency=USD","Period=FQ","BEST_FPERIOD_OVERRIDE=FQ","FILING_STATUS=MR","Sort=A","Dates=H","DateFormat=P","Fill=—","Direction=H","UseDPDF=Y")</f>
        <v>0.54479999999999995</v>
      </c>
      <c r="R6" s="21">
        <f>_xll.BDH("AAL US Equity","CASH_RATIO","FQ1 2015","FQ1 2015","Currency=USD","Period=FQ","BEST_FPERIOD_OVERRIDE=FQ","FILING_STATUS=MR","Sort=A","Dates=H","DateFormat=P","Fill=—","Direction=H","UseDPDF=Y")</f>
        <v>0.64449999999999996</v>
      </c>
      <c r="S6" s="21">
        <f>_xll.BDH("AAL US Equity","CASH_RATIO","FQ2 2015","FQ2 2015","Currency=USD","Period=FQ","BEST_FPERIOD_OVERRIDE=FQ","FILING_STATUS=MR","Sort=A","Dates=H","DateFormat=P","Fill=—","Direction=H","UseDPDF=Y")</f>
        <v>0.59279999999999999</v>
      </c>
      <c r="T6" s="21">
        <f>_xll.BDH("AAL US Equity","CASH_RATIO","FQ3 2015","FQ3 2015","Currency=USD","Period=FQ","BEST_FPERIOD_OVERRIDE=FQ","FILING_STATUS=MR","Sort=A","Dates=H","DateFormat=P","Fill=—","Direction=H","UseDPDF=Y")</f>
        <v>0.62660000000000005</v>
      </c>
      <c r="U6" s="21">
        <f>_xll.BDH("AAL US Equity","CASH_RATIO","FQ4 2015","FQ4 2015","Currency=USD","Period=FQ","BEST_FPERIOD_OVERRIDE=FQ","FILING_STATUS=MR","Sort=A","Dates=H","DateFormat=P","Fill=—","Direction=H","UseDPDF=Y")</f>
        <v>0.4597</v>
      </c>
      <c r="V6" s="21">
        <f>_xll.BDH("AAL US Equity","CASH_RATIO","FQ1 2016","FQ1 2016","Currency=USD","Period=FQ","BEST_FPERIOD_OVERRIDE=FQ","FILING_STATUS=MR","Sort=A","Dates=H","DateFormat=P","Fill=—","Direction=H","UseDPDF=Y")</f>
        <v>0.4536</v>
      </c>
      <c r="W6" s="21">
        <f>_xll.BDH("AAL US Equity","CASH_RATIO","FQ2 2016","FQ2 2016","Currency=USD","Period=FQ","BEST_FPERIOD_OVERRIDE=FQ","FILING_STATUS=MR","Sort=A","Dates=H","DateFormat=P","Fill=—","Direction=H","UseDPDF=Y")</f>
        <v>0.47720000000000001</v>
      </c>
      <c r="X6" s="21">
        <f>_xll.BDH("AAL US Equity","CASH_RATIO","FQ3 2016","FQ3 2016","Currency=USD","Period=FQ","BEST_FPERIOD_OVERRIDE=FQ","FILING_STATUS=MR","Sort=A","Dates=H","DateFormat=P","Fill=—","Direction=H","UseDPDF=Y")</f>
        <v>0.46479999999999999</v>
      </c>
      <c r="Y6" s="21">
        <f>_xll.BDH("AAL US Equity","CASH_RATIO","FQ4 2016","FQ4 2016","Currency=USD","Period=FQ","BEST_FPERIOD_OVERRIDE=FQ","FILING_STATUS=MR","Sort=A","Dates=H","DateFormat=P","Fill=—","Direction=H","UseDPDF=Y")</f>
        <v>0.45839999999999997</v>
      </c>
      <c r="Z6" s="21">
        <f>_xll.BDH("AAL US Equity","CASH_RATIO","FQ1 2017","FQ1 2017","Currency=USD","Period=FQ","BEST_FPERIOD_OVERRIDE=FQ","FILING_STATUS=MR","Sort=A","Dates=H","DateFormat=P","Fill=—","Direction=H","UseDPDF=Y")</f>
        <v>0.43669999999999998</v>
      </c>
      <c r="AA6" s="21">
        <f>_xll.BDH("AAL US Equity","CASH_RATIO","FQ2 2017","FQ2 2017","Currency=USD","Period=FQ","BEST_FPERIOD_OVERRIDE=FQ","FILING_STATUS=MR","Sort=A","Dates=H","DateFormat=P","Fill=—","Direction=H","UseDPDF=Y")</f>
        <v>0.4274</v>
      </c>
      <c r="AB6" s="21">
        <f>_xll.BDH("AAL US Equity","CASH_RATIO","FQ3 2017","FQ3 2017","Currency=USD","Period=FQ","BEST_FPERIOD_OVERRIDE=FQ","FILING_STATUS=MR","Sort=A","Dates=H","DateFormat=P","Fill=—","Direction=H","UseDPDF=Y")</f>
        <v>0.37680000000000002</v>
      </c>
      <c r="AC6" s="21">
        <f>_xll.BDH("AAL US Equity","CASH_RATIO","FQ4 2017","FQ4 2017","Currency=USD","Period=FQ","BEST_FPERIOD_OVERRIDE=FQ","FILING_STATUS=MR","Sort=A","Dates=H","DateFormat=P","Fill=—","Direction=H","UseDPDF=Y")</f>
        <v>0.32990000000000003</v>
      </c>
      <c r="AD6" s="21">
        <f>_xll.BDH("AAL US Equity","CASH_RATIO","FQ1 2018","FQ1 2018","Currency=USD","Period=FQ","BEST_FPERIOD_OVERRIDE=FQ","FILING_STATUS=MR","Sort=A","Dates=H","DateFormat=P","Fill=—","Direction=H","UseDPDF=Y")</f>
        <v>0.31109999999999999</v>
      </c>
      <c r="AE6" s="21">
        <f>_xll.BDH("AAL US Equity","CASH_RATIO","FQ2 2018","FQ2 2018","Currency=USD","Period=FQ","BEST_FPERIOD_OVERRIDE=FQ","FILING_STATUS=MR","Sort=A","Dates=H","DateFormat=P","Fill=—","Direction=H","UseDPDF=Y")</f>
        <v>0.28039999999999998</v>
      </c>
      <c r="AF6" s="21">
        <f>_xll.BDH("AAL US Equity","CASH_RATIO","FQ3 2018","FQ3 2018","Currency=USD","Period=FQ","BEST_FPERIOD_OVERRIDE=FQ","FILING_STATUS=MR","Sort=A","Dates=H","DateFormat=P","Fill=—","Direction=H","UseDPDF=Y")</f>
        <v>0.29699999999999999</v>
      </c>
      <c r="AG6" s="21">
        <f>_xll.BDH("AAL US Equity","CASH_RATIO","FQ4 2018","FQ4 2018","Currency=USD","Period=FQ","BEST_FPERIOD_OVERRIDE=FQ","FILING_STATUS=MR","Sort=A","Dates=H","DateFormat=P","Fill=—","Direction=H","UseDPDF=Y")</f>
        <v>0.26300000000000001</v>
      </c>
      <c r="AH6" s="21">
        <f>_xll.BDH("AAL US Equity","CASH_RATIO","FQ1 2019","FQ1 2019","Currency=USD","Period=FQ","BEST_FPERIOD_OVERRIDE=FQ","FILING_STATUS=MR","Sort=A","Dates=H","DateFormat=P","Fill=—","Direction=H","UseDPDF=Y")</f>
        <v>0.21909999999999999</v>
      </c>
      <c r="AI6" s="21">
        <f>_xll.BDH("AAL US Equity","CASH_RATIO","FQ2 2019","FQ2 2019","Currency=USD","Period=FQ","BEST_FPERIOD_OVERRIDE=FQ","FILING_STATUS=MR","Sort=A","Dates=H","DateFormat=P","Fill=—","Direction=H","UseDPDF=Y")</f>
        <v>0.26869999999999999</v>
      </c>
      <c r="AJ6" s="21">
        <f>_xll.BDH("AAL US Equity","CASH_RATIO","FQ3 2019","FQ3 2019","Currency=USD","Period=FQ","BEST_FPERIOD_OVERRIDE=FQ","FILING_STATUS=MR","Sort=A","Dates=H","DateFormat=P","Fill=—","Direction=H","UseDPDF=Y")</f>
        <v>0.26419999999999999</v>
      </c>
      <c r="AK6" s="21">
        <f>_xll.BDH("AAL US Equity","CASH_RATIO","FQ4 2019","FQ4 2019","Currency=USD","Period=FQ","BEST_FPERIOD_OVERRIDE=FQ","FILING_STATUS=MR","Sort=A","Dates=H","DateFormat=P","Fill=—","Direction=H","UseDPDF=Y")</f>
        <v>0.2089</v>
      </c>
      <c r="AL6" s="21">
        <f>_xll.BDH("AAL US Equity","CASH_RATIO","FQ1 2020","FQ1 2020","Currency=USD","Period=FQ","BEST_FPERIOD_OVERRIDE=FQ","FILING_STATUS=MR","Sort=A","Dates=H","DateFormat=P","Fill=—","Direction=H","UseDPDF=Y")</f>
        <v>0.18609999999999999</v>
      </c>
      <c r="AM6" s="21">
        <f>_xll.BDH("AAL US Equity","CASH_RATIO","FQ2 2020","FQ2 2020","Currency=USD","Period=FQ","BEST_FPERIOD_OVERRIDE=FQ","FILING_STATUS=MR","Sort=A","Dates=H","DateFormat=P","Fill=—","Direction=H","UseDPDF=Y")</f>
        <v>0.54520000000000002</v>
      </c>
      <c r="AN6" s="21">
        <f>_xll.BDH("AAL US Equity","CASH_RATIO","FQ3 2020","FQ3 2020","Currency=USD","Period=FQ","BEST_FPERIOD_OVERRIDE=FQ","FILING_STATUS=MR","Sort=A","Dates=H","DateFormat=P","Fill=—","Direction=H","UseDPDF=Y")</f>
        <v>0.4995</v>
      </c>
      <c r="AO6" s="21">
        <f>_xll.BDH("AAL US Equity","CASH_RATIO","FQ4 2020","FQ4 2020","Currency=USD","Period=FQ","BEST_FPERIOD_OVERRIDE=FQ","FILING_STATUS=MR","Sort=A","Dates=H","DateFormat=P","Fill=—","Direction=H","UseDPDF=Y")</f>
        <v>0.4143</v>
      </c>
      <c r="AP6" s="21">
        <f>_xll.BDH("AAL US Equity","CASH_RATIO","FQ1 2021","FQ1 2021","Currency=USD","Period=FQ","BEST_FPERIOD_OVERRIDE=FQ","FILING_STATUS=MR","Sort=A","Dates=H","DateFormat=P","Fill=—","Direction=H","UseDPDF=Y")</f>
        <v>0.81</v>
      </c>
    </row>
    <row r="7" spans="1:42" x14ac:dyDescent="0.25">
      <c r="A7" s="8" t="s">
        <v>190</v>
      </c>
      <c r="B7" s="8" t="s">
        <v>189</v>
      </c>
      <c r="C7" s="21">
        <f>_xll.BDH("AAL US Equity","CUR_RATIO","FQ2 2011","FQ2 2011","Currency=USD","Period=FQ","BEST_FPERIOD_OVERRIDE=FQ","FILING_STATUS=MR","Sort=A","Dates=H","DateFormat=P","Fill=—","Direction=H","UseDPDF=Y")</f>
        <v>0.81889999999999996</v>
      </c>
      <c r="D7" s="21">
        <f>_xll.BDH("AAL US Equity","CUR_RATIO","FQ3 2011","FQ3 2011","Currency=USD","Period=FQ","BEST_FPERIOD_OVERRIDE=FQ","FILING_STATUS=MR","Sort=A","Dates=H","DateFormat=P","Fill=—","Direction=H","UseDPDF=Y")</f>
        <v>0.76629999999999998</v>
      </c>
      <c r="E7" s="21">
        <f>_xll.BDH("AAL US Equity","CUR_RATIO","FQ4 2011","FQ4 2011","Currency=USD","Period=FQ","BEST_FPERIOD_OVERRIDE=FQ","FILING_STATUS=MR","Sort=A","Dates=H","DateFormat=P","Fill=—","Direction=H","UseDPDF=Y")</f>
        <v>0.78300000000000003</v>
      </c>
      <c r="F7" s="21">
        <f>_xll.BDH("AAL US Equity","CUR_RATIO","FQ1 2012","FQ1 2012","Currency=USD","Period=FQ","BEST_FPERIOD_OVERRIDE=FQ","FILING_STATUS=MR","Sort=A","Dates=H","DateFormat=P","Fill=—","Direction=H","UseDPDF=Y")</f>
        <v>0.81499999999999995</v>
      </c>
      <c r="G7" s="21">
        <f>_xll.BDH("AAL US Equity","CUR_RATIO","FQ2 2012","FQ2 2012","Currency=USD","Period=FQ","BEST_FPERIOD_OVERRIDE=FQ","FILING_STATUS=MR","Sort=A","Dates=H","DateFormat=P","Fill=—","Direction=H","UseDPDF=Y")</f>
        <v>0.79320000000000002</v>
      </c>
      <c r="H7" s="21">
        <f>_xll.BDH("AAL US Equity","CUR_RATIO","FQ3 2012","FQ3 2012","Currency=USD","Period=FQ","BEST_FPERIOD_OVERRIDE=FQ","FILING_STATUS=MR","Sort=A","Dates=H","DateFormat=P","Fill=—","Direction=H","UseDPDF=Y")</f>
        <v>0.76180000000000003</v>
      </c>
      <c r="I7" s="21">
        <f>_xll.BDH("AAL US Equity","CUR_RATIO","FQ4 2012","FQ4 2012","Currency=USD","Period=FQ","BEST_FPERIOD_OVERRIDE=FQ","FILING_STATUS=MR","Sort=A","Dates=H","DateFormat=P","Fill=—","Direction=H","UseDPDF=Y")</f>
        <v>0.7601</v>
      </c>
      <c r="J7" s="21">
        <f>_xll.BDH("AAL US Equity","CUR_RATIO","FQ1 2013","FQ1 2013","Currency=USD","Period=FQ","BEST_FPERIOD_OVERRIDE=FQ","FILING_STATUS=MR","Sort=A","Dates=H","DateFormat=P","Fill=—","Direction=H","UseDPDF=Y")</f>
        <v>0.75329999999999997</v>
      </c>
      <c r="K7" s="21">
        <f>_xll.BDH("AAL US Equity","CUR_RATIO","FQ2 2013","FQ2 2013","Currency=USD","Period=FQ","BEST_FPERIOD_OVERRIDE=FQ","FILING_STATUS=MR","Sort=A","Dates=H","DateFormat=P","Fill=—","Direction=H","UseDPDF=Y")</f>
        <v>0.90310000000000001</v>
      </c>
      <c r="L7" s="21">
        <f>_xll.BDH("AAL US Equity","CUR_RATIO","FQ3 2013","FQ3 2013","Currency=USD","Period=FQ","BEST_FPERIOD_OVERRIDE=FQ","FILING_STATUS=MR","Sort=A","Dates=H","DateFormat=P","Fill=—","Direction=H","UseDPDF=Y")</f>
        <v>1.0142</v>
      </c>
      <c r="M7" s="21">
        <f>_xll.BDH("AAL US Equity","CUR_RATIO","FQ4 2013","FQ4 2013","Currency=USD","Period=FQ","BEST_FPERIOD_OVERRIDE=FQ","FILING_STATUS=MR","Sort=A","Dates=H","DateFormat=P","Fill=—","Direction=H","UseDPDF=Y")</f>
        <v>1.0374000000000001</v>
      </c>
      <c r="N7" s="21">
        <f>_xll.BDH("AAL US Equity","CUR_RATIO","FQ1 2014","FQ1 2014","Currency=USD","Period=FQ","BEST_FPERIOD_OVERRIDE=FQ","FILING_STATUS=MR","Sort=A","Dates=H","DateFormat=P","Fill=—","Direction=H","UseDPDF=Y")</f>
        <v>1.0076000000000001</v>
      </c>
      <c r="O7" s="21">
        <f>_xll.BDH("AAL US Equity","CUR_RATIO","FQ2 2014","FQ2 2014","Currency=USD","Period=FQ","BEST_FPERIOD_OVERRIDE=FQ","FILING_STATUS=MR","Sort=A","Dates=H","DateFormat=P","Fill=—","Direction=H","UseDPDF=Y")</f>
        <v>0.9919</v>
      </c>
      <c r="P7" s="21">
        <f>_xll.BDH("AAL US Equity","CUR_RATIO","FQ3 2014","FQ3 2014","Currency=USD","Period=FQ","BEST_FPERIOD_OVERRIDE=FQ","FILING_STATUS=MR","Sort=A","Dates=H","DateFormat=P","Fill=—","Direction=H","UseDPDF=Y")</f>
        <v>0.96850000000000003</v>
      </c>
      <c r="Q7" s="21">
        <f>_xll.BDH("AAL US Equity","CUR_RATIO","FQ4 2014","FQ4 2014","Currency=USD","Period=FQ","BEST_FPERIOD_OVERRIDE=FQ","FILING_STATUS=MR","Sort=A","Dates=H","DateFormat=P","Fill=—","Direction=H","UseDPDF=Y")</f>
        <v>0.87660000000000005</v>
      </c>
      <c r="R7" s="21">
        <f>_xll.BDH("AAL US Equity","CUR_RATIO","FQ1 2015","FQ1 2015","Currency=USD","Period=FQ","BEST_FPERIOD_OVERRIDE=FQ","FILING_STATUS=MR","Sort=A","Dates=H","DateFormat=P","Fill=—","Direction=H","UseDPDF=Y")</f>
        <v>0.99270000000000003</v>
      </c>
      <c r="S7" s="21">
        <f>_xll.BDH("AAL US Equity","CUR_RATIO","FQ2 2015","FQ2 2015","Currency=USD","Period=FQ","BEST_FPERIOD_OVERRIDE=FQ","FILING_STATUS=MR","Sort=A","Dates=H","DateFormat=P","Fill=—","Direction=H","UseDPDF=Y")</f>
        <v>0.93779999999999997</v>
      </c>
      <c r="T7" s="21">
        <f>_xll.BDH("AAL US Equity","CUR_RATIO","FQ3 2015","FQ3 2015","Currency=USD","Period=FQ","BEST_FPERIOD_OVERRIDE=FQ","FILING_STATUS=MR","Sort=A","Dates=H","DateFormat=P","Fill=—","Direction=H","UseDPDF=Y")</f>
        <v>0.96789999999999998</v>
      </c>
      <c r="U7" s="21">
        <f>_xll.BDH("AAL US Equity","CUR_RATIO","FQ4 2015","FQ4 2015","Currency=USD","Period=FQ","BEST_FPERIOD_OVERRIDE=FQ","FILING_STATUS=MR","Sort=A","Dates=H","DateFormat=P","Fill=—","Direction=H","UseDPDF=Y")</f>
        <v>0.7339</v>
      </c>
      <c r="V7" s="21">
        <f>_xll.BDH("AAL US Equity","CUR_RATIO","FQ1 2016","FQ1 2016","Currency=USD","Period=FQ","BEST_FPERIOD_OVERRIDE=FQ","FILING_STATUS=MR","Sort=A","Dates=H","DateFormat=P","Fill=—","Direction=H","UseDPDF=Y")</f>
        <v>0.70709999999999995</v>
      </c>
      <c r="W7" s="21">
        <f>_xll.BDH("AAL US Equity","CUR_RATIO","FQ2 2016","FQ2 2016","Currency=USD","Period=FQ","BEST_FPERIOD_OVERRIDE=FQ","FILING_STATUS=MR","Sort=A","Dates=H","DateFormat=P","Fill=—","Direction=H","UseDPDF=Y")</f>
        <v>0.74970000000000003</v>
      </c>
      <c r="X7" s="21">
        <f>_xll.BDH("AAL US Equity","CUR_RATIO","FQ3 2016","FQ3 2016","Currency=USD","Period=FQ","BEST_FPERIOD_OVERRIDE=FQ","FILING_STATUS=MR","Sort=A","Dates=H","DateFormat=P","Fill=—","Direction=H","UseDPDF=Y")</f>
        <v>0.76019999999999999</v>
      </c>
      <c r="Y7" s="21">
        <f>_xll.BDH("AAL US Equity","CUR_RATIO","FQ4 2016","FQ4 2016","Currency=USD","Period=FQ","BEST_FPERIOD_OVERRIDE=FQ","FILING_STATUS=MR","Sort=A","Dates=H","DateFormat=P","Fill=—","Direction=H","UseDPDF=Y")</f>
        <v>0.74419999999999997</v>
      </c>
      <c r="Z7" s="21">
        <f>_xll.BDH("AAL US Equity","CUR_RATIO","FQ1 2017","FQ1 2017","Currency=USD","Period=FQ","BEST_FPERIOD_OVERRIDE=FQ","FILING_STATUS=MR","Sort=A","Dates=H","DateFormat=P","Fill=—","Direction=H","UseDPDF=Y")</f>
        <v>0.69510000000000005</v>
      </c>
      <c r="AA7" s="21">
        <f>_xll.BDH("AAL US Equity","CUR_RATIO","FQ2 2017","FQ2 2017","Currency=USD","Period=FQ","BEST_FPERIOD_OVERRIDE=FQ","FILING_STATUS=MR","Sort=A","Dates=H","DateFormat=P","Fill=—","Direction=H","UseDPDF=Y")</f>
        <v>0.68369999999999997</v>
      </c>
      <c r="AB7" s="21">
        <f>_xll.BDH("AAL US Equity","CUR_RATIO","FQ3 2017","FQ3 2017","Currency=USD","Period=FQ","BEST_FPERIOD_OVERRIDE=FQ","FILING_STATUS=MR","Sort=A","Dates=H","DateFormat=P","Fill=—","Direction=H","UseDPDF=Y")</f>
        <v>0.65339999999999998</v>
      </c>
      <c r="AC7" s="21">
        <f>_xll.BDH("AAL US Equity","CUR_RATIO","FQ4 2017","FQ4 2017","Currency=USD","Period=FQ","BEST_FPERIOD_OVERRIDE=FQ","FILING_STATUS=MR","Sort=A","Dates=H","DateFormat=P","Fill=—","Direction=H","UseDPDF=Y")</f>
        <v>0.59550000000000003</v>
      </c>
      <c r="AD7" s="21">
        <f>_xll.BDH("AAL US Equity","CUR_RATIO","FQ1 2018","FQ1 2018","Currency=USD","Period=FQ","BEST_FPERIOD_OVERRIDE=FQ","FILING_STATUS=MR","Sort=A","Dates=H","DateFormat=P","Fill=—","Direction=H","UseDPDF=Y")</f>
        <v>0.56869999999999998</v>
      </c>
      <c r="AE7" s="21">
        <f>_xll.BDH("AAL US Equity","CUR_RATIO","FQ2 2018","FQ2 2018","Currency=USD","Period=FQ","BEST_FPERIOD_OVERRIDE=FQ","FILING_STATUS=MR","Sort=A","Dates=H","DateFormat=P","Fill=—","Direction=H","UseDPDF=Y")</f>
        <v>0.55049999999999999</v>
      </c>
      <c r="AF7" s="21">
        <f>_xll.BDH("AAL US Equity","CUR_RATIO","FQ3 2018","FQ3 2018","Currency=USD","Period=FQ","BEST_FPERIOD_OVERRIDE=FQ","FILING_STATUS=MR","Sort=A","Dates=H","DateFormat=P","Fill=—","Direction=H","UseDPDF=Y")</f>
        <v>0.58099999999999996</v>
      </c>
      <c r="AG7" s="21">
        <f>_xll.BDH("AAL US Equity","CUR_RATIO","FQ4 2018","FQ4 2018","Currency=USD","Period=FQ","BEST_FPERIOD_OVERRIDE=FQ","FILING_STATUS=MR","Sort=A","Dates=H","DateFormat=P","Fill=—","Direction=H","UseDPDF=Y")</f>
        <v>0.4773</v>
      </c>
      <c r="AH7" s="21">
        <f>_xll.BDH("AAL US Equity","CUR_RATIO","FQ1 2019","FQ1 2019","Currency=USD","Period=FQ","BEST_FPERIOD_OVERRIDE=FQ","FILING_STATUS=MR","Sort=A","Dates=H","DateFormat=P","Fill=—","Direction=H","UseDPDF=Y")</f>
        <v>0.436</v>
      </c>
      <c r="AI7" s="21">
        <f>_xll.BDH("AAL US Equity","CUR_RATIO","FQ2 2019","FQ2 2019","Currency=USD","Period=FQ","BEST_FPERIOD_OVERRIDE=FQ","FILING_STATUS=MR","Sort=A","Dates=H","DateFormat=P","Fill=—","Direction=H","UseDPDF=Y")</f>
        <v>0.48949999999999999</v>
      </c>
      <c r="AJ7" s="21">
        <f>_xll.BDH("AAL US Equity","CUR_RATIO","FQ3 2019","FQ3 2019","Currency=USD","Period=FQ","BEST_FPERIOD_OVERRIDE=FQ","FILING_STATUS=MR","Sort=A","Dates=H","DateFormat=P","Fill=—","Direction=H","UseDPDF=Y")</f>
        <v>0.4894</v>
      </c>
      <c r="AK7" s="21">
        <f>_xll.BDH("AAL US Equity","CUR_RATIO","FQ4 2019","FQ4 2019","Currency=USD","Period=FQ","BEST_FPERIOD_OVERRIDE=FQ","FILING_STATUS=MR","Sort=A","Dates=H","DateFormat=P","Fill=—","Direction=H","UseDPDF=Y")</f>
        <v>0.4481</v>
      </c>
      <c r="AL7" s="21">
        <f>_xll.BDH("AAL US Equity","CUR_RATIO","FQ1 2020","FQ1 2020","Currency=USD","Period=FQ","BEST_FPERIOD_OVERRIDE=FQ","FILING_STATUS=MR","Sort=A","Dates=H","DateFormat=P","Fill=—","Direction=H","UseDPDF=Y")</f>
        <v>0.37340000000000001</v>
      </c>
      <c r="AM7" s="21">
        <f>_xll.BDH("AAL US Equity","CUR_RATIO","FQ2 2020","FQ2 2020","Currency=USD","Period=FQ","BEST_FPERIOD_OVERRIDE=FQ","FILING_STATUS=MR","Sort=A","Dates=H","DateFormat=P","Fill=—","Direction=H","UseDPDF=Y")</f>
        <v>0.7661</v>
      </c>
      <c r="AN7" s="21">
        <f>_xll.BDH("AAL US Equity","CUR_RATIO","FQ3 2020","FQ3 2020","Currency=USD","Period=FQ","BEST_FPERIOD_OVERRIDE=FQ","FILING_STATUS=MR","Sort=A","Dates=H","DateFormat=P","Fill=—","Direction=H","UseDPDF=Y")</f>
        <v>0.74409999999999998</v>
      </c>
      <c r="AO7" s="21">
        <f>_xll.BDH("AAL US Equity","CUR_RATIO","FQ4 2020","FQ4 2020","Currency=USD","Period=FQ","BEST_FPERIOD_OVERRIDE=FQ","FILING_STATUS=MR","Sort=A","Dates=H","DateFormat=P","Fill=—","Direction=H","UseDPDF=Y")</f>
        <v>0.66959999999999997</v>
      </c>
      <c r="AP7" s="21">
        <f>_xll.BDH("AAL US Equity","CUR_RATIO","FQ1 2021","FQ1 2021","Currency=USD","Period=FQ","BEST_FPERIOD_OVERRIDE=FQ","FILING_STATUS=MR","Sort=A","Dates=H","DateFormat=P","Fill=—","Direction=H","UseDPDF=Y")</f>
        <v>1.0436000000000001</v>
      </c>
    </row>
    <row r="8" spans="1:42" x14ac:dyDescent="0.25">
      <c r="A8" s="8" t="s">
        <v>188</v>
      </c>
      <c r="B8" s="8" t="s">
        <v>187</v>
      </c>
      <c r="C8" s="21">
        <f>_xll.BDH("AAL US Equity","QUICK_RATIO","FQ2 2011","FQ2 2011","Currency=USD","Period=FQ","BEST_FPERIOD_OVERRIDE=FQ","FILING_STATUS=MR","Sort=A","Dates=H","DateFormat=P","Fill=—","Direction=H","UseDPDF=Y")</f>
        <v>0.62680000000000002</v>
      </c>
      <c r="D8" s="21">
        <f>_xll.BDH("AAL US Equity","QUICK_RATIO","FQ3 2011","FQ3 2011","Currency=USD","Period=FQ","BEST_FPERIOD_OVERRIDE=FQ","FILING_STATUS=MR","Sort=A","Dates=H","DateFormat=P","Fill=—","Direction=H","UseDPDF=Y")</f>
        <v>0.58509999999999995</v>
      </c>
      <c r="E8" s="21">
        <f>_xll.BDH("AAL US Equity","QUICK_RATIO","FQ4 2011","FQ4 2011","Currency=USD","Period=FQ","BEST_FPERIOD_OVERRIDE=FQ","FILING_STATUS=MR","Sort=A","Dates=H","DateFormat=P","Fill=—","Direction=H","UseDPDF=Y")</f>
        <v>0.56810000000000005</v>
      </c>
      <c r="F8" s="21">
        <f>_xll.BDH("AAL US Equity","QUICK_RATIO","FQ1 2012","FQ1 2012","Currency=USD","Period=FQ","BEST_FPERIOD_OVERRIDE=FQ","FILING_STATUS=MR","Sort=A","Dates=H","DateFormat=P","Fill=—","Direction=H","UseDPDF=Y")</f>
        <v>0.61560000000000004</v>
      </c>
      <c r="G8" s="21">
        <f>_xll.BDH("AAL US Equity","QUICK_RATIO","FQ2 2012","FQ2 2012","Currency=USD","Period=FQ","BEST_FPERIOD_OVERRIDE=FQ","FILING_STATUS=MR","Sort=A","Dates=H","DateFormat=P","Fill=—","Direction=H","UseDPDF=Y")</f>
        <v>0.6069</v>
      </c>
      <c r="H8" s="21">
        <f>_xll.BDH("AAL US Equity","QUICK_RATIO","FQ3 2012","FQ3 2012","Currency=USD","Period=FQ","BEST_FPERIOD_OVERRIDE=FQ","FILING_STATUS=MR","Sort=A","Dates=H","DateFormat=P","Fill=—","Direction=H","UseDPDF=Y")</f>
        <v>0.56189999999999996</v>
      </c>
      <c r="I8" s="21">
        <f>_xll.BDH("AAL US Equity","QUICK_RATIO","FQ4 2012","FQ4 2012","Currency=USD","Period=FQ","BEST_FPERIOD_OVERRIDE=FQ","FILING_STATUS=MR","Sort=A","Dates=H","DateFormat=P","Fill=—","Direction=H","UseDPDF=Y")</f>
        <v>0.53910000000000002</v>
      </c>
      <c r="J8" s="21">
        <f>_xll.BDH("AAL US Equity","QUICK_RATIO","FQ1 2013","FQ1 2013","Currency=USD","Period=FQ","BEST_FPERIOD_OVERRIDE=FQ","FILING_STATUS=MR","Sort=A","Dates=H","DateFormat=P","Fill=—","Direction=H","UseDPDF=Y")</f>
        <v>0.54920000000000002</v>
      </c>
      <c r="K8" s="21">
        <f>_xll.BDH("AAL US Equity","QUICK_RATIO","FQ2 2013","FQ2 2013","Currency=USD","Period=FQ","BEST_FPERIOD_OVERRIDE=FQ","FILING_STATUS=MR","Sort=A","Dates=H","DateFormat=P","Fill=—","Direction=H","UseDPDF=Y")</f>
        <v>0.71099999999999997</v>
      </c>
      <c r="L8" s="21">
        <f>_xll.BDH("AAL US Equity","QUICK_RATIO","FQ3 2013","FQ3 2013","Currency=USD","Period=FQ","BEST_FPERIOD_OVERRIDE=FQ","FILING_STATUS=MR","Sort=A","Dates=H","DateFormat=P","Fill=—","Direction=H","UseDPDF=Y")</f>
        <v>0.8024</v>
      </c>
      <c r="M8" s="21">
        <f>_xll.BDH("AAL US Equity","QUICK_RATIO","FQ4 2013","FQ4 2013","Currency=USD","Period=FQ","BEST_FPERIOD_OVERRIDE=FQ","FILING_STATUS=MR","Sort=A","Dates=H","DateFormat=P","Fill=—","Direction=H","UseDPDF=Y")</f>
        <v>0.78310000000000002</v>
      </c>
      <c r="N8" s="21">
        <f>_xll.BDH("AAL US Equity","QUICK_RATIO","FQ1 2014","FQ1 2014","Currency=USD","Period=FQ","BEST_FPERIOD_OVERRIDE=FQ","FILING_STATUS=MR","Sort=A","Dates=H","DateFormat=P","Fill=—","Direction=H","UseDPDF=Y")</f>
        <v>0.77410000000000001</v>
      </c>
      <c r="O8" s="21">
        <f>_xll.BDH("AAL US Equity","QUICK_RATIO","FQ2 2014","FQ2 2014","Currency=USD","Period=FQ","BEST_FPERIOD_OVERRIDE=FQ","FILING_STATUS=MR","Sort=A","Dates=H","DateFormat=P","Fill=—","Direction=H","UseDPDF=Y")</f>
        <v>0.75819999999999999</v>
      </c>
      <c r="P8" s="21">
        <f>_xll.BDH("AAL US Equity","QUICK_RATIO","FQ3 2014","FQ3 2014","Currency=USD","Period=FQ","BEST_FPERIOD_OVERRIDE=FQ","FILING_STATUS=MR","Sort=A","Dates=H","DateFormat=P","Fill=—","Direction=H","UseDPDF=Y")</f>
        <v>0.71</v>
      </c>
      <c r="Q8" s="21">
        <f>_xll.BDH("AAL US Equity","QUICK_RATIO","FQ4 2014","FQ4 2014","Currency=USD","Period=FQ","BEST_FPERIOD_OVERRIDE=FQ","FILING_STATUS=MR","Sort=A","Dates=H","DateFormat=P","Fill=—","Direction=H","UseDPDF=Y")</f>
        <v>0.67700000000000005</v>
      </c>
      <c r="R8" s="21">
        <f>_xll.BDH("AAL US Equity","QUICK_RATIO","FQ1 2015","FQ1 2015","Currency=USD","Period=FQ","BEST_FPERIOD_OVERRIDE=FQ","FILING_STATUS=MR","Sort=A","Dates=H","DateFormat=P","Fill=—","Direction=H","UseDPDF=Y")</f>
        <v>0.77280000000000004</v>
      </c>
      <c r="S8" s="21">
        <f>_xll.BDH("AAL US Equity","QUICK_RATIO","FQ2 2015","FQ2 2015","Currency=USD","Period=FQ","BEST_FPERIOD_OVERRIDE=FQ","FILING_STATUS=MR","Sort=A","Dates=H","DateFormat=P","Fill=—","Direction=H","UseDPDF=Y")</f>
        <v>0.71860000000000002</v>
      </c>
      <c r="T8" s="21">
        <f>_xll.BDH("AAL US Equity","QUICK_RATIO","FQ3 2015","FQ3 2015","Currency=USD","Period=FQ","BEST_FPERIOD_OVERRIDE=FQ","FILING_STATUS=MR","Sort=A","Dates=H","DateFormat=P","Fill=—","Direction=H","UseDPDF=Y")</f>
        <v>0.75570000000000004</v>
      </c>
      <c r="U8" s="21">
        <f>_xll.BDH("AAL US Equity","QUICK_RATIO","FQ4 2015","FQ4 2015","Currency=USD","Period=FQ","BEST_FPERIOD_OVERRIDE=FQ","FILING_STATUS=MR","Sort=A","Dates=H","DateFormat=P","Fill=—","Direction=H","UseDPDF=Y")</f>
        <v>0.56440000000000001</v>
      </c>
      <c r="V8" s="21">
        <f>_xll.BDH("AAL US Equity","QUICK_RATIO","FQ1 2016","FQ1 2016","Currency=USD","Period=FQ","BEST_FPERIOD_OVERRIDE=FQ","FILING_STATUS=MR","Sort=A","Dates=H","DateFormat=P","Fill=—","Direction=H","UseDPDF=Y")</f>
        <v>0.54849999999999999</v>
      </c>
      <c r="W8" s="21">
        <f>_xll.BDH("AAL US Equity","QUICK_RATIO","FQ2 2016","FQ2 2016","Currency=USD","Period=FQ","BEST_FPERIOD_OVERRIDE=FQ","FILING_STATUS=MR","Sort=A","Dates=H","DateFormat=P","Fill=—","Direction=H","UseDPDF=Y")</f>
        <v>0.58399999999999996</v>
      </c>
      <c r="X8" s="21">
        <f>_xll.BDH("AAL US Equity","QUICK_RATIO","FQ3 2016","FQ3 2016","Currency=USD","Period=FQ","BEST_FPERIOD_OVERRIDE=FQ","FILING_STATUS=MR","Sort=A","Dates=H","DateFormat=P","Fill=—","Direction=H","UseDPDF=Y")</f>
        <v>0.58199999999999996</v>
      </c>
      <c r="Y8" s="21">
        <f>_xll.BDH("AAL US Equity","QUICK_RATIO","FQ4 2016","FQ4 2016","Currency=USD","Period=FQ","BEST_FPERIOD_OVERRIDE=FQ","FILING_STATUS=MR","Sort=A","Dates=H","DateFormat=P","Fill=—","Direction=H","UseDPDF=Y")</f>
        <v>0.57330000000000003</v>
      </c>
      <c r="Z8" s="21">
        <f>_xll.BDH("AAL US Equity","QUICK_RATIO","FQ1 2017","FQ1 2017","Currency=USD","Period=FQ","BEST_FPERIOD_OVERRIDE=FQ","FILING_STATUS=MR","Sort=A","Dates=H","DateFormat=P","Fill=—","Direction=H","UseDPDF=Y")</f>
        <v>0.52810000000000001</v>
      </c>
      <c r="AA8" s="21">
        <f>_xll.BDH("AAL US Equity","QUICK_RATIO","FQ2 2017","FQ2 2017","Currency=USD","Period=FQ","BEST_FPERIOD_OVERRIDE=FQ","FILING_STATUS=MR","Sort=A","Dates=H","DateFormat=P","Fill=—","Direction=H","UseDPDF=Y")</f>
        <v>0.5232</v>
      </c>
      <c r="AB8" s="21">
        <f>_xll.BDH("AAL US Equity","QUICK_RATIO","FQ3 2017","FQ3 2017","Currency=USD","Period=FQ","BEST_FPERIOD_OVERRIDE=FQ","FILING_STATUS=MR","Sort=A","Dates=H","DateFormat=P","Fill=—","Direction=H","UseDPDF=Y")</f>
        <v>0.4879</v>
      </c>
      <c r="AC8" s="21">
        <f>_xll.BDH("AAL US Equity","QUICK_RATIO","FQ4 2017","FQ4 2017","Currency=USD","Period=FQ","BEST_FPERIOD_OVERRIDE=FQ","FILING_STATUS=MR","Sort=A","Dates=H","DateFormat=P","Fill=—","Direction=H","UseDPDF=Y")</f>
        <v>0.44390000000000002</v>
      </c>
      <c r="AD8" s="21">
        <f>_xll.BDH("AAL US Equity","QUICK_RATIO","FQ1 2018","FQ1 2018","Currency=USD","Period=FQ","BEST_FPERIOD_OVERRIDE=FQ","FILING_STATUS=MR","Sort=A","Dates=H","DateFormat=P","Fill=—","Direction=H","UseDPDF=Y")</f>
        <v>0.41749999999999998</v>
      </c>
      <c r="AE8" s="21">
        <f>_xll.BDH("AAL US Equity","QUICK_RATIO","FQ2 2018","FQ2 2018","Currency=USD","Period=FQ","BEST_FPERIOD_OVERRIDE=FQ","FILING_STATUS=MR","Sort=A","Dates=H","DateFormat=P","Fill=—","Direction=H","UseDPDF=Y")</f>
        <v>0.39679999999999999</v>
      </c>
      <c r="AF8" s="21">
        <f>_xll.BDH("AAL US Equity","QUICK_RATIO","FQ3 2018","FQ3 2018","Currency=USD","Period=FQ","BEST_FPERIOD_OVERRIDE=FQ","FILING_STATUS=MR","Sort=A","Dates=H","DateFormat=P","Fill=—","Direction=H","UseDPDF=Y")</f>
        <v>0.42970000000000003</v>
      </c>
      <c r="AG8" s="21">
        <f>_xll.BDH("AAL US Equity","QUICK_RATIO","FQ4 2018","FQ4 2018","Currency=USD","Period=FQ","BEST_FPERIOD_OVERRIDE=FQ","FILING_STATUS=MR","Sort=A","Dates=H","DateFormat=P","Fill=—","Direction=H","UseDPDF=Y")</f>
        <v>0.35730000000000001</v>
      </c>
      <c r="AH8" s="21">
        <f>_xll.BDH("AAL US Equity","QUICK_RATIO","FQ1 2019","FQ1 2019","Currency=USD","Period=FQ","BEST_FPERIOD_OVERRIDE=FQ","FILING_STATUS=MR","Sort=A","Dates=H","DateFormat=P","Fill=—","Direction=H","UseDPDF=Y")</f>
        <v>0.31359999999999999</v>
      </c>
      <c r="AI8" s="21">
        <f>_xll.BDH("AAL US Equity","QUICK_RATIO","FQ2 2019","FQ2 2019","Currency=USD","Period=FQ","BEST_FPERIOD_OVERRIDE=FQ","FILING_STATUS=MR","Sort=A","Dates=H","DateFormat=P","Fill=—","Direction=H","UseDPDF=Y")</f>
        <v>0.36530000000000001</v>
      </c>
      <c r="AJ8" s="21">
        <f>_xll.BDH("AAL US Equity","QUICK_RATIO","FQ3 2019","FQ3 2019","Currency=USD","Period=FQ","BEST_FPERIOD_OVERRIDE=FQ","FILING_STATUS=MR","Sort=A","Dates=H","DateFormat=P","Fill=—","Direction=H","UseDPDF=Y")</f>
        <v>0.35880000000000001</v>
      </c>
      <c r="AK8" s="21">
        <f>_xll.BDH("AAL US Equity","QUICK_RATIO","FQ4 2019","FQ4 2019","Currency=USD","Period=FQ","BEST_FPERIOD_OVERRIDE=FQ","FILING_STATUS=MR","Sort=A","Dates=H","DateFormat=P","Fill=—","Direction=H","UseDPDF=Y")</f>
        <v>0.30449999999999999</v>
      </c>
      <c r="AL8" s="21">
        <f>_xll.BDH("AAL US Equity","QUICK_RATIO","FQ1 2020","FQ1 2020","Currency=USD","Period=FQ","BEST_FPERIOD_OVERRIDE=FQ","FILING_STATUS=MR","Sort=A","Dates=H","DateFormat=P","Fill=—","Direction=H","UseDPDF=Y")</f>
        <v>0.2392</v>
      </c>
      <c r="AM8" s="21">
        <f>_xll.BDH("AAL US Equity","QUICK_RATIO","FQ2 2020","FQ2 2020","Currency=USD","Period=FQ","BEST_FPERIOD_OVERRIDE=FQ","FILING_STATUS=MR","Sort=A","Dates=H","DateFormat=P","Fill=—","Direction=H","UseDPDF=Y")</f>
        <v>0.59399999999999997</v>
      </c>
      <c r="AN8" s="21">
        <f>_xll.BDH("AAL US Equity","QUICK_RATIO","FQ3 2020","FQ3 2020","Currency=USD","Period=FQ","BEST_FPERIOD_OVERRIDE=FQ","FILING_STATUS=MR","Sort=A","Dates=H","DateFormat=P","Fill=—","Direction=H","UseDPDF=Y")</f>
        <v>0.56799999999999995</v>
      </c>
      <c r="AO8" s="21">
        <f>_xll.BDH("AAL US Equity","QUICK_RATIO","FQ4 2020","FQ4 2020","Currency=USD","Period=FQ","BEST_FPERIOD_OVERRIDE=FQ","FILING_STATUS=MR","Sort=A","Dates=H","DateFormat=P","Fill=—","Direction=H","UseDPDF=Y")</f>
        <v>0.49530000000000002</v>
      </c>
      <c r="AP8" s="21">
        <f>_xll.BDH("AAL US Equity","QUICK_RATIO","FQ1 2021","FQ1 2021","Currency=USD","Period=FQ","BEST_FPERIOD_OVERRIDE=FQ","FILING_STATUS=MR","Sort=A","Dates=H","DateFormat=P","Fill=—","Direction=H","UseDPDF=Y")</f>
        <v>0.86599999999999999</v>
      </c>
    </row>
    <row r="9" spans="1:42" x14ac:dyDescent="0.25">
      <c r="A9" s="8" t="s">
        <v>186</v>
      </c>
      <c r="B9" s="8" t="s">
        <v>185</v>
      </c>
      <c r="C9" s="21">
        <f>_xll.BDH("AAL US Equity","CFO_TO_AVG_CURRENT_LIABILITIES","FQ2 2011","FQ2 2011","Currency=USD","Period=FQ","BEST_FPERIOD_OVERRIDE=FQ","FILING_STATUS=MR","Sort=A","Dates=H","DateFormat=P","Fill=—","Direction=H","UseDPDF=Y")</f>
        <v>7.5399999999999995E-2</v>
      </c>
      <c r="D9" s="21">
        <f>_xll.BDH("AAL US Equity","CFO_TO_AVG_CURRENT_LIABILITIES","FQ3 2011","FQ3 2011","Currency=USD","Period=FQ","BEST_FPERIOD_OVERRIDE=FQ","FILING_STATUS=MR","Sort=A","Dates=H","DateFormat=P","Fill=—","Direction=H","UseDPDF=Y")</f>
        <v>5.5599999999999997E-2</v>
      </c>
      <c r="E9" s="21">
        <f>_xll.BDH("AAL US Equity","CFO_TO_AVG_CURRENT_LIABILITIES","FQ4 2011","FQ4 2011","Currency=USD","Period=FQ","BEST_FPERIOD_OVERRIDE=FQ","FILING_STATUS=MR","Sort=A","Dates=H","DateFormat=P","Fill=—","Direction=H","UseDPDF=Y")</f>
        <v>8.5400000000000004E-2</v>
      </c>
      <c r="F9" s="21">
        <f>_xll.BDH("AAL US Equity","CFO_TO_AVG_CURRENT_LIABILITIES","FQ1 2012","FQ1 2012","Currency=USD","Period=FQ","BEST_FPERIOD_OVERRIDE=FQ","FILING_STATUS=MR","Sort=A","Dates=H","DateFormat=P","Fill=—","Direction=H","UseDPDF=Y")</f>
        <v>0.11360000000000001</v>
      </c>
      <c r="G9" s="21">
        <f>_xll.BDH("AAL US Equity","CFO_TO_AVG_CURRENT_LIABILITIES","FQ2 2012","FQ2 2012","Currency=USD","Period=FQ","BEST_FPERIOD_OVERRIDE=FQ","FILING_STATUS=MR","Sort=A","Dates=H","DateFormat=P","Fill=—","Direction=H","UseDPDF=Y")</f>
        <v>0.1827</v>
      </c>
      <c r="H9" s="21">
        <f>_xll.BDH("AAL US Equity","CFO_TO_AVG_CURRENT_LIABILITIES","FQ3 2012","FQ3 2012","Currency=USD","Period=FQ","BEST_FPERIOD_OVERRIDE=FQ","FILING_STATUS=MR","Sort=A","Dates=H","DateFormat=P","Fill=—","Direction=H","UseDPDF=Y")</f>
        <v>0.2122</v>
      </c>
      <c r="I9" s="21">
        <f>_xll.BDH("AAL US Equity","CFO_TO_AVG_CURRENT_LIABILITIES","FQ4 2012","FQ4 2012","Currency=USD","Period=FQ","BEST_FPERIOD_OVERRIDE=FQ","FILING_STATUS=MR","Sort=A","Dates=H","DateFormat=P","Fill=—","Direction=H","UseDPDF=Y")</f>
        <v>0.14330000000000001</v>
      </c>
      <c r="J9" s="21">
        <f>_xll.BDH("AAL US Equity","CFO_TO_AVG_CURRENT_LIABILITIES","FQ1 2013","FQ1 2013","Currency=USD","Period=FQ","BEST_FPERIOD_OVERRIDE=FQ","FILING_STATUS=MR","Sort=A","Dates=H","DateFormat=P","Fill=—","Direction=H","UseDPDF=Y")</f>
        <v>9.4E-2</v>
      </c>
      <c r="K9" s="21">
        <f>_xll.BDH("AAL US Equity","CFO_TO_AVG_CURRENT_LIABILITIES","FQ2 2013","FQ2 2013","Currency=USD","Period=FQ","BEST_FPERIOD_OVERRIDE=FQ","FILING_STATUS=MR","Sort=A","Dates=H","DateFormat=P","Fill=—","Direction=H","UseDPDF=Y")</f>
        <v>0.13819999999999999</v>
      </c>
      <c r="L9" s="21">
        <f>_xll.BDH("AAL US Equity","CFO_TO_AVG_CURRENT_LIABILITIES","FQ3 2013","FQ3 2013","Currency=USD","Period=FQ","BEST_FPERIOD_OVERRIDE=FQ","FILING_STATUS=MR","Sort=A","Dates=H","DateFormat=P","Fill=—","Direction=H","UseDPDF=Y")</f>
        <v>0.16309999999999999</v>
      </c>
      <c r="M9" s="21">
        <f>_xll.BDH("AAL US Equity","CFO_TO_AVG_CURRENT_LIABILITIES","FQ4 2013","FQ4 2013","Currency=USD","Period=FQ","BEST_FPERIOD_OVERRIDE=FQ","FILING_STATUS=MR","Sort=A","Dates=H","DateFormat=P","Fill=—","Direction=H","UseDPDF=Y")</f>
        <v>5.8400000000000001E-2</v>
      </c>
      <c r="N9" s="21">
        <f>_xll.BDH("AAL US Equity","CFO_TO_AVG_CURRENT_LIABILITIES","FQ1 2014","FQ1 2014","Currency=USD","Period=FQ","BEST_FPERIOD_OVERRIDE=FQ","FILING_STATUS=MR","Sort=A","Dates=H","DateFormat=P","Fill=—","Direction=H","UseDPDF=Y")</f>
        <v>9.8199999999999996E-2</v>
      </c>
      <c r="O9" s="21">
        <f>_xll.BDH("AAL US Equity","CFO_TO_AVG_CURRENT_LIABILITIES","FQ2 2014","FQ2 2014","Currency=USD","Period=FQ","BEST_FPERIOD_OVERRIDE=FQ","FILING_STATUS=MR","Sort=A","Dates=H","DateFormat=P","Fill=—","Direction=H","UseDPDF=Y")</f>
        <v>0.112</v>
      </c>
      <c r="P9" s="21">
        <f>_xll.BDH("AAL US Equity","CFO_TO_AVG_CURRENT_LIABILITIES","FQ3 2014","FQ3 2014","Currency=USD","Period=FQ","BEST_FPERIOD_OVERRIDE=FQ","FILING_STATUS=MR","Sort=A","Dates=H","DateFormat=P","Fill=—","Direction=H","UseDPDF=Y")</f>
        <v>8.8700000000000001E-2</v>
      </c>
      <c r="Q9" s="21">
        <f>_xll.BDH("AAL US Equity","CFO_TO_AVG_CURRENT_LIABILITIES","FQ4 2014","FQ4 2014","Currency=USD","Period=FQ","BEST_FPERIOD_OVERRIDE=FQ","FILING_STATUS=MR","Sort=A","Dates=H","DateFormat=P","Fill=—","Direction=H","UseDPDF=Y")</f>
        <v>0.22639999999999999</v>
      </c>
      <c r="R9" s="21">
        <f>_xll.BDH("AAL US Equity","CFO_TO_AVG_CURRENT_LIABILITIES","FQ1 2015","FQ1 2015","Currency=USD","Period=FQ","BEST_FPERIOD_OVERRIDE=FQ","FILING_STATUS=MR","Sort=A","Dates=H","DateFormat=P","Fill=—","Direction=H","UseDPDF=Y")</f>
        <v>0.29459999999999997</v>
      </c>
      <c r="S9" s="21">
        <f>_xll.BDH("AAL US Equity","CFO_TO_AVG_CURRENT_LIABILITIES","FQ2 2015","FQ2 2015","Currency=USD","Period=FQ","BEST_FPERIOD_OVERRIDE=FQ","FILING_STATUS=MR","Sort=A","Dates=H","DateFormat=P","Fill=—","Direction=H","UseDPDF=Y")</f>
        <v>0.35070000000000001</v>
      </c>
      <c r="T9" s="21">
        <f>_xll.BDH("AAL US Equity","CFO_TO_AVG_CURRENT_LIABILITIES","FQ3 2015","FQ3 2015","Currency=USD","Period=FQ","BEST_FPERIOD_OVERRIDE=FQ","FILING_STATUS=MR","Sort=A","Dates=H","DateFormat=P","Fill=—","Direction=H","UseDPDF=Y")</f>
        <v>0.48659999999999998</v>
      </c>
      <c r="U9" s="21">
        <f>_xll.BDH("AAL US Equity","CFO_TO_AVG_CURRENT_LIABILITIES","FQ4 2015","FQ4 2015","Currency=USD","Period=FQ","BEST_FPERIOD_OVERRIDE=FQ","FILING_STATUS=MR","Sort=A","Dates=H","DateFormat=P","Fill=—","Direction=H","UseDPDF=Y")</f>
        <v>0.4627</v>
      </c>
      <c r="V9" s="21">
        <f>_xll.BDH("AAL US Equity","CFO_TO_AVG_CURRENT_LIABILITIES","FQ1 2016","FQ1 2016","Currency=USD","Period=FQ","BEST_FPERIOD_OVERRIDE=FQ","FILING_STATUS=MR","Sort=A","Dates=H","DateFormat=P","Fill=—","Direction=H","UseDPDF=Y")</f>
        <v>0.43209999999999998</v>
      </c>
      <c r="W9" s="21">
        <f>_xll.BDH("AAL US Equity","CFO_TO_AVG_CURRENT_LIABILITIES","FQ2 2016","FQ2 2016","Currency=USD","Period=FQ","BEST_FPERIOD_OVERRIDE=FQ","FILING_STATUS=MR","Sort=A","Dates=H","DateFormat=P","Fill=—","Direction=H","UseDPDF=Y")</f>
        <v>0.41660000000000003</v>
      </c>
      <c r="X9" s="21">
        <f>_xll.BDH("AAL US Equity","CFO_TO_AVG_CURRENT_LIABILITIES","FQ3 2016","FQ3 2016","Currency=USD","Period=FQ","BEST_FPERIOD_OVERRIDE=FQ","FILING_STATUS=MR","Sort=A","Dates=H","DateFormat=P","Fill=—","Direction=H","UseDPDF=Y")</f>
        <v>0.4269</v>
      </c>
      <c r="Y9" s="21">
        <f>_xll.BDH("AAL US Equity","CFO_TO_AVG_CURRENT_LIABILITIES","FQ4 2016","FQ4 2016","Currency=USD","Period=FQ","BEST_FPERIOD_OVERRIDE=FQ","FILING_STATUS=MR","Sort=A","Dates=H","DateFormat=P","Fill=—","Direction=H","UseDPDF=Y")</f>
        <v>0.47489999999999999</v>
      </c>
      <c r="Z9" s="21">
        <f>_xll.BDH("AAL US Equity","CFO_TO_AVG_CURRENT_LIABILITIES","FQ1 2017","FQ1 2017","Currency=USD","Period=FQ","BEST_FPERIOD_OVERRIDE=FQ","FILING_STATUS=MR","Sort=A","Dates=H","DateFormat=P","Fill=—","Direction=H","UseDPDF=Y")</f>
        <v>0.4027</v>
      </c>
      <c r="AA9" s="21">
        <f>_xll.BDH("AAL US Equity","CFO_TO_AVG_CURRENT_LIABILITIES","FQ2 2017","FQ2 2017","Currency=USD","Period=FQ","BEST_FPERIOD_OVERRIDE=FQ","FILING_STATUS=MR","Sort=A","Dates=H","DateFormat=P","Fill=—","Direction=H","UseDPDF=Y")</f>
        <v>0.36280000000000001</v>
      </c>
      <c r="AB9" s="21">
        <f>_xll.BDH("AAL US Equity","CFO_TO_AVG_CURRENT_LIABILITIES","FQ3 2017","FQ3 2017","Currency=USD","Period=FQ","BEST_FPERIOD_OVERRIDE=FQ","FILING_STATUS=MR","Sort=A","Dates=H","DateFormat=P","Fill=—","Direction=H","UseDPDF=Y")</f>
        <v>0.33069999999999999</v>
      </c>
      <c r="AC9" s="21">
        <f>_xll.BDH("AAL US Equity","CFO_TO_AVG_CURRENT_LIABILITIES","FQ4 2017","FQ4 2017","Currency=USD","Period=FQ","BEST_FPERIOD_OVERRIDE=FQ","FILING_STATUS=MR","Sort=A","Dates=H","DateFormat=P","Fill=—","Direction=H","UseDPDF=Y")</f>
        <v>0.3382</v>
      </c>
      <c r="AD9" s="21">
        <f>_xll.BDH("AAL US Equity","CFO_TO_AVG_CURRENT_LIABILITIES","FQ1 2018","FQ1 2018","Currency=USD","Period=FQ","BEST_FPERIOD_OVERRIDE=FQ","FILING_STATUS=MR","Sort=A","Dates=H","DateFormat=P","Fill=—","Direction=H","UseDPDF=Y")</f>
        <v>0.27829999999999999</v>
      </c>
      <c r="AE9" s="21">
        <f>_xll.BDH("AAL US Equity","CFO_TO_AVG_CURRENT_LIABILITIES","FQ2 2018","FQ2 2018","Currency=USD","Period=FQ","BEST_FPERIOD_OVERRIDE=FQ","FILING_STATUS=MR","Sort=A","Dates=H","DateFormat=P","Fill=—","Direction=H","UseDPDF=Y")</f>
        <v>0.2379</v>
      </c>
      <c r="AF9" s="21">
        <f>_xll.BDH("AAL US Equity","CFO_TO_AVG_CURRENT_LIABILITIES","FQ3 2018","FQ3 2018","Currency=USD","Period=FQ","BEST_FPERIOD_OVERRIDE=FQ","FILING_STATUS=MR","Sort=A","Dates=H","DateFormat=P","Fill=—","Direction=H","UseDPDF=Y")</f>
        <v>0.21820000000000001</v>
      </c>
      <c r="AG9" s="21">
        <f>_xll.BDH("AAL US Equity","CFO_TO_AVG_CURRENT_LIABILITIES","FQ4 2018","FQ4 2018","Currency=USD","Period=FQ","BEST_FPERIOD_OVERRIDE=FQ","FILING_STATUS=MR","Sort=A","Dates=H","DateFormat=P","Fill=—","Direction=H","UseDPDF=Y")</f>
        <v>0.22739999999999999</v>
      </c>
      <c r="AH9" s="21">
        <f>_xll.BDH("AAL US Equity","CFO_TO_AVG_CURRENT_LIABILITIES","FQ1 2019","FQ1 2019","Currency=USD","Period=FQ","BEST_FPERIOD_OVERRIDE=FQ","FILING_STATUS=MR","Sort=A","Dates=H","DateFormat=P","Fill=—","Direction=H","UseDPDF=Y")</f>
        <v>0.1983</v>
      </c>
      <c r="AI9" s="21">
        <f>_xll.BDH("AAL US Equity","CFO_TO_AVG_CURRENT_LIABILITIES","FQ2 2019","FQ2 2019","Currency=USD","Period=FQ","BEST_FPERIOD_OVERRIDE=FQ","FILING_STATUS=MR","Sort=A","Dates=H","DateFormat=P","Fill=—","Direction=H","UseDPDF=Y")</f>
        <v>0.1792</v>
      </c>
      <c r="AJ9" s="21">
        <f>_xll.BDH("AAL US Equity","CFO_TO_AVG_CURRENT_LIABILITIES","FQ3 2019","FQ3 2019","Currency=USD","Period=FQ","BEST_FPERIOD_OVERRIDE=FQ","FILING_STATUS=MR","Sort=A","Dates=H","DateFormat=P","Fill=—","Direction=H","UseDPDF=Y")</f>
        <v>0.23400000000000001</v>
      </c>
      <c r="AK9" s="21">
        <f>_xll.BDH("AAL US Equity","CFO_TO_AVG_CURRENT_LIABILITIES","FQ4 2019","FQ4 2019","Currency=USD","Period=FQ","BEST_FPERIOD_OVERRIDE=FQ","FILING_STATUS=MR","Sort=A","Dates=H","DateFormat=P","Fill=—","Direction=H","UseDPDF=Y")</f>
        <v>0.18340000000000001</v>
      </c>
      <c r="AL9" s="21">
        <f>_xll.BDH("AAL US Equity","CFO_TO_AVG_CURRENT_LIABILITIES","FQ1 2020","FQ1 2020","Currency=USD","Period=FQ","BEST_FPERIOD_OVERRIDE=FQ","FILING_STATUS=MR","Sort=A","Dates=H","DateFormat=P","Fill=—","Direction=H","UseDPDF=Y")</f>
        <v>7.7799999999999994E-2</v>
      </c>
      <c r="AM9" s="21">
        <f>_xll.BDH("AAL US Equity","CFO_TO_AVG_CURRENT_LIABILITIES","FQ2 2020","FQ2 2020","Currency=USD","Period=FQ","BEST_FPERIOD_OVERRIDE=FQ","FILING_STATUS=MR","Sort=A","Dates=H","DateFormat=P","Fill=—","Direction=H","UseDPDF=Y")</f>
        <v>-6.4999999999999997E-3</v>
      </c>
      <c r="AN9" s="21">
        <f>_xll.BDH("AAL US Equity","CFO_TO_AVG_CURRENT_LIABILITIES","FQ3 2020","FQ3 2020","Currency=USD","Period=FQ","BEST_FPERIOD_OVERRIDE=FQ","FILING_STATUS=MR","Sort=A","Dates=H","DateFormat=P","Fill=—","Direction=H","UseDPDF=Y")</f>
        <v>-0.1968</v>
      </c>
      <c r="AO9" s="21">
        <f>_xll.BDH("AAL US Equity","CFO_TO_AVG_CURRENT_LIABILITIES","FQ4 2020","FQ4 2020","Currency=USD","Period=FQ","BEST_FPERIOD_OVERRIDE=FQ","FILING_STATUS=MR","Sort=A","Dates=H","DateFormat=P","Fill=—","Direction=H","UseDPDF=Y")</f>
        <v>-0.37519999999999998</v>
      </c>
      <c r="AP9" s="21">
        <f>_xll.BDH("AAL US Equity","CFO_TO_AVG_CURRENT_LIABILITIES","FQ1 2021","FQ1 2021","Currency=USD","Period=FQ","BEST_FPERIOD_OVERRIDE=FQ","FILING_STATUS=MR","Sort=A","Dates=H","DateFormat=P","Fill=—","Direction=H","UseDPDF=Y")</f>
        <v>-0.33939999999999998</v>
      </c>
    </row>
    <row r="10" spans="1:42" x14ac:dyDescent="0.25">
      <c r="A10" s="8" t="s">
        <v>184</v>
      </c>
      <c r="B10" s="8" t="s">
        <v>183</v>
      </c>
      <c r="C10" s="21">
        <f>_xll.BDH("AAL US Equity","COM_EQY_TO_TOT_ASSET","FQ2 2011","FQ2 2011","Currency=USD","Period=FQ","BEST_FPERIOD_OVERRIDE=FQ","FILING_STATUS=MR","Sort=A","Dates=H","DateFormat=P","Fill=—","Direction=H","UseDPDF=Y")</f>
        <v>-17.485600000000002</v>
      </c>
      <c r="D10" s="21">
        <f>_xll.BDH("AAL US Equity","COM_EQY_TO_TOT_ASSET","FQ3 2011","FQ3 2011","Currency=USD","Period=FQ","BEST_FPERIOD_OVERRIDE=FQ","FILING_STATUS=MR","Sort=A","Dates=H","DateFormat=P","Fill=—","Direction=H","UseDPDF=Y")</f>
        <v>-19.5518</v>
      </c>
      <c r="E10" s="21">
        <f>_xll.BDH("AAL US Equity","COM_EQY_TO_TOT_ASSET","FQ4 2011","FQ4 2011","Currency=USD","Period=FQ","BEST_FPERIOD_OVERRIDE=FQ","FILING_STATUS=MR","Sort=A","Dates=H","DateFormat=P","Fill=—","Direction=H","UseDPDF=Y")</f>
        <v>-29.818000000000001</v>
      </c>
      <c r="F10" s="21">
        <f>_xll.BDH("AAL US Equity","COM_EQY_TO_TOT_ASSET","FQ1 2012","FQ1 2012","Currency=USD","Period=FQ","BEST_FPERIOD_OVERRIDE=FQ","FILING_STATUS=MR","Sort=A","Dates=H","DateFormat=P","Fill=—","Direction=H","UseDPDF=Y")</f>
        <v>-35.437199999999997</v>
      </c>
      <c r="G10" s="21">
        <f>_xll.BDH("AAL US Equity","COM_EQY_TO_TOT_ASSET","FQ2 2012","FQ2 2012","Currency=USD","Period=FQ","BEST_FPERIOD_OVERRIDE=FQ","FILING_STATUS=MR","Sort=A","Dates=H","DateFormat=P","Fill=—","Direction=H","UseDPDF=Y")</f>
        <v>-36.269500000000001</v>
      </c>
      <c r="H10" s="21">
        <f>_xll.BDH("AAL US Equity","COM_EQY_TO_TOT_ASSET","FQ3 2012","FQ3 2012","Currency=USD","Period=FQ","BEST_FPERIOD_OVERRIDE=FQ","FILING_STATUS=MR","Sort=A","Dates=H","DateFormat=P","Fill=—","Direction=H","UseDPDF=Y")</f>
        <v>-30.822900000000001</v>
      </c>
      <c r="I10" s="21">
        <f>_xll.BDH("AAL US Equity","COM_EQY_TO_TOT_ASSET","FQ4 2012","FQ4 2012","Currency=USD","Period=FQ","BEST_FPERIOD_OVERRIDE=FQ","FILING_STATUS=MR","Sort=A","Dates=H","DateFormat=P","Fill=—","Direction=H","UseDPDF=Y")</f>
        <v>-33.972799999999999</v>
      </c>
      <c r="J10" s="21">
        <f>_xll.BDH("AAL US Equity","COM_EQY_TO_TOT_ASSET","FQ1 2013","FQ1 2013","Currency=USD","Period=FQ","BEST_FPERIOD_OVERRIDE=FQ","FILING_STATUS=MR","Sort=A","Dates=H","DateFormat=P","Fill=—","Direction=H","UseDPDF=Y")</f>
        <v>-35.116599999999998</v>
      </c>
      <c r="K10" s="21">
        <f>_xll.BDH("AAL US Equity","COM_EQY_TO_TOT_ASSET","FQ2 2013","FQ2 2013","Currency=USD","Period=FQ","BEST_FPERIOD_OVERRIDE=FQ","FILING_STATUS=MR","Sort=A","Dates=H","DateFormat=P","Fill=—","Direction=H","UseDPDF=Y")</f>
        <v>-31.339600000000001</v>
      </c>
      <c r="L10" s="21">
        <f>_xll.BDH("AAL US Equity","COM_EQY_TO_TOT_ASSET","FQ3 2013","FQ3 2013","Currency=USD","Period=FQ","BEST_FPERIOD_OVERRIDE=FQ","FILING_STATUS=MR","Sort=A","Dates=H","DateFormat=P","Fill=—","Direction=H","UseDPDF=Y")</f>
        <v>-29.581800000000001</v>
      </c>
      <c r="M10" s="21">
        <f>_xll.BDH("AAL US Equity","COM_EQY_TO_TOT_ASSET","FQ4 2013","FQ4 2013","Currency=USD","Period=FQ","BEST_FPERIOD_OVERRIDE=FQ","FILING_STATUS=MR","Sort=A","Dates=H","DateFormat=P","Fill=—","Direction=H","UseDPDF=Y")</f>
        <v>-6.4596</v>
      </c>
      <c r="N10" s="21">
        <f>_xll.BDH("AAL US Equity","COM_EQY_TO_TOT_ASSET","FQ1 2014","FQ1 2014","Currency=USD","Period=FQ","BEST_FPERIOD_OVERRIDE=FQ","FILING_STATUS=MR","Sort=A","Dates=H","DateFormat=P","Fill=—","Direction=H","UseDPDF=Y")</f>
        <v>2.5036</v>
      </c>
      <c r="O10" s="21">
        <f>_xll.BDH("AAL US Equity","COM_EQY_TO_TOT_ASSET","FQ2 2014","FQ2 2014","Currency=USD","Period=FQ","BEST_FPERIOD_OVERRIDE=FQ","FILING_STATUS=MR","Sort=A","Dates=H","DateFormat=P","Fill=—","Direction=H","UseDPDF=Y")</f>
        <v>9.1182999999999996</v>
      </c>
      <c r="P10" s="21">
        <f>_xll.BDH("AAL US Equity","COM_EQY_TO_TOT_ASSET","FQ3 2014","FQ3 2014","Currency=USD","Period=FQ","BEST_FPERIOD_OVERRIDE=FQ","FILING_STATUS=MR","Sort=A","Dates=H","DateFormat=P","Fill=—","Direction=H","UseDPDF=Y")</f>
        <v>11.253500000000001</v>
      </c>
      <c r="Q10" s="21">
        <f>_xll.BDH("AAL US Equity","COM_EQY_TO_TOT_ASSET","FQ4 2014","FQ4 2014","Currency=USD","Period=FQ","BEST_FPERIOD_OVERRIDE=FQ","FILING_STATUS=MR","Sort=A","Dates=H","DateFormat=P","Fill=—","Direction=H","UseDPDF=Y")</f>
        <v>4.6754999999999995</v>
      </c>
      <c r="R10" s="21">
        <f>_xll.BDH("AAL US Equity","COM_EQY_TO_TOT_ASSET","FQ1 2015","FQ1 2015","Currency=USD","Period=FQ","BEST_FPERIOD_OVERRIDE=FQ","FILING_STATUS=MR","Sort=A","Dates=H","DateFormat=P","Fill=—","Direction=H","UseDPDF=Y")</f>
        <v>5.9118000000000004</v>
      </c>
      <c r="S10" s="21">
        <f>_xll.BDH("AAL US Equity","COM_EQY_TO_TOT_ASSET","FQ2 2015","FQ2 2015","Currency=USD","Period=FQ","BEST_FPERIOD_OVERRIDE=FQ","FILING_STATUS=MR","Sort=A","Dates=H","DateFormat=P","Fill=—","Direction=H","UseDPDF=Y")</f>
        <v>7.5959000000000003</v>
      </c>
      <c r="T10" s="21">
        <f>_xll.BDH("AAL US Equity","COM_EQY_TO_TOT_ASSET","FQ3 2015","FQ3 2015","Currency=USD","Period=FQ","BEST_FPERIOD_OVERRIDE=FQ","FILING_STATUS=MR","Sort=A","Dates=H","DateFormat=P","Fill=—","Direction=H","UseDPDF=Y")</f>
        <v>7.7225000000000001</v>
      </c>
      <c r="U10" s="21">
        <f>_xll.BDH("AAL US Equity","COM_EQY_TO_TOT_ASSET","FQ4 2015","FQ4 2015","Currency=USD","Period=FQ","BEST_FPERIOD_OVERRIDE=FQ","FILING_STATUS=MR","Sort=A","Dates=H","DateFormat=P","Fill=—","Direction=H","UseDPDF=Y")</f>
        <v>11.638999999999999</v>
      </c>
      <c r="V10" s="21">
        <f>_xll.BDH("AAL US Equity","COM_EQY_TO_TOT_ASSET","FQ1 2016","FQ1 2016","Currency=USD","Period=FQ","BEST_FPERIOD_OVERRIDE=FQ","FILING_STATUS=MR","Sort=A","Dates=H","DateFormat=P","Fill=—","Direction=H","UseDPDF=Y")</f>
        <v>9.4372000000000007</v>
      </c>
      <c r="W10" s="21">
        <f>_xll.BDH("AAL US Equity","COM_EQY_TO_TOT_ASSET","FQ2 2016","FQ2 2016","Currency=USD","Period=FQ","BEST_FPERIOD_OVERRIDE=FQ","FILING_STATUS=MR","Sort=A","Dates=H","DateFormat=P","Fill=—","Direction=H","UseDPDF=Y")</f>
        <v>8.4465000000000003</v>
      </c>
      <c r="X10" s="21">
        <f>_xll.BDH("AAL US Equity","COM_EQY_TO_TOT_ASSET","FQ3 2016","FQ3 2016","Currency=USD","Period=FQ","BEST_FPERIOD_OVERRIDE=FQ","FILING_STATUS=MR","Sort=A","Dates=H","DateFormat=P","Fill=—","Direction=H","UseDPDF=Y")</f>
        <v>8.5915999999999997</v>
      </c>
      <c r="Y10" s="21">
        <f>_xll.BDH("AAL US Equity","COM_EQY_TO_TOT_ASSET","FQ4 2016","FQ4 2016","Currency=USD","Period=FQ","BEST_FPERIOD_OVERRIDE=FQ","FILING_STATUS=MR","Sort=A","Dates=H","DateFormat=P","Fill=—","Direction=H","UseDPDF=Y")</f>
        <v>7.3818999999999999</v>
      </c>
      <c r="Z10" s="21">
        <f>_xll.BDH("AAL US Equity","COM_EQY_TO_TOT_ASSET","FQ1 2017","FQ1 2017","Currency=USD","Period=FQ","BEST_FPERIOD_OVERRIDE=FQ","FILING_STATUS=MR","Sort=A","Dates=H","DateFormat=P","Fill=—","Direction=H","UseDPDF=Y")</f>
        <v>6.5689000000000002</v>
      </c>
      <c r="AA10" s="21">
        <f>_xll.BDH("AAL US Equity","COM_EQY_TO_TOT_ASSET","FQ2 2017","FQ2 2017","Currency=USD","Period=FQ","BEST_FPERIOD_OVERRIDE=FQ","FILING_STATUS=MR","Sort=A","Dates=H","DateFormat=P","Fill=—","Direction=H","UseDPDF=Y")</f>
        <v>6.9653</v>
      </c>
      <c r="AB10" s="21">
        <f>_xll.BDH("AAL US Equity","COM_EQY_TO_TOT_ASSET","FQ3 2017","FQ3 2017","Currency=USD","Period=FQ","BEST_FPERIOD_OVERRIDE=FQ","FILING_STATUS=MR","Sort=A","Dates=H","DateFormat=P","Fill=—","Direction=H","UseDPDF=Y")</f>
        <v>7.5342000000000002</v>
      </c>
      <c r="AC10" s="21">
        <f>_xll.BDH("AAL US Equity","COM_EQY_TO_TOT_ASSET","FQ4 2017","FQ4 2017","Currency=USD","Period=FQ","BEST_FPERIOD_OVERRIDE=FQ","FILING_STATUS=MR","Sort=A","Dates=H","DateFormat=P","Fill=—","Direction=H","UseDPDF=Y")</f>
        <v>-1.4777</v>
      </c>
      <c r="AD10" s="21">
        <f>_xll.BDH("AAL US Equity","COM_EQY_TO_TOT_ASSET","FQ1 2018","FQ1 2018","Currency=USD","Period=FQ","BEST_FPERIOD_OVERRIDE=FQ","FILING_STATUS=MR","Sort=A","Dates=H","DateFormat=P","Fill=—","Direction=H","UseDPDF=Y")</f>
        <v>-1.9106999999999998</v>
      </c>
      <c r="AE10" s="21">
        <f>_xll.BDH("AAL US Equity","COM_EQY_TO_TOT_ASSET","FQ2 2018","FQ2 2018","Currency=USD","Period=FQ","BEST_FPERIOD_OVERRIDE=FQ","FILING_STATUS=MR","Sort=A","Dates=H","DateFormat=P","Fill=—","Direction=H","UseDPDF=Y")</f>
        <v>-1.6514</v>
      </c>
      <c r="AF10" s="21">
        <f>_xll.BDH("AAL US Equity","COM_EQY_TO_TOT_ASSET","FQ3 2018","FQ3 2018","Currency=USD","Period=FQ","BEST_FPERIOD_OVERRIDE=FQ","FILING_STATUS=MR","Sort=A","Dates=H","DateFormat=P","Fill=—","Direction=H","UseDPDF=Y")</f>
        <v>-1.0790999999999999</v>
      </c>
      <c r="AG10" s="21">
        <f>_xll.BDH("AAL US Equity","COM_EQY_TO_TOT_ASSET","FQ4 2018","FQ4 2018","Currency=USD","Period=FQ","BEST_FPERIOD_OVERRIDE=FQ","FILING_STATUS=MR","Sort=A","Dates=H","DateFormat=P","Fill=—","Direction=H","UseDPDF=Y")</f>
        <v>-0.27900000000000003</v>
      </c>
      <c r="AH10" s="21">
        <f>_xll.BDH("AAL US Equity","COM_EQY_TO_TOT_ASSET","FQ1 2019","FQ1 2019","Currency=USD","Period=FQ","BEST_FPERIOD_OVERRIDE=FQ","FILING_STATUS=MR","Sort=A","Dates=H","DateFormat=P","Fill=—","Direction=H","UseDPDF=Y")</f>
        <v>-1.0463</v>
      </c>
      <c r="AI10" s="21">
        <f>_xll.BDH("AAL US Equity","COM_EQY_TO_TOT_ASSET","FQ2 2019","FQ2 2019","Currency=USD","Period=FQ","BEST_FPERIOD_OVERRIDE=FQ","FILING_STATUS=MR","Sort=A","Dates=H","DateFormat=P","Fill=—","Direction=H","UseDPDF=Y")</f>
        <v>-3.5499999999999997E-2</v>
      </c>
      <c r="AJ10" s="21">
        <f>_xll.BDH("AAL US Equity","COM_EQY_TO_TOT_ASSET","FQ3 2019","FQ3 2019","Currency=USD","Period=FQ","BEST_FPERIOD_OVERRIDE=FQ","FILING_STATUS=MR","Sort=A","Dates=H","DateFormat=P","Fill=—","Direction=H","UseDPDF=Y")</f>
        <v>0.26150000000000001</v>
      </c>
      <c r="AK10" s="21">
        <f>_xll.BDH("AAL US Equity","COM_EQY_TO_TOT_ASSET","FQ4 2019","FQ4 2019","Currency=USD","Period=FQ","BEST_FPERIOD_OVERRIDE=FQ","FILING_STATUS=MR","Sort=A","Dates=H","DateFormat=P","Fill=—","Direction=H","UseDPDF=Y")</f>
        <v>-0.19670000000000001</v>
      </c>
      <c r="AL10" s="21">
        <f>_xll.BDH("AAL US Equity","COM_EQY_TO_TOT_ASSET","FQ1 2020","FQ1 2020","Currency=USD","Period=FQ","BEST_FPERIOD_OVERRIDE=FQ","FILING_STATUS=MR","Sort=A","Dates=H","DateFormat=P","Fill=—","Direction=H","UseDPDF=Y")</f>
        <v>-4.4998000000000005</v>
      </c>
      <c r="AM10" s="21">
        <f>_xll.BDH("AAL US Equity","COM_EQY_TO_TOT_ASSET","FQ2 2020","FQ2 2020","Currency=USD","Period=FQ","BEST_FPERIOD_OVERRIDE=FQ","FILING_STATUS=MR","Sort=A","Dates=H","DateFormat=P","Fill=—","Direction=H","UseDPDF=Y")</f>
        <v>-4.9097999999999997</v>
      </c>
      <c r="AN10" s="21">
        <f>_xll.BDH("AAL US Equity","COM_EQY_TO_TOT_ASSET","FQ3 2020","FQ3 2020","Currency=USD","Period=FQ","BEST_FPERIOD_OVERRIDE=FQ","FILING_STATUS=MR","Sort=A","Dates=H","DateFormat=P","Fill=—","Direction=H","UseDPDF=Y")</f>
        <v>-8.8063000000000002</v>
      </c>
      <c r="AO10" s="21">
        <f>_xll.BDH("AAL US Equity","COM_EQY_TO_TOT_ASSET","FQ4 2020","FQ4 2020","Currency=USD","Period=FQ","BEST_FPERIOD_OVERRIDE=FQ","FILING_STATUS=MR","Sort=A","Dates=H","DateFormat=P","Fill=—","Direction=H","UseDPDF=Y")</f>
        <v>-11.074400000000001</v>
      </c>
      <c r="AP10" s="21">
        <f>_xll.BDH("AAL US Equity","COM_EQY_TO_TOT_ASSET","FQ1 2021","FQ1 2021","Currency=USD","Period=FQ","BEST_FPERIOD_OVERRIDE=FQ","FILING_STATUS=MR","Sort=A","Dates=H","DateFormat=P","Fill=—","Direction=H","UseDPDF=Y")</f>
        <v>-11.573399999999999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182</v>
      </c>
      <c r="B12" s="8" t="s">
        <v>181</v>
      </c>
      <c r="C12" s="21" t="str">
        <f>_xll.BDH("AAL US Equity","LT_DEBT_TO_TOT_EQY","FQ2 2011","FQ2 2011","Currency=USD","Period=FQ","BEST_FPERIOD_OVERRIDE=FQ","FILING_STATUS=MR","Sort=A","Dates=H","DateFormat=P","Fill=—","Direction=H","UseDPDF=Y")</f>
        <v>—</v>
      </c>
      <c r="D12" s="21" t="str">
        <f>_xll.BDH("AAL US Equity","LT_DEBT_TO_TOT_EQY","FQ3 2011","FQ3 2011","Currency=USD","Period=FQ","BEST_FPERIOD_OVERRIDE=FQ","FILING_STATUS=MR","Sort=A","Dates=H","DateFormat=P","Fill=—","Direction=H","UseDPDF=Y")</f>
        <v>—</v>
      </c>
      <c r="E12" s="21" t="str">
        <f>_xll.BDH("AAL US Equity","LT_DEBT_TO_TOT_EQY","FQ4 2011","FQ4 2011","Currency=USD","Period=FQ","BEST_FPERIOD_OVERRIDE=FQ","FILING_STATUS=MR","Sort=A","Dates=H","DateFormat=P","Fill=—","Direction=H","UseDPDF=Y")</f>
        <v>—</v>
      </c>
      <c r="F12" s="21" t="str">
        <f>_xll.BDH("AAL US Equity","LT_DEBT_TO_TOT_EQY","FQ1 2012","FQ1 2012","Currency=USD","Period=FQ","BEST_FPERIOD_OVERRIDE=FQ","FILING_STATUS=MR","Sort=A","Dates=H","DateFormat=P","Fill=—","Direction=H","UseDPDF=Y")</f>
        <v>—</v>
      </c>
      <c r="G12" s="21" t="str">
        <f>_xll.BDH("AAL US Equity","LT_DEBT_TO_TOT_EQY","FQ2 2012","FQ2 2012","Currency=USD","Period=FQ","BEST_FPERIOD_OVERRIDE=FQ","FILING_STATUS=MR","Sort=A","Dates=H","DateFormat=P","Fill=—","Direction=H","UseDPDF=Y")</f>
        <v>—</v>
      </c>
      <c r="H12" s="21" t="str">
        <f>_xll.BDH("AAL US Equity","LT_DEBT_TO_TOT_EQY","FQ3 2012","FQ3 2012","Currency=USD","Period=FQ","BEST_FPERIOD_OVERRIDE=FQ","FILING_STATUS=MR","Sort=A","Dates=H","DateFormat=P","Fill=—","Direction=H","UseDPDF=Y")</f>
        <v>—</v>
      </c>
      <c r="I12" s="21" t="str">
        <f>_xll.BDH("AAL US Equity","LT_DEBT_TO_TOT_EQY","FQ4 2012","FQ4 2012","Currency=USD","Period=FQ","BEST_FPERIOD_OVERRIDE=FQ","FILING_STATUS=MR","Sort=A","Dates=H","DateFormat=P","Fill=—","Direction=H","UseDPDF=Y")</f>
        <v>—</v>
      </c>
      <c r="J12" s="21" t="str">
        <f>_xll.BDH("AAL US Equity","LT_DEBT_TO_TOT_EQY","FQ1 2013","FQ1 2013","Currency=USD","Period=FQ","BEST_FPERIOD_OVERRIDE=FQ","FILING_STATUS=MR","Sort=A","Dates=H","DateFormat=P","Fill=—","Direction=H","UseDPDF=Y")</f>
        <v>—</v>
      </c>
      <c r="K12" s="21" t="str">
        <f>_xll.BDH("AAL US Equity","LT_DEBT_TO_TOT_EQY","FQ2 2013","FQ2 2013","Currency=USD","Period=FQ","BEST_FPERIOD_OVERRIDE=FQ","FILING_STATUS=MR","Sort=A","Dates=H","DateFormat=P","Fill=—","Direction=H","UseDPDF=Y")</f>
        <v>—</v>
      </c>
      <c r="L12" s="21" t="str">
        <f>_xll.BDH("AAL US Equity","LT_DEBT_TO_TOT_EQY","FQ3 2013","FQ3 2013","Currency=USD","Period=FQ","BEST_FPERIOD_OVERRIDE=FQ","FILING_STATUS=MR","Sort=A","Dates=H","DateFormat=P","Fill=—","Direction=H","UseDPDF=Y")</f>
        <v>—</v>
      </c>
      <c r="M12" s="21" t="str">
        <f>_xll.BDH("AAL US Equity","LT_DEBT_TO_TOT_EQY","FQ4 2013","FQ4 2013","Currency=USD","Period=FQ","BEST_FPERIOD_OVERRIDE=FQ","FILING_STATUS=MR","Sort=A","Dates=H","DateFormat=P","Fill=—","Direction=H","UseDPDF=Y")</f>
        <v>—</v>
      </c>
      <c r="N12" s="21">
        <f>_xll.BDH("AAL US Equity","LT_DEBT_TO_TOT_EQY","FQ1 2014","FQ1 2014","Currency=USD","Period=FQ","BEST_FPERIOD_OVERRIDE=FQ","FILING_STATUS=MR","Sort=A","Dates=H","DateFormat=P","Fill=—","Direction=H","UseDPDF=Y")</f>
        <v>1604.2009</v>
      </c>
      <c r="O12" s="21">
        <f>_xll.BDH("AAL US Equity","LT_DEBT_TO_TOT_EQY","FQ2 2014","FQ2 2014","Currency=USD","Period=FQ","BEST_FPERIOD_OVERRIDE=FQ","FILING_STATUS=MR","Sort=A","Dates=H","DateFormat=P","Fill=—","Direction=H","UseDPDF=Y")</f>
        <v>382.28100000000001</v>
      </c>
      <c r="P12" s="21">
        <f>_xll.BDH("AAL US Equity","LT_DEBT_TO_TOT_EQY","FQ3 2014","FQ3 2014","Currency=USD","Period=FQ","BEST_FPERIOD_OVERRIDE=FQ","FILING_STATUS=MR","Sort=A","Dates=H","DateFormat=P","Fill=—","Direction=H","UseDPDF=Y")</f>
        <v>319.654</v>
      </c>
      <c r="Q12" s="21">
        <f>_xll.BDH("AAL US Equity","LT_DEBT_TO_TOT_EQY","FQ4 2014","FQ4 2014","Currency=USD","Period=FQ","BEST_FPERIOD_OVERRIDE=FQ","FILING_STATUS=MR","Sort=A","Dates=H","DateFormat=P","Fill=—","Direction=H","UseDPDF=Y")</f>
        <v>793.81489999999997</v>
      </c>
      <c r="R12" s="21">
        <f>_xll.BDH("AAL US Equity","LT_DEBT_TO_TOT_EQY","FQ1 2015","FQ1 2015","Currency=USD","Period=FQ","BEST_FPERIOD_OVERRIDE=FQ","FILING_STATUS=MR","Sort=A","Dates=H","DateFormat=P","Fill=—","Direction=H","UseDPDF=Y")</f>
        <v>638.13310000000001</v>
      </c>
      <c r="S12" s="21">
        <f>_xll.BDH("AAL US Equity","LT_DEBT_TO_TOT_EQY","FQ2 2015","FQ2 2015","Currency=USD","Period=FQ","BEST_FPERIOD_OVERRIDE=FQ","FILING_STATUS=MR","Sort=A","Dates=H","DateFormat=P","Fill=—","Direction=H","UseDPDF=Y")</f>
        <v>471.72719999999998</v>
      </c>
      <c r="T12" s="21">
        <f>_xll.BDH("AAL US Equity","LT_DEBT_TO_TOT_EQY","FQ3 2015","FQ3 2015","Currency=USD","Period=FQ","BEST_FPERIOD_OVERRIDE=FQ","FILING_STATUS=MR","Sort=A","Dates=H","DateFormat=P","Fill=—","Direction=H","UseDPDF=Y")</f>
        <v>501.0367</v>
      </c>
      <c r="U12" s="21">
        <f>_xll.BDH("AAL US Equity","LT_DEBT_TO_TOT_EQY","FQ4 2015","FQ4 2015","Currency=USD","Period=FQ","BEST_FPERIOD_OVERRIDE=FQ","FILING_STATUS=MR","Sort=A","Dates=H","DateFormat=P","Fill=—","Direction=H","UseDPDF=Y")</f>
        <v>325.28840000000002</v>
      </c>
      <c r="V12" s="21">
        <f>_xll.BDH("AAL US Equity","LT_DEBT_TO_TOT_EQY","FQ1 2016","FQ1 2016","Currency=USD","Period=FQ","BEST_FPERIOD_OVERRIDE=FQ","FILING_STATUS=MR","Sort=A","Dates=H","DateFormat=P","Fill=—","Direction=H","UseDPDF=Y")</f>
        <v>406.24200000000002</v>
      </c>
      <c r="W12" s="21">
        <f>_xll.BDH("AAL US Equity","LT_DEBT_TO_TOT_EQY","FQ2 2016","FQ2 2016","Currency=USD","Period=FQ","BEST_FPERIOD_OVERRIDE=FQ","FILING_STATUS=MR","Sort=A","Dates=H","DateFormat=P","Fill=—","Direction=H","UseDPDF=Y")</f>
        <v>490.05099999999999</v>
      </c>
      <c r="X12" s="21">
        <f>_xll.BDH("AAL US Equity","LT_DEBT_TO_TOT_EQY","FQ3 2016","FQ3 2016","Currency=USD","Period=FQ","BEST_FPERIOD_OVERRIDE=FQ","FILING_STATUS=MR","Sort=A","Dates=H","DateFormat=P","Fill=—","Direction=H","UseDPDF=Y")</f>
        <v>490.66269999999997</v>
      </c>
      <c r="Y12" s="21">
        <f>_xll.BDH("AAL US Equity","LT_DEBT_TO_TOT_EQY","FQ4 2016","FQ4 2016","Currency=USD","Period=FQ","BEST_FPERIOD_OVERRIDE=FQ","FILING_STATUS=MR","Sort=A","Dates=H","DateFormat=P","Fill=—","Direction=H","UseDPDF=Y")</f>
        <v>594.16120000000001</v>
      </c>
      <c r="Z12" s="21">
        <f>_xll.BDH("AAL US Equity","LT_DEBT_TO_TOT_EQY","FQ1 2017","FQ1 2017","Currency=USD","Period=FQ","BEST_FPERIOD_OVERRIDE=FQ","FILING_STATUS=MR","Sort=A","Dates=H","DateFormat=P","Fill=—","Direction=H","UseDPDF=Y")</f>
        <v>660.37030000000004</v>
      </c>
      <c r="AA12" s="21">
        <f>_xll.BDH("AAL US Equity","LT_DEBT_TO_TOT_EQY","FQ2 2017","FQ2 2017","Currency=USD","Period=FQ","BEST_FPERIOD_OVERRIDE=FQ","FILING_STATUS=MR","Sort=A","Dates=H","DateFormat=P","Fill=—","Direction=H","UseDPDF=Y")</f>
        <v>606.32569999999998</v>
      </c>
      <c r="AB12" s="21">
        <f>_xll.BDH("AAL US Equity","LT_DEBT_TO_TOT_EQY","FQ3 2017","FQ3 2017","Currency=USD","Period=FQ","BEST_FPERIOD_OVERRIDE=FQ","FILING_STATUS=MR","Sort=A","Dates=H","DateFormat=P","Fill=—","Direction=H","UseDPDF=Y")</f>
        <v>562.74059999999997</v>
      </c>
      <c r="AC12" s="21" t="str">
        <f>_xll.BDH("AAL US Equity","LT_DEBT_TO_TOT_EQY","FQ4 2017","FQ4 2017","Currency=USD","Period=FQ","BEST_FPERIOD_OVERRIDE=FQ","FILING_STATUS=MR","Sort=A","Dates=H","DateFormat=P","Fill=—","Direction=H","UseDPDF=Y")</f>
        <v>—</v>
      </c>
      <c r="AD12" s="21" t="str">
        <f>_xll.BDH("AAL US Equity","LT_DEBT_TO_TOT_EQY","FQ1 2018","FQ1 2018","Currency=USD","Period=FQ","BEST_FPERIOD_OVERRIDE=FQ","FILING_STATUS=MR","Sort=A","Dates=H","DateFormat=P","Fill=—","Direction=H","UseDPDF=Y")</f>
        <v>—</v>
      </c>
      <c r="AE12" s="21" t="str">
        <f>_xll.BDH("AAL US Equity","LT_DEBT_TO_TOT_EQY","FQ2 2018","FQ2 2018","Currency=USD","Period=FQ","BEST_FPERIOD_OVERRIDE=FQ","FILING_STATUS=MR","Sort=A","Dates=H","DateFormat=P","Fill=—","Direction=H","UseDPDF=Y")</f>
        <v>—</v>
      </c>
      <c r="AF12" s="21" t="str">
        <f>_xll.BDH("AAL US Equity","LT_DEBT_TO_TOT_EQY","FQ3 2018","FQ3 2018","Currency=USD","Period=FQ","BEST_FPERIOD_OVERRIDE=FQ","FILING_STATUS=MR","Sort=A","Dates=H","DateFormat=P","Fill=—","Direction=H","UseDPDF=Y")</f>
        <v>—</v>
      </c>
      <c r="AG12" s="21" t="str">
        <f>_xll.BDH("AAL US Equity","LT_DEBT_TO_TOT_EQY","FQ4 2018","FQ4 2018","Currency=USD","Period=FQ","BEST_FPERIOD_OVERRIDE=FQ","FILING_STATUS=MR","Sort=A","Dates=H","DateFormat=P","Fill=—","Direction=H","UseDPDF=Y")</f>
        <v>—</v>
      </c>
      <c r="AH12" s="21" t="str">
        <f>_xll.BDH("AAL US Equity","LT_DEBT_TO_TOT_EQY","FQ1 2019","FQ1 2019","Currency=USD","Period=FQ","BEST_FPERIOD_OVERRIDE=FQ","FILING_STATUS=MR","Sort=A","Dates=H","DateFormat=P","Fill=—","Direction=H","UseDPDF=Y")</f>
        <v>—</v>
      </c>
      <c r="AI12" s="21" t="str">
        <f>_xll.BDH("AAL US Equity","LT_DEBT_TO_TOT_EQY","FQ2 2019","FQ2 2019","Currency=USD","Period=FQ","BEST_FPERIOD_OVERRIDE=FQ","FILING_STATUS=MR","Sort=A","Dates=H","DateFormat=P","Fill=—","Direction=H","UseDPDF=Y")</f>
        <v>—</v>
      </c>
      <c r="AJ12" s="21">
        <f>_xll.BDH("AAL US Equity","LT_DEBT_TO_TOT_EQY","FQ3 2019","FQ3 2019","Currency=USD","Period=FQ","BEST_FPERIOD_OVERRIDE=FQ","FILING_STATUS=MR","Sort=A","Dates=H","DateFormat=P","Fill=—","Direction=H","UseDPDF=Y")</f>
        <v>18225</v>
      </c>
      <c r="AK12" s="21" t="str">
        <f>_xll.BDH("AAL US Equity","LT_DEBT_TO_TOT_EQY","FQ4 2019","FQ4 2019","Currency=USD","Period=FQ","BEST_FPERIOD_OVERRIDE=FQ","FILING_STATUS=MR","Sort=A","Dates=H","DateFormat=P","Fill=—","Direction=H","UseDPDF=Y")</f>
        <v>—</v>
      </c>
      <c r="AL12" s="21" t="str">
        <f>_xll.BDH("AAL US Equity","LT_DEBT_TO_TOT_EQY","FQ1 2020","FQ1 2020","Currency=USD","Period=FQ","BEST_FPERIOD_OVERRIDE=FQ","FILING_STATUS=MR","Sort=A","Dates=H","DateFormat=P","Fill=—","Direction=H","UseDPDF=Y")</f>
        <v>—</v>
      </c>
      <c r="AM12" s="21" t="str">
        <f>_xll.BDH("AAL US Equity","LT_DEBT_TO_TOT_EQY","FQ2 2020","FQ2 2020","Currency=USD","Period=FQ","BEST_FPERIOD_OVERRIDE=FQ","FILING_STATUS=MR","Sort=A","Dates=H","DateFormat=P","Fill=—","Direction=H","UseDPDF=Y")</f>
        <v>—</v>
      </c>
      <c r="AN12" s="21" t="str">
        <f>_xll.BDH("AAL US Equity","LT_DEBT_TO_TOT_EQY","FQ3 2020","FQ3 2020","Currency=USD","Period=FQ","BEST_FPERIOD_OVERRIDE=FQ","FILING_STATUS=MR","Sort=A","Dates=H","DateFormat=P","Fill=—","Direction=H","UseDPDF=Y")</f>
        <v>—</v>
      </c>
      <c r="AO12" s="21" t="str">
        <f>_xll.BDH("AAL US Equity","LT_DEBT_TO_TOT_EQY","FQ4 2020","FQ4 2020","Currency=USD","Period=FQ","BEST_FPERIOD_OVERRIDE=FQ","FILING_STATUS=MR","Sort=A","Dates=H","DateFormat=P","Fill=—","Direction=H","UseDPDF=Y")</f>
        <v>—</v>
      </c>
      <c r="AP12" s="21" t="str">
        <f>_xll.BDH("AAL US Equity","LT_DEBT_TO_TOT_EQY","FQ1 2021","FQ1 2021","Currency=USD","Period=FQ","BEST_FPERIOD_OVERRIDE=FQ","FILING_STATUS=MR","Sort=A","Dates=H","DateFormat=P","Fill=—","Direction=H","UseDPDF=Y")</f>
        <v>—</v>
      </c>
    </row>
    <row r="13" spans="1:42" x14ac:dyDescent="0.25">
      <c r="A13" s="8" t="s">
        <v>180</v>
      </c>
      <c r="B13" s="8" t="s">
        <v>179</v>
      </c>
      <c r="C13" s="21">
        <f>_xll.BDH("AAL US Equity","LT_DEBT_TO_TOT_CAP","FQ2 2011","FQ2 2011","Currency=USD","Period=FQ","BEST_FPERIOD_OVERRIDE=FQ","FILING_STATUS=MR","Sort=A","Dates=H","DateFormat=P","Fill=—","Direction=H","UseDPDF=Y")</f>
        <v>136.33529999999999</v>
      </c>
      <c r="D13" s="21">
        <f>_xll.BDH("AAL US Equity","LT_DEBT_TO_TOT_CAP","FQ3 2011","FQ3 2011","Currency=USD","Period=FQ","BEST_FPERIOD_OVERRIDE=FQ","FILING_STATUS=MR","Sort=A","Dates=H","DateFormat=P","Fill=—","Direction=H","UseDPDF=Y")</f>
        <v>149.80109999999999</v>
      </c>
      <c r="E13" s="21">
        <f>_xll.BDH("AAL US Equity","LT_DEBT_TO_TOT_CAP","FQ4 2011","FQ4 2011","Currency=USD","Period=FQ","BEST_FPERIOD_OVERRIDE=FQ","FILING_STATUS=MR","Sort=A","Dates=H","DateFormat=P","Fill=—","Direction=H","UseDPDF=Y")</f>
        <v>604.32820000000004</v>
      </c>
      <c r="F13" s="21">
        <f>_xll.BDH("AAL US Equity","LT_DEBT_TO_TOT_CAP","FQ1 2012","FQ1 2012","Currency=USD","Period=FQ","BEST_FPERIOD_OVERRIDE=FQ","FILING_STATUS=MR","Sort=A","Dates=H","DateFormat=P","Fill=—","Direction=H","UseDPDF=Y")</f>
        <v>-5066.9117999999999</v>
      </c>
      <c r="G13" s="21">
        <f>_xll.BDH("AAL US Equity","LT_DEBT_TO_TOT_CAP","FQ2 2012","FQ2 2012","Currency=USD","Period=FQ","BEST_FPERIOD_OVERRIDE=FQ","FILING_STATUS=MR","Sort=A","Dates=H","DateFormat=P","Fill=—","Direction=H","UseDPDF=Y")</f>
        <v>-1123.0769</v>
      </c>
      <c r="H13" s="21">
        <f>_xll.BDH("AAL US Equity","LT_DEBT_TO_TOT_CAP","FQ3 2012","FQ3 2012","Currency=USD","Period=FQ","BEST_FPERIOD_OVERRIDE=FQ","FILING_STATUS=MR","Sort=A","Dates=H","DateFormat=P","Fill=—","Direction=H","UseDPDF=Y")</f>
        <v>986.17020000000002</v>
      </c>
      <c r="I13" s="21">
        <f>_xll.BDH("AAL US Equity","LT_DEBT_TO_TOT_CAP","FQ4 2012","FQ4 2012","Currency=USD","Period=FQ","BEST_FPERIOD_OVERRIDE=FQ","FILING_STATUS=MR","Sort=A","Dates=H","DateFormat=P","Fill=—","Direction=H","UseDPDF=Y")</f>
        <v>1298.5400999999999</v>
      </c>
      <c r="J13" s="21">
        <f>_xll.BDH("AAL US Equity","LT_DEBT_TO_TOT_CAP","FQ1 2013","FQ1 2013","Currency=USD","Period=FQ","BEST_FPERIOD_OVERRIDE=FQ","FILING_STATUS=MR","Sort=A","Dates=H","DateFormat=P","Fill=—","Direction=H","UseDPDF=Y")</f>
        <v>-10175.362300000001</v>
      </c>
      <c r="K13" s="21">
        <f>_xll.BDH("AAL US Equity","LT_DEBT_TO_TOT_CAP","FQ2 2013","FQ2 2013","Currency=USD","Period=FQ","BEST_FPERIOD_OVERRIDE=FQ","FILING_STATUS=MR","Sort=A","Dates=H","DateFormat=P","Fill=—","Direction=H","UseDPDF=Y")</f>
        <v>570.23889999999994</v>
      </c>
      <c r="L13" s="21">
        <f>_xll.BDH("AAL US Equity","LT_DEBT_TO_TOT_CAP","FQ3 2013","FQ3 2013","Currency=USD","Period=FQ","BEST_FPERIOD_OVERRIDE=FQ","FILING_STATUS=MR","Sort=A","Dates=H","DateFormat=P","Fill=—","Direction=H","UseDPDF=Y")</f>
        <v>348.12849999999997</v>
      </c>
      <c r="M13" s="21">
        <f>_xll.BDH("AAL US Equity","LT_DEBT_TO_TOT_CAP","FQ4 2013","FQ4 2013","Currency=USD","Period=FQ","BEST_FPERIOD_OVERRIDE=FQ","FILING_STATUS=MR","Sort=A","Dates=H","DateFormat=P","Fill=—","Direction=H","UseDPDF=Y")</f>
        <v>106.4263</v>
      </c>
      <c r="N13" s="21">
        <f>_xll.BDH("AAL US Equity","LT_DEBT_TO_TOT_CAP","FQ1 2014","FQ1 2014","Currency=USD","Period=FQ","BEST_FPERIOD_OVERRIDE=FQ","FILING_STATUS=MR","Sort=A","Dates=H","DateFormat=P","Fill=—","Direction=H","UseDPDF=Y")</f>
        <v>87.384299999999996</v>
      </c>
      <c r="O13" s="21">
        <f>_xll.BDH("AAL US Equity","LT_DEBT_TO_TOT_CAP","FQ2 2014","FQ2 2014","Currency=USD","Period=FQ","BEST_FPERIOD_OVERRIDE=FQ","FILING_STATUS=MR","Sort=A","Dates=H","DateFormat=P","Fill=—","Direction=H","UseDPDF=Y")</f>
        <v>73.578599999999994</v>
      </c>
      <c r="P13" s="21">
        <f>_xll.BDH("AAL US Equity","LT_DEBT_TO_TOT_CAP","FQ3 2014","FQ3 2014","Currency=USD","Period=FQ","BEST_FPERIOD_OVERRIDE=FQ","FILING_STATUS=MR","Sort=A","Dates=H","DateFormat=P","Fill=—","Direction=H","UseDPDF=Y")</f>
        <v>71.255600000000001</v>
      </c>
      <c r="Q13" s="21">
        <f>_xll.BDH("AAL US Equity","LT_DEBT_TO_TOT_CAP","FQ4 2014","FQ4 2014","Currency=USD","Period=FQ","BEST_FPERIOD_OVERRIDE=FQ","FILING_STATUS=MR","Sort=A","Dates=H","DateFormat=P","Fill=—","Direction=H","UseDPDF=Y")</f>
        <v>81.267399999999995</v>
      </c>
      <c r="R13" s="21">
        <f>_xll.BDH("AAL US Equity","LT_DEBT_TO_TOT_CAP","FQ1 2015","FQ1 2015","Currency=USD","Period=FQ","BEST_FPERIOD_OVERRIDE=FQ","FILING_STATUS=MR","Sort=A","Dates=H","DateFormat=P","Fill=—","Direction=H","UseDPDF=Y")</f>
        <v>81.333600000000004</v>
      </c>
      <c r="S13" s="21">
        <f>_xll.BDH("AAL US Equity","LT_DEBT_TO_TOT_CAP","FQ2 2015","FQ2 2015","Currency=USD","Period=FQ","BEST_FPERIOD_OVERRIDE=FQ","FILING_STATUS=MR","Sort=A","Dates=H","DateFormat=P","Fill=—","Direction=H","UseDPDF=Y")</f>
        <v>76.468999999999994</v>
      </c>
      <c r="T13" s="21">
        <f>_xll.BDH("AAL US Equity","LT_DEBT_TO_TOT_CAP","FQ3 2015","FQ3 2015","Currency=USD","Period=FQ","BEST_FPERIOD_OVERRIDE=FQ","FILING_STATUS=MR","Sort=A","Dates=H","DateFormat=P","Fill=—","Direction=H","UseDPDF=Y")</f>
        <v>77.494600000000005</v>
      </c>
      <c r="U13" s="21">
        <f>_xll.BDH("AAL US Equity","LT_DEBT_TO_TOT_CAP","FQ4 2015","FQ4 2015","Currency=USD","Period=FQ","BEST_FPERIOD_OVERRIDE=FQ","FILING_STATUS=MR","Sort=A","Dates=H","DateFormat=P","Fill=—","Direction=H","UseDPDF=Y")</f>
        <v>69.972499999999997</v>
      </c>
      <c r="V13" s="21">
        <f>_xll.BDH("AAL US Equity","LT_DEBT_TO_TOT_CAP","FQ1 2016","FQ1 2016","Currency=USD","Period=FQ","BEST_FPERIOD_OVERRIDE=FQ","FILING_STATUS=MR","Sort=A","Dates=H","DateFormat=P","Fill=—","Direction=H","UseDPDF=Y")</f>
        <v>72.329300000000003</v>
      </c>
      <c r="W13" s="21">
        <f>_xll.BDH("AAL US Equity","LT_DEBT_TO_TOT_CAP","FQ2 2016","FQ2 2016","Currency=USD","Period=FQ","BEST_FPERIOD_OVERRIDE=FQ","FILING_STATUS=MR","Sort=A","Dates=H","DateFormat=P","Fill=—","Direction=H","UseDPDF=Y")</f>
        <v>77.807599999999994</v>
      </c>
      <c r="X13" s="21">
        <f>_xll.BDH("AAL US Equity","LT_DEBT_TO_TOT_CAP","FQ3 2016","FQ3 2016","Currency=USD","Period=FQ","BEST_FPERIOD_OVERRIDE=FQ","FILING_STATUS=MR","Sort=A","Dates=H","DateFormat=P","Fill=—","Direction=H","UseDPDF=Y")</f>
        <v>77.684399999999997</v>
      </c>
      <c r="Y13" s="21">
        <f>_xll.BDH("AAL US Equity","LT_DEBT_TO_TOT_CAP","FQ4 2016","FQ4 2016","Currency=USD","Period=FQ","BEST_FPERIOD_OVERRIDE=FQ","FILING_STATUS=MR","Sort=A","Dates=H","DateFormat=P","Fill=—","Direction=H","UseDPDF=Y")</f>
        <v>79.9495</v>
      </c>
      <c r="Z13" s="21">
        <f>_xll.BDH("AAL US Equity","LT_DEBT_TO_TOT_CAP","FQ1 2017","FQ1 2017","Currency=USD","Period=FQ","BEST_FPERIOD_OVERRIDE=FQ","FILING_STATUS=MR","Sort=A","Dates=H","DateFormat=P","Fill=—","Direction=H","UseDPDF=Y")</f>
        <v>81.5321</v>
      </c>
      <c r="AA13" s="21">
        <f>_xll.BDH("AAL US Equity","LT_DEBT_TO_TOT_CAP","FQ2 2017","FQ2 2017","Currency=USD","Period=FQ","BEST_FPERIOD_OVERRIDE=FQ","FILING_STATUS=MR","Sort=A","Dates=H","DateFormat=P","Fill=—","Direction=H","UseDPDF=Y")</f>
        <v>78.830399999999997</v>
      </c>
      <c r="AB13" s="21">
        <f>_xll.BDH("AAL US Equity","LT_DEBT_TO_TOT_CAP","FQ3 2017","FQ3 2017","Currency=USD","Period=FQ","BEST_FPERIOD_OVERRIDE=FQ","FILING_STATUS=MR","Sort=A","Dates=H","DateFormat=P","Fill=—","Direction=H","UseDPDF=Y")</f>
        <v>77.594999999999999</v>
      </c>
      <c r="AC13" s="21">
        <f>_xll.BDH("AAL US Equity","LT_DEBT_TO_TOT_CAP","FQ4 2017","FQ4 2017","Currency=USD","Period=FQ","BEST_FPERIOD_OVERRIDE=FQ","FILING_STATUS=MR","Sort=A","Dates=H","DateFormat=P","Fill=—","Direction=H","UseDPDF=Y")</f>
        <v>92.695099999999996</v>
      </c>
      <c r="AD13" s="21">
        <f>_xll.BDH("AAL US Equity","LT_DEBT_TO_TOT_CAP","FQ1 2018","FQ1 2018","Currency=USD","Period=FQ","BEST_FPERIOD_OVERRIDE=FQ","FILING_STATUS=MR","Sort=A","Dates=H","DateFormat=P","Fill=—","Direction=H","UseDPDF=Y")</f>
        <v>92.517200000000003</v>
      </c>
      <c r="AE13" s="21">
        <f>_xll.BDH("AAL US Equity","LT_DEBT_TO_TOT_CAP","FQ2 2018","FQ2 2018","Currency=USD","Period=FQ","BEST_FPERIOD_OVERRIDE=FQ","FILING_STATUS=MR","Sort=A","Dates=H","DateFormat=P","Fill=—","Direction=H","UseDPDF=Y")</f>
        <v>94.208600000000004</v>
      </c>
      <c r="AF13" s="21">
        <f>_xll.BDH("AAL US Equity","LT_DEBT_TO_TOT_CAP","FQ3 2018","FQ3 2018","Currency=USD","Period=FQ","BEST_FPERIOD_OVERRIDE=FQ","FILING_STATUS=MR","Sort=A","Dates=H","DateFormat=P","Fill=—","Direction=H","UseDPDF=Y")</f>
        <v>92.045100000000005</v>
      </c>
      <c r="AG13" s="21">
        <f>_xll.BDH("AAL US Equity","LT_DEBT_TO_TOT_CAP","FQ4 2018","FQ4 2018","Currency=USD","Period=FQ","BEST_FPERIOD_OVERRIDE=FQ","FILING_STATUS=MR","Sort=A","Dates=H","DateFormat=P","Fill=—","Direction=H","UseDPDF=Y")</f>
        <v>85.885999999999996</v>
      </c>
      <c r="AH13" s="21">
        <f>_xll.BDH("AAL US Equity","LT_DEBT_TO_TOT_CAP","FQ1 2019","FQ1 2019","Currency=USD","Period=FQ","BEST_FPERIOD_OVERRIDE=FQ","FILING_STATUS=MR","Sort=A","Dates=H","DateFormat=P","Fill=—","Direction=H","UseDPDF=Y")</f>
        <v>86.701400000000007</v>
      </c>
      <c r="AI13" s="21">
        <f>_xll.BDH("AAL US Equity","LT_DEBT_TO_TOT_CAP","FQ2 2019","FQ2 2019","Currency=USD","Period=FQ","BEST_FPERIOD_OVERRIDE=FQ","FILING_STATUS=MR","Sort=A","Dates=H","DateFormat=P","Fill=—","Direction=H","UseDPDF=Y")</f>
        <v>85.264600000000002</v>
      </c>
      <c r="AJ13" s="21">
        <f>_xll.BDH("AAL US Equity","LT_DEBT_TO_TOT_CAP","FQ3 2019","FQ3 2019","Currency=USD","Period=FQ","BEST_FPERIOD_OVERRIDE=FQ","FILING_STATUS=MR","Sort=A","Dates=H","DateFormat=P","Fill=—","Direction=H","UseDPDF=Y")</f>
        <v>84.277500000000003</v>
      </c>
      <c r="AK13" s="21">
        <f>_xll.BDH("AAL US Equity","LT_DEBT_TO_TOT_CAP","FQ4 2019","FQ4 2019","Currency=USD","Period=FQ","BEST_FPERIOD_OVERRIDE=FQ","FILING_STATUS=MR","Sort=A","Dates=H","DateFormat=P","Fill=—","Direction=H","UseDPDF=Y")</f>
        <v>86.644099999999995</v>
      </c>
      <c r="AL13" s="21">
        <f>_xll.BDH("AAL US Equity","LT_DEBT_TO_TOT_CAP","FQ1 2020","FQ1 2020","Currency=USD","Period=FQ","BEST_FPERIOD_OVERRIDE=FQ","FILING_STATUS=MR","Sort=A","Dates=H","DateFormat=P","Fill=—","Direction=H","UseDPDF=Y")</f>
        <v>91.621300000000005</v>
      </c>
      <c r="AM13" s="21">
        <f>_xll.BDH("AAL US Equity","LT_DEBT_TO_TOT_CAP","FQ2 2020","FQ2 2020","Currency=USD","Period=FQ","BEST_FPERIOD_OVERRIDE=FQ","FILING_STATUS=MR","Sort=A","Dates=H","DateFormat=P","Fill=—","Direction=H","UseDPDF=Y")</f>
        <v>96.719099999999997</v>
      </c>
      <c r="AN13" s="21">
        <f>_xll.BDH("AAL US Equity","LT_DEBT_TO_TOT_CAP","FQ3 2020","FQ3 2020","Currency=USD","Period=FQ","BEST_FPERIOD_OVERRIDE=FQ","FILING_STATUS=MR","Sort=A","Dates=H","DateFormat=P","Fill=—","Direction=H","UseDPDF=Y")</f>
        <v>103.03279999999999</v>
      </c>
      <c r="AO13" s="21">
        <f>_xll.BDH("AAL US Equity","LT_DEBT_TO_TOT_CAP","FQ4 2020","FQ4 2020","Currency=USD","Period=FQ","BEST_FPERIOD_OVERRIDE=FQ","FILING_STATUS=MR","Sort=A","Dates=H","DateFormat=P","Fill=—","Direction=H","UseDPDF=Y")</f>
        <v>107.0826</v>
      </c>
      <c r="AP13" s="21">
        <f>_xll.BDH("AAL US Equity","LT_DEBT_TO_TOT_CAP","FQ1 2021","FQ1 2021","Currency=USD","Period=FQ","BEST_FPERIOD_OVERRIDE=FQ","FILING_STATUS=MR","Sort=A","Dates=H","DateFormat=P","Fill=—","Direction=H","UseDPDF=Y")</f>
        <v>109.7458</v>
      </c>
    </row>
    <row r="14" spans="1:42" x14ac:dyDescent="0.25">
      <c r="A14" s="8" t="s">
        <v>178</v>
      </c>
      <c r="B14" s="8" t="s">
        <v>177</v>
      </c>
      <c r="C14" s="21">
        <f>_xll.BDH("AAL US Equity","LT_DEBT_TO_TOT_ASSET","FQ2 2011","FQ2 2011","Currency=USD","Period=FQ","BEST_FPERIOD_OVERRIDE=FQ","FILING_STATUS=MR","Sort=A","Dates=H","DateFormat=P","Fill=—","Direction=H","UseDPDF=Y")</f>
        <v>38.980899999999998</v>
      </c>
      <c r="D14" s="21">
        <f>_xll.BDH("AAL US Equity","LT_DEBT_TO_TOT_ASSET","FQ3 2011","FQ3 2011","Currency=USD","Period=FQ","BEST_FPERIOD_OVERRIDE=FQ","FILING_STATUS=MR","Sort=A","Dates=H","DateFormat=P","Fill=—","Direction=H","UseDPDF=Y")</f>
        <v>41.130299999999998</v>
      </c>
      <c r="E14" s="21">
        <f>_xll.BDH("AAL US Equity","LT_DEBT_TO_TOT_ASSET","FQ4 2011","FQ4 2011","Currency=USD","Period=FQ","BEST_FPERIOD_OVERRIDE=FQ","FILING_STATUS=MR","Sort=A","Dates=H","DateFormat=P","Fill=—","Direction=H","UseDPDF=Y")</f>
        <v>28.103000000000002</v>
      </c>
      <c r="F14" s="21">
        <f>_xll.BDH("AAL US Equity","LT_DEBT_TO_TOT_ASSET","FQ1 2012","FQ1 2012","Currency=USD","Period=FQ","BEST_FPERIOD_OVERRIDE=FQ","FILING_STATUS=MR","Sort=A","Dates=H","DateFormat=P","Fill=—","Direction=H","UseDPDF=Y")</f>
        <v>28.113900000000001</v>
      </c>
      <c r="G14" s="21">
        <f>_xll.BDH("AAL US Equity","LT_DEBT_TO_TOT_ASSET","FQ2 2012","FQ2 2012","Currency=USD","Period=FQ","BEST_FPERIOD_OVERRIDE=FQ","FILING_STATUS=MR","Sort=A","Dates=H","DateFormat=P","Fill=—","Direction=H","UseDPDF=Y")</f>
        <v>27.1617</v>
      </c>
      <c r="H14" s="21">
        <f>_xll.BDH("AAL US Equity","LT_DEBT_TO_TOT_ASSET","FQ3 2012","FQ3 2012","Currency=USD","Period=FQ","BEST_FPERIOD_OVERRIDE=FQ","FILING_STATUS=MR","Sort=A","Dates=H","DateFormat=P","Fill=—","Direction=H","UseDPDF=Y")</f>
        <v>27.12</v>
      </c>
      <c r="I14" s="21">
        <f>_xll.BDH("AAL US Equity","LT_DEBT_TO_TOT_ASSET","FQ4 2012","FQ4 2012","Currency=USD","Period=FQ","BEST_FPERIOD_OVERRIDE=FQ","FILING_STATUS=MR","Sort=A","Dates=H","DateFormat=P","Fill=—","Direction=H","UseDPDF=Y")</f>
        <v>30.268000000000001</v>
      </c>
      <c r="J14" s="21">
        <f>_xll.BDH("AAL US Equity","LT_DEBT_TO_TOT_ASSET","FQ1 2013","FQ1 2013","Currency=USD","Period=FQ","BEST_FPERIOD_OVERRIDE=FQ","FILING_STATUS=MR","Sort=A","Dates=H","DateFormat=P","Fill=—","Direction=H","UseDPDF=Y")</f>
        <v>29.435700000000001</v>
      </c>
      <c r="K14" s="21">
        <f>_xll.BDH("AAL US Equity","LT_DEBT_TO_TOT_ASSET","FQ2 2013","FQ2 2013","Currency=USD","Period=FQ","BEST_FPERIOD_OVERRIDE=FQ","FILING_STATUS=MR","Sort=A","Dates=H","DateFormat=P","Fill=—","Direction=H","UseDPDF=Y")</f>
        <v>31.866</v>
      </c>
      <c r="L14" s="21">
        <f>_xll.BDH("AAL US Equity","LT_DEBT_TO_TOT_ASSET","FQ3 2013","FQ3 2013","Currency=USD","Period=FQ","BEST_FPERIOD_OVERRIDE=FQ","FILING_STATUS=MR","Sort=A","Dates=H","DateFormat=P","Fill=—","Direction=H","UseDPDF=Y")</f>
        <v>34.383899999999997</v>
      </c>
      <c r="M14" s="21">
        <f>_xll.BDH("AAL US Equity","LT_DEBT_TO_TOT_ASSET","FQ4 2013","FQ4 2013","Currency=USD","Period=FQ","BEST_FPERIOD_OVERRIDE=FQ","FILING_STATUS=MR","Sort=A","Dates=H","DateFormat=P","Fill=—","Direction=H","UseDPDF=Y")</f>
        <v>50.335900000000002</v>
      </c>
      <c r="N14" s="21">
        <f>_xll.BDH("AAL US Equity","LT_DEBT_TO_TOT_ASSET","FQ1 2014","FQ1 2014","Currency=USD","Period=FQ","BEST_FPERIOD_OVERRIDE=FQ","FILING_STATUS=MR","Sort=A","Dates=H","DateFormat=P","Fill=—","Direction=H","UseDPDF=Y")</f>
        <v>40.162799999999997</v>
      </c>
      <c r="O14" s="21">
        <f>_xll.BDH("AAL US Equity","LT_DEBT_TO_TOT_ASSET","FQ2 2014","FQ2 2014","Currency=USD","Period=FQ","BEST_FPERIOD_OVERRIDE=FQ","FILING_STATUS=MR","Sort=A","Dates=H","DateFormat=P","Fill=—","Direction=H","UseDPDF=Y")</f>
        <v>34.857500000000002</v>
      </c>
      <c r="P14" s="21">
        <f>_xll.BDH("AAL US Equity","LT_DEBT_TO_TOT_ASSET","FQ3 2014","FQ3 2014","Currency=USD","Period=FQ","BEST_FPERIOD_OVERRIDE=FQ","FILING_STATUS=MR","Sort=A","Dates=H","DateFormat=P","Fill=—","Direction=H","UseDPDF=Y")</f>
        <v>35.972200000000001</v>
      </c>
      <c r="Q14" s="21">
        <f>_xll.BDH("AAL US Equity","LT_DEBT_TO_TOT_ASSET","FQ4 2014","FQ4 2014","Currency=USD","Period=FQ","BEST_FPERIOD_OVERRIDE=FQ","FILING_STATUS=MR","Sort=A","Dates=H","DateFormat=P","Fill=—","Direction=H","UseDPDF=Y")</f>
        <v>37.115099999999998</v>
      </c>
      <c r="R14" s="21">
        <f>_xll.BDH("AAL US Equity","LT_DEBT_TO_TOT_ASSET","FQ1 2015","FQ1 2015","Currency=USD","Period=FQ","BEST_FPERIOD_OVERRIDE=FQ","FILING_STATUS=MR","Sort=A","Dates=H","DateFormat=P","Fill=—","Direction=H","UseDPDF=Y")</f>
        <v>37.725099999999998</v>
      </c>
      <c r="S14" s="21">
        <f>_xll.BDH("AAL US Equity","LT_DEBT_TO_TOT_ASSET","FQ2 2015","FQ2 2015","Currency=USD","Period=FQ","BEST_FPERIOD_OVERRIDE=FQ","FILING_STATUS=MR","Sort=A","Dates=H","DateFormat=P","Fill=—","Direction=H","UseDPDF=Y")</f>
        <v>35.831899999999997</v>
      </c>
      <c r="T14" s="21">
        <f>_xll.BDH("AAL US Equity","LT_DEBT_TO_TOT_ASSET","FQ3 2015","FQ3 2015","Currency=USD","Period=FQ","BEST_FPERIOD_OVERRIDE=FQ","FILING_STATUS=MR","Sort=A","Dates=H","DateFormat=P","Fill=—","Direction=H","UseDPDF=Y")</f>
        <v>38.692399999999999</v>
      </c>
      <c r="U14" s="21">
        <f>_xll.BDH("AAL US Equity","LT_DEBT_TO_TOT_ASSET","FQ4 2015","FQ4 2015","Currency=USD","Period=FQ","BEST_FPERIOD_OVERRIDE=FQ","FILING_STATUS=MR","Sort=A","Dates=H","DateFormat=P","Fill=—","Direction=H","UseDPDF=Y")</f>
        <v>37.860199999999999</v>
      </c>
      <c r="V14" s="21">
        <f>_xll.BDH("AAL US Equity","LT_DEBT_TO_TOT_ASSET","FQ1 2016","FQ1 2016","Currency=USD","Period=FQ","BEST_FPERIOD_OVERRIDE=FQ","FILING_STATUS=MR","Sort=A","Dates=H","DateFormat=P","Fill=—","Direction=H","UseDPDF=Y")</f>
        <v>38.337800000000001</v>
      </c>
      <c r="W14" s="21">
        <f>_xll.BDH("AAL US Equity","LT_DEBT_TO_TOT_ASSET","FQ2 2016","FQ2 2016","Currency=USD","Period=FQ","BEST_FPERIOD_OVERRIDE=FQ","FILING_STATUS=MR","Sort=A","Dates=H","DateFormat=P","Fill=—","Direction=H","UseDPDF=Y")</f>
        <v>41.3919</v>
      </c>
      <c r="X14" s="21">
        <f>_xll.BDH("AAL US Equity","LT_DEBT_TO_TOT_ASSET","FQ3 2016","FQ3 2016","Currency=USD","Period=FQ","BEST_FPERIOD_OVERRIDE=FQ","FILING_STATUS=MR","Sort=A","Dates=H","DateFormat=P","Fill=—","Direction=H","UseDPDF=Y")</f>
        <v>42.155799999999999</v>
      </c>
      <c r="Y14" s="21">
        <f>_xll.BDH("AAL US Equity","LT_DEBT_TO_TOT_ASSET","FQ4 2016","FQ4 2016","Currency=USD","Period=FQ","BEST_FPERIOD_OVERRIDE=FQ","FILING_STATUS=MR","Sort=A","Dates=H","DateFormat=P","Fill=—","Direction=H","UseDPDF=Y")</f>
        <v>43.860399999999998</v>
      </c>
      <c r="Z14" s="21">
        <f>_xll.BDH("AAL US Equity","LT_DEBT_TO_TOT_ASSET","FQ1 2017","FQ1 2017","Currency=USD","Period=FQ","BEST_FPERIOD_OVERRIDE=FQ","FILING_STATUS=MR","Sort=A","Dates=H","DateFormat=P","Fill=—","Direction=H","UseDPDF=Y")</f>
        <v>43.378900000000002</v>
      </c>
      <c r="AA14" s="21">
        <f>_xll.BDH("AAL US Equity","LT_DEBT_TO_TOT_ASSET","FQ2 2017","FQ2 2017","Currency=USD","Period=FQ","BEST_FPERIOD_OVERRIDE=FQ","FILING_STATUS=MR","Sort=A","Dates=H","DateFormat=P","Fill=—","Direction=H","UseDPDF=Y")</f>
        <v>42.232300000000002</v>
      </c>
      <c r="AB14" s="21">
        <f>_xll.BDH("AAL US Equity","LT_DEBT_TO_TOT_ASSET","FQ3 2017","FQ3 2017","Currency=USD","Period=FQ","BEST_FPERIOD_OVERRIDE=FQ","FILING_STATUS=MR","Sort=A","Dates=H","DateFormat=P","Fill=—","Direction=H","UseDPDF=Y")</f>
        <v>42.398000000000003</v>
      </c>
      <c r="AC14" s="21">
        <f>_xll.BDH("AAL US Equity","LT_DEBT_TO_TOT_ASSET","FQ4 2017","FQ4 2017","Currency=USD","Period=FQ","BEST_FPERIOD_OVERRIDE=FQ","FILING_STATUS=MR","Sort=A","Dates=H","DateFormat=P","Fill=—","Direction=H","UseDPDF=Y")</f>
        <v>42.646599999999999</v>
      </c>
      <c r="AD14" s="21">
        <f>_xll.BDH("AAL US Equity","LT_DEBT_TO_TOT_ASSET","FQ1 2018","FQ1 2018","Currency=USD","Period=FQ","BEST_FPERIOD_OVERRIDE=FQ","FILING_STATUS=MR","Sort=A","Dates=H","DateFormat=P","Fill=—","Direction=H","UseDPDF=Y")</f>
        <v>41.189900000000002</v>
      </c>
      <c r="AE14" s="21">
        <f>_xll.BDH("AAL US Equity","LT_DEBT_TO_TOT_ASSET","FQ2 2018","FQ2 2018","Currency=USD","Period=FQ","BEST_FPERIOD_OVERRIDE=FQ","FILING_STATUS=MR","Sort=A","Dates=H","DateFormat=P","Fill=—","Direction=H","UseDPDF=Y")</f>
        <v>41.5473</v>
      </c>
      <c r="AF14" s="21">
        <f>_xll.BDH("AAL US Equity","LT_DEBT_TO_TOT_ASSET","FQ3 2018","FQ3 2018","Currency=USD","Period=FQ","BEST_FPERIOD_OVERRIDE=FQ","FILING_STATUS=MR","Sort=A","Dates=H","DateFormat=P","Fill=—","Direction=H","UseDPDF=Y")</f>
        <v>42.317799999999998</v>
      </c>
      <c r="AG14" s="21">
        <f>_xll.BDH("AAL US Equity","LT_DEBT_TO_TOT_ASSET","FQ4 2018","FQ4 2018","Currency=USD","Period=FQ","BEST_FPERIOD_OVERRIDE=FQ","FILING_STATUS=MR","Sort=A","Dates=H","DateFormat=P","Fill=—","Direction=H","UseDPDF=Y")</f>
        <v>48.004300000000001</v>
      </c>
      <c r="AH14" s="21">
        <f>_xll.BDH("AAL US Equity","LT_DEBT_TO_TOT_ASSET","FQ1 2019","FQ1 2019","Currency=USD","Period=FQ","BEST_FPERIOD_OVERRIDE=FQ","FILING_STATUS=MR","Sort=A","Dates=H","DateFormat=P","Fill=—","Direction=H","UseDPDF=Y")</f>
        <v>46.794499999999999</v>
      </c>
      <c r="AI14" s="21">
        <f>_xll.BDH("AAL US Equity","LT_DEBT_TO_TOT_ASSET","FQ2 2019","FQ2 2019","Currency=USD","Period=FQ","BEST_FPERIOD_OVERRIDE=FQ","FILING_STATUS=MR","Sort=A","Dates=H","DateFormat=P","Fill=—","Direction=H","UseDPDF=Y")</f>
        <v>47.7819</v>
      </c>
      <c r="AJ14" s="21">
        <f>_xll.BDH("AAL US Equity","LT_DEBT_TO_TOT_ASSET","FQ3 2019","FQ3 2019","Currency=USD","Period=FQ","BEST_FPERIOD_OVERRIDE=FQ","FILING_STATUS=MR","Sort=A","Dates=H","DateFormat=P","Fill=—","Direction=H","UseDPDF=Y")</f>
        <v>47.666499999999999</v>
      </c>
      <c r="AK14" s="21">
        <f>_xll.BDH("AAL US Equity","LT_DEBT_TO_TOT_ASSET","FQ4 2019","FQ4 2019","Currency=USD","Period=FQ","BEST_FPERIOD_OVERRIDE=FQ","FILING_STATUS=MR","Sort=A","Dates=H","DateFormat=P","Fill=—","Direction=H","UseDPDF=Y")</f>
        <v>48.128999999999998</v>
      </c>
      <c r="AL14" s="21">
        <f>_xll.BDH("AAL US Equity","LT_DEBT_TO_TOT_ASSET","FQ1 2020","FQ1 2020","Currency=USD","Period=FQ","BEST_FPERIOD_OVERRIDE=FQ","FILING_STATUS=MR","Sort=A","Dates=H","DateFormat=P","Fill=—","Direction=H","UseDPDF=Y")</f>
        <v>49.168700000000001</v>
      </c>
      <c r="AM14" s="21">
        <f>_xll.BDH("AAL US Equity","LT_DEBT_TO_TOT_ASSET","FQ2 2020","FQ2 2020","Currency=USD","Period=FQ","BEST_FPERIOD_OVERRIDE=FQ","FILING_STATUS=MR","Sort=A","Dates=H","DateFormat=P","Fill=—","Direction=H","UseDPDF=Y")</f>
        <v>55.264600000000002</v>
      </c>
      <c r="AN14" s="21">
        <f>_xll.BDH("AAL US Equity","LT_DEBT_TO_TOT_ASSET","FQ3 2020","FQ3 2020","Currency=USD","Period=FQ","BEST_FPERIOD_OVERRIDE=FQ","FILING_STATUS=MR","Sort=A","Dates=H","DateFormat=P","Fill=—","Direction=H","UseDPDF=Y")</f>
        <v>58.558599999999998</v>
      </c>
      <c r="AO14" s="21">
        <f>_xll.BDH("AAL US Equity","LT_DEBT_TO_TOT_ASSET","FQ4 2020","FQ4 2020","Currency=USD","Period=FQ","BEST_FPERIOD_OVERRIDE=FQ","FILING_STATUS=MR","Sort=A","Dates=H","DateFormat=P","Fill=—","Direction=H","UseDPDF=Y")</f>
        <v>58.981099999999998</v>
      </c>
      <c r="AP14" s="21">
        <f>_xll.BDH("AAL US Equity","LT_DEBT_TO_TOT_ASSET","FQ1 2021","FQ1 2021","Currency=USD","Period=FQ","BEST_FPERIOD_OVERRIDE=FQ","FILING_STATUS=MR","Sort=A","Dates=H","DateFormat=P","Fill=—","Direction=H","UseDPDF=Y")</f>
        <v>64.072299999999998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176</v>
      </c>
      <c r="B16" s="8" t="s">
        <v>175</v>
      </c>
      <c r="C16" s="21" t="str">
        <f>_xll.BDH("AAL US Equity","TOT_DEBT_TO_TOT_EQY","FQ2 2011","FQ2 2011","Currency=USD","Period=FQ","BEST_FPERIOD_OVERRIDE=FQ","FILING_STATUS=MR","Sort=A","Dates=H","DateFormat=P","Fill=—","Direction=H","UseDPDF=Y")</f>
        <v>—</v>
      </c>
      <c r="D16" s="21" t="str">
        <f>_xll.BDH("AAL US Equity","TOT_DEBT_TO_TOT_EQY","FQ3 2011","FQ3 2011","Currency=USD","Period=FQ","BEST_FPERIOD_OVERRIDE=FQ","FILING_STATUS=MR","Sort=A","Dates=H","DateFormat=P","Fill=—","Direction=H","UseDPDF=Y")</f>
        <v>—</v>
      </c>
      <c r="E16" s="21" t="str">
        <f>_xll.BDH("AAL US Equity","TOT_DEBT_TO_TOT_EQY","FQ4 2011","FQ4 2011","Currency=USD","Period=FQ","BEST_FPERIOD_OVERRIDE=FQ","FILING_STATUS=MR","Sort=A","Dates=H","DateFormat=P","Fill=—","Direction=H","UseDPDF=Y")</f>
        <v>—</v>
      </c>
      <c r="F16" s="21" t="str">
        <f>_xll.BDH("AAL US Equity","TOT_DEBT_TO_TOT_EQY","FQ1 2012","FQ1 2012","Currency=USD","Period=FQ","BEST_FPERIOD_OVERRIDE=FQ","FILING_STATUS=MR","Sort=A","Dates=H","DateFormat=P","Fill=—","Direction=H","UseDPDF=Y")</f>
        <v>—</v>
      </c>
      <c r="G16" s="21" t="str">
        <f>_xll.BDH("AAL US Equity","TOT_DEBT_TO_TOT_EQY","FQ2 2012","FQ2 2012","Currency=USD","Period=FQ","BEST_FPERIOD_OVERRIDE=FQ","FILING_STATUS=MR","Sort=A","Dates=H","DateFormat=P","Fill=—","Direction=H","UseDPDF=Y")</f>
        <v>—</v>
      </c>
      <c r="H16" s="21" t="str">
        <f>_xll.BDH("AAL US Equity","TOT_DEBT_TO_TOT_EQY","FQ3 2012","FQ3 2012","Currency=USD","Period=FQ","BEST_FPERIOD_OVERRIDE=FQ","FILING_STATUS=MR","Sort=A","Dates=H","DateFormat=P","Fill=—","Direction=H","UseDPDF=Y")</f>
        <v>—</v>
      </c>
      <c r="I16" s="21" t="str">
        <f>_xll.BDH("AAL US Equity","TOT_DEBT_TO_TOT_EQY","FQ4 2012","FQ4 2012","Currency=USD","Period=FQ","BEST_FPERIOD_OVERRIDE=FQ","FILING_STATUS=MR","Sort=A","Dates=H","DateFormat=P","Fill=—","Direction=H","UseDPDF=Y")</f>
        <v>—</v>
      </c>
      <c r="J16" s="21" t="str">
        <f>_xll.BDH("AAL US Equity","TOT_DEBT_TO_TOT_EQY","FQ1 2013","FQ1 2013","Currency=USD","Period=FQ","BEST_FPERIOD_OVERRIDE=FQ","FILING_STATUS=MR","Sort=A","Dates=H","DateFormat=P","Fill=—","Direction=H","UseDPDF=Y")</f>
        <v>—</v>
      </c>
      <c r="K16" s="21" t="str">
        <f>_xll.BDH("AAL US Equity","TOT_DEBT_TO_TOT_EQY","FQ2 2013","FQ2 2013","Currency=USD","Period=FQ","BEST_FPERIOD_OVERRIDE=FQ","FILING_STATUS=MR","Sort=A","Dates=H","DateFormat=P","Fill=—","Direction=H","UseDPDF=Y")</f>
        <v>—</v>
      </c>
      <c r="L16" s="21" t="str">
        <f>_xll.BDH("AAL US Equity","TOT_DEBT_TO_TOT_EQY","FQ3 2013","FQ3 2013","Currency=USD","Period=FQ","BEST_FPERIOD_OVERRIDE=FQ","FILING_STATUS=MR","Sort=A","Dates=H","DateFormat=P","Fill=—","Direction=H","UseDPDF=Y")</f>
        <v>—</v>
      </c>
      <c r="M16" s="21" t="str">
        <f>_xll.BDH("AAL US Equity","TOT_DEBT_TO_TOT_EQY","FQ4 2013","FQ4 2013","Currency=USD","Period=FQ","BEST_FPERIOD_OVERRIDE=FQ","FILING_STATUS=MR","Sort=A","Dates=H","DateFormat=P","Fill=—","Direction=H","UseDPDF=Y")</f>
        <v>—</v>
      </c>
      <c r="N16" s="21">
        <f>_xll.BDH("AAL US Equity","TOT_DEBT_TO_TOT_EQY","FQ1 2014","FQ1 2014","Currency=USD","Period=FQ","BEST_FPERIOD_OVERRIDE=FQ","FILING_STATUS=MR","Sort=A","Dates=H","DateFormat=P","Fill=—","Direction=H","UseDPDF=Y")</f>
        <v>1735.7991</v>
      </c>
      <c r="O16" s="21">
        <f>_xll.BDH("AAL US Equity","TOT_DEBT_TO_TOT_EQY","FQ2 2014","FQ2 2014","Currency=USD","Period=FQ","BEST_FPERIOD_OVERRIDE=FQ","FILING_STATUS=MR","Sort=A","Dates=H","DateFormat=P","Fill=—","Direction=H","UseDPDF=Y")</f>
        <v>419.55459999999999</v>
      </c>
      <c r="P16" s="21">
        <f>_xll.BDH("AAL US Equity","TOT_DEBT_TO_TOT_EQY","FQ3 2014","FQ3 2014","Currency=USD","Period=FQ","BEST_FPERIOD_OVERRIDE=FQ","FILING_STATUS=MR","Sort=A","Dates=H","DateFormat=P","Fill=—","Direction=H","UseDPDF=Y")</f>
        <v>348.6019</v>
      </c>
      <c r="Q16" s="21">
        <f>_xll.BDH("AAL US Equity","TOT_DEBT_TO_TOT_EQY","FQ4 2014","FQ4 2014","Currency=USD","Period=FQ","BEST_FPERIOD_OVERRIDE=FQ","FILING_STATUS=MR","Sort=A","Dates=H","DateFormat=P","Fill=—","Direction=H","UseDPDF=Y")</f>
        <v>876.79369999999994</v>
      </c>
      <c r="R16" s="21">
        <f>_xll.BDH("AAL US Equity","TOT_DEBT_TO_TOT_EQY","FQ1 2015","FQ1 2015","Currency=USD","Period=FQ","BEST_FPERIOD_OVERRIDE=FQ","FILING_STATUS=MR","Sort=A","Dates=H","DateFormat=P","Fill=—","Direction=H","UseDPDF=Y")</f>
        <v>684.58759999999995</v>
      </c>
      <c r="S16" s="21">
        <f>_xll.BDH("AAL US Equity","TOT_DEBT_TO_TOT_EQY","FQ2 2015","FQ2 2015","Currency=USD","Period=FQ","BEST_FPERIOD_OVERRIDE=FQ","FILING_STATUS=MR","Sort=A","Dates=H","DateFormat=P","Fill=—","Direction=H","UseDPDF=Y")</f>
        <v>516.88670000000002</v>
      </c>
      <c r="T16" s="21">
        <f>_xll.BDH("AAL US Equity","TOT_DEBT_TO_TOT_EQY","FQ3 2015","FQ3 2015","Currency=USD","Period=FQ","BEST_FPERIOD_OVERRIDE=FQ","FILING_STATUS=MR","Sort=A","Dates=H","DateFormat=P","Fill=—","Direction=H","UseDPDF=Y")</f>
        <v>546.5444</v>
      </c>
      <c r="U16" s="21">
        <f>_xll.BDH("AAL US Equity","TOT_DEBT_TO_TOT_EQY","FQ4 2015","FQ4 2015","Currency=USD","Period=FQ","BEST_FPERIOD_OVERRIDE=FQ","FILING_STATUS=MR","Sort=A","Dates=H","DateFormat=P","Fill=—","Direction=H","UseDPDF=Y")</f>
        <v>364.8802</v>
      </c>
      <c r="V16" s="21">
        <f>_xll.BDH("AAL US Equity","TOT_DEBT_TO_TOT_EQY","FQ1 2016","FQ1 2016","Currency=USD","Period=FQ","BEST_FPERIOD_OVERRIDE=FQ","FILING_STATUS=MR","Sort=A","Dates=H","DateFormat=P","Fill=—","Direction=H","UseDPDF=Y")</f>
        <v>461.65609999999998</v>
      </c>
      <c r="W16" s="21">
        <f>_xll.BDH("AAL US Equity","TOT_DEBT_TO_TOT_EQY","FQ2 2016","FQ2 2016","Currency=USD","Period=FQ","BEST_FPERIOD_OVERRIDE=FQ","FILING_STATUS=MR","Sort=A","Dates=H","DateFormat=P","Fill=—","Direction=H","UseDPDF=Y")</f>
        <v>529.82370000000003</v>
      </c>
      <c r="X16" s="21">
        <f>_xll.BDH("AAL US Equity","TOT_DEBT_TO_TOT_EQY","FQ3 2016","FQ3 2016","Currency=USD","Period=FQ","BEST_FPERIOD_OVERRIDE=FQ","FILING_STATUS=MR","Sort=A","Dates=H","DateFormat=P","Fill=—","Direction=H","UseDPDF=Y")</f>
        <v>531.61009999999999</v>
      </c>
      <c r="Y16" s="21">
        <f>_xll.BDH("AAL US Equity","TOT_DEBT_TO_TOT_EQY","FQ4 2016","FQ4 2016","Currency=USD","Period=FQ","BEST_FPERIOD_OVERRIDE=FQ","FILING_STATUS=MR","Sort=A","Dates=H","DateFormat=P","Fill=—","Direction=H","UseDPDF=Y")</f>
        <v>643.17039999999997</v>
      </c>
      <c r="Z16" s="21">
        <f>_xll.BDH("AAL US Equity","TOT_DEBT_TO_TOT_EQY","FQ1 2017","FQ1 2017","Currency=USD","Period=FQ","BEST_FPERIOD_OVERRIDE=FQ","FILING_STATUS=MR","Sort=A","Dates=H","DateFormat=P","Fill=—","Direction=H","UseDPDF=Y")</f>
        <v>709.95079999999996</v>
      </c>
      <c r="AA16" s="21">
        <f>_xll.BDH("AAL US Equity","TOT_DEBT_TO_TOT_EQY","FQ2 2017","FQ2 2017","Currency=USD","Period=FQ","BEST_FPERIOD_OVERRIDE=FQ","FILING_STATUS=MR","Sort=A","Dates=H","DateFormat=P","Fill=—","Direction=H","UseDPDF=Y")</f>
        <v>669.15210000000002</v>
      </c>
      <c r="AB16" s="21">
        <f>_xll.BDH("AAL US Equity","TOT_DEBT_TO_TOT_EQY","FQ3 2017","FQ3 2017","Currency=USD","Period=FQ","BEST_FPERIOD_OVERRIDE=FQ","FILING_STATUS=MR","Sort=A","Dates=H","DateFormat=P","Fill=—","Direction=H","UseDPDF=Y")</f>
        <v>625.22799999999995</v>
      </c>
      <c r="AC16" s="21" t="str">
        <f>_xll.BDH("AAL US Equity","TOT_DEBT_TO_TOT_EQY","FQ4 2017","FQ4 2017","Currency=USD","Period=FQ","BEST_FPERIOD_OVERRIDE=FQ","FILING_STATUS=MR","Sort=A","Dates=H","DateFormat=P","Fill=—","Direction=H","UseDPDF=Y")</f>
        <v>—</v>
      </c>
      <c r="AD16" s="21" t="str">
        <f>_xll.BDH("AAL US Equity","TOT_DEBT_TO_TOT_EQY","FQ1 2018","FQ1 2018","Currency=USD","Period=FQ","BEST_FPERIOD_OVERRIDE=FQ","FILING_STATUS=MR","Sort=A","Dates=H","DateFormat=P","Fill=—","Direction=H","UseDPDF=Y")</f>
        <v>—</v>
      </c>
      <c r="AE16" s="21" t="str">
        <f>_xll.BDH("AAL US Equity","TOT_DEBT_TO_TOT_EQY","FQ2 2018","FQ2 2018","Currency=USD","Period=FQ","BEST_FPERIOD_OVERRIDE=FQ","FILING_STATUS=MR","Sort=A","Dates=H","DateFormat=P","Fill=—","Direction=H","UseDPDF=Y")</f>
        <v>—</v>
      </c>
      <c r="AF16" s="21" t="str">
        <f>_xll.BDH("AAL US Equity","TOT_DEBT_TO_TOT_EQY","FQ3 2018","FQ3 2018","Currency=USD","Period=FQ","BEST_FPERIOD_OVERRIDE=FQ","FILING_STATUS=MR","Sort=A","Dates=H","DateFormat=P","Fill=—","Direction=H","UseDPDF=Y")</f>
        <v>—</v>
      </c>
      <c r="AG16" s="21" t="str">
        <f>_xll.BDH("AAL US Equity","TOT_DEBT_TO_TOT_EQY","FQ4 2018","FQ4 2018","Currency=USD","Period=FQ","BEST_FPERIOD_OVERRIDE=FQ","FILING_STATUS=MR","Sort=A","Dates=H","DateFormat=P","Fill=—","Direction=H","UseDPDF=Y")</f>
        <v>—</v>
      </c>
      <c r="AH16" s="21" t="str">
        <f>_xll.BDH("AAL US Equity","TOT_DEBT_TO_TOT_EQY","FQ1 2019","FQ1 2019","Currency=USD","Period=FQ","BEST_FPERIOD_OVERRIDE=FQ","FILING_STATUS=MR","Sort=A","Dates=H","DateFormat=P","Fill=—","Direction=H","UseDPDF=Y")</f>
        <v>—</v>
      </c>
      <c r="AI16" s="21" t="str">
        <f>_xll.BDH("AAL US Equity","TOT_DEBT_TO_TOT_EQY","FQ2 2019","FQ2 2019","Currency=USD","Period=FQ","BEST_FPERIOD_OVERRIDE=FQ","FILING_STATUS=MR","Sort=A","Dates=H","DateFormat=P","Fill=—","Direction=H","UseDPDF=Y")</f>
        <v>—</v>
      </c>
      <c r="AJ16" s="21">
        <f>_xll.BDH("AAL US Equity","TOT_DEBT_TO_TOT_EQY","FQ3 2019","FQ3 2019","Currency=USD","Period=FQ","BEST_FPERIOD_OVERRIDE=FQ","FILING_STATUS=MR","Sort=A","Dates=H","DateFormat=P","Fill=—","Direction=H","UseDPDF=Y")</f>
        <v>21525</v>
      </c>
      <c r="AK16" s="21" t="str">
        <f>_xll.BDH("AAL US Equity","TOT_DEBT_TO_TOT_EQY","FQ4 2019","FQ4 2019","Currency=USD","Period=FQ","BEST_FPERIOD_OVERRIDE=FQ","FILING_STATUS=MR","Sort=A","Dates=H","DateFormat=P","Fill=—","Direction=H","UseDPDF=Y")</f>
        <v>—</v>
      </c>
      <c r="AL16" s="21" t="str">
        <f>_xll.BDH("AAL US Equity","TOT_DEBT_TO_TOT_EQY","FQ1 2020","FQ1 2020","Currency=USD","Period=FQ","BEST_FPERIOD_OVERRIDE=FQ","FILING_STATUS=MR","Sort=A","Dates=H","DateFormat=P","Fill=—","Direction=H","UseDPDF=Y")</f>
        <v>—</v>
      </c>
      <c r="AM16" s="21" t="str">
        <f>_xll.BDH("AAL US Equity","TOT_DEBT_TO_TOT_EQY","FQ2 2020","FQ2 2020","Currency=USD","Period=FQ","BEST_FPERIOD_OVERRIDE=FQ","FILING_STATUS=MR","Sort=A","Dates=H","DateFormat=P","Fill=—","Direction=H","UseDPDF=Y")</f>
        <v>—</v>
      </c>
      <c r="AN16" s="21" t="str">
        <f>_xll.BDH("AAL US Equity","TOT_DEBT_TO_TOT_EQY","FQ3 2020","FQ3 2020","Currency=USD","Period=FQ","BEST_FPERIOD_OVERRIDE=FQ","FILING_STATUS=MR","Sort=A","Dates=H","DateFormat=P","Fill=—","Direction=H","UseDPDF=Y")</f>
        <v>—</v>
      </c>
      <c r="AO16" s="21" t="str">
        <f>_xll.BDH("AAL US Equity","TOT_DEBT_TO_TOT_EQY","FQ4 2020","FQ4 2020","Currency=USD","Period=FQ","BEST_FPERIOD_OVERRIDE=FQ","FILING_STATUS=MR","Sort=A","Dates=H","DateFormat=P","Fill=—","Direction=H","UseDPDF=Y")</f>
        <v>—</v>
      </c>
      <c r="AP16" s="21" t="str">
        <f>_xll.BDH("AAL US Equity","TOT_DEBT_TO_TOT_EQY","FQ1 2021","FQ1 2021","Currency=USD","Period=FQ","BEST_FPERIOD_OVERRIDE=FQ","FILING_STATUS=MR","Sort=A","Dates=H","DateFormat=P","Fill=—","Direction=H","UseDPDF=Y")</f>
        <v>—</v>
      </c>
    </row>
    <row r="17" spans="1:42" x14ac:dyDescent="0.25">
      <c r="A17" s="8" t="s">
        <v>174</v>
      </c>
      <c r="B17" s="8" t="s">
        <v>173</v>
      </c>
      <c r="C17" s="21">
        <f>_xll.BDH("AAL US Equity","TOT_DEBT_TO_TOT_CAP","FQ2 2011","FQ2 2011","Currency=USD","Period=FQ","BEST_FPERIOD_OVERRIDE=FQ","FILING_STATUS=MR","Sort=A","Dates=H","DateFormat=P","Fill=—","Direction=H","UseDPDF=Y")</f>
        <v>161.15559999999999</v>
      </c>
      <c r="D17" s="21">
        <f>_xll.BDH("AAL US Equity","TOT_DEBT_TO_TOT_CAP","FQ3 2011","FQ3 2011","Currency=USD","Period=FQ","BEST_FPERIOD_OVERRIDE=FQ","FILING_STATUS=MR","Sort=A","Dates=H","DateFormat=P","Fill=—","Direction=H","UseDPDF=Y")</f>
        <v>171.2097</v>
      </c>
      <c r="E17" s="21">
        <f>_xll.BDH("AAL US Equity","TOT_DEBT_TO_TOT_CAP","FQ4 2011","FQ4 2011","Currency=USD","Period=FQ","BEST_FPERIOD_OVERRIDE=FQ","FILING_STATUS=MR","Sort=A","Dates=H","DateFormat=P","Fill=—","Direction=H","UseDPDF=Y")</f>
        <v>741.20830000000001</v>
      </c>
      <c r="F17" s="21" t="str">
        <f>_xll.BDH("AAL US Equity","TOT_DEBT_TO_TOT_CAP","FQ1 2012","FQ1 2012","Currency=USD","Period=FQ","BEST_FPERIOD_OVERRIDE=FQ","FILING_STATUS=MR","Sort=A","Dates=H","DateFormat=P","Fill=—","Direction=H","UseDPDF=Y")</f>
        <v>—</v>
      </c>
      <c r="G17" s="21" t="str">
        <f>_xll.BDH("AAL US Equity","TOT_DEBT_TO_TOT_CAP","FQ2 2012","FQ2 2012","Currency=USD","Period=FQ","BEST_FPERIOD_OVERRIDE=FQ","FILING_STATUS=MR","Sort=A","Dates=H","DateFormat=P","Fill=—","Direction=H","UseDPDF=Y")</f>
        <v>—</v>
      </c>
      <c r="H17" s="21">
        <f>_xll.BDH("AAL US Equity","TOT_DEBT_TO_TOT_CAP","FQ3 2012","FQ3 2012","Currency=USD","Period=FQ","BEST_FPERIOD_OVERRIDE=FQ","FILING_STATUS=MR","Sort=A","Dates=H","DateFormat=P","Fill=—","Direction=H","UseDPDF=Y")</f>
        <v>1220.8207</v>
      </c>
      <c r="I17" s="21">
        <f>_xll.BDH("AAL US Equity","TOT_DEBT_TO_TOT_CAP","FQ4 2012","FQ4 2012","Currency=USD","Period=FQ","BEST_FPERIOD_OVERRIDE=FQ","FILING_STATUS=MR","Sort=A","Dates=H","DateFormat=P","Fill=—","Direction=H","UseDPDF=Y")</f>
        <v>1557.4818</v>
      </c>
      <c r="J17" s="21" t="str">
        <f>_xll.BDH("AAL US Equity","TOT_DEBT_TO_TOT_CAP","FQ1 2013","FQ1 2013","Currency=USD","Period=FQ","BEST_FPERIOD_OVERRIDE=FQ","FILING_STATUS=MR","Sort=A","Dates=H","DateFormat=P","Fill=—","Direction=H","UseDPDF=Y")</f>
        <v>—</v>
      </c>
      <c r="K17" s="21">
        <f>_xll.BDH("AAL US Equity","TOT_DEBT_TO_TOT_CAP","FQ2 2013","FQ2 2013","Currency=USD","Period=FQ","BEST_FPERIOD_OVERRIDE=FQ","FILING_STATUS=MR","Sort=A","Dates=H","DateFormat=P","Fill=—","Direction=H","UseDPDF=Y")</f>
        <v>660.81910000000005</v>
      </c>
      <c r="L17" s="21">
        <f>_xll.BDH("AAL US Equity","TOT_DEBT_TO_TOT_CAP","FQ3 2013","FQ3 2013","Currency=USD","Period=FQ","BEST_FPERIOD_OVERRIDE=FQ","FILING_STATUS=MR","Sort=A","Dates=H","DateFormat=P","Fill=—","Direction=H","UseDPDF=Y")</f>
        <v>399.50850000000003</v>
      </c>
      <c r="M17" s="21">
        <f>_xll.BDH("AAL US Equity","TOT_DEBT_TO_TOT_CAP","FQ4 2013","FQ4 2013","Currency=USD","Period=FQ","BEST_FPERIOD_OVERRIDE=FQ","FILING_STATUS=MR","Sort=A","Dates=H","DateFormat=P","Fill=—","Direction=H","UseDPDF=Y")</f>
        <v>113.65770000000001</v>
      </c>
      <c r="N17" s="21">
        <f>_xll.BDH("AAL US Equity","TOT_DEBT_TO_TOT_CAP","FQ1 2014","FQ1 2014","Currency=USD","Period=FQ","BEST_FPERIOD_OVERRIDE=FQ","FILING_STATUS=MR","Sort=A","Dates=H","DateFormat=P","Fill=—","Direction=H","UseDPDF=Y")</f>
        <v>94.552800000000005</v>
      </c>
      <c r="O17" s="21">
        <f>_xll.BDH("AAL US Equity","TOT_DEBT_TO_TOT_CAP","FQ2 2014","FQ2 2014","Currency=USD","Period=FQ","BEST_FPERIOD_OVERRIDE=FQ","FILING_STATUS=MR","Sort=A","Dates=H","DateFormat=P","Fill=—","Direction=H","UseDPDF=Y")</f>
        <v>80.752700000000004</v>
      </c>
      <c r="P17" s="21">
        <f>_xll.BDH("AAL US Equity","TOT_DEBT_TO_TOT_CAP","FQ3 2014","FQ3 2014","Currency=USD","Period=FQ","BEST_FPERIOD_OVERRIDE=FQ","FILING_STATUS=MR","Sort=A","Dates=H","DateFormat=P","Fill=—","Direction=H","UseDPDF=Y")</f>
        <v>77.708500000000001</v>
      </c>
      <c r="Q17" s="21">
        <f>_xll.BDH("AAL US Equity","TOT_DEBT_TO_TOT_CAP","FQ4 2014","FQ4 2014","Currency=USD","Period=FQ","BEST_FPERIOD_OVERRIDE=FQ","FILING_STATUS=MR","Sort=A","Dates=H","DateFormat=P","Fill=—","Direction=H","UseDPDF=Y")</f>
        <v>89.7624</v>
      </c>
      <c r="R17" s="21">
        <f>_xll.BDH("AAL US Equity","TOT_DEBT_TO_TOT_CAP","FQ1 2015","FQ1 2015","Currency=USD","Period=FQ","BEST_FPERIOD_OVERRIDE=FQ","FILING_STATUS=MR","Sort=A","Dates=H","DateFormat=P","Fill=—","Direction=H","UseDPDF=Y")</f>
        <v>87.254400000000004</v>
      </c>
      <c r="S17" s="21">
        <f>_xll.BDH("AAL US Equity","TOT_DEBT_TO_TOT_CAP","FQ2 2015","FQ2 2015","Currency=USD","Period=FQ","BEST_FPERIOD_OVERRIDE=FQ","FILING_STATUS=MR","Sort=A","Dates=H","DateFormat=P","Fill=—","Direction=H","UseDPDF=Y")</f>
        <v>83.789599999999993</v>
      </c>
      <c r="T17" s="21">
        <f>_xll.BDH("AAL US Equity","TOT_DEBT_TO_TOT_CAP","FQ3 2015","FQ3 2015","Currency=USD","Period=FQ","BEST_FPERIOD_OVERRIDE=FQ","FILING_STATUS=MR","Sort=A","Dates=H","DateFormat=P","Fill=—","Direction=H","UseDPDF=Y")</f>
        <v>84.533199999999994</v>
      </c>
      <c r="U17" s="21">
        <f>_xll.BDH("AAL US Equity","TOT_DEBT_TO_TOT_CAP","FQ4 2015","FQ4 2015","Currency=USD","Period=FQ","BEST_FPERIOD_OVERRIDE=FQ","FILING_STATUS=MR","Sort=A","Dates=H","DateFormat=P","Fill=—","Direction=H","UseDPDF=Y")</f>
        <v>78.489099999999993</v>
      </c>
      <c r="V17" s="21">
        <f>_xll.BDH("AAL US Equity","TOT_DEBT_TO_TOT_CAP","FQ1 2016","FQ1 2016","Currency=USD","Period=FQ","BEST_FPERIOD_OVERRIDE=FQ","FILING_STATUS=MR","Sort=A","Dates=H","DateFormat=P","Fill=—","Direction=H","UseDPDF=Y")</f>
        <v>82.195499999999996</v>
      </c>
      <c r="W17" s="21">
        <f>_xll.BDH("AAL US Equity","TOT_DEBT_TO_TOT_CAP","FQ2 2016","FQ2 2016","Currency=USD","Period=FQ","BEST_FPERIOD_OVERRIDE=FQ","FILING_STATUS=MR","Sort=A","Dates=H","DateFormat=P","Fill=—","Direction=H","UseDPDF=Y")</f>
        <v>84.122500000000002</v>
      </c>
      <c r="X17" s="21">
        <f>_xll.BDH("AAL US Equity","TOT_DEBT_TO_TOT_CAP","FQ3 2016","FQ3 2016","Currency=USD","Period=FQ","BEST_FPERIOD_OVERRIDE=FQ","FILING_STATUS=MR","Sort=A","Dates=H","DateFormat=P","Fill=—","Direction=H","UseDPDF=Y")</f>
        <v>84.167400000000001</v>
      </c>
      <c r="Y17" s="21">
        <f>_xll.BDH("AAL US Equity","TOT_DEBT_TO_TOT_CAP","FQ4 2016","FQ4 2016","Currency=USD","Period=FQ","BEST_FPERIOD_OVERRIDE=FQ","FILING_STATUS=MR","Sort=A","Dates=H","DateFormat=P","Fill=—","Direction=H","UseDPDF=Y")</f>
        <v>86.5441</v>
      </c>
      <c r="Z17" s="21">
        <f>_xll.BDH("AAL US Equity","TOT_DEBT_TO_TOT_CAP","FQ1 2017","FQ1 2017","Currency=USD","Period=FQ","BEST_FPERIOD_OVERRIDE=FQ","FILING_STATUS=MR","Sort=A","Dates=H","DateFormat=P","Fill=—","Direction=H","UseDPDF=Y")</f>
        <v>87.653599999999997</v>
      </c>
      <c r="AA17" s="21">
        <f>_xll.BDH("AAL US Equity","TOT_DEBT_TO_TOT_CAP","FQ2 2017","FQ2 2017","Currency=USD","Period=FQ","BEST_FPERIOD_OVERRIDE=FQ","FILING_STATUS=MR","Sort=A","Dates=H","DateFormat=P","Fill=—","Direction=H","UseDPDF=Y")</f>
        <v>86.998699999999999</v>
      </c>
      <c r="AB17" s="21">
        <f>_xll.BDH("AAL US Equity","TOT_DEBT_TO_TOT_CAP","FQ3 2017","FQ3 2017","Currency=USD","Period=FQ","BEST_FPERIOD_OVERRIDE=FQ","FILING_STATUS=MR","Sort=A","Dates=H","DateFormat=P","Fill=—","Direction=H","UseDPDF=Y")</f>
        <v>86.211200000000005</v>
      </c>
      <c r="AC17" s="21">
        <f>_xll.BDH("AAL US Equity","TOT_DEBT_TO_TOT_CAP","FQ4 2017","FQ4 2017","Currency=USD","Period=FQ","BEST_FPERIOD_OVERRIDE=FQ","FILING_STATUS=MR","Sort=A","Dates=H","DateFormat=P","Fill=—","Direction=H","UseDPDF=Y")</f>
        <v>103.2119</v>
      </c>
      <c r="AD17" s="21">
        <f>_xll.BDH("AAL US Equity","TOT_DEBT_TO_TOT_CAP","FQ1 2018","FQ1 2018","Currency=USD","Period=FQ","BEST_FPERIOD_OVERRIDE=FQ","FILING_STATUS=MR","Sort=A","Dates=H","DateFormat=P","Fill=—","Direction=H","UseDPDF=Y")</f>
        <v>104.2916</v>
      </c>
      <c r="AE17" s="21">
        <f>_xll.BDH("AAL US Equity","TOT_DEBT_TO_TOT_CAP","FQ2 2018","FQ2 2018","Currency=USD","Period=FQ","BEST_FPERIOD_OVERRIDE=FQ","FILING_STATUS=MR","Sort=A","Dates=H","DateFormat=P","Fill=—","Direction=H","UseDPDF=Y")</f>
        <v>103.74460000000001</v>
      </c>
      <c r="AF17" s="21">
        <f>_xll.BDH("AAL US Equity","TOT_DEBT_TO_TOT_CAP","FQ3 2018","FQ3 2018","Currency=USD","Period=FQ","BEST_FPERIOD_OVERRIDE=FQ","FILING_STATUS=MR","Sort=A","Dates=H","DateFormat=P","Fill=—","Direction=H","UseDPDF=Y")</f>
        <v>102.3472</v>
      </c>
      <c r="AG17" s="21">
        <f>_xll.BDH("AAL US Equity","TOT_DEBT_TO_TOT_CAP","FQ4 2018","FQ4 2018","Currency=USD","Period=FQ","BEST_FPERIOD_OVERRIDE=FQ","FILING_STATUS=MR","Sort=A","Dates=H","DateFormat=P","Fill=—","Direction=H","UseDPDF=Y")</f>
        <v>100.4991</v>
      </c>
      <c r="AH17" s="21">
        <f>_xll.BDH("AAL US Equity","TOT_DEBT_TO_TOT_CAP","FQ1 2019","FQ1 2019","Currency=USD","Period=FQ","BEST_FPERIOD_OVERRIDE=FQ","FILING_STATUS=MR","Sort=A","Dates=H","DateFormat=P","Fill=—","Direction=H","UseDPDF=Y")</f>
        <v>101.93859999999999</v>
      </c>
      <c r="AI17" s="21">
        <f>_xll.BDH("AAL US Equity","TOT_DEBT_TO_TOT_CAP","FQ2 2019","FQ2 2019","Currency=USD","Period=FQ","BEST_FPERIOD_OVERRIDE=FQ","FILING_STATUS=MR","Sort=A","Dates=H","DateFormat=P","Fill=—","Direction=H","UseDPDF=Y")</f>
        <v>100.0634</v>
      </c>
      <c r="AJ17" s="21">
        <f>_xll.BDH("AAL US Equity","TOT_DEBT_TO_TOT_CAP","FQ3 2019","FQ3 2019","Currency=USD","Period=FQ","BEST_FPERIOD_OVERRIDE=FQ","FILING_STATUS=MR","Sort=A","Dates=H","DateFormat=P","Fill=—","Direction=H","UseDPDF=Y")</f>
        <v>99.537599999999998</v>
      </c>
      <c r="AK17" s="21">
        <f>_xll.BDH("AAL US Equity","TOT_DEBT_TO_TOT_CAP","FQ4 2019","FQ4 2019","Currency=USD","Period=FQ","BEST_FPERIOD_OVERRIDE=FQ","FILING_STATUS=MR","Sort=A","Dates=H","DateFormat=P","Fill=—","Direction=H","UseDPDF=Y")</f>
        <v>100.3541</v>
      </c>
      <c r="AL17" s="21">
        <f>_xll.BDH("AAL US Equity","TOT_DEBT_TO_TOT_CAP","FQ1 2020","FQ1 2020","Currency=USD","Period=FQ","BEST_FPERIOD_OVERRIDE=FQ","FILING_STATUS=MR","Sort=A","Dates=H","DateFormat=P","Fill=—","Direction=H","UseDPDF=Y")</f>
        <v>108.38500000000001</v>
      </c>
      <c r="AM17" s="21">
        <f>_xll.BDH("AAL US Equity","TOT_DEBT_TO_TOT_CAP","FQ2 2020","FQ2 2020","Currency=USD","Period=FQ","BEST_FPERIOD_OVERRIDE=FQ","FILING_STATUS=MR","Sort=A","Dates=H","DateFormat=P","Fill=—","Direction=H","UseDPDF=Y")</f>
        <v>108.59269999999999</v>
      </c>
      <c r="AN17" s="21">
        <f>_xll.BDH("AAL US Equity","TOT_DEBT_TO_TOT_CAP","FQ3 2020","FQ3 2020","Currency=USD","Period=FQ","BEST_FPERIOD_OVERRIDE=FQ","FILING_STATUS=MR","Sort=A","Dates=H","DateFormat=P","Fill=—","Direction=H","UseDPDF=Y")</f>
        <v>115.49460000000001</v>
      </c>
      <c r="AO17" s="21">
        <f>_xll.BDH("AAL US Equity","TOT_DEBT_TO_TOT_CAP","FQ4 2020","FQ4 2020","Currency=USD","Period=FQ","BEST_FPERIOD_OVERRIDE=FQ","FILING_STATUS=MR","Sort=A","Dates=H","DateFormat=P","Fill=—","Direction=H","UseDPDF=Y")</f>
        <v>120.10599999999999</v>
      </c>
      <c r="AP17" s="21">
        <f>_xll.BDH("AAL US Equity","TOT_DEBT_TO_TOT_CAP","FQ1 2021","FQ1 2021","Currency=USD","Period=FQ","BEST_FPERIOD_OVERRIDE=FQ","FILING_STATUS=MR","Sort=A","Dates=H","DateFormat=P","Fill=—","Direction=H","UseDPDF=Y")</f>
        <v>119.8233</v>
      </c>
    </row>
    <row r="18" spans="1:42" x14ac:dyDescent="0.25">
      <c r="A18" s="8" t="s">
        <v>172</v>
      </c>
      <c r="B18" s="8" t="s">
        <v>171</v>
      </c>
      <c r="C18" s="21">
        <f>_xll.BDH("AAL US Equity","TOT_DEBT_TO_TOT_ASSET","FQ2 2011","FQ2 2011","Currency=USD","Period=FQ","BEST_FPERIOD_OVERRIDE=FQ","FILING_STATUS=MR","Sort=A","Dates=H","DateFormat=P","Fill=—","Direction=H","UseDPDF=Y")</f>
        <v>46.077500000000001</v>
      </c>
      <c r="D18" s="21">
        <f>_xll.BDH("AAL US Equity","TOT_DEBT_TO_TOT_ASSET","FQ3 2011","FQ3 2011","Currency=USD","Period=FQ","BEST_FPERIOD_OVERRIDE=FQ","FILING_STATUS=MR","Sort=A","Dates=H","DateFormat=P","Fill=—","Direction=H","UseDPDF=Y")</f>
        <v>47.008400000000002</v>
      </c>
      <c r="E18" s="21">
        <f>_xll.BDH("AAL US Equity","TOT_DEBT_TO_TOT_ASSET","FQ4 2011","FQ4 2011","Currency=USD","Period=FQ","BEST_FPERIOD_OVERRIDE=FQ","FILING_STATUS=MR","Sort=A","Dates=H","DateFormat=P","Fill=—","Direction=H","UseDPDF=Y")</f>
        <v>34.468299999999999</v>
      </c>
      <c r="F18" s="21">
        <f>_xll.BDH("AAL US Equity","TOT_DEBT_TO_TOT_ASSET","FQ1 2012","FQ1 2012","Currency=USD","Period=FQ","BEST_FPERIOD_OVERRIDE=FQ","FILING_STATUS=MR","Sort=A","Dates=H","DateFormat=P","Fill=—","Direction=H","UseDPDF=Y")</f>
        <v>34.882300000000001</v>
      </c>
      <c r="G18" s="21">
        <f>_xll.BDH("AAL US Equity","TOT_DEBT_TO_TOT_ASSET","FQ2 2012","FQ2 2012","Currency=USD","Period=FQ","BEST_FPERIOD_OVERRIDE=FQ","FILING_STATUS=MR","Sort=A","Dates=H","DateFormat=P","Fill=—","Direction=H","UseDPDF=Y")</f>
        <v>33.850999999999999</v>
      </c>
      <c r="H18" s="21">
        <f>_xll.BDH("AAL US Equity","TOT_DEBT_TO_TOT_ASSET","FQ3 2012","FQ3 2012","Currency=USD","Period=FQ","BEST_FPERIOD_OVERRIDE=FQ","FILING_STATUS=MR","Sort=A","Dates=H","DateFormat=P","Fill=—","Direction=H","UseDPDF=Y")</f>
        <v>33.573</v>
      </c>
      <c r="I18" s="21">
        <f>_xll.BDH("AAL US Equity","TOT_DEBT_TO_TOT_ASSET","FQ4 2012","FQ4 2012","Currency=USD","Period=FQ","BEST_FPERIOD_OVERRIDE=FQ","FILING_STATUS=MR","Sort=A","Dates=H","DateFormat=P","Fill=—","Direction=H","UseDPDF=Y")</f>
        <v>36.303699999999999</v>
      </c>
      <c r="J18" s="21">
        <f>_xll.BDH("AAL US Equity","TOT_DEBT_TO_TOT_ASSET","FQ1 2013","FQ1 2013","Currency=USD","Period=FQ","BEST_FPERIOD_OVERRIDE=FQ","FILING_STATUS=MR","Sort=A","Dates=H","DateFormat=P","Fill=—","Direction=H","UseDPDF=Y")</f>
        <v>34.827300000000001</v>
      </c>
      <c r="K18" s="21">
        <f>_xll.BDH("AAL US Equity","TOT_DEBT_TO_TOT_ASSET","FQ2 2013","FQ2 2013","Currency=USD","Period=FQ","BEST_FPERIOD_OVERRIDE=FQ","FILING_STATUS=MR","Sort=A","Dates=H","DateFormat=P","Fill=—","Direction=H","UseDPDF=Y")</f>
        <v>36.927799999999998</v>
      </c>
      <c r="L18" s="21">
        <f>_xll.BDH("AAL US Equity","TOT_DEBT_TO_TOT_ASSET","FQ3 2013","FQ3 2013","Currency=USD","Period=FQ","BEST_FPERIOD_OVERRIDE=FQ","FILING_STATUS=MR","Sort=A","Dates=H","DateFormat=P","Fill=—","Direction=H","UseDPDF=Y")</f>
        <v>39.458599999999997</v>
      </c>
      <c r="M18" s="21">
        <f>_xll.BDH("AAL US Equity","TOT_DEBT_TO_TOT_ASSET","FQ4 2013","FQ4 2013","Currency=USD","Period=FQ","BEST_FPERIOD_OVERRIDE=FQ","FILING_STATUS=MR","Sort=A","Dates=H","DateFormat=P","Fill=—","Direction=H","UseDPDF=Y")</f>
        <v>53.756100000000004</v>
      </c>
      <c r="N18" s="21">
        <f>_xll.BDH("AAL US Equity","TOT_DEBT_TO_TOT_ASSET","FQ1 2014","FQ1 2014","Currency=USD","Period=FQ","BEST_FPERIOD_OVERRIDE=FQ","FILING_STATUS=MR","Sort=A","Dates=H","DateFormat=P","Fill=—","Direction=H","UseDPDF=Y")</f>
        <v>43.457500000000003</v>
      </c>
      <c r="O18" s="21">
        <f>_xll.BDH("AAL US Equity","TOT_DEBT_TO_TOT_ASSET","FQ2 2014","FQ2 2014","Currency=USD","Period=FQ","BEST_FPERIOD_OVERRIDE=FQ","FILING_STATUS=MR","Sort=A","Dates=H","DateFormat=P","Fill=—","Direction=H","UseDPDF=Y")</f>
        <v>38.2562</v>
      </c>
      <c r="P18" s="21">
        <f>_xll.BDH("AAL US Equity","TOT_DEBT_TO_TOT_ASSET","FQ3 2014","FQ3 2014","Currency=USD","Period=FQ","BEST_FPERIOD_OVERRIDE=FQ","FILING_STATUS=MR","Sort=A","Dates=H","DateFormat=P","Fill=—","Direction=H","UseDPDF=Y")</f>
        <v>39.229799999999997</v>
      </c>
      <c r="Q18" s="21">
        <f>_xll.BDH("AAL US Equity","TOT_DEBT_TO_TOT_ASSET","FQ4 2014","FQ4 2014","Currency=USD","Period=FQ","BEST_FPERIOD_OVERRIDE=FQ","FILING_STATUS=MR","Sort=A","Dates=H","DateFormat=P","Fill=—","Direction=H","UseDPDF=Y")</f>
        <v>40.994799999999998</v>
      </c>
      <c r="R18" s="21">
        <f>_xll.BDH("AAL US Equity","TOT_DEBT_TO_TOT_ASSET","FQ1 2015","FQ1 2015","Currency=USD","Period=FQ","BEST_FPERIOD_OVERRIDE=FQ","FILING_STATUS=MR","Sort=A","Dates=H","DateFormat=P","Fill=—","Direction=H","UseDPDF=Y")</f>
        <v>40.471400000000003</v>
      </c>
      <c r="S18" s="21">
        <f>_xll.BDH("AAL US Equity","TOT_DEBT_TO_TOT_ASSET","FQ2 2015","FQ2 2015","Currency=USD","Period=FQ","BEST_FPERIOD_OVERRIDE=FQ","FILING_STATUS=MR","Sort=A","Dates=H","DateFormat=P","Fill=—","Direction=H","UseDPDF=Y")</f>
        <v>39.262099999999997</v>
      </c>
      <c r="T18" s="21">
        <f>_xll.BDH("AAL US Equity","TOT_DEBT_TO_TOT_ASSET","FQ3 2015","FQ3 2015","Currency=USD","Period=FQ","BEST_FPERIOD_OVERRIDE=FQ","FILING_STATUS=MR","Sort=A","Dates=H","DateFormat=P","Fill=—","Direction=H","UseDPDF=Y")</f>
        <v>42.206699999999998</v>
      </c>
      <c r="U18" s="21">
        <f>_xll.BDH("AAL US Equity","TOT_DEBT_TO_TOT_ASSET","FQ4 2015","FQ4 2015","Currency=USD","Period=FQ","BEST_FPERIOD_OVERRIDE=FQ","FILING_STATUS=MR","Sort=A","Dates=H","DateFormat=P","Fill=—","Direction=H","UseDPDF=Y")</f>
        <v>42.468200000000003</v>
      </c>
      <c r="V18" s="21">
        <f>_xll.BDH("AAL US Equity","TOT_DEBT_TO_TOT_ASSET","FQ1 2016","FQ1 2016","Currency=USD","Period=FQ","BEST_FPERIOD_OVERRIDE=FQ","FILING_STATUS=MR","Sort=A","Dates=H","DateFormat=P","Fill=—","Direction=H","UseDPDF=Y")</f>
        <v>43.567300000000003</v>
      </c>
      <c r="W18" s="21">
        <f>_xll.BDH("AAL US Equity","TOT_DEBT_TO_TOT_ASSET","FQ2 2016","FQ2 2016","Currency=USD","Period=FQ","BEST_FPERIOD_OVERRIDE=FQ","FILING_STATUS=MR","Sort=A","Dates=H","DateFormat=P","Fill=—","Direction=H","UseDPDF=Y")</f>
        <v>44.751300000000001</v>
      </c>
      <c r="X18" s="21">
        <f>_xll.BDH("AAL US Equity","TOT_DEBT_TO_TOT_ASSET","FQ3 2016","FQ3 2016","Currency=USD","Period=FQ","BEST_FPERIOD_OVERRIDE=FQ","FILING_STATUS=MR","Sort=A","Dates=H","DateFormat=P","Fill=—","Direction=H","UseDPDF=Y")</f>
        <v>45.673900000000003</v>
      </c>
      <c r="Y18" s="21">
        <f>_xll.BDH("AAL US Equity","TOT_DEBT_TO_TOT_ASSET","FQ4 2016","FQ4 2016","Currency=USD","Period=FQ","BEST_FPERIOD_OVERRIDE=FQ","FILING_STATUS=MR","Sort=A","Dates=H","DateFormat=P","Fill=—","Direction=H","UseDPDF=Y")</f>
        <v>47.478299999999997</v>
      </c>
      <c r="Z18" s="21">
        <f>_xll.BDH("AAL US Equity","TOT_DEBT_TO_TOT_ASSET","FQ1 2017","FQ1 2017","Currency=USD","Period=FQ","BEST_FPERIOD_OVERRIDE=FQ","FILING_STATUS=MR","Sort=A","Dates=H","DateFormat=P","Fill=—","Direction=H","UseDPDF=Y")</f>
        <v>46.635800000000003</v>
      </c>
      <c r="AA18" s="21">
        <f>_xll.BDH("AAL US Equity","TOT_DEBT_TO_TOT_ASSET","FQ2 2017","FQ2 2017","Currency=USD","Period=FQ","BEST_FPERIOD_OVERRIDE=FQ","FILING_STATUS=MR","Sort=A","Dates=H","DateFormat=P","Fill=—","Direction=H","UseDPDF=Y")</f>
        <v>46.6083</v>
      </c>
      <c r="AB18" s="21">
        <f>_xll.BDH("AAL US Equity","TOT_DEBT_TO_TOT_ASSET","FQ3 2017","FQ3 2017","Currency=USD","Period=FQ","BEST_FPERIOD_OVERRIDE=FQ","FILING_STATUS=MR","Sort=A","Dates=H","DateFormat=P","Fill=—","Direction=H","UseDPDF=Y")</f>
        <v>47.106000000000002</v>
      </c>
      <c r="AC18" s="21">
        <f>_xll.BDH("AAL US Equity","TOT_DEBT_TO_TOT_ASSET","FQ4 2017","FQ4 2017","Currency=USD","Period=FQ","BEST_FPERIOD_OVERRIDE=FQ","FILING_STATUS=MR","Sort=A","Dates=H","DateFormat=P","Fill=—","Direction=H","UseDPDF=Y")</f>
        <v>47.485100000000003</v>
      </c>
      <c r="AD18" s="21">
        <f>_xll.BDH("AAL US Equity","TOT_DEBT_TO_TOT_ASSET","FQ1 2018","FQ1 2018","Currency=USD","Period=FQ","BEST_FPERIOD_OVERRIDE=FQ","FILING_STATUS=MR","Sort=A","Dates=H","DateFormat=P","Fill=—","Direction=H","UseDPDF=Y")</f>
        <v>46.432099999999998</v>
      </c>
      <c r="AE18" s="21">
        <f>_xll.BDH("AAL US Equity","TOT_DEBT_TO_TOT_ASSET","FQ2 2018","FQ2 2018","Currency=USD","Period=FQ","BEST_FPERIOD_OVERRIDE=FQ","FILING_STATUS=MR","Sort=A","Dates=H","DateFormat=P","Fill=—","Direction=H","UseDPDF=Y")</f>
        <v>45.752699999999997</v>
      </c>
      <c r="AF18" s="21">
        <f>_xll.BDH("AAL US Equity","TOT_DEBT_TO_TOT_ASSET","FQ3 2018","FQ3 2018","Currency=USD","Period=FQ","BEST_FPERIOD_OVERRIDE=FQ","FILING_STATUS=MR","Sort=A","Dates=H","DateFormat=P","Fill=—","Direction=H","UseDPDF=Y")</f>
        <v>47.054200000000002</v>
      </c>
      <c r="AG18" s="21">
        <f>_xll.BDH("AAL US Equity","TOT_DEBT_TO_TOT_ASSET","FQ4 2018","FQ4 2018","Currency=USD","Period=FQ","BEST_FPERIOD_OVERRIDE=FQ","FILING_STATUS=MR","Sort=A","Dates=H","DateFormat=P","Fill=—","Direction=H","UseDPDF=Y")</f>
        <v>56.171999999999997</v>
      </c>
      <c r="AH18" s="21">
        <f>_xll.BDH("AAL US Equity","TOT_DEBT_TO_TOT_ASSET","FQ1 2019","FQ1 2019","Currency=USD","Period=FQ","BEST_FPERIOD_OVERRIDE=FQ","FILING_STATUS=MR","Sort=A","Dates=H","DateFormat=P","Fill=—","Direction=H","UseDPDF=Y")</f>
        <v>55.018300000000004</v>
      </c>
      <c r="AI18" s="21">
        <f>_xll.BDH("AAL US Equity","TOT_DEBT_TO_TOT_ASSET","FQ2 2019","FQ2 2019","Currency=USD","Period=FQ","BEST_FPERIOD_OVERRIDE=FQ","FILING_STATUS=MR","Sort=A","Dates=H","DateFormat=P","Fill=—","Direction=H","UseDPDF=Y")</f>
        <v>56.075000000000003</v>
      </c>
      <c r="AJ18" s="21">
        <f>_xll.BDH("AAL US Equity","TOT_DEBT_TO_TOT_ASSET","FQ3 2019","FQ3 2019","Currency=USD","Period=FQ","BEST_FPERIOD_OVERRIDE=FQ","FILING_STATUS=MR","Sort=A","Dates=H","DateFormat=P","Fill=—","Direction=H","UseDPDF=Y")</f>
        <v>56.297499999999999</v>
      </c>
      <c r="AK18" s="21">
        <f>_xll.BDH("AAL US Equity","TOT_DEBT_TO_TOT_ASSET","FQ4 2019","FQ4 2019","Currency=USD","Period=FQ","BEST_FPERIOD_OVERRIDE=FQ","FILING_STATUS=MR","Sort=A","Dates=H","DateFormat=P","Fill=—","Direction=H","UseDPDF=Y")</f>
        <v>55.744599999999998</v>
      </c>
      <c r="AL18" s="21">
        <f>_xll.BDH("AAL US Equity","TOT_DEBT_TO_TOT_ASSET","FQ1 2020","FQ1 2020","Currency=USD","Period=FQ","BEST_FPERIOD_OVERRIDE=FQ","FILING_STATUS=MR","Sort=A","Dates=H","DateFormat=P","Fill=—","Direction=H","UseDPDF=Y")</f>
        <v>58.164900000000003</v>
      </c>
      <c r="AM18" s="21">
        <f>_xll.BDH("AAL US Equity","TOT_DEBT_TO_TOT_ASSET","FQ2 2020","FQ2 2020","Currency=USD","Period=FQ","BEST_FPERIOD_OVERRIDE=FQ","FILING_STATUS=MR","Sort=A","Dates=H","DateFormat=P","Fill=—","Direction=H","UseDPDF=Y")</f>
        <v>62.049100000000003</v>
      </c>
      <c r="AN18" s="21">
        <f>_xll.BDH("AAL US Equity","TOT_DEBT_TO_TOT_ASSET","FQ3 2020","FQ3 2020","Currency=USD","Period=FQ","BEST_FPERIOD_OVERRIDE=FQ","FILING_STATUS=MR","Sort=A","Dates=H","DateFormat=P","Fill=—","Direction=H","UseDPDF=Y")</f>
        <v>65.641300000000001</v>
      </c>
      <c r="AO18" s="21">
        <f>_xll.BDH("AAL US Equity","TOT_DEBT_TO_TOT_ASSET","FQ4 2020","FQ4 2020","Currency=USD","Period=FQ","BEST_FPERIOD_OVERRIDE=FQ","FILING_STATUS=MR","Sort=A","Dates=H","DateFormat=P","Fill=—","Direction=H","UseDPDF=Y")</f>
        <v>66.154399999999995</v>
      </c>
      <c r="AP18" s="21">
        <f>_xll.BDH("AAL US Equity","TOT_DEBT_TO_TOT_ASSET","FQ1 2021","FQ1 2021","Currency=USD","Period=FQ","BEST_FPERIOD_OVERRIDE=FQ","FILING_STATUS=MR","Sort=A","Dates=H","DateFormat=P","Fill=—","Direction=H","UseDPDF=Y")</f>
        <v>69.9559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170</v>
      </c>
      <c r="B20" s="8" t="s">
        <v>169</v>
      </c>
      <c r="C20" s="21">
        <f>_xll.BDH("AAL US Equity","CASH_FLOW_TO_TOT_LIAB","FQ2 2011","FQ2 2011","Currency=USD","Period=FQ","BEST_FPERIOD_OVERRIDE=FQ","FILING_STATUS=MR","Sort=A","Dates=H","DateFormat=P","Fill=—","Direction=H","UseDPDF=Y")</f>
        <v>2.3799000000000001</v>
      </c>
      <c r="D20" s="21">
        <f>_xll.BDH("AAL US Equity","CASH_FLOW_TO_TOT_LIAB","FQ3 2011","FQ3 2011","Currency=USD","Period=FQ","BEST_FPERIOD_OVERRIDE=FQ","FILING_STATUS=MR","Sort=A","Dates=H","DateFormat=P","Fill=—","Direction=H","UseDPDF=Y")</f>
        <v>1.6818</v>
      </c>
      <c r="E20" s="21">
        <f>_xll.BDH("AAL US Equity","CASH_FLOW_TO_TOT_LIAB","FQ4 2011","FQ4 2011","Currency=USD","Period=FQ","BEST_FPERIOD_OVERRIDE=FQ","FILING_STATUS=MR","Sort=A","Dates=H","DateFormat=P","Fill=—","Direction=H","UseDPDF=Y")</f>
        <v>2.3999000000000001</v>
      </c>
      <c r="F20" s="21">
        <f>_xll.BDH("AAL US Equity","CASH_FLOW_TO_TOT_LIAB","FQ1 2012","FQ1 2012","Currency=USD","Period=FQ","BEST_FPERIOD_OVERRIDE=FQ","FILING_STATUS=MR","Sort=A","Dates=H","DateFormat=P","Fill=—","Direction=H","UseDPDF=Y")</f>
        <v>3.3195999999999999</v>
      </c>
      <c r="G20" s="21">
        <f>_xll.BDH("AAL US Equity","CASH_FLOW_TO_TOT_LIAB","FQ2 2012","FQ2 2012","Currency=USD","Period=FQ","BEST_FPERIOD_OVERRIDE=FQ","FILING_STATUS=MR","Sort=A","Dates=H","DateFormat=P","Fill=—","Direction=H","UseDPDF=Y")</f>
        <v>5.3777999999999997</v>
      </c>
      <c r="H20" s="21">
        <f>_xll.BDH("AAL US Equity","CASH_FLOW_TO_TOT_LIAB","FQ3 2012","FQ3 2012","Currency=USD","Period=FQ","BEST_FPERIOD_OVERRIDE=FQ","FILING_STATUS=MR","Sort=A","Dates=H","DateFormat=P","Fill=—","Direction=H","UseDPDF=Y")</f>
        <v>6.2744</v>
      </c>
      <c r="I20" s="21">
        <f>_xll.BDH("AAL US Equity","CASH_FLOW_TO_TOT_LIAB","FQ4 2012","FQ4 2012","Currency=USD","Period=FQ","BEST_FPERIOD_OVERRIDE=FQ","FILING_STATUS=MR","Sort=A","Dates=H","DateFormat=P","Fill=—","Direction=H","UseDPDF=Y")</f>
        <v>4.0797999999999996</v>
      </c>
      <c r="J20" s="21">
        <f>_xll.BDH("AAL US Equity","CASH_FLOW_TO_TOT_LIAB","FQ1 2013","FQ1 2013","Currency=USD","Period=FQ","BEST_FPERIOD_OVERRIDE=FQ","FILING_STATUS=MR","Sort=A","Dates=H","DateFormat=P","Fill=—","Direction=H","UseDPDF=Y")</f>
        <v>2.8485</v>
      </c>
      <c r="K20" s="21">
        <f>_xll.BDH("AAL US Equity","CASH_FLOW_TO_TOT_LIAB","FQ2 2013","FQ2 2013","Currency=USD","Period=FQ","BEST_FPERIOD_OVERRIDE=FQ","FILING_STATUS=MR","Sort=A","Dates=H","DateFormat=P","Fill=—","Direction=H","UseDPDF=Y")</f>
        <v>4.1618000000000004</v>
      </c>
      <c r="L20" s="21">
        <f>_xll.BDH("AAL US Equity","CASH_FLOW_TO_TOT_LIAB","FQ3 2013","FQ3 2013","Currency=USD","Period=FQ","BEST_FPERIOD_OVERRIDE=FQ","FILING_STATUS=MR","Sort=A","Dates=H","DateFormat=P","Fill=—","Direction=H","UseDPDF=Y")</f>
        <v>4.6250999999999998</v>
      </c>
      <c r="M20" s="21">
        <f>_xll.BDH("AAL US Equity","CASH_FLOW_TO_TOT_LIAB","FQ4 2013","FQ4 2013","Currency=USD","Period=FQ","BEST_FPERIOD_OVERRIDE=FQ","FILING_STATUS=MR","Sort=A","Dates=H","DateFormat=P","Fill=—","Direction=H","UseDPDF=Y")</f>
        <v>1.4997</v>
      </c>
      <c r="N20" s="21">
        <f>_xll.BDH("AAL US Equity","CASH_FLOW_TO_TOT_LIAB","FQ1 2014","FQ1 2014","Currency=USD","Period=FQ","BEST_FPERIOD_OVERRIDE=FQ","FILING_STATUS=MR","Sort=A","Dates=H","DateFormat=P","Fill=—","Direction=H","UseDPDF=Y")</f>
        <v>2.8868</v>
      </c>
      <c r="O20" s="21">
        <f>_xll.BDH("AAL US Equity","CASH_FLOW_TO_TOT_LIAB","FQ2 2014","FQ2 2014","Currency=USD","Period=FQ","BEST_FPERIOD_OVERRIDE=FQ","FILING_STATUS=MR","Sort=A","Dates=H","DateFormat=P","Fill=—","Direction=H","UseDPDF=Y")</f>
        <v>3.5407999999999999</v>
      </c>
      <c r="P20" s="21">
        <f>_xll.BDH("AAL US Equity","CASH_FLOW_TO_TOT_LIAB","FQ3 2014","FQ3 2014","Currency=USD","Period=FQ","BEST_FPERIOD_OVERRIDE=FQ","FILING_STATUS=MR","Sort=A","Dates=H","DateFormat=P","Fill=—","Direction=H","UseDPDF=Y")</f>
        <v>2.7141000000000002</v>
      </c>
      <c r="Q20" s="21">
        <f>_xll.BDH("AAL US Equity","CASH_FLOW_TO_TOT_LIAB","FQ4 2014","FQ4 2014","Currency=USD","Period=FQ","BEST_FPERIOD_OVERRIDE=FQ","FILING_STATUS=MR","Sort=A","Dates=H","DateFormat=P","Fill=—","Direction=H","UseDPDF=Y")</f>
        <v>7.4749999999999996</v>
      </c>
      <c r="R20" s="21">
        <f>_xll.BDH("AAL US Equity","CASH_FLOW_TO_TOT_LIAB","FQ1 2015","FQ1 2015","Currency=USD","Period=FQ","BEST_FPERIOD_OVERRIDE=FQ","FILING_STATUS=MR","Sort=A","Dates=H","DateFormat=P","Fill=—","Direction=H","UseDPDF=Y")</f>
        <v>9.8158999999999992</v>
      </c>
      <c r="S20" s="21">
        <f>_xll.BDH("AAL US Equity","CASH_FLOW_TO_TOT_LIAB","FQ2 2015","FQ2 2015","Currency=USD","Period=FQ","BEST_FPERIOD_OVERRIDE=FQ","FILING_STATUS=MR","Sort=A","Dates=H","DateFormat=P","Fill=—","Direction=H","UseDPDF=Y")</f>
        <v>11.946099999999999</v>
      </c>
      <c r="T20" s="21">
        <f>_xll.BDH("AAL US Equity","CASH_FLOW_TO_TOT_LIAB","FQ3 2015","FQ3 2015","Currency=USD","Period=FQ","BEST_FPERIOD_OVERRIDE=FQ","FILING_STATUS=MR","Sort=A","Dates=H","DateFormat=P","Fill=—","Direction=H","UseDPDF=Y")</f>
        <v>15.182499999999999</v>
      </c>
      <c r="U20" s="21">
        <f>_xll.BDH("AAL US Equity","CASH_FLOW_TO_TOT_LIAB","FQ4 2015","FQ4 2015","Currency=USD","Period=FQ","BEST_FPERIOD_OVERRIDE=FQ","FILING_STATUS=MR","Sort=A","Dates=H","DateFormat=P","Fill=—","Direction=H","UseDPDF=Y")</f>
        <v>14.6073</v>
      </c>
      <c r="V20" s="21">
        <f>_xll.BDH("AAL US Equity","CASH_FLOW_TO_TOT_LIAB","FQ1 2016","FQ1 2016","Currency=USD","Period=FQ","BEST_FPERIOD_OVERRIDE=FQ","FILING_STATUS=MR","Sort=A","Dates=H","DateFormat=P","Fill=—","Direction=H","UseDPDF=Y")</f>
        <v>14.1043</v>
      </c>
      <c r="W20" s="21">
        <f>_xll.BDH("AAL US Equity","CASH_FLOW_TO_TOT_LIAB","FQ2 2016","FQ2 2016","Currency=USD","Period=FQ","BEST_FPERIOD_OVERRIDE=FQ","FILING_STATUS=MR","Sort=A","Dates=H","DateFormat=P","Fill=—","Direction=H","UseDPDF=Y")</f>
        <v>13.3529</v>
      </c>
      <c r="X20" s="21">
        <f>_xll.BDH("AAL US Equity","CASH_FLOW_TO_TOT_LIAB","FQ3 2016","FQ3 2016","Currency=USD","Period=FQ","BEST_FPERIOD_OVERRIDE=FQ","FILING_STATUS=MR","Sort=A","Dates=H","DateFormat=P","Fill=—","Direction=H","UseDPDF=Y")</f>
        <v>13.110900000000001</v>
      </c>
      <c r="Y20" s="21">
        <f>_xll.BDH("AAL US Equity","CASH_FLOW_TO_TOT_LIAB","FQ4 2016","FQ4 2016","Currency=USD","Period=FQ","BEST_FPERIOD_OVERRIDE=FQ","FILING_STATUS=MR","Sort=A","Dates=H","DateFormat=P","Fill=—","Direction=H","UseDPDF=Y")</f>
        <v>13.7379</v>
      </c>
      <c r="Z20" s="21">
        <f>_xll.BDH("AAL US Equity","CASH_FLOW_TO_TOT_LIAB","FQ1 2017","FQ1 2017","Currency=USD","Period=FQ","BEST_FPERIOD_OVERRIDE=FQ","FILING_STATUS=MR","Sort=A","Dates=H","DateFormat=P","Fill=—","Direction=H","UseDPDF=Y")</f>
        <v>12.5158</v>
      </c>
      <c r="AA20" s="21">
        <f>_xll.BDH("AAL US Equity","CASH_FLOW_TO_TOT_LIAB","FQ2 2017","FQ2 2017","Currency=USD","Period=FQ","BEST_FPERIOD_OVERRIDE=FQ","FILING_STATUS=MR","Sort=A","Dates=H","DateFormat=P","Fill=—","Direction=H","UseDPDF=Y")</f>
        <v>11.343999999999999</v>
      </c>
      <c r="AB20" s="21">
        <f>_xll.BDH("AAL US Equity","CASH_FLOW_TO_TOT_LIAB","FQ3 2017","FQ3 2017","Currency=USD","Period=FQ","BEST_FPERIOD_OVERRIDE=FQ","FILING_STATUS=MR","Sort=A","Dates=H","DateFormat=P","Fill=—","Direction=H","UseDPDF=Y")</f>
        <v>10.1831</v>
      </c>
      <c r="AC20" s="21">
        <f>_xll.BDH("AAL US Equity","CASH_FLOW_TO_TOT_LIAB","FQ4 2017","FQ4 2017","Currency=USD","Period=FQ","BEST_FPERIOD_OVERRIDE=FQ","FILING_STATUS=MR","Sort=A","Dates=H","DateFormat=P","Fill=—","Direction=H","UseDPDF=Y")</f>
        <v>9.2279999999999998</v>
      </c>
      <c r="AD20" s="21">
        <f>_xll.BDH("AAL US Equity","CASH_FLOW_TO_TOT_LIAB","FQ1 2018","FQ1 2018","Currency=USD","Period=FQ","BEST_FPERIOD_OVERRIDE=FQ","FILING_STATUS=MR","Sort=A","Dates=H","DateFormat=P","Fill=—","Direction=H","UseDPDF=Y")</f>
        <v>8.2746999999999993</v>
      </c>
      <c r="AE20" s="21">
        <f>_xll.BDH("AAL US Equity","CASH_FLOW_TO_TOT_LIAB","FQ2 2018","FQ2 2018","Currency=USD","Period=FQ","BEST_FPERIOD_OVERRIDE=FQ","FILING_STATUS=MR","Sort=A","Dates=H","DateFormat=P","Fill=—","Direction=H","UseDPDF=Y")</f>
        <v>7.2891000000000004</v>
      </c>
      <c r="AF20" s="21">
        <f>_xll.BDH("AAL US Equity","CASH_FLOW_TO_TOT_LIAB","FQ3 2018","FQ3 2018","Currency=USD","Period=FQ","BEST_FPERIOD_OVERRIDE=FQ","FILING_STATUS=MR","Sort=A","Dates=H","DateFormat=P","Fill=—","Direction=H","UseDPDF=Y")</f>
        <v>6.4901999999999997</v>
      </c>
      <c r="AG20" s="21">
        <f>_xll.BDH("AAL US Equity","CASH_FLOW_TO_TOT_LIAB","FQ4 2018","FQ4 2018","Currency=USD","Period=FQ","BEST_FPERIOD_OVERRIDE=FQ","FILING_STATUS=MR","Sort=A","Dates=H","DateFormat=P","Fill=—","Direction=H","UseDPDF=Y")</f>
        <v>6.2602000000000002</v>
      </c>
      <c r="AH20" s="21">
        <f>_xll.BDH("AAL US Equity","CASH_FLOW_TO_TOT_LIAB","FQ1 2019","FQ1 2019","Currency=USD","Period=FQ","BEST_FPERIOD_OVERRIDE=FQ","FILING_STATUS=MR","Sort=A","Dates=H","DateFormat=P","Fill=—","Direction=H","UseDPDF=Y")</f>
        <v>5.9489000000000001</v>
      </c>
      <c r="AI20" s="21">
        <f>_xll.BDH("AAL US Equity","CASH_FLOW_TO_TOT_LIAB","FQ2 2019","FQ2 2019","Currency=USD","Period=FQ","BEST_FPERIOD_OVERRIDE=FQ","FILING_STATUS=MR","Sort=A","Dates=H","DateFormat=P","Fill=—","Direction=H","UseDPDF=Y")</f>
        <v>5.3170999999999999</v>
      </c>
      <c r="AJ20" s="21">
        <f>_xll.BDH("AAL US Equity","CASH_FLOW_TO_TOT_LIAB","FQ3 2019","FQ3 2019","Currency=USD","Period=FQ","BEST_FPERIOD_OVERRIDE=FQ","FILING_STATUS=MR","Sort=A","Dates=H","DateFormat=P","Fill=—","Direction=H","UseDPDF=Y")</f>
        <v>6.8852000000000002</v>
      </c>
      <c r="AK20" s="21">
        <f>_xll.BDH("AAL US Equity","CASH_FLOW_TO_TOT_LIAB","FQ4 2019","FQ4 2019","Currency=USD","Period=FQ","BEST_FPERIOD_OVERRIDE=FQ","FILING_STATUS=MR","Sort=A","Dates=H","DateFormat=P","Fill=—","Direction=H","UseDPDF=Y")</f>
        <v>5.5545</v>
      </c>
      <c r="AL20" s="21">
        <f>_xll.BDH("AAL US Equity","CASH_FLOW_TO_TOT_LIAB","FQ1 2020","FQ1 2020","Currency=USD","Period=FQ","BEST_FPERIOD_OVERRIDE=FQ","FILING_STATUS=MR","Sort=A","Dates=H","DateFormat=P","Fill=—","Direction=H","UseDPDF=Y")</f>
        <v>2.4830000000000001</v>
      </c>
      <c r="AM20" s="21">
        <f>_xll.BDH("AAL US Equity","CASH_FLOW_TO_TOT_LIAB","FQ2 2020","FQ2 2020","Currency=USD","Period=FQ","BEST_FPERIOD_OVERRIDE=FQ","FILING_STATUS=MR","Sort=A","Dates=H","DateFormat=P","Fill=—","Direction=H","UseDPDF=Y")</f>
        <v>-0.18310000000000001</v>
      </c>
      <c r="AN20" s="21">
        <f>_xll.BDH("AAL US Equity","CASH_FLOW_TO_TOT_LIAB","FQ3 2020","FQ3 2020","Currency=USD","Period=FQ","BEST_FPERIOD_OVERRIDE=FQ","FILING_STATUS=MR","Sort=A","Dates=H","DateFormat=P","Fill=—","Direction=H","UseDPDF=Y")</f>
        <v>-5.2064000000000004</v>
      </c>
      <c r="AO20" s="21">
        <f>_xll.BDH("AAL US Equity","CASH_FLOW_TO_TOT_LIAB","FQ4 2020","FQ4 2020","Currency=USD","Period=FQ","BEST_FPERIOD_OVERRIDE=FQ","FILING_STATUS=MR","Sort=A","Dates=H","DateFormat=P","Fill=—","Direction=H","UseDPDF=Y")</f>
        <v>-9.4998000000000005</v>
      </c>
      <c r="AP20" s="21">
        <f>_xll.BDH("AAL US Equity","CASH_FLOW_TO_TOT_LIAB","FQ1 2021","FQ1 2021","Currency=USD","Period=FQ","BEST_FPERIOD_OVERRIDE=FQ","FILING_STATUS=MR","Sort=A","Dates=H","DateFormat=P","Fill=—","Direction=H","UseDPDF=Y")</f>
        <v>-8.0959000000000003</v>
      </c>
    </row>
    <row r="21" spans="1:42" x14ac:dyDescent="0.25">
      <c r="A21" s="8" t="s">
        <v>168</v>
      </c>
      <c r="B21" s="8" t="s">
        <v>167</v>
      </c>
      <c r="C21" s="21">
        <f>_xll.BDH("AAL US Equity","CAP_EXPEND_RATIO","FQ2 2011","FQ2 2011","Currency=USD","Period=FQ","BEST_FPERIOD_OVERRIDE=FQ","FILING_STATUS=MR","Sort=A","Dates=H","DateFormat=P","Fill=—","Direction=H","UseDPDF=Y")</f>
        <v>-0.1389</v>
      </c>
      <c r="D21" s="21">
        <f>_xll.BDH("AAL US Equity","CAP_EXPEND_RATIO","FQ3 2011","FQ3 2011","Currency=USD","Period=FQ","BEST_FPERIOD_OVERRIDE=FQ","FILING_STATUS=MR","Sort=A","Dates=H","DateFormat=P","Fill=—","Direction=H","UseDPDF=Y")</f>
        <v>-0.63829999999999998</v>
      </c>
      <c r="E21" s="21">
        <f>_xll.BDH("AAL US Equity","CAP_EXPEND_RATIO","FQ4 2011","FQ4 2011","Currency=USD","Period=FQ","BEST_FPERIOD_OVERRIDE=FQ","FILING_STATUS=MR","Sort=A","Dates=H","DateFormat=P","Fill=—","Direction=H","UseDPDF=Y")</f>
        <v>1.0671999999999999</v>
      </c>
      <c r="F21" s="21">
        <f>_xll.BDH("AAL US Equity","CAP_EXPEND_RATIO","FQ1 2012","FQ1 2012","Currency=USD","Period=FQ","BEST_FPERIOD_OVERRIDE=FQ","FILING_STATUS=MR","Sort=A","Dates=H","DateFormat=P","Fill=—","Direction=H","UseDPDF=Y")</f>
        <v>4.4832000000000001</v>
      </c>
      <c r="G21" s="21">
        <f>_xll.BDH("AAL US Equity","CAP_EXPEND_RATIO","FQ2 2012","FQ2 2012","Currency=USD","Period=FQ","BEST_FPERIOD_OVERRIDE=FQ","FILING_STATUS=MR","Sort=A","Dates=H","DateFormat=P","Fill=—","Direction=H","UseDPDF=Y")</f>
        <v>1.3231999999999999</v>
      </c>
      <c r="H21" s="21">
        <f>_xll.BDH("AAL US Equity","CAP_EXPEND_RATIO","FQ3 2012","FQ3 2012","Currency=USD","Period=FQ","BEST_FPERIOD_OVERRIDE=FQ","FILING_STATUS=MR","Sort=A","Dates=H","DateFormat=P","Fill=—","Direction=H","UseDPDF=Y")</f>
        <v>-0.36899999999999999</v>
      </c>
      <c r="I21" s="21">
        <f>_xll.BDH("AAL US Equity","CAP_EXPEND_RATIO","FQ4 2012","FQ4 2012","Currency=USD","Period=FQ","BEST_FPERIOD_OVERRIDE=FQ","FILING_STATUS=MR","Sort=A","Dates=H","DateFormat=P","Fill=—","Direction=H","UseDPDF=Y")</f>
        <v>-0.38369999999999999</v>
      </c>
      <c r="J21" s="21">
        <f>_xll.BDH("AAL US Equity","CAP_EXPEND_RATIO","FQ1 2013","FQ1 2013","Currency=USD","Period=FQ","BEST_FPERIOD_OVERRIDE=FQ","FILING_STATUS=MR","Sort=A","Dates=H","DateFormat=P","Fill=—","Direction=H","UseDPDF=Y")</f>
        <v>0.79100000000000004</v>
      </c>
      <c r="K21" s="21">
        <f>_xll.BDH("AAL US Equity","CAP_EXPEND_RATIO","FQ2 2013","FQ2 2013","Currency=USD","Period=FQ","BEST_FPERIOD_OVERRIDE=FQ","FILING_STATUS=MR","Sort=A","Dates=H","DateFormat=P","Fill=—","Direction=H","UseDPDF=Y")</f>
        <v>1.2730999999999999</v>
      </c>
      <c r="L21" s="21">
        <f>_xll.BDH("AAL US Equity","CAP_EXPEND_RATIO","FQ3 2013","FQ3 2013","Currency=USD","Period=FQ","BEST_FPERIOD_OVERRIDE=FQ","FILING_STATUS=MR","Sort=A","Dates=H","DateFormat=P","Fill=—","Direction=H","UseDPDF=Y")</f>
        <v>2.8500000000000001E-2</v>
      </c>
      <c r="M21" s="21">
        <f>_xll.BDH("AAL US Equity","CAP_EXPEND_RATIO","FQ4 2013","FQ4 2013","Currency=USD","Period=FQ","BEST_FPERIOD_OVERRIDE=FQ","FILING_STATUS=MR","Sort=A","Dates=H","DateFormat=P","Fill=—","Direction=H","UseDPDF=Y")</f>
        <v>-1.6975</v>
      </c>
      <c r="N21" s="21">
        <f>_xll.BDH("AAL US Equity","CAP_EXPEND_RATIO","FQ1 2014","FQ1 2014","Currency=USD","Period=FQ","BEST_FPERIOD_OVERRIDE=FQ","FILING_STATUS=MR","Sort=A","Dates=H","DateFormat=P","Fill=—","Direction=H","UseDPDF=Y")</f>
        <v>1.1996</v>
      </c>
      <c r="O21" s="21">
        <f>_xll.BDH("AAL US Equity","CAP_EXPEND_RATIO","FQ2 2014","FQ2 2014","Currency=USD","Period=FQ","BEST_FPERIOD_OVERRIDE=FQ","FILING_STATUS=MR","Sort=A","Dates=H","DateFormat=P","Fill=—","Direction=H","UseDPDF=Y")</f>
        <v>0.84670000000000001</v>
      </c>
      <c r="P21" s="21">
        <f>_xll.BDH("AAL US Equity","CAP_EXPEND_RATIO","FQ3 2014","FQ3 2014","Currency=USD","Period=FQ","BEST_FPERIOD_OVERRIDE=FQ","FILING_STATUS=MR","Sort=A","Dates=H","DateFormat=P","Fill=—","Direction=H","UseDPDF=Y")</f>
        <v>-0.27179999999999999</v>
      </c>
      <c r="Q21" s="21">
        <f>_xll.BDH("AAL US Equity","CAP_EXPEND_RATIO","FQ4 2014","FQ4 2014","Currency=USD","Period=FQ","BEST_FPERIOD_OVERRIDE=FQ","FILING_STATUS=MR","Sort=A","Dates=H","DateFormat=P","Fill=—","Direction=H","UseDPDF=Y")</f>
        <v>0.61609999999999998</v>
      </c>
      <c r="R21" s="21">
        <f>_xll.BDH("AAL US Equity","CAP_EXPEND_RATIO","FQ1 2015","FQ1 2015","Currency=USD","Period=FQ","BEST_FPERIOD_OVERRIDE=FQ","FILING_STATUS=MR","Sort=A","Dates=H","DateFormat=P","Fill=—","Direction=H","UseDPDF=Y")</f>
        <v>1.77</v>
      </c>
      <c r="S21" s="21">
        <f>_xll.BDH("AAL US Equity","CAP_EXPEND_RATIO","FQ2 2015","FQ2 2015","Currency=USD","Period=FQ","BEST_FPERIOD_OVERRIDE=FQ","FILING_STATUS=MR","Sort=A","Dates=H","DateFormat=P","Fill=—","Direction=H","UseDPDF=Y")</f>
        <v>1.3566</v>
      </c>
      <c r="T21" s="21">
        <f>_xll.BDH("AAL US Equity","CAP_EXPEND_RATIO","FQ3 2015","FQ3 2015","Currency=USD","Period=FQ","BEST_FPERIOD_OVERRIDE=FQ","FILING_STATUS=MR","Sort=A","Dates=H","DateFormat=P","Fill=—","Direction=H","UseDPDF=Y")</f>
        <v>0.79620000000000002</v>
      </c>
      <c r="U21" s="21">
        <f>_xll.BDH("AAL US Equity","CAP_EXPEND_RATIO","FQ4 2015","FQ4 2015","Currency=USD","Period=FQ","BEST_FPERIOD_OVERRIDE=FQ","FILING_STATUS=MR","Sort=A","Dates=H","DateFormat=P","Fill=—","Direction=H","UseDPDF=Y")</f>
        <v>0.14899999999999999</v>
      </c>
      <c r="V21" s="21">
        <f>_xll.BDH("AAL US Equity","CAP_EXPEND_RATIO","FQ1 2016","FQ1 2016","Currency=USD","Period=FQ","BEST_FPERIOD_OVERRIDE=FQ","FILING_STATUS=MR","Sort=A","Dates=H","DateFormat=P","Fill=—","Direction=H","UseDPDF=Y")</f>
        <v>1.6827000000000001</v>
      </c>
      <c r="W21" s="21">
        <f>_xll.BDH("AAL US Equity","CAP_EXPEND_RATIO","FQ2 2016","FQ2 2016","Currency=USD","Period=FQ","BEST_FPERIOD_OVERRIDE=FQ","FILING_STATUS=MR","Sort=A","Dates=H","DateFormat=P","Fill=—","Direction=H","UseDPDF=Y")</f>
        <v>1.4695</v>
      </c>
      <c r="X21" s="21">
        <f>_xll.BDH("AAL US Equity","CAP_EXPEND_RATIO","FQ3 2016","FQ3 2016","Currency=USD","Period=FQ","BEST_FPERIOD_OVERRIDE=FQ","FILING_STATUS=MR","Sort=A","Dates=H","DateFormat=P","Fill=—","Direction=H","UseDPDF=Y")</f>
        <v>0.88080000000000003</v>
      </c>
      <c r="Y21" s="21">
        <f>_xll.BDH("AAL US Equity","CAP_EXPEND_RATIO","FQ4 2016","FQ4 2016","Currency=USD","Period=FQ","BEST_FPERIOD_OVERRIDE=FQ","FILING_STATUS=MR","Sort=A","Dates=H","DateFormat=P","Fill=—","Direction=H","UseDPDF=Y")</f>
        <v>0.42949999999999999</v>
      </c>
      <c r="Z21" s="21">
        <f>_xll.BDH("AAL US Equity","CAP_EXPEND_RATIO","FQ1 2017","FQ1 2017","Currency=USD","Period=FQ","BEST_FPERIOD_OVERRIDE=FQ","FILING_STATUS=MR","Sort=A","Dates=H","DateFormat=P","Fill=—","Direction=H","UseDPDF=Y")</f>
        <v>1.3127</v>
      </c>
      <c r="AA21" s="21">
        <f>_xll.BDH("AAL US Equity","CAP_EXPEND_RATIO","FQ2 2017","FQ2 2017","Currency=USD","Period=FQ","BEST_FPERIOD_OVERRIDE=FQ","FILING_STATUS=MR","Sort=A","Dates=H","DateFormat=P","Fill=—","Direction=H","UseDPDF=Y")</f>
        <v>1.1405000000000001</v>
      </c>
      <c r="AB21" s="21">
        <f>_xll.BDH("AAL US Equity","CAP_EXPEND_RATIO","FQ3 2017","FQ3 2017","Currency=USD","Period=FQ","BEST_FPERIOD_OVERRIDE=FQ","FILING_STATUS=MR","Sort=A","Dates=H","DateFormat=P","Fill=—","Direction=H","UseDPDF=Y")</f>
        <v>0.26950000000000002</v>
      </c>
      <c r="AC21" s="21">
        <f>_xll.BDH("AAL US Equity","CAP_EXPEND_RATIO","FQ4 2017","FQ4 2017","Currency=USD","Period=FQ","BEST_FPERIOD_OVERRIDE=FQ","FILING_STATUS=MR","Sort=A","Dates=H","DateFormat=P","Fill=—","Direction=H","UseDPDF=Y")</f>
        <v>0.45169999999999999</v>
      </c>
      <c r="AD21" s="21">
        <f>_xll.BDH("AAL US Equity","CAP_EXPEND_RATIO","FQ1 2018","FQ1 2018","Currency=USD","Period=FQ","BEST_FPERIOD_OVERRIDE=FQ","FILING_STATUS=MR","Sort=A","Dates=H","DateFormat=P","Fill=—","Direction=H","UseDPDF=Y")</f>
        <v>2.3106999999999998</v>
      </c>
      <c r="AE21" s="21">
        <f>_xll.BDH("AAL US Equity","CAP_EXPEND_RATIO","FQ2 2018","FQ2 2018","Currency=USD","Period=FQ","BEST_FPERIOD_OVERRIDE=FQ","FILING_STATUS=MR","Sort=A","Dates=H","DateFormat=P","Fill=—","Direction=H","UseDPDF=Y")</f>
        <v>1.1492</v>
      </c>
      <c r="AF21" s="21">
        <f>_xll.BDH("AAL US Equity","CAP_EXPEND_RATIO","FQ3 2018","FQ3 2018","Currency=USD","Period=FQ","BEST_FPERIOD_OVERRIDE=FQ","FILING_STATUS=MR","Sort=A","Dates=H","DateFormat=P","Fill=—","Direction=H","UseDPDF=Y")</f>
        <v>-7.6600000000000001E-2</v>
      </c>
      <c r="AG21" s="21">
        <f>_xll.BDH("AAL US Equity","CAP_EXPEND_RATIO","FQ4 2018","FQ4 2018","Currency=USD","Period=FQ","BEST_FPERIOD_OVERRIDE=FQ","FILING_STATUS=MR","Sort=A","Dates=H","DateFormat=P","Fill=—","Direction=H","UseDPDF=Y")</f>
        <v>0.97719999999999996</v>
      </c>
      <c r="AH21" s="21">
        <f>_xll.BDH("AAL US Equity","CAP_EXPEND_RATIO","FQ1 2019","FQ1 2019","Currency=USD","Period=FQ","BEST_FPERIOD_OVERRIDE=FQ","FILING_STATUS=MR","Sort=A","Dates=H","DateFormat=P","Fill=—","Direction=H","UseDPDF=Y")</f>
        <v>1.2650999999999999</v>
      </c>
      <c r="AI21" s="21">
        <f>_xll.BDH("AAL US Equity","CAP_EXPEND_RATIO","FQ2 2019","FQ2 2019","Currency=USD","Period=FQ","BEST_FPERIOD_OVERRIDE=FQ","FILING_STATUS=MR","Sort=A","Dates=H","DateFormat=P","Fill=—","Direction=H","UseDPDF=Y")</f>
        <v>0.72299999999999998</v>
      </c>
      <c r="AJ21" s="21">
        <f>_xll.BDH("AAL US Equity","CAP_EXPEND_RATIO","FQ3 2019","FQ3 2019","Currency=USD","Period=FQ","BEST_FPERIOD_OVERRIDE=FQ","FILING_STATUS=MR","Sort=A","Dates=H","DateFormat=P","Fill=—","Direction=H","UseDPDF=Y")</f>
        <v>1.0273000000000001</v>
      </c>
      <c r="AK21" s="21">
        <f>_xll.BDH("AAL US Equity","CAP_EXPEND_RATIO","FQ4 2019","FQ4 2019","Currency=USD","Period=FQ","BEST_FPERIOD_OVERRIDE=FQ","FILING_STATUS=MR","Sort=A","Dates=H","DateFormat=P","Fill=—","Direction=H","UseDPDF=Y")</f>
        <v>0.1089</v>
      </c>
      <c r="AL21" s="21">
        <f>_xll.BDH("AAL US Equity","CAP_EXPEND_RATIO","FQ1 2020","FQ1 2020","Currency=USD","Period=FQ","BEST_FPERIOD_OVERRIDE=FQ","FILING_STATUS=MR","Sort=A","Dates=H","DateFormat=P","Fill=—","Direction=H","UseDPDF=Y")</f>
        <v>-0.1988</v>
      </c>
      <c r="AM21" s="21">
        <f>_xll.BDH("AAL US Equity","CAP_EXPEND_RATIO","FQ2 2020","FQ2 2020","Currency=USD","Period=FQ","BEST_FPERIOD_OVERRIDE=FQ","FILING_STATUS=MR","Sort=A","Dates=H","DateFormat=P","Fill=—","Direction=H","UseDPDF=Y")</f>
        <v>-2.3401999999999998</v>
      </c>
      <c r="AN21" s="21">
        <f>_xll.BDH("AAL US Equity","CAP_EXPEND_RATIO","FQ3 2020","FQ3 2020","Currency=USD","Period=FQ","BEST_FPERIOD_OVERRIDE=FQ","FILING_STATUS=MR","Sort=A","Dates=H","DateFormat=P","Fill=—","Direction=H","UseDPDF=Y")</f>
        <v>-4.5129999999999999</v>
      </c>
      <c r="AO21" s="21">
        <f>_xll.BDH("AAL US Equity","CAP_EXPEND_RATIO","FQ4 2020","FQ4 2020","Currency=USD","Period=FQ","BEST_FPERIOD_OVERRIDE=FQ","FILING_STATUS=MR","Sort=A","Dates=H","DateFormat=P","Fill=—","Direction=H","UseDPDF=Y")</f>
        <v>-19.3446</v>
      </c>
      <c r="AP21" s="21" t="str">
        <f>_xll.BDH("AAL US Equity","CAP_EXPEND_RATIO","FQ1 2021","FQ1 2021","Currency=USD","Period=FQ","BEST_FPERIOD_OVERRIDE=FQ","FILING_STATUS=MR","Sort=A","Dates=H","DateFormat=P","Fill=—","Direction=H","UseDPDF=Y")</f>
        <v>—</v>
      </c>
    </row>
    <row r="22" spans="1:42" x14ac:dyDescent="0.25">
      <c r="A22" s="8" t="s">
        <v>166</v>
      </c>
      <c r="B22" s="8" t="s">
        <v>165</v>
      </c>
      <c r="C22" s="21" t="str">
        <f>_xll.BDH("AAL US Equity","ALTMAN_Z_SCORE","FQ2 2011","FQ2 2011","Currency=USD","Period=FQ","BEST_FPERIOD_OVERRIDE=FQ","FILING_STATUS=MR","Sort=A","Dates=H","DateFormat=P","Fill=—","Direction=H","UseDPDF=Y")</f>
        <v>—</v>
      </c>
      <c r="D22" s="21" t="str">
        <f>_xll.BDH("AAL US Equity","ALTMAN_Z_SCORE","FQ3 2011","FQ3 2011","Currency=USD","Period=FQ","BEST_FPERIOD_OVERRIDE=FQ","FILING_STATUS=MR","Sort=A","Dates=H","DateFormat=P","Fill=—","Direction=H","UseDPDF=Y")</f>
        <v>—</v>
      </c>
      <c r="E22" s="21" t="str">
        <f>_xll.BDH("AAL US Equity","ALTMAN_Z_SCORE","FQ4 2011","FQ4 2011","Currency=USD","Period=FQ","BEST_FPERIOD_OVERRIDE=FQ","FILING_STATUS=MR","Sort=A","Dates=H","DateFormat=P","Fill=—","Direction=H","UseDPDF=Y")</f>
        <v>—</v>
      </c>
      <c r="F22" s="21" t="str">
        <f>_xll.BDH("AAL US Equity","ALTMAN_Z_SCORE","FQ1 2012","FQ1 2012","Currency=USD","Period=FQ","BEST_FPERIOD_OVERRIDE=FQ","FILING_STATUS=MR","Sort=A","Dates=H","DateFormat=P","Fill=—","Direction=H","UseDPDF=Y")</f>
        <v>—</v>
      </c>
      <c r="G22" s="21" t="str">
        <f>_xll.BDH("AAL US Equity","ALTMAN_Z_SCORE","FQ2 2012","FQ2 2012","Currency=USD","Period=FQ","BEST_FPERIOD_OVERRIDE=FQ","FILING_STATUS=MR","Sort=A","Dates=H","DateFormat=P","Fill=—","Direction=H","UseDPDF=Y")</f>
        <v>—</v>
      </c>
      <c r="H22" s="21" t="str">
        <f>_xll.BDH("AAL US Equity","ALTMAN_Z_SCORE","FQ3 2012","FQ3 2012","Currency=USD","Period=FQ","BEST_FPERIOD_OVERRIDE=FQ","FILING_STATUS=MR","Sort=A","Dates=H","DateFormat=P","Fill=—","Direction=H","UseDPDF=Y")</f>
        <v>—</v>
      </c>
      <c r="I22" s="21" t="str">
        <f>_xll.BDH("AAL US Equity","ALTMAN_Z_SCORE","FQ4 2012","FQ4 2012","Currency=USD","Period=FQ","BEST_FPERIOD_OVERRIDE=FQ","FILING_STATUS=MR","Sort=A","Dates=H","DateFormat=P","Fill=—","Direction=H","UseDPDF=Y")</f>
        <v>—</v>
      </c>
      <c r="J22" s="21" t="str">
        <f>_xll.BDH("AAL US Equity","ALTMAN_Z_SCORE","FQ1 2013","FQ1 2013","Currency=USD","Period=FQ","BEST_FPERIOD_OVERRIDE=FQ","FILING_STATUS=MR","Sort=A","Dates=H","DateFormat=P","Fill=—","Direction=H","UseDPDF=Y")</f>
        <v>—</v>
      </c>
      <c r="K22" s="21" t="str">
        <f>_xll.BDH("AAL US Equity","ALTMAN_Z_SCORE","FQ2 2013","FQ2 2013","Currency=USD","Period=FQ","BEST_FPERIOD_OVERRIDE=FQ","FILING_STATUS=MR","Sort=A","Dates=H","DateFormat=P","Fill=—","Direction=H","UseDPDF=Y")</f>
        <v>—</v>
      </c>
      <c r="L22" s="21" t="str">
        <f>_xll.BDH("AAL US Equity","ALTMAN_Z_SCORE","FQ3 2013","FQ3 2013","Currency=USD","Period=FQ","BEST_FPERIOD_OVERRIDE=FQ","FILING_STATUS=MR","Sort=A","Dates=H","DateFormat=P","Fill=—","Direction=H","UseDPDF=Y")</f>
        <v>—</v>
      </c>
      <c r="M22" s="21">
        <f>_xll.BDH("AAL US Equity","ALTMAN_Z_SCORE","FQ4 2013","FQ4 2013","Currency=USD","Period=FQ","BEST_FPERIOD_OVERRIDE=FQ","FILING_STATUS=MR","Sort=A","Dates=H","DateFormat=P","Fill=—","Direction=H","UseDPDF=Y")</f>
        <v>0.53839999999999999</v>
      </c>
      <c r="N22" s="21">
        <f>_xll.BDH("AAL US Equity","ALTMAN_Z_SCORE","FQ1 2014","FQ1 2014","Currency=USD","Period=FQ","BEST_FPERIOD_OVERRIDE=FQ","FILING_STATUS=MR","Sort=A","Dates=H","DateFormat=P","Fill=—","Direction=H","UseDPDF=Y")</f>
        <v>0.84360000000000002</v>
      </c>
      <c r="O22" s="21">
        <f>_xll.BDH("AAL US Equity","ALTMAN_Z_SCORE","FQ2 2014","FQ2 2014","Currency=USD","Period=FQ","BEST_FPERIOD_OVERRIDE=FQ","FILING_STATUS=MR","Sort=A","Dates=H","DateFormat=P","Fill=—","Direction=H","UseDPDF=Y")</f>
        <v>1.2681</v>
      </c>
      <c r="P22" s="21">
        <f>_xll.BDH("AAL US Equity","ALTMAN_Z_SCORE","FQ3 2014","FQ3 2014","Currency=USD","Period=FQ","BEST_FPERIOD_OVERRIDE=FQ","FILING_STATUS=MR","Sort=A","Dates=H","DateFormat=P","Fill=—","Direction=H","UseDPDF=Y")</f>
        <v>1.4015</v>
      </c>
      <c r="Q22" s="21">
        <f>_xll.BDH("AAL US Equity","ALTMAN_Z_SCORE","FQ4 2014","FQ4 2014","Currency=USD","Period=FQ","BEST_FPERIOD_OVERRIDE=FQ","FILING_STATUS=MR","Sort=A","Dates=H","DateFormat=P","Fill=—","Direction=H","UseDPDF=Y")</f>
        <v>1.7175</v>
      </c>
      <c r="R22" s="21">
        <f>_xll.BDH("AAL US Equity","ALTMAN_Z_SCORE","FQ1 2015","FQ1 2015","Currency=USD","Period=FQ","BEST_FPERIOD_OVERRIDE=FQ","FILING_STATUS=MR","Sort=A","Dates=H","DateFormat=P","Fill=—","Direction=H","UseDPDF=Y")</f>
        <v>1.6703000000000001</v>
      </c>
      <c r="S22" s="21">
        <f>_xll.BDH("AAL US Equity","ALTMAN_Z_SCORE","FQ2 2015","FQ2 2015","Currency=USD","Period=FQ","BEST_FPERIOD_OVERRIDE=FQ","FILING_STATUS=MR","Sort=A","Dates=H","DateFormat=P","Fill=—","Direction=H","UseDPDF=Y")</f>
        <v>1.5723</v>
      </c>
      <c r="T22" s="21">
        <f>_xll.BDH("AAL US Equity","ALTMAN_Z_SCORE","FQ3 2015","FQ3 2015","Currency=USD","Period=FQ","BEST_FPERIOD_OVERRIDE=FQ","FILING_STATUS=MR","Sort=A","Dates=H","DateFormat=P","Fill=—","Direction=H","UseDPDF=Y")</f>
        <v>1.6356000000000002</v>
      </c>
      <c r="U22" s="21">
        <f>_xll.BDH("AAL US Equity","ALTMAN_Z_SCORE","FQ4 2015","FQ4 2015","Currency=USD","Period=FQ","BEST_FPERIOD_OVERRIDE=FQ","FILING_STATUS=MR","Sort=A","Dates=H","DateFormat=P","Fill=—","Direction=H","UseDPDF=Y")</f>
        <v>1.6909999999999998</v>
      </c>
      <c r="V22" s="21">
        <f>_xll.BDH("AAL US Equity","ALTMAN_Z_SCORE","FQ1 2016","FQ1 2016","Currency=USD","Period=FQ","BEST_FPERIOD_OVERRIDE=FQ","FILING_STATUS=MR","Sort=A","Dates=H","DateFormat=P","Fill=—","Direction=H","UseDPDF=Y")</f>
        <v>1.5964</v>
      </c>
      <c r="W22" s="21">
        <f>_xll.BDH("AAL US Equity","ALTMAN_Z_SCORE","FQ2 2016","FQ2 2016","Currency=USD","Period=FQ","BEST_FPERIOD_OVERRIDE=FQ","FILING_STATUS=MR","Sort=A","Dates=H","DateFormat=P","Fill=—","Direction=H","UseDPDF=Y")</f>
        <v>1.4832000000000001</v>
      </c>
      <c r="X22" s="21">
        <f>_xll.BDH("AAL US Equity","ALTMAN_Z_SCORE","FQ3 2016","FQ3 2016","Currency=USD","Period=FQ","BEST_FPERIOD_OVERRIDE=FQ","FILING_STATUS=MR","Sort=A","Dates=H","DateFormat=P","Fill=—","Direction=H","UseDPDF=Y")</f>
        <v>1.5036</v>
      </c>
      <c r="Y22" s="21">
        <f>_xll.BDH("AAL US Equity","ALTMAN_Z_SCORE","FQ4 2016","FQ4 2016","Currency=USD","Period=FQ","BEST_FPERIOD_OVERRIDE=FQ","FILING_STATUS=MR","Sort=A","Dates=H","DateFormat=P","Fill=—","Direction=H","UseDPDF=Y")</f>
        <v>1.5422</v>
      </c>
      <c r="Z22" s="21">
        <f>_xll.BDH("AAL US Equity","ALTMAN_Z_SCORE","FQ1 2017","FQ1 2017","Currency=USD","Period=FQ","BEST_FPERIOD_OVERRIDE=FQ","FILING_STATUS=MR","Sort=A","Dates=H","DateFormat=P","Fill=—","Direction=H","UseDPDF=Y")</f>
        <v>1.4047000000000001</v>
      </c>
      <c r="AA22" s="21">
        <f>_xll.BDH("AAL US Equity","ALTMAN_Z_SCORE","FQ2 2017","FQ2 2017","Currency=USD","Period=FQ","BEST_FPERIOD_OVERRIDE=FQ","FILING_STATUS=MR","Sort=A","Dates=H","DateFormat=P","Fill=—","Direction=H","UseDPDF=Y")</f>
        <v>1.4457</v>
      </c>
      <c r="AB22" s="21">
        <f>_xll.BDH("AAL US Equity","ALTMAN_Z_SCORE","FQ3 2017","FQ3 2017","Currency=USD","Period=FQ","BEST_FPERIOD_OVERRIDE=FQ","FILING_STATUS=MR","Sort=A","Dates=H","DateFormat=P","Fill=—","Direction=H","UseDPDF=Y")</f>
        <v>1.4593</v>
      </c>
      <c r="AC22" s="21">
        <f>_xll.BDH("AAL US Equity","ALTMAN_Z_SCORE","FQ4 2017","FQ4 2017","Currency=USD","Period=FQ","BEST_FPERIOD_OVERRIDE=FQ","FILING_STATUS=MR","Sort=A","Dates=H","DateFormat=P","Fill=—","Direction=H","UseDPDF=Y")</f>
        <v>1.4969000000000001</v>
      </c>
      <c r="AD22" s="21">
        <f>_xll.BDH("AAL US Equity","ALTMAN_Z_SCORE","FQ1 2018","FQ1 2018","Currency=USD","Period=FQ","BEST_FPERIOD_OVERRIDE=FQ","FILING_STATUS=MR","Sort=A","Dates=H","DateFormat=P","Fill=—","Direction=H","UseDPDF=Y")</f>
        <v>1.2454000000000001</v>
      </c>
      <c r="AE22" s="21">
        <f>_xll.BDH("AAL US Equity","ALTMAN_Z_SCORE","FQ2 2018","FQ2 2018","Currency=USD","Period=FQ","BEST_FPERIOD_OVERRIDE=FQ","FILING_STATUS=MR","Sort=A","Dates=H","DateFormat=P","Fill=—","Direction=H","UseDPDF=Y")</f>
        <v>1.1660999999999999</v>
      </c>
      <c r="AF22" s="21">
        <f>_xll.BDH("AAL US Equity","ALTMAN_Z_SCORE","FQ3 2018","FQ3 2018","Currency=USD","Period=FQ","BEST_FPERIOD_OVERRIDE=FQ","FILING_STATUS=MR","Sort=A","Dates=H","DateFormat=P","Fill=—","Direction=H","UseDPDF=Y")</f>
        <v>1.1746000000000001</v>
      </c>
      <c r="AG22" s="21">
        <f>_xll.BDH("AAL US Equity","ALTMAN_Z_SCORE","FQ4 2018","FQ4 2018","Currency=USD","Period=FQ","BEST_FPERIOD_OVERRIDE=FQ","FILING_STATUS=MR","Sort=A","Dates=H","DateFormat=P","Fill=—","Direction=H","UseDPDF=Y")</f>
        <v>0.9375</v>
      </c>
      <c r="AH22" s="21">
        <f>_xll.BDH("AAL US Equity","ALTMAN_Z_SCORE","FQ1 2019","FQ1 2019","Currency=USD","Period=FQ","BEST_FPERIOD_OVERRIDE=FQ","FILING_STATUS=MR","Sort=A","Dates=H","DateFormat=P","Fill=—","Direction=H","UseDPDF=Y")</f>
        <v>0.89349999999999996</v>
      </c>
      <c r="AI22" s="21">
        <f>_xll.BDH("AAL US Equity","ALTMAN_Z_SCORE","FQ2 2019","FQ2 2019","Currency=USD","Period=FQ","BEST_FPERIOD_OVERRIDE=FQ","FILING_STATUS=MR","Sort=A","Dates=H","DateFormat=P","Fill=—","Direction=H","UseDPDF=Y")</f>
        <v>0.92830000000000001</v>
      </c>
      <c r="AJ22" s="21">
        <f>_xll.BDH("AAL US Equity","ALTMAN_Z_SCORE","FQ3 2019","FQ3 2019","Currency=USD","Period=FQ","BEST_FPERIOD_OVERRIDE=FQ","FILING_STATUS=MR","Sort=A","Dates=H","DateFormat=P","Fill=—","Direction=H","UseDPDF=Y")</f>
        <v>0.94689999999999996</v>
      </c>
      <c r="AK22" s="21">
        <f>_xll.BDH("AAL US Equity","ALTMAN_Z_SCORE","FQ4 2019","FQ4 2019","Currency=USD","Period=FQ","BEST_FPERIOD_OVERRIDE=FQ","FILING_STATUS=MR","Sort=A","Dates=H","DateFormat=P","Fill=—","Direction=H","UseDPDF=Y")</f>
        <v>0.99729999999999996</v>
      </c>
      <c r="AL22" s="21">
        <f>_xll.BDH("AAL US Equity","ALTMAN_Z_SCORE","FQ1 2020","FQ1 2020","Currency=USD","Period=FQ","BEST_FPERIOD_OVERRIDE=FQ","FILING_STATUS=MR","Sort=A","Dates=H","DateFormat=P","Fill=—","Direction=H","UseDPDF=Y")</f>
        <v>0.61719999999999997</v>
      </c>
      <c r="AM22" s="21">
        <f>_xll.BDH("AAL US Equity","ALTMAN_Z_SCORE","FQ2 2020","FQ2 2020","Currency=USD","Period=FQ","BEST_FPERIOD_OVERRIDE=FQ","FILING_STATUS=MR","Sort=A","Dates=H","DateFormat=P","Fill=—","Direction=H","UseDPDF=Y")</f>
        <v>0.29580000000000001</v>
      </c>
      <c r="AN22" s="21">
        <f>_xll.BDH("AAL US Equity","ALTMAN_Z_SCORE","FQ3 2020","FQ3 2020","Currency=USD","Period=FQ","BEST_FPERIOD_OVERRIDE=FQ","FILING_STATUS=MR","Sort=A","Dates=H","DateFormat=P","Fill=—","Direction=H","UseDPDF=Y")</f>
        <v>-0.1293</v>
      </c>
      <c r="AO22" s="21">
        <f>_xll.BDH("AAL US Equity","ALTMAN_Z_SCORE","FQ4 2020","FQ4 2020","Currency=USD","Period=FQ","BEST_FPERIOD_OVERRIDE=FQ","FILING_STATUS=MR","Sort=A","Dates=H","DateFormat=P","Fill=—","Direction=H","UseDPDF=Y")</f>
        <v>-0.50649999999999995</v>
      </c>
      <c r="AP22" s="21">
        <f>_xll.BDH("AAL US Equity","ALTMAN_Z_SCORE","FQ1 2021","FQ1 2021","Currency=USD","Period=FQ","BEST_FPERIOD_OVERRIDE=FQ","FILING_STATUS=MR","Sort=A","Dates=H","DateFormat=P","Fill=—","Direction=H","UseDPDF=Y")</f>
        <v>-0.32179999999999997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164</v>
      </c>
      <c r="B24" s="8" t="s">
        <v>163</v>
      </c>
      <c r="C24" s="1" t="str">
        <f>_xll.BDH("AAL US Equity","BS_TOTAL_LINE_OF_CREDIT","FQ2 2011","FQ2 2011","Currency=USD","Period=FQ","BEST_FPERIOD_OVERRIDE=FQ","FILING_STATUS=MR","SCALING_FORMAT=MLN","Sort=A","Dates=H","DateFormat=P","Fill=—","Direction=H","UseDPDF=Y")</f>
        <v>—</v>
      </c>
      <c r="D24" s="1" t="str">
        <f>_xll.BDH("AAL US Equity","BS_TOTAL_LINE_OF_CREDIT","FQ3 2011","FQ3 2011","Currency=USD","Period=FQ","BEST_FPERIOD_OVERRIDE=FQ","FILING_STATUS=MR","SCALING_FORMAT=MLN","Sort=A","Dates=H","DateFormat=P","Fill=—","Direction=H","UseDPDF=Y")</f>
        <v>—</v>
      </c>
      <c r="E24" s="1" t="str">
        <f>_xll.BDH("AAL US Equity","BS_TOTAL_LINE_OF_CREDIT","FQ4 2011","FQ4 2011","Currency=USD","Period=FQ","BEST_FPERIOD_OVERRIDE=FQ","FILING_STATUS=MR","SCALING_FORMAT=MLN","Sort=A","Dates=H","DateFormat=P","Fill=—","Direction=H","UseDPDF=Y")</f>
        <v>—</v>
      </c>
      <c r="F24" s="1">
        <f>_xll.BDH("AAL US Equity","BS_TOTAL_LINE_OF_CREDIT","FQ1 2012","FQ1 2012","Currency=USD","Period=FQ","BEST_FPERIOD_OVERRIDE=FQ","FILING_STATUS=MR","SCALING_FORMAT=MLN","Sort=A","Dates=H","DateFormat=P","Fill=—","Direction=H","UseDPDF=Y")</f>
        <v>0</v>
      </c>
      <c r="G24" s="1" t="str">
        <f>_xll.BDH("AAL US Equity","BS_TOTAL_LINE_OF_CREDIT","FQ2 2012","FQ2 2012","Currency=USD","Period=FQ","BEST_FPERIOD_OVERRIDE=FQ","FILING_STATUS=MR","SCALING_FORMAT=MLN","Sort=A","Dates=H","DateFormat=P","Fill=—","Direction=H","UseDPDF=Y")</f>
        <v>—</v>
      </c>
      <c r="H24" s="1" t="str">
        <f>_xll.BDH("AAL US Equity","BS_TOTAL_LINE_OF_CREDIT","FQ3 2012","FQ3 2012","Currency=USD","Period=FQ","BEST_FPERIOD_OVERRIDE=FQ","FILING_STATUS=MR","SCALING_FORMAT=MLN","Sort=A","Dates=H","DateFormat=P","Fill=—","Direction=H","UseDPDF=Y")</f>
        <v>—</v>
      </c>
      <c r="I24" s="1">
        <f>_xll.BDH("AAL US Equity","BS_TOTAL_LINE_OF_CREDIT","FQ4 2012","FQ4 2012","Currency=USD","Period=FQ","BEST_FPERIOD_OVERRIDE=FQ","FILING_STATUS=MR","SCALING_FORMAT=MLN","Sort=A","Dates=H","DateFormat=P","Fill=—","Direction=H","UseDPDF=Y")</f>
        <v>0</v>
      </c>
      <c r="J24" s="1" t="str">
        <f>_xll.BDH("AAL US Equity","BS_TOTAL_LINE_OF_CREDIT","FQ1 2013","FQ1 2013","Currency=USD","Period=FQ","BEST_FPERIOD_OVERRIDE=FQ","FILING_STATUS=MR","SCALING_FORMAT=MLN","Sort=A","Dates=H","DateFormat=P","Fill=—","Direction=H","UseDPDF=Y")</f>
        <v>—</v>
      </c>
      <c r="K24" s="1">
        <f>_xll.BDH("AAL US Equity","BS_TOTAL_LINE_OF_CREDIT","FQ2 2013","FQ2 2013","Currency=USD","Period=FQ","BEST_FPERIOD_OVERRIDE=FQ","FILING_STATUS=MR","SCALING_FORMAT=MLN","Sort=A","Dates=H","DateFormat=P","Fill=—","Direction=H","UseDPDF=Y")</f>
        <v>0</v>
      </c>
      <c r="L24" s="1">
        <f>_xll.BDH("AAL US Equity","BS_TOTAL_LINE_OF_CREDIT","FQ3 2013","FQ3 2013","Currency=USD","Period=FQ","BEST_FPERIOD_OVERRIDE=FQ","FILING_STATUS=MR","SCALING_FORMAT=MLN","Sort=A","Dates=H","DateFormat=P","Fill=—","Direction=H","UseDPDF=Y")</f>
        <v>2900</v>
      </c>
      <c r="M24" s="1">
        <f>_xll.BDH("AAL US Equity","BS_TOTAL_LINE_OF_CREDIT","FQ4 2013","FQ4 2013","Currency=USD","Period=FQ","BEST_FPERIOD_OVERRIDE=FQ","FILING_STATUS=MR","SCALING_FORMAT=MLN","Sort=A","Dates=H","DateFormat=P","Fill=—","Direction=H","UseDPDF=Y")</f>
        <v>1000</v>
      </c>
      <c r="N24" s="1">
        <f>_xll.BDH("AAL US Equity","BS_TOTAL_LINE_OF_CREDIT","FQ1 2014","FQ1 2014","Currency=USD","Period=FQ","BEST_FPERIOD_OVERRIDE=FQ","FILING_STATUS=MR","SCALING_FORMAT=MLN","Sort=A","Dates=H","DateFormat=P","Fill=—","Direction=H","UseDPDF=Y")</f>
        <v>1000</v>
      </c>
      <c r="O24" s="1">
        <f>_xll.BDH("AAL US Equity","BS_TOTAL_LINE_OF_CREDIT","FQ2 2014","FQ2 2014","Currency=USD","Period=FQ","BEST_FPERIOD_OVERRIDE=FQ","FILING_STATUS=MR","SCALING_FORMAT=MLN","Sort=A","Dates=H","DateFormat=P","Fill=—","Direction=H","UseDPDF=Y")</f>
        <v>1000</v>
      </c>
      <c r="P24" s="1">
        <f>_xll.BDH("AAL US Equity","BS_TOTAL_LINE_OF_CREDIT","FQ3 2014","FQ3 2014","Currency=USD","Period=FQ","BEST_FPERIOD_OVERRIDE=FQ","FILING_STATUS=MR","SCALING_FORMAT=MLN","Sort=A","Dates=H","DateFormat=P","Fill=—","Direction=H","UseDPDF=Y")</f>
        <v>400</v>
      </c>
      <c r="Q24" s="1">
        <f>_xll.BDH("AAL US Equity","BS_TOTAL_LINE_OF_CREDIT","FQ4 2014","FQ4 2014","Currency=USD","Period=FQ","BEST_FPERIOD_OVERRIDE=FQ","FILING_STATUS=MR","SCALING_FORMAT=MLN","Sort=A","Dates=H","DateFormat=P","Fill=—","Direction=H","UseDPDF=Y")</f>
        <v>1400</v>
      </c>
      <c r="R24" s="1">
        <f>_xll.BDH("AAL US Equity","BS_TOTAL_LINE_OF_CREDIT","FQ1 2015","FQ1 2015","Currency=USD","Period=FQ","BEST_FPERIOD_OVERRIDE=FQ","FILING_STATUS=MR","SCALING_FORMAT=MLN","Sort=A","Dates=H","DateFormat=P","Fill=—","Direction=H","UseDPDF=Y")</f>
        <v>1400</v>
      </c>
      <c r="S24" s="1">
        <f>_xll.BDH("AAL US Equity","BS_TOTAL_LINE_OF_CREDIT","FQ2 2015","FQ2 2015","Currency=USD","Period=FQ","BEST_FPERIOD_OVERRIDE=FQ","FILING_STATUS=MR","SCALING_FORMAT=MLN","Sort=A","Dates=H","DateFormat=P","Fill=—","Direction=H","UseDPDF=Y")</f>
        <v>1800</v>
      </c>
      <c r="T24" s="1">
        <f>_xll.BDH("AAL US Equity","BS_TOTAL_LINE_OF_CREDIT","FQ3 2015","FQ3 2015","Currency=USD","Period=FQ","BEST_FPERIOD_OVERRIDE=FQ","FILING_STATUS=MR","SCALING_FORMAT=MLN","Sort=A","Dates=H","DateFormat=P","Fill=—","Direction=H","UseDPDF=Y")</f>
        <v>1800</v>
      </c>
      <c r="U24" s="1">
        <f>_xll.BDH("AAL US Equity","BS_TOTAL_LINE_OF_CREDIT","FQ4 2015","FQ4 2015","Currency=USD","Period=FQ","BEST_FPERIOD_OVERRIDE=FQ","FILING_STATUS=MR","SCALING_FORMAT=MLN","Sort=A","Dates=H","DateFormat=P","Fill=—","Direction=H","UseDPDF=Y")</f>
        <v>1400</v>
      </c>
      <c r="V24" s="1">
        <f>_xll.BDH("AAL US Equity","BS_TOTAL_LINE_OF_CREDIT","FQ1 2016","FQ1 2016","Currency=USD","Period=FQ","BEST_FPERIOD_OVERRIDE=FQ","FILING_STATUS=MR","SCALING_FORMAT=MLN","Sort=A","Dates=H","DateFormat=P","Fill=—","Direction=H","UseDPDF=Y")</f>
        <v>2400</v>
      </c>
      <c r="W24" s="1">
        <f>_xll.BDH("AAL US Equity","BS_TOTAL_LINE_OF_CREDIT","FQ2 2016","FQ2 2016","Currency=USD","Period=FQ","BEST_FPERIOD_OVERRIDE=FQ","FILING_STATUS=MR","SCALING_FORMAT=MLN","Sort=A","Dates=H","DateFormat=P","Fill=—","Direction=H","UseDPDF=Y")</f>
        <v>2400</v>
      </c>
      <c r="X24" s="1">
        <f>_xll.BDH("AAL US Equity","BS_TOTAL_LINE_OF_CREDIT","FQ3 2016","FQ3 2016","Currency=USD","Period=FQ","BEST_FPERIOD_OVERRIDE=FQ","FILING_STATUS=MR","SCALING_FORMAT=MLN","Sort=A","Dates=H","DateFormat=P","Fill=—","Direction=H","UseDPDF=Y")</f>
        <v>2425</v>
      </c>
      <c r="Y24" s="1">
        <f>_xll.BDH("AAL US Equity","BS_TOTAL_LINE_OF_CREDIT","FQ4 2016","FQ4 2016","Currency=USD","Period=FQ","BEST_FPERIOD_OVERRIDE=FQ","FILING_STATUS=MR","SCALING_FORMAT=MLN","Sort=A","Dates=H","DateFormat=P","Fill=—","Direction=H","UseDPDF=Y")</f>
        <v>2400</v>
      </c>
      <c r="Z24" s="1">
        <f>_xll.BDH("AAL US Equity","BS_TOTAL_LINE_OF_CREDIT","FQ1 2017","FQ1 2017","Currency=USD","Period=FQ","BEST_FPERIOD_OVERRIDE=FQ","FILING_STATUS=MR","SCALING_FORMAT=MLN","Sort=A","Dates=H","DateFormat=P","Fill=—","Direction=H","UseDPDF=Y")</f>
        <v>2425</v>
      </c>
      <c r="AA24" s="1">
        <f>_xll.BDH("AAL US Equity","BS_TOTAL_LINE_OF_CREDIT","FQ2 2017","FQ2 2017","Currency=USD","Period=FQ","BEST_FPERIOD_OVERRIDE=FQ","FILING_STATUS=MR","SCALING_FORMAT=MLN","Sort=A","Dates=H","DateFormat=P","Fill=—","Direction=H","UseDPDF=Y")</f>
        <v>2425</v>
      </c>
      <c r="AB24" s="1">
        <f>_xll.BDH("AAL US Equity","BS_TOTAL_LINE_OF_CREDIT","FQ3 2017","FQ3 2017","Currency=USD","Period=FQ","BEST_FPERIOD_OVERRIDE=FQ","FILING_STATUS=MR","SCALING_FORMAT=MLN","Sort=A","Dates=H","DateFormat=P","Fill=—","Direction=H","UseDPDF=Y")</f>
        <v>1200</v>
      </c>
      <c r="AC24" s="1">
        <f>_xll.BDH("AAL US Equity","BS_TOTAL_LINE_OF_CREDIT","FQ4 2017","FQ4 2017","Currency=USD","Period=FQ","BEST_FPERIOD_OVERRIDE=FQ","FILING_STATUS=MR","SCALING_FORMAT=MLN","Sort=A","Dates=H","DateFormat=P","Fill=—","Direction=H","UseDPDF=Y")</f>
        <v>2500</v>
      </c>
      <c r="AD24" s="1">
        <f>_xll.BDH("AAL US Equity","BS_TOTAL_LINE_OF_CREDIT","FQ1 2018","FQ1 2018","Currency=USD","Period=FQ","BEST_FPERIOD_OVERRIDE=FQ","FILING_STATUS=MR","SCALING_FORMAT=MLN","Sort=A","Dates=H","DateFormat=P","Fill=—","Direction=H","UseDPDF=Y")</f>
        <v>2500</v>
      </c>
      <c r="AE24" s="1">
        <f>_xll.BDH("AAL US Equity","BS_TOTAL_LINE_OF_CREDIT","FQ2 2018","FQ2 2018","Currency=USD","Period=FQ","BEST_FPERIOD_OVERRIDE=FQ","FILING_STATUS=MR","SCALING_FORMAT=MLN","Sort=A","Dates=H","DateFormat=P","Fill=—","Direction=H","UseDPDF=Y")</f>
        <v>2500</v>
      </c>
      <c r="AF24" s="1">
        <f>_xll.BDH("AAL US Equity","BS_TOTAL_LINE_OF_CREDIT","FQ3 2018","FQ3 2018","Currency=USD","Period=FQ","BEST_FPERIOD_OVERRIDE=FQ","FILING_STATUS=MR","SCALING_FORMAT=MLN","Sort=A","Dates=H","DateFormat=P","Fill=—","Direction=H","UseDPDF=Y")</f>
        <v>2500</v>
      </c>
      <c r="AG24" s="1">
        <f>_xll.BDH("AAL US Equity","BS_TOTAL_LINE_OF_CREDIT","FQ4 2018","FQ4 2018","Currency=USD","Period=FQ","BEST_FPERIOD_OVERRIDE=FQ","FILING_STATUS=MR","SCALING_FORMAT=MLN","Sort=A","Dates=H","DateFormat=P","Fill=—","Direction=H","UseDPDF=Y")</f>
        <v>2800</v>
      </c>
      <c r="AH24" s="1">
        <f>_xll.BDH("AAL US Equity","BS_TOTAL_LINE_OF_CREDIT","FQ1 2019","FQ1 2019","Currency=USD","Period=FQ","BEST_FPERIOD_OVERRIDE=FQ","FILING_STATUS=MR","SCALING_FORMAT=MLN","Sort=A","Dates=H","DateFormat=P","Fill=—","Direction=H","UseDPDF=Y")</f>
        <v>2843</v>
      </c>
      <c r="AI24" s="1">
        <f>_xll.BDH("AAL US Equity","BS_TOTAL_LINE_OF_CREDIT","FQ2 2019","FQ2 2019","Currency=USD","Period=FQ","BEST_FPERIOD_OVERRIDE=FQ","FILING_STATUS=MR","SCALING_FORMAT=MLN","Sort=A","Dates=H","DateFormat=P","Fill=—","Direction=H","UseDPDF=Y")</f>
        <v>2843</v>
      </c>
      <c r="AJ24" s="1">
        <f>_xll.BDH("AAL US Equity","BS_TOTAL_LINE_OF_CREDIT","FQ3 2019","FQ3 2019","Currency=USD","Period=FQ","BEST_FPERIOD_OVERRIDE=FQ","FILING_STATUS=MR","SCALING_FORMAT=MLN","Sort=A","Dates=H","DateFormat=P","Fill=—","Direction=H","UseDPDF=Y")</f>
        <v>2843</v>
      </c>
      <c r="AK24" s="1">
        <f>_xll.BDH("AAL US Equity","BS_TOTAL_LINE_OF_CREDIT","FQ4 2019","FQ4 2019","Currency=USD","Period=FQ","BEST_FPERIOD_OVERRIDE=FQ","FILING_STATUS=MR","SCALING_FORMAT=MLN","Sort=A","Dates=H","DateFormat=P","Fill=—","Direction=H","UseDPDF=Y")</f>
        <v>3243</v>
      </c>
      <c r="AL24" s="1">
        <f>_xll.BDH("AAL US Equity","BS_TOTAL_LINE_OF_CREDIT","FQ1 2020","FQ1 2020","Currency=USD","Period=FQ","BEST_FPERIOD_OVERRIDE=FQ","FILING_STATUS=MR","SCALING_FORMAT=MLN","Sort=A","Dates=H","DateFormat=P","Fill=—","Direction=H","UseDPDF=Y")</f>
        <v>3243</v>
      </c>
      <c r="AM24" s="1">
        <f>_xll.BDH("AAL US Equity","BS_TOTAL_LINE_OF_CREDIT","FQ2 2020","FQ2 2020","Currency=USD","Period=FQ","BEST_FPERIOD_OVERRIDE=FQ","FILING_STATUS=MR","SCALING_FORMAT=MLN","Sort=A","Dates=H","DateFormat=P","Fill=—","Direction=H","UseDPDF=Y")</f>
        <v>2800</v>
      </c>
      <c r="AN24" s="1">
        <f>_xll.BDH("AAL US Equity","BS_TOTAL_LINE_OF_CREDIT","FQ3 2020","FQ3 2020","Currency=USD","Period=FQ","BEST_FPERIOD_OVERRIDE=FQ","FILING_STATUS=MR","SCALING_FORMAT=MLN","Sort=A","Dates=H","DateFormat=P","Fill=—","Direction=H","UseDPDF=Y")</f>
        <v>2800</v>
      </c>
      <c r="AO24" s="1">
        <f>_xll.BDH("AAL US Equity","BS_TOTAL_LINE_OF_CREDIT","FQ4 2020","FQ4 2020","Currency=USD","Period=FQ","BEST_FPERIOD_OVERRIDE=FQ","FILING_STATUS=MR","SCALING_FORMAT=MLN","Sort=A","Dates=H","DateFormat=P","Fill=—","Direction=H","UseDPDF=Y")</f>
        <v>7396</v>
      </c>
      <c r="AP24" s="1">
        <f>_xll.BDH("AAL US Equity","BS_TOTAL_LINE_OF_CREDIT","FQ1 2021","FQ1 2021","Currency=USD","Period=FQ","BEST_FPERIOD_OVERRIDE=FQ","FILING_STATUS=MR","SCALING_FORMAT=MLN","Sort=A","Dates=H","DateFormat=P","Fill=—","Direction=H","UseDPDF=Y")</f>
        <v>3297</v>
      </c>
    </row>
    <row r="25" spans="1:42" x14ac:dyDescent="0.25">
      <c r="A25" s="8" t="s">
        <v>162</v>
      </c>
      <c r="B25" s="8" t="s">
        <v>161</v>
      </c>
      <c r="C25" s="1" t="str">
        <f>_xll.BDH("AAL US Equity","BS_TOTAL_AVAIL_LINE_OF_CREDIT","FQ2 2011","FQ2 2011","Currency=USD","Period=FQ","BEST_FPERIOD_OVERRIDE=FQ","FILING_STATUS=MR","SCALING_FORMAT=MLN","Sort=A","Dates=H","DateFormat=P","Fill=—","Direction=H","UseDPDF=Y")</f>
        <v>—</v>
      </c>
      <c r="D25" s="1" t="str">
        <f>_xll.BDH("AAL US Equity","BS_TOTAL_AVAIL_LINE_OF_CREDIT","FQ3 2011","FQ3 2011","Currency=USD","Period=FQ","BEST_FPERIOD_OVERRIDE=FQ","FILING_STATUS=MR","SCALING_FORMAT=MLN","Sort=A","Dates=H","DateFormat=P","Fill=—","Direction=H","UseDPDF=Y")</f>
        <v>—</v>
      </c>
      <c r="E25" s="1" t="str">
        <f>_xll.BDH("AAL US Equity","BS_TOTAL_AVAIL_LINE_OF_CREDIT","FQ4 2011","FQ4 2011","Currency=USD","Period=FQ","BEST_FPERIOD_OVERRIDE=FQ","FILING_STATUS=MR","SCALING_FORMAT=MLN","Sort=A","Dates=H","DateFormat=P","Fill=—","Direction=H","UseDPDF=Y")</f>
        <v>—</v>
      </c>
      <c r="F25" s="1">
        <f>_xll.BDH("AAL US Equity","BS_TOTAL_AVAIL_LINE_OF_CREDIT","FQ1 2012","FQ1 2012","Currency=USD","Period=FQ","BEST_FPERIOD_OVERRIDE=FQ","FILING_STATUS=MR","SCALING_FORMAT=MLN","Sort=A","Dates=H","DateFormat=P","Fill=—","Direction=H","UseDPDF=Y")</f>
        <v>0</v>
      </c>
      <c r="G25" s="1" t="str">
        <f>_xll.BDH("AAL US Equity","BS_TOTAL_AVAIL_LINE_OF_CREDIT","FQ2 2012","FQ2 2012","Currency=USD","Period=FQ","BEST_FPERIOD_OVERRIDE=FQ","FILING_STATUS=MR","SCALING_FORMAT=MLN","Sort=A","Dates=H","DateFormat=P","Fill=—","Direction=H","UseDPDF=Y")</f>
        <v>—</v>
      </c>
      <c r="H25" s="1" t="str">
        <f>_xll.BDH("AAL US Equity","BS_TOTAL_AVAIL_LINE_OF_CREDIT","FQ3 2012","FQ3 2012","Currency=USD","Period=FQ","BEST_FPERIOD_OVERRIDE=FQ","FILING_STATUS=MR","SCALING_FORMAT=MLN","Sort=A","Dates=H","DateFormat=P","Fill=—","Direction=H","UseDPDF=Y")</f>
        <v>—</v>
      </c>
      <c r="I25" s="1">
        <f>_xll.BDH("AAL US Equity","BS_TOTAL_AVAIL_LINE_OF_CREDIT","FQ4 2012","FQ4 2012","Currency=USD","Period=FQ","BEST_FPERIOD_OVERRIDE=FQ","FILING_STATUS=MR","SCALING_FORMAT=MLN","Sort=A","Dates=H","DateFormat=P","Fill=—","Direction=H","UseDPDF=Y")</f>
        <v>0</v>
      </c>
      <c r="J25" s="1" t="str">
        <f>_xll.BDH("AAL US Equity","BS_TOTAL_AVAIL_LINE_OF_CREDIT","FQ1 2013","FQ1 2013","Currency=USD","Period=FQ","BEST_FPERIOD_OVERRIDE=FQ","FILING_STATUS=MR","SCALING_FORMAT=MLN","Sort=A","Dates=H","DateFormat=P","Fill=—","Direction=H","UseDPDF=Y")</f>
        <v>—</v>
      </c>
      <c r="K25" s="1">
        <f>_xll.BDH("AAL US Equity","BS_TOTAL_AVAIL_LINE_OF_CREDIT","FQ2 2013","FQ2 2013","Currency=USD","Period=FQ","BEST_FPERIOD_OVERRIDE=FQ","FILING_STATUS=MR","SCALING_FORMAT=MLN","Sort=A","Dates=H","DateFormat=P","Fill=—","Direction=H","UseDPDF=Y")</f>
        <v>0</v>
      </c>
      <c r="L25" s="1">
        <f>_xll.BDH("AAL US Equity","BS_TOTAL_AVAIL_LINE_OF_CREDIT","FQ3 2013","FQ3 2013","Currency=USD","Period=FQ","BEST_FPERIOD_OVERRIDE=FQ","FILING_STATUS=MR","SCALING_FORMAT=MLN","Sort=A","Dates=H","DateFormat=P","Fill=—","Direction=H","UseDPDF=Y")</f>
        <v>2900</v>
      </c>
      <c r="M25" s="1">
        <f>_xll.BDH("AAL US Equity","BS_TOTAL_AVAIL_LINE_OF_CREDIT","FQ4 2013","FQ4 2013","Currency=USD","Period=FQ","BEST_FPERIOD_OVERRIDE=FQ","FILING_STATUS=MR","SCALING_FORMAT=MLN","Sort=A","Dates=H","DateFormat=P","Fill=—","Direction=H","UseDPDF=Y")</f>
        <v>1000</v>
      </c>
      <c r="N25" s="1">
        <f>_xll.BDH("AAL US Equity","BS_TOTAL_AVAIL_LINE_OF_CREDIT","FQ1 2014","FQ1 2014","Currency=USD","Period=FQ","BEST_FPERIOD_OVERRIDE=FQ","FILING_STATUS=MR","SCALING_FORMAT=MLN","Sort=A","Dates=H","DateFormat=P","Fill=—","Direction=H","UseDPDF=Y")</f>
        <v>1000</v>
      </c>
      <c r="O25" s="1">
        <f>_xll.BDH("AAL US Equity","BS_TOTAL_AVAIL_LINE_OF_CREDIT","FQ2 2014","FQ2 2014","Currency=USD","Period=FQ","BEST_FPERIOD_OVERRIDE=FQ","FILING_STATUS=MR","SCALING_FORMAT=MLN","Sort=A","Dates=H","DateFormat=P","Fill=—","Direction=H","UseDPDF=Y")</f>
        <v>1000</v>
      </c>
      <c r="P25" s="1">
        <f>_xll.BDH("AAL US Equity","BS_TOTAL_AVAIL_LINE_OF_CREDIT","FQ3 2014","FQ3 2014","Currency=USD","Period=FQ","BEST_FPERIOD_OVERRIDE=FQ","FILING_STATUS=MR","SCALING_FORMAT=MLN","Sort=A","Dates=H","DateFormat=P","Fill=—","Direction=H","UseDPDF=Y")</f>
        <v>400</v>
      </c>
      <c r="Q25" s="1">
        <f>_xll.BDH("AAL US Equity","BS_TOTAL_AVAIL_LINE_OF_CREDIT","FQ4 2014","FQ4 2014","Currency=USD","Period=FQ","BEST_FPERIOD_OVERRIDE=FQ","FILING_STATUS=MR","SCALING_FORMAT=MLN","Sort=A","Dates=H","DateFormat=P","Fill=—","Direction=H","UseDPDF=Y")</f>
        <v>1400</v>
      </c>
      <c r="R25" s="1">
        <f>_xll.BDH("AAL US Equity","BS_TOTAL_AVAIL_LINE_OF_CREDIT","FQ1 2015","FQ1 2015","Currency=USD","Period=FQ","BEST_FPERIOD_OVERRIDE=FQ","FILING_STATUS=MR","SCALING_FORMAT=MLN","Sort=A","Dates=H","DateFormat=P","Fill=—","Direction=H","UseDPDF=Y")</f>
        <v>1400</v>
      </c>
      <c r="S25" s="1">
        <f>_xll.BDH("AAL US Equity","BS_TOTAL_AVAIL_LINE_OF_CREDIT","FQ2 2015","FQ2 2015","Currency=USD","Period=FQ","BEST_FPERIOD_OVERRIDE=FQ","FILING_STATUS=MR","SCALING_FORMAT=MLN","Sort=A","Dates=H","DateFormat=P","Fill=—","Direction=H","UseDPDF=Y")</f>
        <v>1800</v>
      </c>
      <c r="T25" s="1">
        <f>_xll.BDH("AAL US Equity","BS_TOTAL_AVAIL_LINE_OF_CREDIT","FQ3 2015","FQ3 2015","Currency=USD","Period=FQ","BEST_FPERIOD_OVERRIDE=FQ","FILING_STATUS=MR","SCALING_FORMAT=MLN","Sort=A","Dates=H","DateFormat=P","Fill=—","Direction=H","UseDPDF=Y")</f>
        <v>1800</v>
      </c>
      <c r="U25" s="1">
        <f>_xll.BDH("AAL US Equity","BS_TOTAL_AVAIL_LINE_OF_CREDIT","FQ4 2015","FQ4 2015","Currency=USD","Period=FQ","BEST_FPERIOD_OVERRIDE=FQ","FILING_STATUS=MR","SCALING_FORMAT=MLN","Sort=A","Dates=H","DateFormat=P","Fill=—","Direction=H","UseDPDF=Y")</f>
        <v>1400</v>
      </c>
      <c r="V25" s="1">
        <f>_xll.BDH("AAL US Equity","BS_TOTAL_AVAIL_LINE_OF_CREDIT","FQ1 2016","FQ1 2016","Currency=USD","Period=FQ","BEST_FPERIOD_OVERRIDE=FQ","FILING_STATUS=MR","SCALING_FORMAT=MLN","Sort=A","Dates=H","DateFormat=P","Fill=—","Direction=H","UseDPDF=Y")</f>
        <v>2400</v>
      </c>
      <c r="W25" s="1">
        <f>_xll.BDH("AAL US Equity","BS_TOTAL_AVAIL_LINE_OF_CREDIT","FQ2 2016","FQ2 2016","Currency=USD","Period=FQ","BEST_FPERIOD_OVERRIDE=FQ","FILING_STATUS=MR","SCALING_FORMAT=MLN","Sort=A","Dates=H","DateFormat=P","Fill=—","Direction=H","UseDPDF=Y")</f>
        <v>2400</v>
      </c>
      <c r="X25" s="1">
        <f>_xll.BDH("AAL US Equity","BS_TOTAL_AVAIL_LINE_OF_CREDIT","FQ3 2016","FQ3 2016","Currency=USD","Period=FQ","BEST_FPERIOD_OVERRIDE=FQ","FILING_STATUS=MR","SCALING_FORMAT=MLN","Sort=A","Dates=H","DateFormat=P","Fill=—","Direction=H","UseDPDF=Y")</f>
        <v>2425</v>
      </c>
      <c r="Y25" s="1">
        <f>_xll.BDH("AAL US Equity","BS_TOTAL_AVAIL_LINE_OF_CREDIT","FQ4 2016","FQ4 2016","Currency=USD","Period=FQ","BEST_FPERIOD_OVERRIDE=FQ","FILING_STATUS=MR","SCALING_FORMAT=MLN","Sort=A","Dates=H","DateFormat=P","Fill=—","Direction=H","UseDPDF=Y")</f>
        <v>2400</v>
      </c>
      <c r="Z25" s="1">
        <f>_xll.BDH("AAL US Equity","BS_TOTAL_AVAIL_LINE_OF_CREDIT","FQ1 2017","FQ1 2017","Currency=USD","Period=FQ","BEST_FPERIOD_OVERRIDE=FQ","FILING_STATUS=MR","SCALING_FORMAT=MLN","Sort=A","Dates=H","DateFormat=P","Fill=—","Direction=H","UseDPDF=Y")</f>
        <v>2425</v>
      </c>
      <c r="AA25" s="1">
        <f>_xll.BDH("AAL US Equity","BS_TOTAL_AVAIL_LINE_OF_CREDIT","FQ2 2017","FQ2 2017","Currency=USD","Period=FQ","BEST_FPERIOD_OVERRIDE=FQ","FILING_STATUS=MR","SCALING_FORMAT=MLN","Sort=A","Dates=H","DateFormat=P","Fill=—","Direction=H","UseDPDF=Y")</f>
        <v>2425</v>
      </c>
      <c r="AB25" s="1">
        <f>_xll.BDH("AAL US Equity","BS_TOTAL_AVAIL_LINE_OF_CREDIT","FQ3 2017","FQ3 2017","Currency=USD","Period=FQ","BEST_FPERIOD_OVERRIDE=FQ","FILING_STATUS=MR","SCALING_FORMAT=MLN","Sort=A","Dates=H","DateFormat=P","Fill=—","Direction=H","UseDPDF=Y")</f>
        <v>1200</v>
      </c>
      <c r="AC25" s="1">
        <f>_xll.BDH("AAL US Equity","BS_TOTAL_AVAIL_LINE_OF_CREDIT","FQ4 2017","FQ4 2017","Currency=USD","Period=FQ","BEST_FPERIOD_OVERRIDE=FQ","FILING_STATUS=MR","SCALING_FORMAT=MLN","Sort=A","Dates=H","DateFormat=P","Fill=—","Direction=H","UseDPDF=Y")</f>
        <v>2500</v>
      </c>
      <c r="AD25" s="1">
        <f>_xll.BDH("AAL US Equity","BS_TOTAL_AVAIL_LINE_OF_CREDIT","FQ1 2018","FQ1 2018","Currency=USD","Period=FQ","BEST_FPERIOD_OVERRIDE=FQ","FILING_STATUS=MR","SCALING_FORMAT=MLN","Sort=A","Dates=H","DateFormat=P","Fill=—","Direction=H","UseDPDF=Y")</f>
        <v>2500</v>
      </c>
      <c r="AE25" s="1">
        <f>_xll.BDH("AAL US Equity","BS_TOTAL_AVAIL_LINE_OF_CREDIT","FQ2 2018","FQ2 2018","Currency=USD","Period=FQ","BEST_FPERIOD_OVERRIDE=FQ","FILING_STATUS=MR","SCALING_FORMAT=MLN","Sort=A","Dates=H","DateFormat=P","Fill=—","Direction=H","UseDPDF=Y")</f>
        <v>2500</v>
      </c>
      <c r="AF25" s="1">
        <f>_xll.BDH("AAL US Equity","BS_TOTAL_AVAIL_LINE_OF_CREDIT","FQ3 2018","FQ3 2018","Currency=USD","Period=FQ","BEST_FPERIOD_OVERRIDE=FQ","FILING_STATUS=MR","SCALING_FORMAT=MLN","Sort=A","Dates=H","DateFormat=P","Fill=—","Direction=H","UseDPDF=Y")</f>
        <v>2500</v>
      </c>
      <c r="AG25" s="1">
        <f>_xll.BDH("AAL US Equity","BS_TOTAL_AVAIL_LINE_OF_CREDIT","FQ4 2018","FQ4 2018","Currency=USD","Period=FQ","BEST_FPERIOD_OVERRIDE=FQ","FILING_STATUS=MR","SCALING_FORMAT=MLN","Sort=A","Dates=H","DateFormat=P","Fill=—","Direction=H","UseDPDF=Y")</f>
        <v>2800</v>
      </c>
      <c r="AH25" s="1">
        <f>_xll.BDH("AAL US Equity","BS_TOTAL_AVAIL_LINE_OF_CREDIT","FQ1 2019","FQ1 2019","Currency=USD","Period=FQ","BEST_FPERIOD_OVERRIDE=FQ","FILING_STATUS=MR","SCALING_FORMAT=MLN","Sort=A","Dates=H","DateFormat=P","Fill=—","Direction=H","UseDPDF=Y")</f>
        <v>2843</v>
      </c>
      <c r="AI25" s="1">
        <f>_xll.BDH("AAL US Equity","BS_TOTAL_AVAIL_LINE_OF_CREDIT","FQ2 2019","FQ2 2019","Currency=USD","Period=FQ","BEST_FPERIOD_OVERRIDE=FQ","FILING_STATUS=MR","SCALING_FORMAT=MLN","Sort=A","Dates=H","DateFormat=P","Fill=—","Direction=H","UseDPDF=Y")</f>
        <v>2843</v>
      </c>
      <c r="AJ25" s="1">
        <f>_xll.BDH("AAL US Equity","BS_TOTAL_AVAIL_LINE_OF_CREDIT","FQ3 2019","FQ3 2019","Currency=USD","Period=FQ","BEST_FPERIOD_OVERRIDE=FQ","FILING_STATUS=MR","SCALING_FORMAT=MLN","Sort=A","Dates=H","DateFormat=P","Fill=—","Direction=H","UseDPDF=Y")</f>
        <v>2843</v>
      </c>
      <c r="AK25" s="1">
        <f>_xll.BDH("AAL US Equity","BS_TOTAL_AVAIL_LINE_OF_CREDIT","FQ4 2019","FQ4 2019","Currency=USD","Period=FQ","BEST_FPERIOD_OVERRIDE=FQ","FILING_STATUS=MR","SCALING_FORMAT=MLN","Sort=A","Dates=H","DateFormat=P","Fill=—","Direction=H","UseDPDF=Y")</f>
        <v>3243</v>
      </c>
      <c r="AL25" s="1">
        <f>_xll.BDH("AAL US Equity","BS_TOTAL_AVAIL_LINE_OF_CREDIT","FQ1 2020","FQ1 2020","Currency=USD","Period=FQ","BEST_FPERIOD_OVERRIDE=FQ","FILING_STATUS=MR","SCALING_FORMAT=MLN","Sort=A","Dates=H","DateFormat=P","Fill=—","Direction=H","UseDPDF=Y")</f>
        <v>3243</v>
      </c>
      <c r="AM25" s="1">
        <f>_xll.BDH("AAL US Equity","BS_TOTAL_AVAIL_LINE_OF_CREDIT","FQ2 2020","FQ2 2020","Currency=USD","Period=FQ","BEST_FPERIOD_OVERRIDE=FQ","FILING_STATUS=MR","SCALING_FORMAT=MLN","Sort=A","Dates=H","DateFormat=P","Fill=—","Direction=H","UseDPDF=Y")</f>
        <v>2800</v>
      </c>
      <c r="AN25" s="1">
        <f>_xll.BDH("AAL US Equity","BS_TOTAL_AVAIL_LINE_OF_CREDIT","FQ3 2020","FQ3 2020","Currency=USD","Period=FQ","BEST_FPERIOD_OVERRIDE=FQ","FILING_STATUS=MR","SCALING_FORMAT=MLN","Sort=A","Dates=H","DateFormat=P","Fill=—","Direction=H","UseDPDF=Y")</f>
        <v>2800</v>
      </c>
      <c r="AO25" s="1">
        <f>_xll.BDH("AAL US Equity","BS_TOTAL_AVAIL_LINE_OF_CREDIT","FQ4 2020","FQ4 2020","Currency=USD","Period=FQ","BEST_FPERIOD_OVERRIDE=FQ","FILING_STATUS=MR","SCALING_FORMAT=MLN","Sort=A","Dates=H","DateFormat=P","Fill=—","Direction=H","UseDPDF=Y")</f>
        <v>7396</v>
      </c>
      <c r="AP25" s="1">
        <f>_xll.BDH("AAL US Equity","BS_TOTAL_AVAIL_LINE_OF_CREDIT","FQ1 2021","FQ1 2021","Currency=USD","Period=FQ","BEST_FPERIOD_OVERRIDE=FQ","FILING_STATUS=MR","SCALING_FORMAT=MLN","Sort=A","Dates=H","DateFormat=P","Fill=—","Direction=H","UseDPDF=Y")</f>
        <v>3297</v>
      </c>
    </row>
    <row r="26" spans="1:42" x14ac:dyDescent="0.25">
      <c r="A26" s="8" t="s">
        <v>160</v>
      </c>
      <c r="B26" s="8" t="s">
        <v>159</v>
      </c>
      <c r="C26" s="1" t="str">
        <f>_xll.BDH("AAL US Equity","LINE_OF_CREDIT_UTILIZED_AMOUNT","FQ2 2011","FQ2 2011","Currency=USD","Period=FQ","BEST_FPERIOD_OVERRIDE=FQ","FILING_STATUS=MR","SCALING_FORMAT=MLN","Sort=A","Dates=H","DateFormat=P","Fill=—","Direction=H","UseDPDF=Y")</f>
        <v>—</v>
      </c>
      <c r="D26" s="1" t="str">
        <f>_xll.BDH("AAL US Equity","LINE_OF_CREDIT_UTILIZED_AMOUNT","FQ3 2011","FQ3 2011","Currency=USD","Period=FQ","BEST_FPERIOD_OVERRIDE=FQ","FILING_STATUS=MR","SCALING_FORMAT=MLN","Sort=A","Dates=H","DateFormat=P","Fill=—","Direction=H","UseDPDF=Y")</f>
        <v>—</v>
      </c>
      <c r="E26" s="1" t="str">
        <f>_xll.BDH("AAL US Equity","LINE_OF_CREDIT_UTILIZED_AMOUNT","FQ4 2011","FQ4 2011","Currency=USD","Period=FQ","BEST_FPERIOD_OVERRIDE=FQ","FILING_STATUS=MR","SCALING_FORMAT=MLN","Sort=A","Dates=H","DateFormat=P","Fill=—","Direction=H","UseDPDF=Y")</f>
        <v>—</v>
      </c>
      <c r="F26" s="1">
        <f>_xll.BDH("AAL US Equity","LINE_OF_CREDIT_UTILIZED_AMOUNT","FQ1 2012","FQ1 2012","Currency=USD","Period=FQ","BEST_FPERIOD_OVERRIDE=FQ","FILING_STATUS=MR","SCALING_FORMAT=MLN","Sort=A","Dates=H","DateFormat=P","Fill=—","Direction=H","UseDPDF=Y")</f>
        <v>0</v>
      </c>
      <c r="G26" s="1" t="str">
        <f>_xll.BDH("AAL US Equity","LINE_OF_CREDIT_UTILIZED_AMOUNT","FQ2 2012","FQ2 2012","Currency=USD","Period=FQ","BEST_FPERIOD_OVERRIDE=FQ","FILING_STATUS=MR","SCALING_FORMAT=MLN","Sort=A","Dates=H","DateFormat=P","Fill=—","Direction=H","UseDPDF=Y")</f>
        <v>—</v>
      </c>
      <c r="H26" s="1" t="str">
        <f>_xll.BDH("AAL US Equity","LINE_OF_CREDIT_UTILIZED_AMOUNT","FQ3 2012","FQ3 2012","Currency=USD","Period=FQ","BEST_FPERIOD_OVERRIDE=FQ","FILING_STATUS=MR","SCALING_FORMAT=MLN","Sort=A","Dates=H","DateFormat=P","Fill=—","Direction=H","UseDPDF=Y")</f>
        <v>—</v>
      </c>
      <c r="I26" s="1">
        <f>_xll.BDH("AAL US Equity","LINE_OF_CREDIT_UTILIZED_AMOUNT","FQ4 2012","FQ4 2012","Currency=USD","Period=FQ","BEST_FPERIOD_OVERRIDE=FQ","FILING_STATUS=MR","SCALING_FORMAT=MLN","Sort=A","Dates=H","DateFormat=P","Fill=—","Direction=H","UseDPDF=Y")</f>
        <v>0</v>
      </c>
      <c r="J26" s="1" t="str">
        <f>_xll.BDH("AAL US Equity","LINE_OF_CREDIT_UTILIZED_AMOUNT","FQ1 2013","FQ1 2013","Currency=USD","Period=FQ","BEST_FPERIOD_OVERRIDE=FQ","FILING_STATUS=MR","SCALING_FORMAT=MLN","Sort=A","Dates=H","DateFormat=P","Fill=—","Direction=H","UseDPDF=Y")</f>
        <v>—</v>
      </c>
      <c r="K26" s="1">
        <f>_xll.BDH("AAL US Equity","LINE_OF_CREDIT_UTILIZED_AMOUNT","FQ2 2013","FQ2 2013","Currency=USD","Period=FQ","BEST_FPERIOD_OVERRIDE=FQ","FILING_STATUS=MR","SCALING_FORMAT=MLN","Sort=A","Dates=H","DateFormat=P","Fill=—","Direction=H","UseDPDF=Y")</f>
        <v>0</v>
      </c>
      <c r="L26" s="1">
        <f>_xll.BDH("AAL US Equity","LINE_OF_CREDIT_UTILIZED_AMOUNT","FQ3 2013","FQ3 2013","Currency=USD","Period=FQ","BEST_FPERIOD_OVERRIDE=FQ","FILING_STATUS=MR","SCALING_FORMAT=MLN","Sort=A","Dates=H","DateFormat=P","Fill=—","Direction=H","UseDPDF=Y")</f>
        <v>0</v>
      </c>
      <c r="M26" s="1">
        <f>_xll.BDH("AAL US Equity","LINE_OF_CREDIT_UTILIZED_AMOUNT","FQ4 2013","FQ4 2013","Currency=USD","Period=FQ","BEST_FPERIOD_OVERRIDE=FQ","FILING_STATUS=MR","SCALING_FORMAT=MLN","Sort=A","Dates=H","DateFormat=P","Fill=—","Direction=H","UseDPDF=Y")</f>
        <v>0</v>
      </c>
      <c r="N26" s="1">
        <f>_xll.BDH("AAL US Equity","LINE_OF_CREDIT_UTILIZED_AMOUNT","FQ1 2014","FQ1 2014","Currency=USD","Period=FQ","BEST_FPERIOD_OVERRIDE=FQ","FILING_STATUS=MR","SCALING_FORMAT=MLN","Sort=A","Dates=H","DateFormat=P","Fill=—","Direction=H","UseDPDF=Y")</f>
        <v>1000</v>
      </c>
      <c r="O26" s="1">
        <f>_xll.BDH("AAL US Equity","LINE_OF_CREDIT_UTILIZED_AMOUNT","FQ2 2014","FQ2 2014","Currency=USD","Period=FQ","BEST_FPERIOD_OVERRIDE=FQ","FILING_STATUS=MR","SCALING_FORMAT=MLN","Sort=A","Dates=H","DateFormat=P","Fill=—","Direction=H","UseDPDF=Y")</f>
        <v>1000</v>
      </c>
      <c r="P26" s="1">
        <f>_xll.BDH("AAL US Equity","LINE_OF_CREDIT_UTILIZED_AMOUNT","FQ3 2014","FQ3 2014","Currency=USD","Period=FQ","BEST_FPERIOD_OVERRIDE=FQ","FILING_STATUS=MR","SCALING_FORMAT=MLN","Sort=A","Dates=H","DateFormat=P","Fill=—","Direction=H","UseDPDF=Y")</f>
        <v>0</v>
      </c>
      <c r="Q26" s="1">
        <f>_xll.BDH("AAL US Equity","LINE_OF_CREDIT_UTILIZED_AMOUNT","FQ4 2014","FQ4 2014","Currency=USD","Period=FQ","BEST_FPERIOD_OVERRIDE=FQ","FILING_STATUS=MR","SCALING_FORMAT=MLN","Sort=A","Dates=H","DateFormat=P","Fill=—","Direction=H","UseDPDF=Y")</f>
        <v>0</v>
      </c>
      <c r="R26" s="1">
        <f>_xll.BDH("AAL US Equity","LINE_OF_CREDIT_UTILIZED_AMOUNT","FQ1 2015","FQ1 2015","Currency=USD","Period=FQ","BEST_FPERIOD_OVERRIDE=FQ","FILING_STATUS=MR","SCALING_FORMAT=MLN","Sort=A","Dates=H","DateFormat=P","Fill=—","Direction=H","UseDPDF=Y")</f>
        <v>0</v>
      </c>
      <c r="S26" s="1">
        <f>_xll.BDH("AAL US Equity","LINE_OF_CREDIT_UTILIZED_AMOUNT","FQ2 2015","FQ2 2015","Currency=USD","Period=FQ","BEST_FPERIOD_OVERRIDE=FQ","FILING_STATUS=MR","SCALING_FORMAT=MLN","Sort=A","Dates=H","DateFormat=P","Fill=—","Direction=H","UseDPDF=Y")</f>
        <v>0</v>
      </c>
      <c r="T26" s="1">
        <f>_xll.BDH("AAL US Equity","LINE_OF_CREDIT_UTILIZED_AMOUNT","FQ3 2015","FQ3 2015","Currency=USD","Period=FQ","BEST_FPERIOD_OVERRIDE=FQ","FILING_STATUS=MR","SCALING_FORMAT=MLN","Sort=A","Dates=H","DateFormat=P","Fill=—","Direction=H","UseDPDF=Y")</f>
        <v>0</v>
      </c>
      <c r="U26" s="1">
        <f>_xll.BDH("AAL US Equity","LINE_OF_CREDIT_UTILIZED_AMOUNT","FQ4 2015","FQ4 2015","Currency=USD","Period=FQ","BEST_FPERIOD_OVERRIDE=FQ","FILING_STATUS=MR","SCALING_FORMAT=MLN","Sort=A","Dates=H","DateFormat=P","Fill=—","Direction=H","UseDPDF=Y")</f>
        <v>0</v>
      </c>
      <c r="V26" s="1">
        <f>_xll.BDH("AAL US Equity","LINE_OF_CREDIT_UTILIZED_AMOUNT","FQ1 2016","FQ1 2016","Currency=USD","Period=FQ","BEST_FPERIOD_OVERRIDE=FQ","FILING_STATUS=MR","SCALING_FORMAT=MLN","Sort=A","Dates=H","DateFormat=P","Fill=—","Direction=H","UseDPDF=Y")</f>
        <v>0</v>
      </c>
      <c r="W26" s="1">
        <f>_xll.BDH("AAL US Equity","LINE_OF_CREDIT_UTILIZED_AMOUNT","FQ2 2016","FQ2 2016","Currency=USD","Period=FQ","BEST_FPERIOD_OVERRIDE=FQ","FILING_STATUS=MR","SCALING_FORMAT=MLN","Sort=A","Dates=H","DateFormat=P","Fill=—","Direction=H","UseDPDF=Y")</f>
        <v>0</v>
      </c>
      <c r="X26" s="1">
        <f>_xll.BDH("AAL US Equity","LINE_OF_CREDIT_UTILIZED_AMOUNT","FQ3 2016","FQ3 2016","Currency=USD","Period=FQ","BEST_FPERIOD_OVERRIDE=FQ","FILING_STATUS=MR","SCALING_FORMAT=MLN","Sort=A","Dates=H","DateFormat=P","Fill=—","Direction=H","UseDPDF=Y")</f>
        <v>0</v>
      </c>
      <c r="Y26" s="1">
        <f>_xll.BDH("AAL US Equity","LINE_OF_CREDIT_UTILIZED_AMOUNT","FQ4 2016","FQ4 2016","Currency=USD","Period=FQ","BEST_FPERIOD_OVERRIDE=FQ","FILING_STATUS=MR","SCALING_FORMAT=MLN","Sort=A","Dates=H","DateFormat=P","Fill=—","Direction=H","UseDPDF=Y")</f>
        <v>0</v>
      </c>
      <c r="Z26" s="1">
        <f>_xll.BDH("AAL US Equity","LINE_OF_CREDIT_UTILIZED_AMOUNT","FQ1 2017","FQ1 2017","Currency=USD","Period=FQ","BEST_FPERIOD_OVERRIDE=FQ","FILING_STATUS=MR","SCALING_FORMAT=MLN","Sort=A","Dates=H","DateFormat=P","Fill=—","Direction=H","UseDPDF=Y")</f>
        <v>0</v>
      </c>
      <c r="AA26" s="1">
        <f>_xll.BDH("AAL US Equity","LINE_OF_CREDIT_UTILIZED_AMOUNT","FQ2 2017","FQ2 2017","Currency=USD","Period=FQ","BEST_FPERIOD_OVERRIDE=FQ","FILING_STATUS=MR","SCALING_FORMAT=MLN","Sort=A","Dates=H","DateFormat=P","Fill=—","Direction=H","UseDPDF=Y")</f>
        <v>0</v>
      </c>
      <c r="AB26" s="1">
        <f>_xll.BDH("AAL US Equity","LINE_OF_CREDIT_UTILIZED_AMOUNT","FQ3 2017","FQ3 2017","Currency=USD","Period=FQ","BEST_FPERIOD_OVERRIDE=FQ","FILING_STATUS=MR","SCALING_FORMAT=MLN","Sort=A","Dates=H","DateFormat=P","Fill=—","Direction=H","UseDPDF=Y")</f>
        <v>0</v>
      </c>
      <c r="AC26" s="1">
        <f>_xll.BDH("AAL US Equity","LINE_OF_CREDIT_UTILIZED_AMOUNT","FQ4 2017","FQ4 2017","Currency=USD","Period=FQ","BEST_FPERIOD_OVERRIDE=FQ","FILING_STATUS=MR","SCALING_FORMAT=MLN","Sort=A","Dates=H","DateFormat=P","Fill=—","Direction=H","UseDPDF=Y")</f>
        <v>0</v>
      </c>
      <c r="AD26" s="1">
        <f>_xll.BDH("AAL US Equity","LINE_OF_CREDIT_UTILIZED_AMOUNT","FQ1 2018","FQ1 2018","Currency=USD","Period=FQ","BEST_FPERIOD_OVERRIDE=FQ","FILING_STATUS=MR","SCALING_FORMAT=MLN","Sort=A","Dates=H","DateFormat=P","Fill=—","Direction=H","UseDPDF=Y")</f>
        <v>0</v>
      </c>
      <c r="AE26" s="1">
        <f>_xll.BDH("AAL US Equity","LINE_OF_CREDIT_UTILIZED_AMOUNT","FQ2 2018","FQ2 2018","Currency=USD","Period=FQ","BEST_FPERIOD_OVERRIDE=FQ","FILING_STATUS=MR","SCALING_FORMAT=MLN","Sort=A","Dates=H","DateFormat=P","Fill=—","Direction=H","UseDPDF=Y")</f>
        <v>0</v>
      </c>
      <c r="AF26" s="1">
        <f>_xll.BDH("AAL US Equity","LINE_OF_CREDIT_UTILIZED_AMOUNT","FQ3 2018","FQ3 2018","Currency=USD","Period=FQ","BEST_FPERIOD_OVERRIDE=FQ","FILING_STATUS=MR","SCALING_FORMAT=MLN","Sort=A","Dates=H","DateFormat=P","Fill=—","Direction=H","UseDPDF=Y")</f>
        <v>0</v>
      </c>
      <c r="AG26" s="1">
        <f>_xll.BDH("AAL US Equity","LINE_OF_CREDIT_UTILIZED_AMOUNT","FQ4 2018","FQ4 2018","Currency=USD","Period=FQ","BEST_FPERIOD_OVERRIDE=FQ","FILING_STATUS=MR","SCALING_FORMAT=MLN","Sort=A","Dates=H","DateFormat=P","Fill=—","Direction=H","UseDPDF=Y")</f>
        <v>0</v>
      </c>
      <c r="AH26" s="1">
        <f>_xll.BDH("AAL US Equity","LINE_OF_CREDIT_UTILIZED_AMOUNT","FQ1 2019","FQ1 2019","Currency=USD","Period=FQ","BEST_FPERIOD_OVERRIDE=FQ","FILING_STATUS=MR","SCALING_FORMAT=MLN","Sort=A","Dates=H","DateFormat=P","Fill=—","Direction=H","UseDPDF=Y")</f>
        <v>0</v>
      </c>
      <c r="AI26" s="1">
        <f>_xll.BDH("AAL US Equity","LINE_OF_CREDIT_UTILIZED_AMOUNT","FQ2 2019","FQ2 2019","Currency=USD","Period=FQ","BEST_FPERIOD_OVERRIDE=FQ","FILING_STATUS=MR","SCALING_FORMAT=MLN","Sort=A","Dates=H","DateFormat=P","Fill=—","Direction=H","UseDPDF=Y")</f>
        <v>0</v>
      </c>
      <c r="AJ26" s="1">
        <f>_xll.BDH("AAL US Equity","LINE_OF_CREDIT_UTILIZED_AMOUNT","FQ3 2019","FQ3 2019","Currency=USD","Period=FQ","BEST_FPERIOD_OVERRIDE=FQ","FILING_STATUS=MR","SCALING_FORMAT=MLN","Sort=A","Dates=H","DateFormat=P","Fill=—","Direction=H","UseDPDF=Y")</f>
        <v>0</v>
      </c>
      <c r="AK26" s="1">
        <f>_xll.BDH("AAL US Equity","LINE_OF_CREDIT_UTILIZED_AMOUNT","FQ4 2019","FQ4 2019","Currency=USD","Period=FQ","BEST_FPERIOD_OVERRIDE=FQ","FILING_STATUS=MR","SCALING_FORMAT=MLN","Sort=A","Dates=H","DateFormat=P","Fill=—","Direction=H","UseDPDF=Y")</f>
        <v>0</v>
      </c>
      <c r="AL26" s="1">
        <f>_xll.BDH("AAL US Equity","LINE_OF_CREDIT_UTILIZED_AMOUNT","FQ1 2020","FQ1 2020","Currency=USD","Period=FQ","BEST_FPERIOD_OVERRIDE=FQ","FILING_STATUS=MR","SCALING_FORMAT=MLN","Sort=A","Dates=H","DateFormat=P","Fill=—","Direction=H","UseDPDF=Y")</f>
        <v>0</v>
      </c>
      <c r="AM26" s="1">
        <f>_xll.BDH("AAL US Equity","LINE_OF_CREDIT_UTILIZED_AMOUNT","FQ2 2020","FQ2 2020","Currency=USD","Period=FQ","BEST_FPERIOD_OVERRIDE=FQ","FILING_STATUS=MR","SCALING_FORMAT=MLN","Sort=A","Dates=H","DateFormat=P","Fill=—","Direction=H","UseDPDF=Y")</f>
        <v>0</v>
      </c>
      <c r="AN26" s="1">
        <f>_xll.BDH("AAL US Equity","LINE_OF_CREDIT_UTILIZED_AMOUNT","FQ3 2020","FQ3 2020","Currency=USD","Period=FQ","BEST_FPERIOD_OVERRIDE=FQ","FILING_STATUS=MR","SCALING_FORMAT=MLN","Sort=A","Dates=H","DateFormat=P","Fill=—","Direction=H","UseDPDF=Y")</f>
        <v>0</v>
      </c>
      <c r="AO26" s="1">
        <f>_xll.BDH("AAL US Equity","LINE_OF_CREDIT_UTILIZED_AMOUNT","FQ4 2020","FQ4 2020","Currency=USD","Period=FQ","BEST_FPERIOD_OVERRIDE=FQ","FILING_STATUS=MR","SCALING_FORMAT=MLN","Sort=A","Dates=H","DateFormat=P","Fill=—","Direction=H","UseDPDF=Y")</f>
        <v>0</v>
      </c>
      <c r="AP26" s="1">
        <f>_xll.BDH("AAL US Equity","LINE_OF_CREDIT_UTILIZED_AMOUNT","FQ1 2021","FQ1 2021","Currency=USD","Period=FQ","BEST_FPERIOD_OVERRIDE=FQ","FILING_STATUS=MR","SCALING_FORMAT=MLN","Sort=A","Dates=H","DateFormat=P","Fill=—","Direction=H","UseDPDF=Y")</f>
        <v>0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15" t="s">
        <v>117</v>
      </c>
      <c r="B28" s="15"/>
      <c r="C28" s="15" t="s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Profitability (2)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2021-07-07T13:00:29Z</dcterms:modified>
</cp:coreProperties>
</file>