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10395" yWindow="-105" windowWidth="14850" windowHeight="12735" activeTab="3"/>
  </bookViews>
  <sheets>
    <sheet name="Profitability" sheetId="2" r:id="rId1"/>
    <sheet name="Profitability (2)" sheetId="3" r:id="rId2"/>
    <sheet name="Liquidity" sheetId="4" r:id="rId3"/>
    <sheet name="Liquidity (2)" sheetId="5" r:id="rId4"/>
  </sheets>
  <calcPr calcId="162913"/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G16" i="4"/>
  <c r="C17" i="4"/>
  <c r="F21" i="4"/>
  <c r="C10" i="4"/>
  <c r="AJ7" i="4"/>
  <c r="C6" i="4"/>
  <c r="AC17" i="4"/>
  <c r="AM6" i="4"/>
  <c r="AE8" i="4"/>
  <c r="W10" i="4"/>
  <c r="K10" i="4"/>
  <c r="AE12" i="4"/>
  <c r="AM13" i="4"/>
  <c r="M14" i="4"/>
  <c r="AM17" i="4"/>
  <c r="O21" i="4"/>
  <c r="G20" i="4"/>
  <c r="AE20" i="4"/>
  <c r="AE25" i="4"/>
  <c r="AF12" i="4"/>
  <c r="I12" i="4"/>
  <c r="W12" i="4"/>
  <c r="AO17" i="4"/>
  <c r="AG20" i="4"/>
  <c r="M22" i="4"/>
  <c r="U25" i="4"/>
  <c r="AB9" i="4"/>
  <c r="AB13" i="4"/>
  <c r="N7" i="4"/>
  <c r="Z14" i="4"/>
  <c r="O7" i="4"/>
  <c r="K8" i="4"/>
  <c r="S9" i="4"/>
  <c r="AE9" i="4"/>
  <c r="K12" i="4"/>
  <c r="G13" i="4"/>
  <c r="K16" i="4"/>
  <c r="C18" i="4"/>
  <c r="O18" i="4"/>
  <c r="K20" i="4"/>
  <c r="AE21" i="4"/>
  <c r="W2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N6" i="4"/>
  <c r="AO6" i="4"/>
  <c r="AP6" i="4"/>
  <c r="C7" i="4"/>
  <c r="D7" i="4"/>
  <c r="E7" i="4"/>
  <c r="F7" i="4"/>
  <c r="G7" i="4"/>
  <c r="H7" i="4"/>
  <c r="I7" i="4"/>
  <c r="J7" i="4"/>
  <c r="K7" i="4"/>
  <c r="L7" i="4"/>
  <c r="M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K7" i="4"/>
  <c r="AL7" i="4"/>
  <c r="AM7" i="4"/>
  <c r="AN7" i="4"/>
  <c r="AO7" i="4"/>
  <c r="AP7" i="4"/>
  <c r="C8" i="4"/>
  <c r="D8" i="4"/>
  <c r="E8" i="4"/>
  <c r="F8" i="4"/>
  <c r="G8" i="4"/>
  <c r="H8" i="4"/>
  <c r="I8" i="4"/>
  <c r="J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F8" i="4"/>
  <c r="AG8" i="4"/>
  <c r="AH8" i="4"/>
  <c r="AI8" i="4"/>
  <c r="AJ8" i="4"/>
  <c r="AK8" i="4"/>
  <c r="AL8" i="4"/>
  <c r="AM8" i="4"/>
  <c r="AN8" i="4"/>
  <c r="AO8" i="4"/>
  <c r="A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U9" i="4"/>
  <c r="V9" i="4"/>
  <c r="W9" i="4"/>
  <c r="X9" i="4"/>
  <c r="Y9" i="4"/>
  <c r="Z9" i="4"/>
  <c r="AA9" i="4"/>
  <c r="AC9" i="4"/>
  <c r="AD9" i="4"/>
  <c r="AF9" i="4"/>
  <c r="AG9" i="4"/>
  <c r="AH9" i="4"/>
  <c r="AI9" i="4"/>
  <c r="AJ9" i="4"/>
  <c r="AK9" i="4"/>
  <c r="AL9" i="4"/>
  <c r="AM9" i="4"/>
  <c r="AN9" i="4"/>
  <c r="AO9" i="4"/>
  <c r="AP9" i="4"/>
  <c r="D10" i="4"/>
  <c r="E10" i="4"/>
  <c r="F10" i="4"/>
  <c r="G10" i="4"/>
  <c r="H10" i="4"/>
  <c r="I10" i="4"/>
  <c r="J10" i="4"/>
  <c r="L10" i="4"/>
  <c r="M10" i="4"/>
  <c r="N10" i="4"/>
  <c r="O10" i="4"/>
  <c r="P10" i="4"/>
  <c r="Q10" i="4"/>
  <c r="R10" i="4"/>
  <c r="S10" i="4"/>
  <c r="T10" i="4"/>
  <c r="U10" i="4"/>
  <c r="V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C12" i="4"/>
  <c r="D12" i="4"/>
  <c r="E12" i="4"/>
  <c r="F12" i="4"/>
  <c r="G12" i="4"/>
  <c r="H12" i="4"/>
  <c r="J12" i="4"/>
  <c r="L12" i="4"/>
  <c r="M12" i="4"/>
  <c r="N12" i="4"/>
  <c r="O12" i="4"/>
  <c r="P12" i="4"/>
  <c r="Q12" i="4"/>
  <c r="R12" i="4"/>
  <c r="S12" i="4"/>
  <c r="T12" i="4"/>
  <c r="U12" i="4"/>
  <c r="V12" i="4"/>
  <c r="X12" i="4"/>
  <c r="Y12" i="4"/>
  <c r="Z12" i="4"/>
  <c r="AA12" i="4"/>
  <c r="AB12" i="4"/>
  <c r="AC12" i="4"/>
  <c r="AD12" i="4"/>
  <c r="AG12" i="4"/>
  <c r="AH12" i="4"/>
  <c r="AI12" i="4"/>
  <c r="AJ12" i="4"/>
  <c r="AK12" i="4"/>
  <c r="AL12" i="4"/>
  <c r="AM12" i="4"/>
  <c r="AN12" i="4"/>
  <c r="AO12" i="4"/>
  <c r="AP12" i="4"/>
  <c r="C13" i="4"/>
  <c r="D13" i="4"/>
  <c r="E13" i="4"/>
  <c r="F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C13" i="4"/>
  <c r="AD13" i="4"/>
  <c r="AE13" i="4"/>
  <c r="AF13" i="4"/>
  <c r="AG13" i="4"/>
  <c r="AH13" i="4"/>
  <c r="AI13" i="4"/>
  <c r="AJ13" i="4"/>
  <c r="AK13" i="4"/>
  <c r="AL13" i="4"/>
  <c r="AN13" i="4"/>
  <c r="AO13" i="4"/>
  <c r="AP13" i="4"/>
  <c r="C14" i="4"/>
  <c r="D14" i="4"/>
  <c r="E14" i="4"/>
  <c r="F14" i="4"/>
  <c r="G14" i="4"/>
  <c r="H14" i="4"/>
  <c r="I14" i="4"/>
  <c r="J14" i="4"/>
  <c r="K14" i="4"/>
  <c r="L14" i="4"/>
  <c r="N14" i="4"/>
  <c r="O14" i="4"/>
  <c r="P14" i="4"/>
  <c r="Q14" i="4"/>
  <c r="R14" i="4"/>
  <c r="S14" i="4"/>
  <c r="T14" i="4"/>
  <c r="U14" i="4"/>
  <c r="V14" i="4"/>
  <c r="W14" i="4"/>
  <c r="X14" i="4"/>
  <c r="Y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C16" i="4"/>
  <c r="D16" i="4"/>
  <c r="E16" i="4"/>
  <c r="F16" i="4"/>
  <c r="H16" i="4"/>
  <c r="I16" i="4"/>
  <c r="J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D17" i="4"/>
  <c r="AE17" i="4"/>
  <c r="AF17" i="4"/>
  <c r="AG17" i="4"/>
  <c r="AH17" i="4"/>
  <c r="AI17" i="4"/>
  <c r="AJ17" i="4"/>
  <c r="AK17" i="4"/>
  <c r="AL17" i="4"/>
  <c r="AN17" i="4"/>
  <c r="AP17" i="4"/>
  <c r="D18" i="4"/>
  <c r="E18" i="4"/>
  <c r="F18" i="4"/>
  <c r="G18" i="4"/>
  <c r="H18" i="4"/>
  <c r="I18" i="4"/>
  <c r="J18" i="4"/>
  <c r="K18" i="4"/>
  <c r="L18" i="4"/>
  <c r="M18" i="4"/>
  <c r="N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C20" i="4"/>
  <c r="D20" i="4"/>
  <c r="E20" i="4"/>
  <c r="F20" i="4"/>
  <c r="H20" i="4"/>
  <c r="I20" i="4"/>
  <c r="J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F20" i="4"/>
  <c r="AH20" i="4"/>
  <c r="AI20" i="4"/>
  <c r="AJ20" i="4"/>
  <c r="AK20" i="4"/>
  <c r="AL20" i="4"/>
  <c r="AM20" i="4"/>
  <c r="AN20" i="4"/>
  <c r="AO20" i="4"/>
  <c r="AP20" i="4"/>
  <c r="C21" i="4"/>
  <c r="D21" i="4"/>
  <c r="E21" i="4"/>
  <c r="G21" i="4"/>
  <c r="H21" i="4"/>
  <c r="I21" i="4"/>
  <c r="J21" i="4"/>
  <c r="K21" i="4"/>
  <c r="L21" i="4"/>
  <c r="M21" i="4"/>
  <c r="N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F21" i="4"/>
  <c r="AG21" i="4"/>
  <c r="AH21" i="4"/>
  <c r="AI21" i="4"/>
  <c r="AJ21" i="4"/>
  <c r="AK21" i="4"/>
  <c r="AL21" i="4"/>
  <c r="AM21" i="4"/>
  <c r="AN21" i="4"/>
  <c r="AO21" i="4"/>
  <c r="AP21" i="4"/>
  <c r="C22" i="4"/>
  <c r="D22" i="4"/>
  <c r="E22" i="4"/>
  <c r="F22" i="4"/>
  <c r="G22" i="4"/>
  <c r="H22" i="4"/>
  <c r="I22" i="4"/>
  <c r="J22" i="4"/>
  <c r="K22" i="4"/>
  <c r="L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V25" i="4"/>
  <c r="X25" i="4"/>
  <c r="Y25" i="4"/>
  <c r="Z25" i="4"/>
  <c r="AA25" i="4"/>
  <c r="AB25" i="4"/>
  <c r="AC25" i="4"/>
  <c r="AD25" i="4"/>
  <c r="AF25" i="4"/>
  <c r="AG25" i="4"/>
  <c r="AH25" i="4"/>
  <c r="AI25" i="4"/>
  <c r="AJ25" i="4"/>
  <c r="AK25" i="4"/>
  <c r="AL25" i="4"/>
  <c r="AM25" i="4"/>
  <c r="AN25" i="4"/>
  <c r="AO25" i="4"/>
  <c r="AP25" i="4"/>
  <c r="AP22" i="2"/>
  <c r="AH29" i="2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N20" i="2"/>
  <c r="AB23" i="2"/>
  <c r="AN19" i="2"/>
  <c r="K24" i="2"/>
  <c r="V24" i="2"/>
  <c r="AH19" i="2"/>
  <c r="U24" i="2"/>
  <c r="AH21" i="2"/>
  <c r="AI21" i="2"/>
  <c r="C21" i="2"/>
  <c r="P22" i="2"/>
  <c r="S19" i="2"/>
  <c r="I28" i="2"/>
  <c r="AD29" i="2"/>
  <c r="L20" i="2"/>
  <c r="D20" i="2"/>
  <c r="AK20" i="2"/>
  <c r="AI8" i="2"/>
  <c r="AA10" i="2"/>
  <c r="S17" i="2"/>
  <c r="AE21" i="2"/>
  <c r="AM19" i="2"/>
  <c r="G24" i="2"/>
  <c r="K28" i="2"/>
  <c r="D7" i="2"/>
  <c r="AJ8" i="2"/>
  <c r="D10" i="2"/>
  <c r="L13" i="2"/>
  <c r="AF17" i="2"/>
  <c r="L23" i="2"/>
  <c r="AF21" i="2"/>
  <c r="T29" i="2"/>
  <c r="AF24" i="2"/>
  <c r="I17" i="2"/>
  <c r="I9" i="2"/>
  <c r="AC7" i="2"/>
  <c r="AC19" i="2"/>
  <c r="Q22" i="2"/>
  <c r="AK23" i="2"/>
  <c r="Q27" i="2"/>
  <c r="I29" i="2"/>
  <c r="AD19" i="2"/>
  <c r="AL8" i="2"/>
  <c r="R10" i="2"/>
  <c r="R7" i="2"/>
  <c r="AL13" i="2"/>
  <c r="V21" i="2"/>
  <c r="AA8" i="2"/>
  <c r="AI9" i="2"/>
  <c r="AH24" i="2"/>
  <c r="O20" i="2"/>
  <c r="W21" i="2"/>
  <c r="AI17" i="2"/>
  <c r="O13" i="2"/>
  <c r="K29" i="2"/>
  <c r="C23" i="2"/>
  <c r="AE27" i="2"/>
  <c r="H7" i="2"/>
  <c r="W24" i="2"/>
  <c r="H10" i="2"/>
  <c r="P8" i="2"/>
  <c r="L9" i="2"/>
  <c r="P13" i="2"/>
  <c r="D13" i="2"/>
  <c r="L17" i="2"/>
  <c r="X17" i="2"/>
  <c r="AJ17" i="2"/>
  <c r="H19" i="2"/>
  <c r="T19" i="2"/>
  <c r="AF19" i="2"/>
  <c r="O22" i="2"/>
  <c r="P20" i="2"/>
  <c r="AB20" i="2"/>
  <c r="X24" i="2"/>
  <c r="H22" i="2"/>
  <c r="L21" i="2"/>
  <c r="X21" i="2"/>
  <c r="T22" i="2"/>
  <c r="AJ21" i="2"/>
  <c r="AF22" i="2"/>
  <c r="P23" i="2"/>
  <c r="D23" i="2"/>
  <c r="AN23" i="2"/>
  <c r="AJ24" i="2"/>
  <c r="L24" i="2"/>
  <c r="H27" i="2"/>
  <c r="T27" i="2"/>
  <c r="AF27" i="2"/>
  <c r="P28" i="2"/>
  <c r="D28" i="2"/>
  <c r="L29" i="2"/>
  <c r="AN28" i="2"/>
  <c r="AB28" i="2"/>
  <c r="X29" i="2"/>
  <c r="AJ29" i="2"/>
  <c r="O7" i="2"/>
  <c r="AE9" i="2"/>
  <c r="G17" i="2"/>
  <c r="X9" i="2"/>
  <c r="W20" i="2"/>
  <c r="AE24" i="2"/>
  <c r="AM22" i="2"/>
  <c r="W28" i="2"/>
  <c r="L8" i="2"/>
  <c r="P10" i="2"/>
  <c r="H17" i="2"/>
  <c r="D22" i="2"/>
  <c r="X23" i="2"/>
  <c r="Z20" i="2"/>
  <c r="D27" i="2"/>
  <c r="AO7" i="2"/>
  <c r="H29" i="2"/>
  <c r="Q19" i="2"/>
  <c r="U21" i="2"/>
  <c r="U9" i="2"/>
  <c r="E27" i="2"/>
  <c r="M13" i="2"/>
  <c r="U29" i="2"/>
  <c r="N8" i="2"/>
  <c r="Y23" i="2"/>
  <c r="AH17" i="2"/>
  <c r="AH9" i="2"/>
  <c r="N13" i="2"/>
  <c r="AP19" i="2"/>
  <c r="N23" i="2"/>
  <c r="J24" i="2"/>
  <c r="F22" i="2"/>
  <c r="R27" i="2"/>
  <c r="N28" i="2"/>
  <c r="S10" i="2"/>
  <c r="S27" i="2"/>
  <c r="T10" i="2"/>
  <c r="C8" i="2"/>
  <c r="AB8" i="2"/>
  <c r="K9" i="2"/>
  <c r="V29" i="2"/>
  <c r="AM13" i="2"/>
  <c r="K21" i="2"/>
  <c r="AE19" i="2"/>
  <c r="AE22" i="2"/>
  <c r="O28" i="2"/>
  <c r="AI29" i="2"/>
  <c r="AF7" i="2"/>
  <c r="I7" i="2"/>
  <c r="T9" i="2"/>
  <c r="AB13" i="2"/>
  <c r="U7" i="2"/>
  <c r="AG7" i="2"/>
  <c r="E8" i="2"/>
  <c r="Y9" i="2"/>
  <c r="M9" i="2"/>
  <c r="Q8" i="2"/>
  <c r="AC8" i="2"/>
  <c r="AK9" i="2"/>
  <c r="AO8" i="2"/>
  <c r="I10" i="2"/>
  <c r="Q13" i="2"/>
  <c r="E13" i="2"/>
  <c r="AO13" i="2"/>
  <c r="U10" i="2"/>
  <c r="AG10" i="2"/>
  <c r="AC13" i="2"/>
  <c r="M17" i="2"/>
  <c r="Y17" i="2"/>
  <c r="I19" i="2"/>
  <c r="AK17" i="2"/>
  <c r="AG19" i="2"/>
  <c r="U19" i="2"/>
  <c r="E20" i="2"/>
  <c r="AK21" i="2"/>
  <c r="M24" i="2"/>
  <c r="AC20" i="2"/>
  <c r="Q20" i="2"/>
  <c r="AO20" i="2"/>
  <c r="M21" i="2"/>
  <c r="Y21" i="2"/>
  <c r="I22" i="2"/>
  <c r="AO23" i="2"/>
  <c r="U22" i="2"/>
  <c r="Q23" i="2"/>
  <c r="AG22" i="2"/>
  <c r="E23" i="2"/>
  <c r="Y24" i="2"/>
  <c r="AC23" i="2"/>
  <c r="I27" i="2"/>
  <c r="AK24" i="2"/>
  <c r="AK29" i="2"/>
  <c r="Q28" i="2"/>
  <c r="U27" i="2"/>
  <c r="E28" i="2"/>
  <c r="AG27" i="2"/>
  <c r="AC28" i="2"/>
  <c r="AO28" i="2"/>
  <c r="M29" i="2"/>
  <c r="Y29" i="2"/>
  <c r="K13" i="2"/>
  <c r="K8" i="2"/>
  <c r="C7" i="2"/>
  <c r="S9" i="2"/>
  <c r="S29" i="2"/>
  <c r="C19" i="2"/>
  <c r="G21" i="2"/>
  <c r="K23" i="2"/>
  <c r="C27" i="2"/>
  <c r="AN22" i="2"/>
  <c r="AN7" i="2"/>
  <c r="T17" i="2"/>
  <c r="AN10" i="2"/>
  <c r="P19" i="2"/>
  <c r="X20" i="2"/>
  <c r="T21" i="2"/>
  <c r="AN27" i="2"/>
  <c r="AJ28" i="2"/>
  <c r="T24" i="2"/>
  <c r="AG9" i="2"/>
  <c r="Q7" i="2"/>
  <c r="M8" i="2"/>
  <c r="AC10" i="2"/>
  <c r="E22" i="2"/>
  <c r="Y20" i="2"/>
  <c r="I24" i="2"/>
  <c r="E19" i="2"/>
  <c r="Y13" i="2"/>
  <c r="AO22" i="2"/>
  <c r="AC27" i="2"/>
  <c r="AG29" i="2"/>
  <c r="AP7" i="2"/>
  <c r="V9" i="2"/>
  <c r="AD22" i="2"/>
  <c r="N9" i="2"/>
  <c r="AP10" i="2"/>
  <c r="J17" i="2"/>
  <c r="F19" i="2"/>
  <c r="AP27" i="2"/>
  <c r="Z28" i="2"/>
  <c r="AL20" i="2"/>
  <c r="G7" i="2"/>
  <c r="O8" i="2"/>
  <c r="G10" i="2"/>
  <c r="AA13" i="2"/>
  <c r="G19" i="2"/>
  <c r="S22" i="2"/>
  <c r="AM20" i="2"/>
  <c r="K17" i="2"/>
  <c r="AI24" i="2"/>
  <c r="AA23" i="2"/>
  <c r="C28" i="2"/>
  <c r="W29" i="2"/>
  <c r="T7" i="2"/>
  <c r="D8" i="2"/>
  <c r="AN8" i="2"/>
  <c r="AJ9" i="2"/>
  <c r="AF10" i="2"/>
  <c r="AD8" i="2"/>
  <c r="AH10" i="2"/>
  <c r="AD13" i="2"/>
  <c r="AH27" i="2"/>
  <c r="J7" i="2"/>
  <c r="AH7" i="2"/>
  <c r="R8" i="2"/>
  <c r="AN13" i="2"/>
  <c r="AP8" i="2"/>
  <c r="AL9" i="2"/>
  <c r="F8" i="2"/>
  <c r="V7" i="2"/>
  <c r="R13" i="2"/>
  <c r="Z9" i="2"/>
  <c r="V10" i="2"/>
  <c r="J10" i="2"/>
  <c r="F13" i="2"/>
  <c r="AP13" i="2"/>
  <c r="N17" i="2"/>
  <c r="Z17" i="2"/>
  <c r="J19" i="2"/>
  <c r="AL17" i="2"/>
  <c r="F20" i="2"/>
  <c r="V19" i="2"/>
  <c r="E10" i="2"/>
  <c r="R20" i="2"/>
  <c r="AD20" i="2"/>
  <c r="V27" i="2"/>
  <c r="Z21" i="2"/>
  <c r="N21" i="2"/>
  <c r="AL21" i="2"/>
  <c r="AP20" i="2"/>
  <c r="J22" i="2"/>
  <c r="V22" i="2"/>
  <c r="F23" i="2"/>
  <c r="AH22" i="2"/>
  <c r="R23" i="2"/>
  <c r="AD23" i="2"/>
  <c r="Z24" i="2"/>
  <c r="AP23" i="2"/>
  <c r="N24" i="2"/>
  <c r="AL24" i="2"/>
  <c r="J27" i="2"/>
  <c r="AL29" i="2"/>
  <c r="F28" i="2"/>
  <c r="AD10" i="2"/>
  <c r="R28" i="2"/>
  <c r="N29" i="2"/>
  <c r="AP28" i="2"/>
  <c r="AA7" i="2"/>
  <c r="AD28" i="2"/>
  <c r="G9" i="2"/>
  <c r="AM10" i="2"/>
  <c r="Z29" i="2"/>
  <c r="G29" i="2"/>
  <c r="K20" i="2"/>
  <c r="AE17" i="2"/>
  <c r="S24" i="2"/>
  <c r="AM27" i="2"/>
  <c r="AA22" i="2"/>
  <c r="AF9" i="2"/>
  <c r="X8" i="2"/>
  <c r="AJ13" i="2"/>
  <c r="H21" i="2"/>
  <c r="AB19" i="2"/>
  <c r="Y8" i="2"/>
  <c r="AJ23" i="2"/>
  <c r="L28" i="2"/>
  <c r="AF29" i="2"/>
  <c r="AB22" i="2"/>
  <c r="AO10" i="2"/>
  <c r="P27" i="2"/>
  <c r="U17" i="2"/>
  <c r="I21" i="2"/>
  <c r="M20" i="2"/>
  <c r="M28" i="2"/>
  <c r="AC22" i="2"/>
  <c r="AK28" i="2"/>
  <c r="J9" i="2"/>
  <c r="V17" i="2"/>
  <c r="AD7" i="2"/>
  <c r="N20" i="2"/>
  <c r="AL23" i="2"/>
  <c r="AD27" i="2"/>
  <c r="J29" i="2"/>
  <c r="AE7" i="2"/>
  <c r="AE10" i="2"/>
  <c r="W17" i="2"/>
  <c r="C9" i="2"/>
  <c r="AA28" i="2"/>
  <c r="W9" i="2"/>
  <c r="S8" i="2"/>
  <c r="AM23" i="2"/>
  <c r="C20" i="2"/>
  <c r="AI7" i="2"/>
  <c r="K7" i="2"/>
  <c r="AA9" i="2"/>
  <c r="K10" i="2"/>
  <c r="AI10" i="2"/>
  <c r="S13" i="2"/>
  <c r="AE13" i="2"/>
  <c r="C17" i="2"/>
  <c r="O17" i="2"/>
  <c r="AM17" i="2"/>
  <c r="K19" i="2"/>
  <c r="W19" i="2"/>
  <c r="AI19" i="2"/>
  <c r="AA17" i="2"/>
  <c r="S20" i="2"/>
  <c r="G20" i="2"/>
  <c r="AE20" i="2"/>
  <c r="O21" i="2"/>
  <c r="AA21" i="2"/>
  <c r="K22" i="2"/>
  <c r="AM21" i="2"/>
  <c r="S23" i="2"/>
  <c r="W22" i="2"/>
  <c r="C24" i="2"/>
  <c r="C29" i="2"/>
  <c r="AI22" i="2"/>
  <c r="AE23" i="2"/>
  <c r="G23" i="2"/>
  <c r="AA24" i="2"/>
  <c r="O24" i="2"/>
  <c r="AM24" i="2"/>
  <c r="G28" i="2"/>
  <c r="AI27" i="2"/>
  <c r="K27" i="2"/>
  <c r="S28" i="2"/>
  <c r="W27" i="2"/>
  <c r="O29" i="2"/>
  <c r="AE28" i="2"/>
  <c r="O23" i="2"/>
  <c r="AM29" i="2"/>
  <c r="AA29" i="2"/>
  <c r="W8" i="2"/>
  <c r="O10" i="2"/>
  <c r="AI13" i="2"/>
  <c r="AB10" i="2"/>
  <c r="AA19" i="2"/>
  <c r="S21" i="2"/>
  <c r="P7" i="2"/>
  <c r="AI28" i="2"/>
  <c r="W23" i="2"/>
  <c r="O27" i="2"/>
  <c r="AJ20" i="2"/>
  <c r="X13" i="2"/>
  <c r="D19" i="2"/>
  <c r="H24" i="2"/>
  <c r="H9" i="2"/>
  <c r="AB27" i="2"/>
  <c r="AK13" i="2"/>
  <c r="X28" i="2"/>
  <c r="E7" i="2"/>
  <c r="AG17" i="2"/>
  <c r="AK8" i="2"/>
  <c r="Q10" i="2"/>
  <c r="AM28" i="2"/>
  <c r="AG21" i="2"/>
  <c r="AO27" i="2"/>
  <c r="AO19" i="2"/>
  <c r="M23" i="2"/>
  <c r="AG24" i="2"/>
  <c r="Y28" i="2"/>
  <c r="F7" i="2"/>
  <c r="Z8" i="2"/>
  <c r="J21" i="2"/>
  <c r="F10" i="2"/>
  <c r="R19" i="2"/>
  <c r="Z13" i="2"/>
  <c r="R22" i="2"/>
  <c r="G8" i="2"/>
  <c r="Z23" i="2"/>
  <c r="F27" i="2"/>
  <c r="S7" i="2"/>
  <c r="AL28" i="2"/>
  <c r="C13" i="2"/>
  <c r="AM8" i="2"/>
  <c r="AA20" i="2"/>
  <c r="G22" i="2"/>
  <c r="Y7" i="2"/>
  <c r="G27" i="2"/>
  <c r="P9" i="2"/>
  <c r="AF23" i="2"/>
  <c r="AG13" i="2"/>
  <c r="O9" i="2"/>
  <c r="AE8" i="2"/>
  <c r="W7" i="2"/>
  <c r="AP24" i="2"/>
  <c r="R9" i="2"/>
  <c r="AD21" i="2"/>
  <c r="AM9" i="2"/>
  <c r="W10" i="2"/>
  <c r="G13" i="2"/>
  <c r="L7" i="2"/>
  <c r="H8" i="2"/>
  <c r="AJ7" i="2"/>
  <c r="X7" i="2"/>
  <c r="T8" i="2"/>
  <c r="AF8" i="2"/>
  <c r="AJ10" i="2"/>
  <c r="X10" i="2"/>
  <c r="D9" i="2"/>
  <c r="H13" i="2"/>
  <c r="L10" i="2"/>
  <c r="AF13" i="2"/>
  <c r="AN9" i="2"/>
  <c r="AB9" i="2"/>
  <c r="D17" i="2"/>
  <c r="T13" i="2"/>
  <c r="AN17" i="2"/>
  <c r="P17" i="2"/>
  <c r="AB17" i="2"/>
  <c r="L19" i="2"/>
  <c r="X19" i="2"/>
  <c r="AJ19" i="2"/>
  <c r="H20" i="2"/>
  <c r="AF20" i="2"/>
  <c r="T20" i="2"/>
  <c r="P21" i="2"/>
  <c r="D21" i="2"/>
  <c r="AB21" i="2"/>
  <c r="T23" i="2"/>
  <c r="L22" i="2"/>
  <c r="AN21" i="2"/>
  <c r="D24" i="2"/>
  <c r="X22" i="2"/>
  <c r="AJ27" i="2"/>
  <c r="X27" i="2"/>
  <c r="AJ22" i="2"/>
  <c r="AB24" i="2"/>
  <c r="H23" i="2"/>
  <c r="P24" i="2"/>
  <c r="AN24" i="2"/>
  <c r="L27" i="2"/>
  <c r="AF28" i="2"/>
  <c r="H28" i="2"/>
  <c r="T28" i="2"/>
  <c r="D29" i="2"/>
  <c r="P29" i="2"/>
  <c r="AB29" i="2"/>
  <c r="AN29" i="2"/>
  <c r="C10" i="2"/>
  <c r="W13" i="2"/>
  <c r="AM7" i="2"/>
  <c r="O19" i="2"/>
  <c r="AO29" i="2"/>
  <c r="AI23" i="2"/>
  <c r="AE29" i="2"/>
  <c r="AK7" i="2"/>
  <c r="AB7" i="2"/>
  <c r="M7" i="2"/>
  <c r="AI20" i="2"/>
  <c r="C22" i="2"/>
  <c r="AG8" i="2"/>
  <c r="E9" i="2"/>
  <c r="AA27" i="2"/>
  <c r="I8" i="2"/>
  <c r="AC9" i="2"/>
  <c r="U8" i="2"/>
  <c r="Q9" i="2"/>
  <c r="AO9" i="2"/>
  <c r="M10" i="2"/>
  <c r="Y10" i="2"/>
  <c r="AK10" i="2"/>
  <c r="I13" i="2"/>
  <c r="U13" i="2"/>
  <c r="AO17" i="2"/>
  <c r="E17" i="2"/>
  <c r="M19" i="2"/>
  <c r="AK19" i="2"/>
  <c r="Q17" i="2"/>
  <c r="AO21" i="2"/>
  <c r="M22" i="2"/>
  <c r="U20" i="2"/>
  <c r="I20" i="2"/>
  <c r="AC21" i="2"/>
  <c r="AC17" i="2"/>
  <c r="I23" i="2"/>
  <c r="Y22" i="2"/>
  <c r="AK22" i="2"/>
  <c r="Q21" i="2"/>
  <c r="E21" i="2"/>
  <c r="AG20" i="2"/>
  <c r="Y19" i="2"/>
  <c r="U23" i="2"/>
  <c r="E24" i="2"/>
  <c r="Q24" i="2"/>
  <c r="AG23" i="2"/>
  <c r="AK27" i="2"/>
  <c r="AO24" i="2"/>
  <c r="Z10" i="2"/>
  <c r="M27" i="2"/>
  <c r="AC24" i="2"/>
  <c r="Q29" i="2"/>
  <c r="AP9" i="2"/>
  <c r="Z7" i="2"/>
  <c r="AG28" i="2"/>
  <c r="Y27" i="2"/>
  <c r="AL7" i="2"/>
  <c r="E29" i="2"/>
  <c r="J8" i="2"/>
  <c r="N7" i="2"/>
  <c r="U28" i="2"/>
  <c r="AH8" i="2"/>
  <c r="AD9" i="2"/>
  <c r="AC29" i="2"/>
  <c r="F9" i="2"/>
  <c r="F17" i="2"/>
  <c r="AL10" i="2"/>
  <c r="AH13" i="2"/>
  <c r="V8" i="2"/>
  <c r="N10" i="2"/>
  <c r="V13" i="2"/>
  <c r="J13" i="2"/>
  <c r="R17" i="2"/>
  <c r="V23" i="2"/>
  <c r="F21" i="2"/>
  <c r="N19" i="2"/>
  <c r="AL22" i="2"/>
  <c r="Z22" i="2"/>
  <c r="N22" i="2"/>
  <c r="AL19" i="2"/>
  <c r="AH23" i="2"/>
  <c r="AL27" i="2"/>
  <c r="N27" i="2"/>
  <c r="V20" i="2"/>
  <c r="AD17" i="2"/>
  <c r="AP29" i="2"/>
  <c r="F24" i="2"/>
  <c r="AH20" i="2"/>
  <c r="Z19" i="2"/>
  <c r="J28" i="2"/>
  <c r="F29" i="2"/>
  <c r="R21" i="2"/>
  <c r="AP17" i="2"/>
  <c r="V28" i="2"/>
  <c r="R24" i="2"/>
  <c r="Z27" i="2"/>
  <c r="J20" i="2"/>
  <c r="AH28" i="2"/>
  <c r="J23" i="2"/>
  <c r="AP21" i="2"/>
  <c r="R29" i="2"/>
  <c r="AD24" i="2"/>
</calcChain>
</file>

<file path=xl/sharedStrings.xml><?xml version="1.0" encoding="utf-8"?>
<sst xmlns="http://schemas.openxmlformats.org/spreadsheetml/2006/main" count="644" uniqueCount="195">
  <si>
    <t>Right click to show data transparency (not supported for all values)</t>
  </si>
  <si>
    <t>Apple Inc (AAPL US) - Profitability</t>
  </si>
  <si>
    <t>In Millions of USD except Per Share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</si>
  <si>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</si>
  <si>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</si>
  <si>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</si>
  <si>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</si>
  <si>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</si>
  <si>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</si>
  <si>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</si>
  <si>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</si>
  <si>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</si>
  <si>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</si>
  <si>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</si>
  <si>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</si>
  <si>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</si>
  <si>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</si>
  <si>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</si>
  <si>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</si>
  <si>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</si>
  <si>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</si>
  <si>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</si>
  <si>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</si>
  <si>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</si>
  <si>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</si>
  <si>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</si>
  <si>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</si>
  <si>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</si>
  <si>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</si>
  <si>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</si>
  <si>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</si>
  <si>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</si>
  <si>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</si>
  <si>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</si>
  <si>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</si>
  <si>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</si>
  <si>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</si>
  <si>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</si>
  <si>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</si>
  <si>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</si>
  <si>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</si>
  <si>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</si>
  <si>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</si>
  <si>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3 Months Ending</t>
  </si>
  <si>
    <t>06/25/2011</t>
  </si>
  <si>
    <t>09/24/2011</t>
  </si>
  <si>
    <t>12/31/2011</t>
  </si>
  <si>
    <t>03/31/2012</t>
  </si>
  <si>
    <t>06/30/2012</t>
  </si>
  <si>
    <t>09/29/2012</t>
  </si>
  <si>
    <t>12/29/2012</t>
  </si>
  <si>
    <t>03/30/2013</t>
  </si>
  <si>
    <t>06/29/2013</t>
  </si>
  <si>
    <t>09/28/2013</t>
  </si>
  <si>
    <t>12/28/2013</t>
  </si>
  <si>
    <t>03/29/2014</t>
  </si>
  <si>
    <t>06/28/2014</t>
  </si>
  <si>
    <t>09/27/2014</t>
  </si>
  <si>
    <t>12/27/2014</t>
  </si>
  <si>
    <t>03/28/2015</t>
  </si>
  <si>
    <t>06/27/2015</t>
  </si>
  <si>
    <t>09/26/2015</t>
  </si>
  <si>
    <t>12/26/2015</t>
  </si>
  <si>
    <t>03/26/2016</t>
  </si>
  <si>
    <t>06/25/2016</t>
  </si>
  <si>
    <t>09/24/2016</t>
  </si>
  <si>
    <t>12/31/2016</t>
  </si>
  <si>
    <t>04/01/2017</t>
  </si>
  <si>
    <t>07/01/2017</t>
  </si>
  <si>
    <t>09/30/2017</t>
  </si>
  <si>
    <t>12/30/2017</t>
  </si>
  <si>
    <t>03/31/2018</t>
  </si>
  <si>
    <t>06/30/2018</t>
  </si>
  <si>
    <t>09/29/2018</t>
  </si>
  <si>
    <t>12/29/2018</t>
  </si>
  <si>
    <t>03/30/2019</t>
  </si>
  <si>
    <t>06/29/2019</t>
  </si>
  <si>
    <t>09/28/2019</t>
  </si>
  <si>
    <t>12/28/2019</t>
  </si>
  <si>
    <t>03/28/2020</t>
  </si>
  <si>
    <t>06/27/2020</t>
  </si>
  <si>
    <t>09/26/2020</t>
  </si>
  <si>
    <t>12/26/2020</t>
  </si>
  <si>
    <t>03/27/2021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</si>
  <si>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</si>
  <si>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</si>
  <si>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</si>
  <si>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</si>
  <si>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</si>
  <si>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</si>
  <si>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</si>
  <si>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</si>
  <si>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</si>
  <si>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</si>
  <si>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</si>
  <si>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</si>
  <si>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 xml:space="preserve">  Product/Brand Segments</t>
  </si>
  <si>
    <t>—</t>
  </si>
  <si>
    <t xml:space="preserve">    Services</t>
  </si>
  <si>
    <t xml:space="preserve">    Products</t>
  </si>
  <si>
    <t>EBITDA Margin</t>
  </si>
  <si>
    <t>EBITDA_TO_REVENUE</t>
  </si>
  <si>
    <t xml:space="preserve">    Growth (YoY)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</si>
  <si>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</si>
  <si>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</si>
  <si>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</si>
  <si>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</si>
  <si>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</si>
  <si>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</si>
  <si>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</si>
  <si>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</si>
  <si>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</si>
  <si>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</si>
  <si>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</si>
  <si>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</si>
  <si>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</si>
  <si>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</si>
  <si>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</si>
  <si>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</si>
  <si>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</si>
  <si>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</si>
  <si>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</si>
  <si>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</si>
  <si>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Period ending</t>
  </si>
  <si>
    <t>CQ2 2021</t>
  </si>
  <si>
    <t>CQ1 2021</t>
  </si>
  <si>
    <t>CQ4 2020</t>
  </si>
  <si>
    <t>CQ3 2020</t>
  </si>
  <si>
    <t>CQ2 2020</t>
  </si>
  <si>
    <t>CQ1 2020</t>
  </si>
  <si>
    <t>CQ4 2019</t>
  </si>
  <si>
    <t>CQ3 2019</t>
  </si>
  <si>
    <t>CQ2 2019</t>
  </si>
  <si>
    <t>CQ1 2019</t>
  </si>
  <si>
    <t>CQ4 2018</t>
  </si>
  <si>
    <t>CQ3 2018</t>
  </si>
  <si>
    <t>CQ2 2018</t>
  </si>
  <si>
    <t>CQ1 2018</t>
  </si>
  <si>
    <t>CQ4 2017</t>
  </si>
  <si>
    <t>CQ3 2017</t>
  </si>
  <si>
    <t>CQ2 2017</t>
  </si>
  <si>
    <t>CQ1 2017</t>
  </si>
  <si>
    <t>CQ4 2016</t>
  </si>
  <si>
    <t>CQ3 2016</t>
  </si>
  <si>
    <t>CQ2 2016</t>
  </si>
  <si>
    <t>CQ1 2016</t>
  </si>
  <si>
    <t>CQ4 2015</t>
  </si>
  <si>
    <t>CQ3 2015</t>
  </si>
  <si>
    <t>CQ2 2015</t>
  </si>
  <si>
    <t>CQ1 2015</t>
  </si>
  <si>
    <t>CQ4 2014</t>
  </si>
  <si>
    <t>CQ3 2014</t>
  </si>
  <si>
    <t>CQ2 2014</t>
  </si>
  <si>
    <t>CQ1 2014</t>
  </si>
  <si>
    <t>CQ4 2013</t>
  </si>
  <si>
    <t>CQ3 2013</t>
  </si>
  <si>
    <t>CQ2 2013</t>
  </si>
  <si>
    <t>CQ1 2013</t>
  </si>
  <si>
    <t>CQ4 2012</t>
  </si>
  <si>
    <t>CQ3 2012</t>
  </si>
  <si>
    <t>CQ2 2012</t>
  </si>
  <si>
    <t>CQ1 2012</t>
  </si>
  <si>
    <t>CQ4 2011</t>
  </si>
  <si>
    <t>CQ3 2011</t>
  </si>
  <si>
    <t>BS_TOT_COM_PAPER_ISSUED</t>
  </si>
  <si>
    <t>Total Commercial Paper Outstanding</t>
  </si>
  <si>
    <t>ALTMAN_Z_SCORE</t>
  </si>
  <si>
    <t>Altman's Z-Score</t>
  </si>
  <si>
    <t>CAP_EXPEND_RATIO</t>
  </si>
  <si>
    <t>CFO/CapEx</t>
  </si>
  <si>
    <t>CASH_FLOW_TO_TOT_LIAB</t>
  </si>
  <si>
    <t>CFO/Total Liabilities</t>
  </si>
  <si>
    <t>TOT_DEBT_TO_TOT_ASSET</t>
  </si>
  <si>
    <t>Total Debt/Total Assets</t>
  </si>
  <si>
    <t>TOT_DEBT_TO_TOT_CAP</t>
  </si>
  <si>
    <t>Total Debt/Capital</t>
  </si>
  <si>
    <t>TOT_DEBT_TO_TOT_EQY</t>
  </si>
  <si>
    <t>Total Debt/Equity</t>
  </si>
  <si>
    <t>LT_DEBT_TO_TOT_ASSET</t>
  </si>
  <si>
    <t>Long-Term Debt/Total Assets</t>
  </si>
  <si>
    <t>LT_DEBT_TO_TOT_CAP</t>
  </si>
  <si>
    <t>Long-Term Debt/Capital</t>
  </si>
  <si>
    <t>LT_DEBT_TO_TOT_EQY</t>
  </si>
  <si>
    <t>Long-Term Debt/Equity</t>
  </si>
  <si>
    <t>COM_EQY_TO_TOT_ASSET</t>
  </si>
  <si>
    <t>Common Equity/Total Assets</t>
  </si>
  <si>
    <t>CFO_TO_AVG_CURRENT_LIABILITIES</t>
  </si>
  <si>
    <t>CFO/Avg Current Liab</t>
  </si>
  <si>
    <t>QUICK_RATIO</t>
  </si>
  <si>
    <t>Quick Ratio</t>
  </si>
  <si>
    <t>CUR_RATIO</t>
  </si>
  <si>
    <t>Current Ratio</t>
  </si>
  <si>
    <t>CASH_RATIO</t>
  </si>
  <si>
    <t>Cash Ratio</t>
  </si>
  <si>
    <t>Apple Inc (AAPL US) -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</si>
</sst>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6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4" fontId="8" fillId="34" borderId="2">
      <alignment horizontal="right"/>
    </xf>
    <xf numFmtId="171" fontId="11" fillId="34" borderId="2">
      <alignment horizontal="right"/>
    </xf>
    <xf numFmtId="171" fontId="1" fillId="34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4" fillId="34" borderId="18"/>
    <xf numFmtId="0" fontId="8" fillId="34" borderId="18"/>
    <xf numFmtId="0" fontId="3" fillId="34" borderId="18"/>
  </cellStyleXfs>
  <cellXfs count="25">
    <xf numFmtId="0" fontId="0" fillId="0" borderId="0" xfId="0"/>
    <xf numFmtId="171" fontId="1" fillId="34" borderId="2" xfId="58" applyNumberFormat="1" applyFont="1" applyFill="1" applyBorder="1" applyAlignment="1" applyProtection="1">
      <alignment horizontal="right"/>
    </xf>
    <xf numFmtId="0" fontId="7" fillId="33" borderId="16" xfId="59" applyNumberFormat="1" applyFont="1" applyFill="1" applyBorder="1" applyAlignment="1" applyProtection="1">
      <alignment horizontal="left"/>
    </xf>
    <xf numFmtId="0" fontId="7" fillId="33" borderId="16" xfId="60" applyNumberFormat="1" applyFont="1" applyFill="1" applyBorder="1" applyAlignment="1" applyProtection="1">
      <alignment horizontal="right"/>
    </xf>
    <xf numFmtId="0" fontId="7" fillId="33" borderId="17" xfId="61">
      <alignment horizontal="left"/>
    </xf>
    <xf numFmtId="0" fontId="7" fillId="33" borderId="17" xfId="62" applyNumberFormat="1" applyFont="1" applyFill="1" applyBorder="1" applyAlignment="1" applyProtection="1">
      <alignment horizontal="right"/>
    </xf>
    <xf numFmtId="0" fontId="4" fillId="34" borderId="18" xfId="63" applyNumberFormat="1" applyFont="1" applyFill="1" applyBorder="1" applyAlignment="1" applyProtection="1"/>
    <xf numFmtId="0" fontId="8" fillId="34" borderId="18" xfId="64" applyNumberFormat="1" applyFont="1" applyFill="1" applyBorder="1" applyAlignment="1" applyProtection="1"/>
    <xf numFmtId="0" fontId="3" fillId="34" borderId="18" xfId="65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8" fillId="34" borderId="2" xfId="55" applyNumberFormat="1" applyFont="1" applyFill="1" applyBorder="1" applyAlignment="1" applyProtection="1">
      <alignment horizontal="right"/>
    </xf>
    <xf numFmtId="4" fontId="8" fillId="34" borderId="2" xfId="56" applyNumberFormat="1" applyFont="1" applyFill="1" applyBorder="1" applyAlignment="1" applyProtection="1">
      <alignment horizontal="right"/>
    </xf>
    <xf numFmtId="171" fontId="11" fillId="34" borderId="2" xfId="57" applyNumberFormat="1" applyFont="1" applyFill="1" applyBorder="1" applyAlignment="1" applyProtection="1">
      <alignment horizontal="right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 2" xfId="62"/>
    <cellStyle name="fa_column_header_bottom_left" xfId="52"/>
    <cellStyle name="fa_column_header_bottom_left 2" xfId="61"/>
    <cellStyle name="fa_column_header_empty" xfId="31"/>
    <cellStyle name="fa_column_header_top" xfId="32"/>
    <cellStyle name="fa_column_header_top 2" xfId="60"/>
    <cellStyle name="fa_column_header_top_left" xfId="33"/>
    <cellStyle name="fa_column_header_top_left 2" xfId="59"/>
    <cellStyle name="fa_data_bold_0_grouped" xfId="55"/>
    <cellStyle name="fa_data_bold_2_grouped" xfId="56"/>
    <cellStyle name="fa_data_italic_1_grouped" xfId="57"/>
    <cellStyle name="fa_data_standard_0_grouped" xfId="53"/>
    <cellStyle name="fa_data_standard_1_grouped" xfId="58"/>
    <cellStyle name="fa_data_standard_2_grouped" xfId="54"/>
    <cellStyle name="fa_footer_italic" xfId="34"/>
    <cellStyle name="fa_row_header_bold" xfId="35"/>
    <cellStyle name="fa_row_header_bold 2" xfId="64"/>
    <cellStyle name="fa_row_header_italic" xfId="36"/>
    <cellStyle name="fa_row_header_italic 2" xfId="63"/>
    <cellStyle name="fa_row_header_standard" xfId="37"/>
    <cellStyle name="fa_row_header_standard 2" xfId="65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BDP|10354247950625805860</stp>
        <tr r="X16" s="3"/>
      </tp>
      <tp t="s">
        <v>#N/A N/A</v>
        <stp/>
        <stp>BDP|16847342196247181116</stp>
        <tr r="Q9" s="3"/>
      </tp>
      <tp t="s">
        <v>#N/A N/A</v>
        <stp/>
        <stp>BDP|17570586288211398187</stp>
        <tr r="P19" s="3"/>
      </tp>
      <tp t="s">
        <v>#N/A N/A</v>
        <stp/>
        <stp>BDP|16995413284100800054</stp>
        <tr r="V20" s="3"/>
      </tp>
      <tp t="s">
        <v>#N/A N/A</v>
        <stp/>
        <stp>BDP|17639035430047153951</stp>
        <tr r="P15" s="3"/>
      </tp>
      <tp t="s">
        <v>#N/A N/A</v>
        <stp/>
        <stp>BDP|12721826642493534734</stp>
        <tr r="S13" s="3"/>
      </tp>
      <tp t="s">
        <v>#N/A N/A</v>
        <stp/>
        <stp>BDH|11957025569849049433</stp>
        <tr r="L27" s="2"/>
      </tp>
      <tp t="s">
        <v>#N/A N/A</v>
        <stp/>
        <stp>BDH|10489323436973192907</stp>
        <tr r="K18" s="5"/>
        <tr r="K18" s="4"/>
      </tp>
      <tp t="s">
        <v>#N/A N/A</v>
        <stp/>
        <stp>BDH|18211408244047093571</stp>
        <tr r="AA27" s="2"/>
      </tp>
      <tp t="s">
        <v>#N/A N/A</v>
        <stp/>
        <stp>BDH|13303845271650202654</stp>
        <tr r="I23" s="2"/>
      </tp>
      <tp t="s">
        <v>#N/A N/A</v>
        <stp/>
        <stp>BDH|12390804120937194538</stp>
        <tr r="D12" s="5"/>
        <tr r="D12" s="4"/>
      </tp>
      <tp t="s">
        <v>#N/A N/A</v>
        <stp/>
        <stp>BDH|13855257606039835225</stp>
        <tr r="W9" s="5"/>
        <tr r="W9" s="4"/>
      </tp>
      <tp t="s">
        <v>#N/A N/A</v>
        <stp/>
        <stp>BDH|11658970537912066364</stp>
        <tr r="Z21" s="5"/>
        <tr r="Z21" s="4"/>
      </tp>
      <tp t="s">
        <v>#N/A N/A</v>
        <stp/>
        <stp>BDH|13672809354700254402</stp>
        <tr r="AG9" s="5"/>
        <tr r="AG9" s="4"/>
      </tp>
      <tp t="s">
        <v>#N/A N/A</v>
        <stp/>
        <stp>BDH|15989641341685589895</stp>
        <tr r="U18" s="5"/>
        <tr r="U18" s="4"/>
      </tp>
      <tp t="s">
        <v>#N/A N/A</v>
        <stp/>
        <stp>BDH|17002631328871869800</stp>
        <tr r="X17" s="2"/>
      </tp>
      <tp t="s">
        <v>#N/A N/A</v>
        <stp/>
        <stp>BDH|12892619638169778448</stp>
        <tr r="AH10" s="2"/>
      </tp>
      <tp t="s">
        <v>#N/A N/A</v>
        <stp/>
        <stp>BDH|11170991702114071682</stp>
        <tr r="H20" s="5"/>
        <tr r="H20" s="4"/>
      </tp>
      <tp t="s">
        <v>#N/A N/A</v>
        <stp/>
        <stp>BDH|15632142280152012404</stp>
        <tr r="AN14" s="5"/>
        <tr r="AN14" s="4"/>
      </tp>
      <tp t="s">
        <v>#N/A N/A</v>
        <stp/>
        <stp>BDH|13783958150926536321</stp>
        <tr r="AK21" s="2"/>
      </tp>
      <tp t="s">
        <v>#N/A N/A</v>
        <stp/>
        <stp>BDH|10591911635747019743</stp>
        <tr r="C18" s="5"/>
        <tr r="C18" s="4"/>
      </tp>
      <tp t="s">
        <v>#N/A N/A</v>
        <stp/>
        <stp>BDH|10235442882001176701</stp>
        <tr r="I24" s="2"/>
      </tp>
      <tp t="s">
        <v>#N/A N/A</v>
        <stp/>
        <stp>BDH|17631044772019688339</stp>
        <tr r="I22" s="5"/>
        <tr r="I22" s="4"/>
      </tp>
      <tp t="s">
        <v>#N/A N/A</v>
        <stp/>
        <stp>BDH|13642589766418925251</stp>
        <tr r="AJ10" s="2"/>
      </tp>
      <tp t="s">
        <v>#N/A N/A</v>
        <stp/>
        <stp>BDH|18196353653350545457</stp>
        <tr r="AH28" s="2"/>
      </tp>
      <tp t="s">
        <v>#N/A N/A</v>
        <stp/>
        <stp>BDH|10322829206701854388</stp>
        <tr r="AG8" s="2"/>
      </tp>
      <tp t="s">
        <v>#N/A N/A</v>
        <stp/>
        <stp>BDH|13380496898046091251</stp>
        <tr r="Q27" s="2"/>
      </tp>
      <tp t="s">
        <v>#N/A N/A</v>
        <stp/>
        <stp>BDH|16068969860655947692</stp>
        <tr r="E10" s="2"/>
      </tp>
      <tp t="s">
        <v>#N/A N/A</v>
        <stp/>
        <stp>BDH|17851526575416128982</stp>
        <tr r="L22" s="5"/>
        <tr r="L22" s="4"/>
      </tp>
      <tp t="s">
        <v>#N/A N/A</v>
        <stp/>
        <stp>BDH|11661631819144286866</stp>
        <tr r="Z16" s="5"/>
        <tr r="Z16" s="4"/>
      </tp>
      <tp t="s">
        <v>#N/A N/A</v>
        <stp/>
        <stp>BDH|16943777780525384652</stp>
        <tr r="AI25" s="5"/>
        <tr r="AI25" s="4"/>
      </tp>
      <tp t="s">
        <v>#N/A N/A</v>
        <stp/>
        <stp>BDH|13839091614711562982</stp>
        <tr r="C20" s="5"/>
        <tr r="C20" s="4"/>
      </tp>
      <tp t="s">
        <v>#N/A N/A</v>
        <stp/>
        <stp>BDH|12116839655101973468</stp>
        <tr r="P9" s="2"/>
      </tp>
      <tp t="s">
        <v>#N/A N/A</v>
        <stp/>
        <stp>BDH|16900139471132071803</stp>
        <tr r="AE22" s="5"/>
        <tr r="AE22" s="4"/>
      </tp>
      <tp t="s">
        <v>#N/A N/A</v>
        <stp/>
        <stp>BDH|18133491013766504157</stp>
        <tr r="N10" s="2"/>
      </tp>
      <tp t="s">
        <v>#N/A N/A</v>
        <stp/>
        <stp>BDH|11550480721944471921</stp>
        <tr r="AM16" s="5"/>
        <tr r="AM16" s="4"/>
      </tp>
      <tp t="s">
        <v>#N/A N/A</v>
        <stp/>
        <stp>BDH|18182278869142749426</stp>
        <tr r="Y9" s="5"/>
        <tr r="Y9" s="4"/>
      </tp>
      <tp t="s">
        <v>#N/A N/A</v>
        <stp/>
        <stp>BDH|17218102786380635484</stp>
        <tr r="Q19" s="2"/>
      </tp>
      <tp t="s">
        <v>#N/A N/A</v>
        <stp/>
        <stp>BDH|11235450091201812733</stp>
        <tr r="AH13" s="2"/>
      </tp>
      <tp t="s">
        <v>#N/A N/A</v>
        <stp/>
        <stp>BDH|18325164769275452044</stp>
        <tr r="AO6" s="5"/>
        <tr r="AO6" s="4"/>
      </tp>
      <tp t="s">
        <v>#N/A N/A</v>
        <stp/>
        <stp>BDH|11866167191280451344</stp>
        <tr r="AA21" s="2"/>
      </tp>
      <tp t="s">
        <v>#N/A N/A</v>
        <stp/>
        <stp>BDH|16690846921795422390</stp>
        <tr r="AH6" s="5"/>
        <tr r="AH6" s="4"/>
      </tp>
      <tp t="s">
        <v>#N/A N/A</v>
        <stp/>
        <stp>BDH|10657583883821487679</stp>
        <tr r="AK7" s="2"/>
      </tp>
      <tp t="s">
        <v>#N/A N/A</v>
        <stp/>
        <stp>BDP|15248857068749238951</stp>
        <tr r="C13" s="3"/>
      </tp>
      <tp t="s">
        <v>#N/A N/A</v>
        <stp/>
        <stp>BDP|14959107286096113032</stp>
        <tr r="D20" s="3"/>
      </tp>
      <tp t="s">
        <v>#N/A N/A</v>
        <stp/>
        <stp>BDP|15068998322347151278</stp>
        <tr r="G13" s="3"/>
      </tp>
      <tp t="s">
        <v>#N/A N/A</v>
        <stp/>
        <stp>BDP|10201741428256858888</stp>
        <tr r="AC9" s="3"/>
      </tp>
      <tp t="s">
        <v>#N/A N/A</v>
        <stp/>
        <stp>BDP|13309567170072621808</stp>
        <tr r="O20" s="3"/>
      </tp>
      <tp t="s">
        <v>#N/A N/A</v>
        <stp/>
        <stp>BDP|12279418864792179926</stp>
        <tr r="AO15" s="3"/>
      </tp>
      <tp t="s">
        <v>#N/A N/A</v>
        <stp/>
        <stp>BDP|13629884301278043889</stp>
        <tr r="AB16" s="3"/>
      </tp>
      <tp t="s">
        <v>#N/A N/A</v>
        <stp/>
        <stp>BDP|15724729054384671815</stp>
        <tr r="AI19" s="3"/>
      </tp>
      <tp t="s">
        <v>#N/A N/A</v>
        <stp/>
        <stp>BDP|17932705290604739683</stp>
        <tr r="L15" s="3"/>
      </tp>
      <tp t="s">
        <v>#N/A N/A</v>
        <stp/>
        <stp>BDH|14888958814412886504</stp>
        <tr r="R6" s="5"/>
        <tr r="R6" s="4"/>
      </tp>
      <tp t="s">
        <v>#N/A N/A</v>
        <stp/>
        <stp>BDH|17703071901188866488</stp>
        <tr r="K9" s="5"/>
        <tr r="K9" s="4"/>
      </tp>
      <tp t="s">
        <v>#N/A N/A</v>
        <stp/>
        <stp>BDH|15255370107755267817</stp>
        <tr r="AA19" s="2"/>
      </tp>
      <tp t="s">
        <v>#N/A N/A</v>
        <stp/>
        <stp>BDH|15474098655269130296</stp>
        <tr r="AM17" s="5"/>
        <tr r="AM17" s="4"/>
      </tp>
      <tp t="s">
        <v>#N/A N/A</v>
        <stp/>
        <stp>BDH|11518225514941022831</stp>
        <tr r="AH29" s="2"/>
      </tp>
      <tp t="s">
        <v>#N/A N/A</v>
        <stp/>
        <stp>BDH|18099470717497669168</stp>
        <tr r="E8" s="2"/>
      </tp>
      <tp t="s">
        <v>#N/A N/A</v>
        <stp/>
        <stp>BDH|13314162165708325732</stp>
        <tr r="V14" s="5"/>
        <tr r="V14" s="4"/>
      </tp>
      <tp t="s">
        <v>#N/A N/A</v>
        <stp/>
        <stp>BDH|13305761236655341933</stp>
        <tr r="G24" s="2"/>
      </tp>
      <tp t="s">
        <v>#N/A N/A</v>
        <stp/>
        <stp>BDH|16604426428543961863</stp>
        <tr r="K13" s="5"/>
        <tr r="K13" s="4"/>
      </tp>
      <tp t="s">
        <v>#N/A N/A</v>
        <stp/>
        <stp>BDH|17939465934463124889</stp>
        <tr r="AI20" s="2"/>
      </tp>
      <tp t="s">
        <v>#N/A N/A</v>
        <stp/>
        <stp>BDH|18045757247615339539</stp>
        <tr r="P14" s="5"/>
        <tr r="P14" s="4"/>
      </tp>
      <tp t="s">
        <v>#N/A N/A</v>
        <stp/>
        <stp>BDH|16396110903228130429</stp>
        <tr r="Y28" s="2"/>
      </tp>
      <tp t="s">
        <v>#N/A N/A</v>
        <stp/>
        <stp>BDH|11759949739540007089</stp>
        <tr r="AD21" s="2"/>
      </tp>
      <tp t="s">
        <v>#N/A N/A</v>
        <stp/>
        <stp>BDH|18165833090470542253</stp>
        <tr r="AJ7" s="2"/>
      </tp>
      <tp t="s">
        <v>#N/A N/A</v>
        <stp/>
        <stp>BDH|13186923509991808007</stp>
        <tr r="AJ6" s="5"/>
        <tr r="AJ6" s="4"/>
      </tp>
      <tp t="s">
        <v>#N/A N/A</v>
        <stp/>
        <stp>BDH|14765095487277427082</stp>
        <tr r="M20" s="2"/>
      </tp>
      <tp t="s">
        <v>#N/A N/A</v>
        <stp/>
        <stp>BDH|18436025686399627233</stp>
        <tr r="AH18" s="5"/>
        <tr r="AH18" s="4"/>
      </tp>
      <tp t="s">
        <v>#N/A N/A</v>
        <stp/>
        <stp>BDH|12373889416391055196</stp>
        <tr r="AG13" s="2"/>
      </tp>
      <tp t="s">
        <v>#N/A N/A</v>
        <stp/>
        <stp>BDH|13560477837566068929</stp>
        <tr r="S8" s="2"/>
      </tp>
      <tp t="s">
        <v>#N/A N/A</v>
        <stp/>
        <stp>BDH|17841761166565788888</stp>
        <tr r="AC14" s="5"/>
        <tr r="AC14" s="4"/>
      </tp>
      <tp t="s">
        <v>#N/A N/A</v>
        <stp/>
        <stp>BDH|10889540399111644655</stp>
        <tr r="D24" s="2"/>
      </tp>
      <tp t="s">
        <v>#N/A N/A</v>
        <stp/>
        <stp>BDH|16300463582576798762</stp>
        <tr r="I12" s="5"/>
        <tr r="I12" s="4"/>
      </tp>
      <tp t="s">
        <v>#N/A N/A</v>
        <stp/>
        <stp>BDH|11635045482964568635</stp>
        <tr r="AC8" s="2"/>
      </tp>
      <tp t="s">
        <v>#N/A N/A</v>
        <stp/>
        <stp>BDH|17056131263953648805</stp>
        <tr r="G10" s="2"/>
      </tp>
      <tp t="s">
        <v>#N/A N/A</v>
        <stp/>
        <stp>BDH|12527920567661531736</stp>
        <tr r="U27" s="2"/>
      </tp>
      <tp t="s">
        <v>#N/A N/A</v>
        <stp/>
        <stp>BDH|12769833667393375467</stp>
        <tr r="S16" s="5"/>
        <tr r="S16" s="4"/>
      </tp>
      <tp t="s">
        <v>#N/A N/A</v>
        <stp/>
        <stp>BDH|17393045484271134549</stp>
        <tr r="C25" s="5"/>
        <tr r="C25" s="4"/>
      </tp>
      <tp t="s">
        <v>#N/A N/A</v>
        <stp/>
        <stp>BDH|13449203479844446906</stp>
        <tr r="W13" s="2"/>
      </tp>
      <tp t="s">
        <v>#N/A N/A</v>
        <stp/>
        <stp>BDH|13918580298783125707</stp>
        <tr r="X6" s="5"/>
        <tr r="X6" s="4"/>
      </tp>
      <tp t="s">
        <v>#N/A N/A</v>
        <stp/>
        <stp>BDH|10027675921228812766</stp>
        <tr r="L12" s="5"/>
        <tr r="L12" s="4"/>
      </tp>
      <tp t="s">
        <v>#N/A N/A</v>
        <stp/>
        <stp>BDH|11615959925308929978</stp>
        <tr r="AK6" s="5"/>
        <tr r="AK6" s="4"/>
      </tp>
      <tp t="s">
        <v>#N/A N/A</v>
        <stp/>
        <stp>BDH|11823574428935859845</stp>
        <tr r="F10" s="2"/>
      </tp>
      <tp t="s">
        <v>#N/A N/A</v>
        <stp/>
        <stp>BDH|14921626484120293161</stp>
        <tr r="H29" s="2"/>
      </tp>
      <tp t="s">
        <v>#N/A N/A</v>
        <stp/>
        <stp>BDH|17995699038561658851</stp>
        <tr r="P29" s="2"/>
      </tp>
      <tp t="s">
        <v>#N/A N/A</v>
        <stp/>
        <stp>BDH|14199156017259732696</stp>
        <tr r="K21" s="2"/>
      </tp>
      <tp t="s">
        <v>#N/A N/A</v>
        <stp/>
        <stp>BDH|13263298513053003851</stp>
        <tr r="AK10" s="2"/>
      </tp>
      <tp t="s">
        <v>#N/A N/A</v>
        <stp/>
        <stp>BDH|13301591505244156936</stp>
        <tr r="AB17" s="2"/>
      </tp>
      <tp t="s">
        <v>#N/A N/A</v>
        <stp/>
        <stp>BDH|14200567602648327295</stp>
        <tr r="AK7" s="5"/>
        <tr r="AK7" s="4"/>
      </tp>
      <tp t="s">
        <v>#N/A N/A</v>
        <stp/>
        <stp>BDH|11659015779545268805</stp>
        <tr r="G6" s="5"/>
        <tr r="G6" s="4"/>
      </tp>
      <tp t="s">
        <v>#N/A N/A</v>
        <stp/>
        <stp>BDH|15543567810253981955</stp>
        <tr r="L28" s="2"/>
      </tp>
      <tp t="s">
        <v>#N/A N/A</v>
        <stp/>
        <stp>BDH|11791595427049768402</stp>
        <tr r="AN10" s="5"/>
        <tr r="AN10" s="4"/>
      </tp>
      <tp t="s">
        <v>#N/A N/A</v>
        <stp/>
        <stp>BDH|10116846359745163337</stp>
        <tr r="Y7" s="2"/>
      </tp>
      <tp t="s">
        <v>#N/A N/A</v>
        <stp/>
        <stp>BDP|10740304125341872801</stp>
        <tr r="G19" s="3"/>
      </tp>
      <tp t="s">
        <v>#N/A N/A</v>
        <stp/>
        <stp>BDP|15818875870351613366</stp>
        <tr r="AM20" s="3"/>
      </tp>
      <tp t="s">
        <v>#N/A N/A</v>
        <stp/>
        <stp>BDP|17462400795330554247</stp>
        <tr r="AN19" s="3"/>
      </tp>
      <tp t="s">
        <v>#N/A N/A</v>
        <stp/>
        <stp>BDP|12000305898594850430</stp>
        <tr r="I15" s="3"/>
      </tp>
      <tp t="s">
        <v>#N/A N/A</v>
        <stp/>
        <stp>BDP|17987824678095498523</stp>
        <tr r="AC16" s="3"/>
      </tp>
      <tp t="s">
        <v>#N/A N/A</v>
        <stp/>
        <stp>BDP|16610604089911273196</stp>
        <tr r="AK16" s="3"/>
      </tp>
      <tp t="s">
        <v>#N/A N/A</v>
        <stp/>
        <stp>BDH|14969609245329574787</stp>
        <tr r="AE14" s="5"/>
        <tr r="AE14" s="4"/>
      </tp>
      <tp t="s">
        <v>#N/A N/A</v>
        <stp/>
        <stp>BDH|17623908750872625117</stp>
        <tr r="P20" s="5"/>
        <tr r="P20" s="4"/>
      </tp>
      <tp t="s">
        <v>#N/A N/A</v>
        <stp/>
        <stp>BDH|17252933850143396038</stp>
        <tr r="AM20" s="5"/>
        <tr r="AM20" s="4"/>
      </tp>
      <tp t="s">
        <v>#N/A N/A</v>
        <stp/>
        <stp>BDH|10766603973431188864</stp>
        <tr r="F24" s="2"/>
      </tp>
      <tp t="s">
        <v>#N/A N/A</v>
        <stp/>
        <stp>BDH|15860157953858987141</stp>
        <tr r="AA18" s="5"/>
        <tr r="AA18" s="4"/>
      </tp>
      <tp t="s">
        <v>#N/A N/A</v>
        <stp/>
        <stp>BDH|11123281508413710853</stp>
        <tr r="Y8" s="5"/>
        <tr r="Y8" s="4"/>
      </tp>
      <tp t="s">
        <v>#N/A N/A</v>
        <stp/>
        <stp>BDH|15448222846462071925</stp>
        <tr r="AL29" s="2"/>
      </tp>
      <tp t="s">
        <v>#N/A N/A</v>
        <stp/>
        <stp>BDH|14937885771005472665</stp>
        <tr r="I18" s="5"/>
        <tr r="I18" s="4"/>
      </tp>
      <tp t="s">
        <v>#N/A N/A</v>
        <stp/>
        <stp>BDH|17577828461631042034</stp>
        <tr r="AI9" s="2"/>
      </tp>
      <tp t="s">
        <v>#N/A N/A</v>
        <stp/>
        <stp>BDH|11503840355345646174</stp>
        <tr r="U23" s="2"/>
      </tp>
      <tp t="s">
        <v>#N/A N/A</v>
        <stp/>
        <stp>BDH|16299094666658062088</stp>
        <tr r="AB13" s="5"/>
        <tr r="AB13" s="4"/>
      </tp>
      <tp t="s">
        <v>#N/A N/A</v>
        <stp/>
        <stp>BDH|11799409142519119010</stp>
        <tr r="E24" s="2"/>
      </tp>
      <tp t="s">
        <v>#N/A N/A</v>
        <stp/>
        <stp>BDH|14177549886774769508</stp>
        <tr r="T29" s="2"/>
      </tp>
      <tp t="s">
        <v>#N/A N/A</v>
        <stp/>
        <stp>BDH|15483537988448891836</stp>
        <tr r="Z22" s="2"/>
      </tp>
      <tp t="s">
        <v>#N/A N/A</v>
        <stp/>
        <stp>BDH|16332617694053808295</stp>
        <tr r="D13" s="5"/>
        <tr r="D13" s="4"/>
      </tp>
      <tp t="s">
        <v>#N/A N/A</v>
        <stp/>
        <stp>BDH|11440875163085712205</stp>
        <tr r="AC18" s="5"/>
        <tr r="AC18" s="4"/>
      </tp>
      <tp t="s">
        <v>#N/A N/A</v>
        <stp/>
        <stp>BDH|17480350111294698916</stp>
        <tr r="AH17" s="5"/>
        <tr r="AH17" s="4"/>
      </tp>
      <tp t="s">
        <v>#N/A N/A</v>
        <stp/>
        <stp>BDH|14254581989415598403</stp>
        <tr r="AA29" s="2"/>
      </tp>
      <tp t="s">
        <v>#N/A N/A</v>
        <stp/>
        <stp>BDH|12262058651796336933</stp>
        <tr r="H16" s="5"/>
        <tr r="H16" s="4"/>
      </tp>
      <tp t="s">
        <v>#N/A N/A</v>
        <stp/>
        <stp>BDH|18377200738136569789</stp>
        <tr r="AA7" s="5"/>
        <tr r="AA7" s="4"/>
      </tp>
      <tp t="s">
        <v>#N/A N/A</v>
        <stp/>
        <stp>BDH|11470429281363603674</stp>
        <tr r="X24" s="2"/>
      </tp>
      <tp t="s">
        <v>#N/A N/A</v>
        <stp/>
        <stp>BDH|14415287372970136991</stp>
        <tr r="AI7" s="2"/>
      </tp>
      <tp t="s">
        <v>#N/A N/A</v>
        <stp/>
        <stp>BDH|10657796714547702952</stp>
        <tr r="AA8" s="2"/>
      </tp>
      <tp t="s">
        <v>#N/A N/A</v>
        <stp/>
        <stp>BDH|14159289385016330048</stp>
        <tr r="AB9" s="5"/>
        <tr r="AB9" s="4"/>
      </tp>
      <tp t="s">
        <v>#N/A N/A</v>
        <stp/>
        <stp>BDH|14801929815807532302</stp>
        <tr r="D9" s="2"/>
      </tp>
      <tp t="s">
        <v>#N/A N/A</v>
        <stp/>
        <stp>BDH|12893271077119745658</stp>
        <tr r="AN7" s="5"/>
        <tr r="AN7" s="4"/>
      </tp>
      <tp t="s">
        <v>#N/A N/A</v>
        <stp/>
        <stp>BDH|10191343302059959236</stp>
        <tr r="AL23" s="2"/>
      </tp>
      <tp t="s">
        <v>#N/A N/A</v>
        <stp/>
        <stp>BDH|17692042186995054292</stp>
        <tr r="J13" s="5"/>
        <tr r="J13" s="4"/>
      </tp>
      <tp t="s">
        <v>#N/A N/A</v>
        <stp/>
        <stp>BDH|16445903628943368631</stp>
        <tr r="AE12" s="5"/>
        <tr r="AE12" s="4"/>
      </tp>
      <tp t="s">
        <v>#N/A N/A</v>
        <stp/>
        <stp>BDH|10516757418728400609</stp>
        <tr r="K6" s="5"/>
        <tr r="K6" s="4"/>
      </tp>
      <tp t="s">
        <v>#N/A N/A</v>
        <stp/>
        <stp>BDH|12626214932859889217</stp>
        <tr r="AP17" s="5"/>
        <tr r="AP17" s="4"/>
      </tp>
      <tp t="s">
        <v>#N/A N/A</v>
        <stp/>
        <stp>BDH|12377953879530293433</stp>
        <tr r="O25" s="5"/>
        <tr r="O25" s="4"/>
      </tp>
      <tp t="s">
        <v>#N/A N/A</v>
        <stp/>
        <stp>BDH|10412933216448911863</stp>
        <tr r="AP17" s="2"/>
      </tp>
      <tp t="s">
        <v>#N/A N/A</v>
        <stp/>
        <stp>BDP|16350654153464928829</stp>
        <tr r="J13" s="3"/>
      </tp>
      <tp t="s">
        <v>#N/A N/A</v>
        <stp/>
        <stp>BDP|12435502640179478324</stp>
        <tr r="C16" s="3"/>
      </tp>
      <tp t="s">
        <v>#N/A N/A</v>
        <stp/>
        <stp>BDP|17316904070004364442</stp>
        <tr r="AD15" s="3"/>
      </tp>
      <tp t="s">
        <v>#N/A N/A</v>
        <stp/>
        <stp>BDH|12996941827778264880</stp>
        <tr r="V23" s="2"/>
      </tp>
      <tp t="s">
        <v>#N/A N/A</v>
        <stp/>
        <stp>BDH|10609925210088631925</stp>
        <tr r="AI6" s="5"/>
        <tr r="AI6" s="4"/>
      </tp>
      <tp t="s">
        <v>#N/A N/A</v>
        <stp/>
        <stp>BDH|10235321056558237743</stp>
        <tr r="P6" s="5"/>
        <tr r="P6" s="4"/>
      </tp>
      <tp t="s">
        <v>#N/A N/A</v>
        <stp/>
        <stp>BDH|17618861530416584377</stp>
        <tr r="M12" s="5"/>
        <tr r="M12" s="4"/>
      </tp>
      <tp t="s">
        <v>#N/A N/A</v>
        <stp/>
        <stp>BDH|12901892092608500250</stp>
        <tr r="L9" s="2"/>
      </tp>
      <tp t="s">
        <v>#N/A N/A</v>
        <stp/>
        <stp>BDH|11762066397324015539</stp>
        <tr r="O13" s="5"/>
        <tr r="O13" s="4"/>
      </tp>
      <tp t="s">
        <v>#N/A N/A</v>
        <stp/>
        <stp>BDH|12850386387276749654</stp>
        <tr r="H20" s="2"/>
      </tp>
      <tp t="s">
        <v>#N/A N/A</v>
        <stp/>
        <stp>BDH|15224487512050836953</stp>
        <tr r="AK22" s="5"/>
        <tr r="AK22" s="4"/>
      </tp>
      <tp t="s">
        <v>#N/A N/A</v>
        <stp/>
        <stp>BDH|11690656482607396174</stp>
        <tr r="L21" s="5"/>
        <tr r="L21" s="4"/>
      </tp>
      <tp t="s">
        <v>#N/A N/A</v>
        <stp/>
        <stp>BDH|18396567645289229964</stp>
        <tr r="AI21" s="2"/>
      </tp>
      <tp t="s">
        <v>#N/A N/A</v>
        <stp/>
        <stp>BDH|14916908371676904556</stp>
        <tr r="V10" s="5"/>
        <tr r="V10" s="4"/>
      </tp>
      <tp t="s">
        <v>#N/A N/A</v>
        <stp/>
        <stp>BDH|11269176190650302019</stp>
        <tr r="AN9" s="2"/>
      </tp>
      <tp t="s">
        <v>#N/A N/A</v>
        <stp/>
        <stp>BDH|13649118216713214945</stp>
        <tr r="AG18" s="5"/>
        <tr r="AG18" s="4"/>
      </tp>
      <tp t="s">
        <v>#N/A N/A</v>
        <stp/>
        <stp>BDH|11134926223994020767</stp>
        <tr r="AD7" s="5"/>
        <tr r="AD7" s="4"/>
      </tp>
      <tp t="s">
        <v>#N/A N/A</v>
        <stp/>
        <stp>BDH|16584847635610076426</stp>
        <tr r="V27" s="2"/>
      </tp>
      <tp t="s">
        <v>#N/A N/A</v>
        <stp/>
        <stp>BDH|17979466388243354125</stp>
        <tr r="AB29" s="2"/>
      </tp>
      <tp t="s">
        <v>#N/A N/A</v>
        <stp/>
        <stp>BDH|12903639253759623161</stp>
        <tr r="R17" s="5"/>
        <tr r="R17" s="4"/>
      </tp>
      <tp t="s">
        <v>#N/A N/A</v>
        <stp/>
        <stp>BDH|11398098426498296257</stp>
        <tr r="AP14" s="5"/>
        <tr r="AP14" s="4"/>
      </tp>
      <tp t="s">
        <v>#N/A N/A</v>
        <stp/>
        <stp>BDH|17796889964945516551</stp>
        <tr r="AB25" s="5"/>
        <tr r="AB25" s="4"/>
      </tp>
      <tp t="s">
        <v>#N/A N/A</v>
        <stp/>
        <stp>BDH|17732998067335163437</stp>
        <tr r="R7" s="2"/>
      </tp>
      <tp t="s">
        <v>#N/A N/A</v>
        <stp/>
        <stp>BDH|12428183363378505411</stp>
        <tr r="AD13" s="5"/>
        <tr r="AD13" s="4"/>
      </tp>
      <tp t="s">
        <v>#N/A N/A</v>
        <stp/>
        <stp>BDH|17824257391361121463</stp>
        <tr r="AP19" s="2"/>
      </tp>
      <tp t="s">
        <v>#N/A N/A</v>
        <stp/>
        <stp>BDH|15284897565495470703</stp>
        <tr r="Z13" s="5"/>
        <tr r="Z13" s="4"/>
      </tp>
      <tp t="s">
        <v>#N/A N/A</v>
        <stp/>
        <stp>BDH|16825274315534044800</stp>
        <tr r="D17" s="2"/>
      </tp>
      <tp t="s">
        <v>#N/A N/A</v>
        <stp/>
        <stp>BDH|13726266396905295481</stp>
        <tr r="AD12" s="5"/>
        <tr r="AD12" s="4"/>
      </tp>
      <tp t="s">
        <v>#N/A N/A</v>
        <stp/>
        <stp>BDH|12075745858000905996</stp>
        <tr r="AI13" s="2"/>
      </tp>
      <tp t="s">
        <v>#N/A N/A</v>
        <stp/>
        <stp>BDH|15022545204930652993</stp>
        <tr r="U8" s="5"/>
        <tr r="U8" s="4"/>
      </tp>
      <tp t="s">
        <v>#N/A N/A</v>
        <stp/>
        <stp>BDP|10268420875835836817</stp>
        <tr r="J19" s="3"/>
      </tp>
      <tp t="s">
        <v>#N/A N/A</v>
        <stp/>
        <stp>BDP|16633709202108821703</stp>
        <tr r="V9" s="3"/>
      </tp>
      <tp t="s">
        <v>#N/A N/A</v>
        <stp/>
        <stp>BDP|17258296503013130869</stp>
        <tr r="S20" s="3"/>
      </tp>
      <tp t="s">
        <v>#N/A N/A</v>
        <stp/>
        <stp>BDP|13538474100309692060</stp>
        <tr r="AK13" s="3"/>
      </tp>
      <tp t="s">
        <v>#N/A N/A</v>
        <stp/>
        <stp>BDP|17381929800900658005</stp>
        <tr r="I9" s="3"/>
      </tp>
      <tp t="s">
        <v>#N/A N/A</v>
        <stp/>
        <stp>BDP|13100689918732715805</stp>
        <tr r="M13" s="3"/>
      </tp>
      <tp t="s">
        <v>#N/A N/A</v>
        <stp/>
        <stp>BDH|10696352065358611311</stp>
        <tr r="F6" s="5"/>
        <tr r="F6" s="4"/>
      </tp>
      <tp t="s">
        <v>#N/A N/A</v>
        <stp/>
        <stp>BDH|14897315999762092210</stp>
        <tr r="J23" s="2"/>
      </tp>
      <tp t="s">
        <v>#N/A N/A</v>
        <stp/>
        <stp>BDH|17303372996695648654</stp>
        <tr r="AK17" s="5"/>
        <tr r="AK17" s="4"/>
      </tp>
      <tp t="s">
        <v>#N/A N/A</v>
        <stp/>
        <stp>BDH|10778582958059753708</stp>
        <tr r="AB19" s="2"/>
      </tp>
      <tp t="s">
        <v>#N/A N/A</v>
        <stp/>
        <stp>BDH|16153774330104192845</stp>
        <tr r="C9" s="5"/>
        <tr r="C9" s="4"/>
      </tp>
      <tp t="s">
        <v>#N/A N/A</v>
        <stp/>
        <stp>BDH|10629834021453106760</stp>
        <tr r="X13" s="2"/>
      </tp>
      <tp t="s">
        <v>#N/A N/A</v>
        <stp/>
        <stp>BDH|10644028313549512604</stp>
        <tr r="AC21" s="2"/>
      </tp>
      <tp t="s">
        <v>#N/A N/A</v>
        <stp/>
        <stp>BDH|18037375602250575523</stp>
        <tr r="AK18" s="5"/>
        <tr r="AK18" s="4"/>
      </tp>
      <tp t="s">
        <v>#N/A N/A</v>
        <stp/>
        <stp>BDH|17509948303441712101</stp>
        <tr r="X20" s="5"/>
        <tr r="X20" s="4"/>
      </tp>
      <tp t="s">
        <v>#N/A N/A</v>
        <stp/>
        <stp>BDH|17469441291737676321</stp>
        <tr r="AO20" s="5"/>
        <tr r="AO20" s="4"/>
      </tp>
      <tp t="s">
        <v>#N/A N/A</v>
        <stp/>
        <stp>BDH|12795077854250345930</stp>
        <tr r="Z27" s="2"/>
      </tp>
      <tp t="s">
        <v>#N/A N/A</v>
        <stp/>
        <stp>BDH|10399821671371579011</stp>
        <tr r="K22" s="5"/>
        <tr r="K22" s="4"/>
      </tp>
      <tp t="s">
        <v>#N/A N/A</v>
        <stp/>
        <stp>BDH|12891043337329897648</stp>
        <tr r="AD10" s="2"/>
      </tp>
      <tp t="s">
        <v>#N/A N/A</v>
        <stp/>
        <stp>BDH|16872044491337882633</stp>
        <tr r="Y20" s="2"/>
      </tp>
      <tp t="s">
        <v>#N/A N/A</v>
        <stp/>
        <stp>BDH|12248976029956975135</stp>
        <tr r="AO19" s="2"/>
      </tp>
      <tp t="s">
        <v>#N/A N/A</v>
        <stp/>
        <stp>BDH|10425719682605407452</stp>
        <tr r="Q8" s="5"/>
        <tr r="Q8" s="4"/>
      </tp>
      <tp t="s">
        <v>#N/A N/A</v>
        <stp/>
        <stp>BDH|17651587641828060061</stp>
        <tr r="U24" s="2"/>
      </tp>
      <tp t="s">
        <v>#N/A N/A</v>
        <stp/>
        <stp>BDH|14567485343443253950</stp>
        <tr r="C28" s="2"/>
      </tp>
      <tp t="s">
        <v>#N/A N/A</v>
        <stp/>
        <stp>BDH|13041259699214161255</stp>
        <tr r="S13" s="2"/>
      </tp>
      <tp t="s">
        <v>#N/A N/A</v>
        <stp/>
        <stp>BDH|16473840549830182403</stp>
        <tr r="AB24" s="2"/>
      </tp>
      <tp t="s">
        <v>#N/A N/A</v>
        <stp/>
        <stp>BDH|11182290050611295914</stp>
        <tr r="L13" s="2"/>
      </tp>
      <tp t="s">
        <v>#N/A N/A</v>
        <stp/>
        <stp>BDH|14769457326168605487</stp>
        <tr r="W20" s="2"/>
      </tp>
      <tp t="s">
        <v>#N/A N/A</v>
        <stp/>
        <stp>BDH|12753238888510359620</stp>
        <tr r="H6" s="5"/>
        <tr r="H6" s="4"/>
      </tp>
      <tp t="s">
        <v>#N/A N/A</v>
        <stp/>
        <stp>BDH|10245905599147214943</stp>
        <tr r="X20" s="2"/>
      </tp>
      <tp t="s">
        <v>#N/A N/A</v>
        <stp/>
        <stp>BDH|15585582975909083071</stp>
        <tr r="U29" s="2"/>
      </tp>
      <tp t="s">
        <v>#N/A N/A</v>
        <stp/>
        <stp>BDH|15142948280762303893</stp>
        <tr r="AN8" s="2"/>
      </tp>
      <tp t="s">
        <v>#N/A N/A</v>
        <stp/>
        <stp>BDH|11201133191173744487</stp>
        <tr r="AJ17" s="5"/>
        <tr r="AJ17" s="4"/>
      </tp>
      <tp t="s">
        <v>#N/A N/A</v>
        <stp/>
        <stp>BDH|10541766197169334998</stp>
        <tr r="M22" s="2"/>
      </tp>
      <tp t="s">
        <v>#N/A N/A</v>
        <stp/>
        <stp>BDH|10313494282872206042</stp>
        <tr r="AL24" s="2"/>
      </tp>
      <tp t="s">
        <v>#N/A N/A</v>
        <stp/>
        <stp>BDH|14007347086801836041</stp>
        <tr r="AP9" s="2"/>
      </tp>
      <tp t="s">
        <v>#N/A N/A</v>
        <stp/>
        <stp>BDH|13776033598140313412</stp>
        <tr r="Z13" s="2"/>
      </tp>
      <tp t="s">
        <v>#N/A N/A</v>
        <stp/>
        <stp>BDP|18240508626588438894</stp>
        <tr r="AH13" s="3"/>
      </tp>
    </main>
    <main first="bofaddin.rtdserver">
      <tp t="s">
        <v>#N/A N/A</v>
        <stp/>
        <stp>BDP|18356316138157161001</stp>
        <tr r="AN13" s="3"/>
      </tp>
      <tp t="s">
        <v>#N/A N/A</v>
        <stp/>
        <stp>BDP|13907857315740358545</stp>
        <tr r="Y13" s="3"/>
      </tp>
      <tp t="s">
        <v>#N/A N/A</v>
        <stp/>
        <stp>BDP|16064841226991040225</stp>
        <tr r="K20" s="3"/>
      </tp>
      <tp t="s">
        <v>#N/A N/A</v>
        <stp/>
        <stp>BDP|17396131693348418826</stp>
        <tr r="N19" s="3"/>
      </tp>
      <tp t="s">
        <v>#N/A N/A</v>
        <stp/>
        <stp>BDH|15140064213099397277</stp>
        <tr r="X22" s="2"/>
      </tp>
      <tp t="s">
        <v>#N/A N/A</v>
        <stp/>
        <stp>BDH|10297018403048581757</stp>
        <tr r="J8" s="5"/>
        <tr r="J8" s="4"/>
      </tp>
      <tp t="s">
        <v>#N/A N/A</v>
        <stp/>
        <stp>BDH|13598020580654207058</stp>
        <tr r="W21" s="2"/>
      </tp>
      <tp t="s">
        <v>#N/A N/A</v>
        <stp/>
        <stp>BDH|14137250299316979677</stp>
        <tr r="L29" s="2"/>
      </tp>
      <tp t="s">
        <v>#N/A N/A</v>
        <stp/>
        <stp>BDH|11475774487431780009</stp>
        <tr r="Y8" s="2"/>
      </tp>
      <tp t="s">
        <v>#N/A N/A</v>
        <stp/>
        <stp>BDH|11594004183653663521</stp>
        <tr r="AA22" s="5"/>
        <tr r="AA22" s="4"/>
      </tp>
      <tp t="s">
        <v>#N/A N/A</v>
        <stp/>
        <stp>BDH|12513262718249130781</stp>
        <tr r="L16" s="5"/>
        <tr r="L16" s="4"/>
      </tp>
      <tp t="s">
        <v>#N/A N/A</v>
        <stp/>
        <stp>BDH|15194831315502682147</stp>
        <tr r="T8" s="5"/>
        <tr r="T8" s="4"/>
      </tp>
    </main>
    <main first="bofaddin.rtdserver">
      <tp t="s">
        <v>#N/A N/A</v>
        <stp/>
        <stp>BDH|12091180441380431893</stp>
        <tr r="H17" s="5"/>
        <tr r="H17" s="4"/>
      </tp>
      <tp t="s">
        <v>#N/A N/A</v>
        <stp/>
        <stp>BDH|11961920901212699585</stp>
        <tr r="O7" s="2"/>
      </tp>
      <tp t="s">
        <v>#N/A N/A</v>
        <stp/>
        <stp>BDH|16538825517903113358</stp>
        <tr r="D21" s="2"/>
      </tp>
      <tp t="s">
        <v>#N/A N/A</v>
        <stp/>
        <stp>BDH|17070163612719731176</stp>
        <tr r="H13" s="2"/>
      </tp>
      <tp t="s">
        <v>#N/A N/A</v>
        <stp/>
        <stp>BDH|11160789476787050985</stp>
        <tr r="W21" s="5"/>
        <tr r="W21" s="4"/>
      </tp>
      <tp t="s">
        <v>#N/A N/A</v>
        <stp/>
        <stp>BDH|18332037377632089209</stp>
        <tr r="R8" s="5"/>
        <tr r="R8" s="4"/>
      </tp>
      <tp t="s">
        <v>#N/A N/A</v>
        <stp/>
        <stp>BDH|14258360434692522924</stp>
        <tr r="AF28" s="2"/>
      </tp>
      <tp t="s">
        <v>#N/A N/A</v>
        <stp/>
        <stp>BDH|10441515797421296279</stp>
        <tr r="AC6" s="5"/>
        <tr r="AC6" s="4"/>
      </tp>
      <tp t="s">
        <v>#N/A N/A</v>
        <stp/>
        <stp>BDH|14958880061837553239</stp>
        <tr r="P22" s="2"/>
      </tp>
      <tp t="s">
        <v>#N/A N/A</v>
        <stp/>
        <stp>BDH|13054626168174304808</stp>
        <tr r="J29" s="2"/>
      </tp>
      <tp t="s">
        <v>#N/A N/A</v>
        <stp/>
        <stp>BDH|16405073494361706198</stp>
        <tr r="AJ9" s="2"/>
      </tp>
      <tp t="s">
        <v>#N/A N/A</v>
        <stp/>
        <stp>BDH|14600948691379252280</stp>
        <tr r="AH9" s="5"/>
        <tr r="AH9" s="4"/>
      </tp>
      <tp t="s">
        <v>#N/A N/A</v>
        <stp/>
        <stp>BDH|17100758631319468581</stp>
        <tr r="M6" s="5"/>
        <tr r="M6" s="4"/>
      </tp>
      <tp t="s">
        <v>#N/A N/A</v>
        <stp/>
        <stp>BDH|11828173810929522722</stp>
        <tr r="J28" s="2"/>
      </tp>
      <tp t="s">
        <v>#N/A N/A</v>
        <stp/>
        <stp>BDH|14567350398780158116</stp>
        <tr r="S22" s="5"/>
        <tr r="S22" s="4"/>
      </tp>
      <tp t="s">
        <v>#N/A N/A</v>
        <stp/>
        <stp>BDH|14526018358978061662</stp>
        <tr r="N9" s="2"/>
      </tp>
      <tp t="s">
        <v>#N/A N/A</v>
        <stp/>
        <stp>BDH|13959804766870723241</stp>
        <tr r="Y18" s="5"/>
        <tr r="Y18" s="4"/>
      </tp>
      <tp t="s">
        <v>#N/A N/A</v>
        <stp/>
        <stp>BDH|17858306065385410866</stp>
        <tr r="Q10" s="5"/>
        <tr r="Q10" s="4"/>
      </tp>
      <tp t="s">
        <v>#N/A N/A</v>
        <stp/>
        <stp>BDH|15622250556074949930</stp>
        <tr r="T13" s="5"/>
        <tr r="T13" s="4"/>
      </tp>
      <tp t="s">
        <v>#N/A N/A</v>
        <stp/>
        <stp>BDP|15055897869796941102</stp>
        <tr r="C9" s="3"/>
      </tp>
      <tp t="s">
        <v>#N/A N/A</v>
        <stp/>
        <stp>BDP|16646934124701071093</stp>
        <tr r="AF9" s="3"/>
      </tp>
      <tp t="s">
        <v>#N/A N/A</v>
        <stp/>
        <stp>BDP|18086181254154220442</stp>
        <tr r="I20" s="3"/>
      </tp>
      <tp t="s">
        <v>#N/A N/A</v>
        <stp/>
        <stp>BDP|17054975706093809159</stp>
        <tr r="AO19" s="3"/>
      </tp>
      <tp t="s">
        <v>#N/A N/A</v>
        <stp/>
        <stp>BDP|16237815440714428265</stp>
        <tr r="AM16" s="3"/>
      </tp>
      <tp t="s">
        <v>#N/A N/A</v>
        <stp/>
        <stp>BDP|16892235280853250392</stp>
        <tr r="I13" s="3"/>
      </tp>
      <tp t="s">
        <v>#N/A N/A</v>
        <stp/>
        <stp>BDP|10302721605729299209</stp>
        <tr r="L13" s="3"/>
      </tp>
      <tp t="s">
        <v>#N/A N/A</v>
        <stp/>
        <stp>BDH|11127674377858451447</stp>
        <tr r="AA20" s="5"/>
        <tr r="AA20" s="4"/>
      </tp>
      <tp t="s">
        <v>#N/A N/A</v>
        <stp/>
        <stp>BDH|14842340816102989830</stp>
        <tr r="W12" s="5"/>
        <tr r="W12" s="4"/>
      </tp>
      <tp t="s">
        <v>#N/A N/A</v>
        <stp/>
        <stp>BDH|14732910325147024437</stp>
        <tr r="W16" s="5"/>
        <tr r="W16" s="4"/>
      </tp>
      <tp t="s">
        <v>#N/A N/A</v>
        <stp/>
        <stp>BDH|18265428223331989395</stp>
        <tr r="I6" s="5"/>
        <tr r="I6" s="4"/>
      </tp>
      <tp t="s">
        <v>#N/A N/A</v>
        <stp/>
        <stp>BDH|10018401907179600121</stp>
        <tr r="AP12" s="5"/>
        <tr r="AP12" s="4"/>
      </tp>
      <tp t="s">
        <v>#N/A N/A</v>
        <stp/>
        <stp>BDH|14643535159829985178</stp>
        <tr r="AL7" s="2"/>
      </tp>
      <tp t="s">
        <v>#N/A N/A</v>
        <stp/>
        <stp>BDH|13783438392975699728</stp>
        <tr r="E17" s="2"/>
      </tp>
      <tp t="s">
        <v>#N/A N/A</v>
        <stp/>
        <stp>BDH|10004415786337342761</stp>
        <tr r="S20" s="2"/>
      </tp>
      <tp t="s">
        <v>#N/A N/A</v>
        <stp/>
        <stp>BDH|13128258917534584846</stp>
        <tr r="AK13" s="5"/>
        <tr r="AK13" s="4"/>
      </tp>
      <tp t="s">
        <v>#N/A N/A</v>
        <stp/>
        <stp>BDH|11240613795754636658</stp>
        <tr r="AL18" s="5"/>
        <tr r="AL18" s="4"/>
      </tp>
      <tp t="s">
        <v>#N/A N/A</v>
        <stp/>
        <stp>BDH|16167144675375533902</stp>
        <tr r="E22" s="2"/>
      </tp>
      <tp t="s">
        <v>#N/A N/A</v>
        <stp/>
        <stp>BDH|12545487187464792688</stp>
        <tr r="W22" s="2"/>
      </tp>
      <tp t="s">
        <v>#N/A N/A</v>
        <stp/>
        <stp>BDH|18382054561476334403</stp>
        <tr r="AG20" s="5"/>
        <tr r="AG20" s="4"/>
      </tp>
      <tp t="s">
        <v>#N/A N/A</v>
        <stp/>
        <stp>BDH|15169879047861382468</stp>
        <tr r="K8" s="2"/>
      </tp>
      <tp t="s">
        <v>#N/A N/A</v>
        <stp/>
        <stp>BDH|10771953624890656777</stp>
        <tr r="K16" s="5"/>
        <tr r="K16" s="4"/>
      </tp>
      <tp t="s">
        <v>#N/A N/A</v>
        <stp/>
        <stp>BDH|10156365261579508046</stp>
        <tr r="S24" s="2"/>
      </tp>
      <tp t="s">
        <v>#N/A N/A</v>
        <stp/>
        <stp>BDH|10607601363719799558</stp>
        <tr r="K17" s="5"/>
        <tr r="K17" s="4"/>
      </tp>
      <tp t="s">
        <v>#N/A N/A</v>
        <stp/>
        <stp>BDH|15839390373705303876</stp>
        <tr r="G16" s="5"/>
        <tr r="G16" s="4"/>
      </tp>
      <tp t="s">
        <v>#N/A N/A</v>
        <stp/>
        <stp>BDH|16465155217479228323</stp>
        <tr r="AP13" s="2"/>
      </tp>
      <tp t="s">
        <v>#N/A N/A</v>
        <stp/>
        <stp>BDH|14595511146631240894</stp>
        <tr r="AG17" s="2"/>
      </tp>
      <tp t="s">
        <v>#N/A N/A</v>
        <stp/>
        <stp>BDH|16238288415091319857</stp>
        <tr r="S22" s="2"/>
      </tp>
      <tp t="s">
        <v>#N/A N/A</v>
        <stp/>
        <stp>BDH|15505254889405415641</stp>
        <tr r="V22" s="5"/>
        <tr r="V22" s="4"/>
      </tp>
      <tp t="s">
        <v>#N/A N/A</v>
        <stp/>
        <stp>BDH|12792314865868353396</stp>
        <tr r="AH13" s="5"/>
        <tr r="AH13" s="4"/>
      </tp>
      <tp t="s">
        <v>#N/A N/A</v>
        <stp/>
        <stp>BDH|14877324623080329928</stp>
        <tr r="AF16" s="5"/>
        <tr r="AF16" s="4"/>
      </tp>
      <tp t="s">
        <v>#N/A N/A</v>
        <stp/>
        <stp>BDH|18281364627585970023</stp>
        <tr r="H27" s="2"/>
      </tp>
      <tp t="s">
        <v>#N/A N/A</v>
        <stp/>
        <stp>BDH|18168786976656532227</stp>
        <tr r="AG13" s="5"/>
        <tr r="AG13" s="4"/>
      </tp>
      <tp t="s">
        <v>#N/A N/A</v>
        <stp/>
        <stp>BDH|10600461476568585791</stp>
        <tr r="AH10" s="5"/>
        <tr r="AH10" s="4"/>
      </tp>
      <tp t="s">
        <v>#N/A N/A</v>
        <stp/>
        <stp>BDH|17082149961415999915</stp>
        <tr r="J16" s="5"/>
        <tr r="J16" s="4"/>
      </tp>
      <tp t="s">
        <v>#N/A N/A</v>
        <stp/>
        <stp>BDH|15104441032309250794</stp>
        <tr r="AH8" s="2"/>
      </tp>
      <tp t="s">
        <v>#N/A N/A</v>
        <stp/>
        <stp>BDH|15536561330637754886</stp>
        <tr r="AO28" s="2"/>
      </tp>
      <tp t="s">
        <v>#N/A N/A</v>
        <stp/>
        <stp>BDH|10570653999775268645</stp>
        <tr r="Y6" s="5"/>
        <tr r="Y6" s="4"/>
      </tp>
      <tp t="s">
        <v>#N/A N/A</v>
        <stp/>
        <stp>BDH|15500065866607240880</stp>
        <tr r="N19" s="2"/>
      </tp>
      <tp t="s">
        <v>#N/A N/A</v>
        <stp/>
        <stp>BDH|16680714999991803592</stp>
        <tr r="AA24" s="2"/>
      </tp>
      <tp t="s">
        <v>#N/A N/A</v>
        <stp/>
        <stp>BDH|16887987107173141082</stp>
        <tr r="K23" s="2"/>
      </tp>
      <tp t="s">
        <v>#N/A N/A</v>
        <stp/>
        <stp>BDP|11997015692920515575</stp>
        <tr r="R13" s="3"/>
      </tp>
      <tp t="s">
        <v>#N/A N/A</v>
        <stp/>
        <stp>BDP|14938192951659620483</stp>
        <tr r="N16" s="3"/>
      </tp>
      <tp t="s">
        <v>#N/A N/A</v>
        <stp/>
        <stp>BDP|12039720299523901217</stp>
        <tr r="D19" s="3"/>
      </tp>
      <tp t="s">
        <v>#N/A N/A</v>
        <stp/>
        <stp>BDP|13553159886326347109</stp>
        <tr r="H16" s="3"/>
      </tp>
      <tp t="s">
        <v>#N/A N/A</v>
        <stp/>
        <stp>BDP|12546905793797705860</stp>
        <tr r="Z15" s="3"/>
      </tp>
      <tp t="s">
        <v>#N/A N/A</v>
        <stp/>
        <stp>BDH|12179521453918049714</stp>
        <tr r="C22" s="2"/>
      </tp>
      <tp t="s">
        <v>#N/A N/A</v>
        <stp/>
        <stp>BDH|16080730618395837804</stp>
        <tr r="AK19" s="2"/>
      </tp>
      <tp t="s">
        <v>#N/A N/A</v>
        <stp/>
        <stp>BDH|11401109809738674590</stp>
        <tr r="U7" s="2"/>
      </tp>
      <tp t="s">
        <v>#N/A N/A</v>
        <stp/>
        <stp>BDH|15602762226579512413</stp>
        <tr r="AC23" s="2"/>
      </tp>
      <tp t="s">
        <v>#N/A N/A</v>
        <stp/>
        <stp>BDH|14887083274857625973</stp>
        <tr r="U22" s="5"/>
        <tr r="U22" s="4"/>
      </tp>
      <tp t="s">
        <v>#N/A N/A</v>
        <stp/>
        <stp>BDH|17634854446951413749</stp>
        <tr r="D8" s="2"/>
      </tp>
      <tp t="s">
        <v>#N/A N/A</v>
        <stp/>
        <stp>BDH|16707907665147703303</stp>
        <tr r="E9" s="2"/>
      </tp>
      <tp t="s">
        <v>#N/A N/A</v>
        <stp/>
        <stp>BDH|18055460106593136259</stp>
        <tr r="Z6" s="5"/>
        <tr r="Z6" s="4"/>
      </tp>
      <tp t="s">
        <v>#N/A N/A</v>
        <stp/>
        <stp>BDH|16265814806644838798</stp>
        <tr r="AC22" s="5"/>
        <tr r="AC22" s="4"/>
      </tp>
      <tp t="s">
        <v>#N/A N/A</v>
        <stp/>
        <stp>BDH|17866384793292796232</stp>
        <tr r="L14" s="5"/>
        <tr r="L14" s="4"/>
      </tp>
      <tp t="s">
        <v>#N/A N/A</v>
        <stp/>
        <stp>BDH|14991706274030839931</stp>
        <tr r="Z14" s="5"/>
        <tr r="Z14" s="4"/>
      </tp>
      <tp t="s">
        <v>#N/A N/A</v>
        <stp/>
        <stp>BDH|18246685539636298673</stp>
        <tr r="O16" s="5"/>
        <tr r="O16" s="4"/>
      </tp>
      <tp t="s">
        <v>#N/A N/A</v>
        <stp/>
        <stp>BDH|18397417255507646373</stp>
        <tr r="AH23" s="2"/>
      </tp>
      <tp t="s">
        <v>#N/A N/A</v>
        <stp/>
        <stp>BDH|13873987116141194718</stp>
        <tr r="AM8" s="2"/>
      </tp>
      <tp t="s">
        <v>#N/A N/A</v>
        <stp/>
        <stp>BDH|16916916323953005326</stp>
        <tr r="X8" s="5"/>
        <tr r="X8" s="4"/>
      </tp>
      <tp t="s">
        <v>#N/A N/A</v>
        <stp/>
        <stp>BDH|16819701549858019094</stp>
        <tr r="J7" s="5"/>
        <tr r="J7" s="4"/>
      </tp>
      <tp t="s">
        <v>#N/A N/A</v>
        <stp/>
        <stp>BDH|14529145725773709989</stp>
        <tr r="AL17" s="2"/>
      </tp>
      <tp t="s">
        <v>#N/A N/A</v>
        <stp/>
        <stp>BDH|16825564883222581432</stp>
        <tr r="D28" s="2"/>
      </tp>
      <tp t="s">
        <v>#N/A N/A</v>
        <stp/>
        <stp>BDH|14637283985403388038</stp>
        <tr r="AE21" s="2"/>
      </tp>
      <tp t="s">
        <v>#N/A N/A</v>
        <stp/>
        <stp>BDH|12485272394993992744</stp>
        <tr r="Q23" s="2"/>
      </tp>
      <tp t="s">
        <v>#N/A N/A</v>
        <stp/>
        <stp>BDH|12702613289456634735</stp>
        <tr r="L7" s="2"/>
      </tp>
      <tp t="s">
        <v>#N/A N/A</v>
        <stp/>
        <stp>BDH|11823915677127129550</stp>
        <tr r="AN9" s="5"/>
        <tr r="AN9" s="4"/>
      </tp>
      <tp t="s">
        <v>#N/A N/A</v>
        <stp/>
        <stp>BDH|12495406887531623280</stp>
        <tr r="AC20" s="5"/>
        <tr r="AC20" s="4"/>
      </tp>
      <tp t="s">
        <v>#N/A N/A</v>
        <stp/>
        <stp>BDH|10965711644398794663</stp>
        <tr r="AB10" s="2"/>
      </tp>
      <tp t="s">
        <v>#N/A N/A</v>
        <stp/>
        <stp>BDH|17762213170096309987</stp>
        <tr r="AM9" s="5"/>
        <tr r="AM9" s="4"/>
      </tp>
      <tp t="s">
        <v>#N/A N/A</v>
        <stp/>
        <stp>BDH|15312918911597957767</stp>
        <tr r="AG17" s="5"/>
        <tr r="AG17" s="4"/>
      </tp>
      <tp t="s">
        <v>#N/A N/A</v>
        <stp/>
        <stp>BDH|12146802048996551506</stp>
        <tr r="AJ20" s="2"/>
      </tp>
      <tp t="s">
        <v>#N/A N/A</v>
        <stp/>
        <stp>BDH|13576842749225592726</stp>
        <tr r="R20" s="2"/>
      </tp>
      <tp t="s">
        <v>#N/A N/A</v>
        <stp/>
        <stp>BDH|14925937929465423787</stp>
        <tr r="AP8" s="2"/>
      </tp>
      <tp t="s">
        <v>#N/A N/A</v>
        <stp/>
        <stp>BDH|15785686884303314564</stp>
        <tr r="AA13" s="2"/>
      </tp>
      <tp t="s">
        <v>#N/A N/A</v>
        <stp/>
        <stp>BDH|17668474228944149860</stp>
        <tr r="N21" s="5"/>
        <tr r="N21" s="4"/>
      </tp>
      <tp t="s">
        <v>#N/A N/A</v>
        <stp/>
        <stp>BDP|10277838918662399913</stp>
        <tr r="T16" s="3"/>
      </tp>
      <tp t="s">
        <v>#N/A N/A</v>
        <stp/>
        <stp>BDP|13604844926669648296</stp>
        <tr r="R15" s="3"/>
      </tp>
      <tp t="s">
        <v>#N/A N/A</v>
        <stp/>
        <stp>BDP|11753418239444508005</stp>
        <tr r="M19" s="3"/>
      </tp>
      <tp t="s">
        <v>#N/A N/A</v>
        <stp/>
        <stp>BDP|17389964876099552298</stp>
        <tr r="E19" s="3"/>
      </tp>
      <tp t="s">
        <v>#N/A N/A</v>
        <stp/>
        <stp>BDP|14182384519105362124</stp>
        <tr r="R20" s="3"/>
      </tp>
      <tp t="s">
        <v>#N/A N/A</v>
        <stp/>
        <stp>BDP|17925187415703596607</stp>
        <tr r="AE9" s="3"/>
      </tp>
      <tp t="s">
        <v>#N/A N/A</v>
        <stp/>
        <stp>BDP|13336044879342961470</stp>
        <tr r="J20" s="3"/>
      </tp>
      <tp t="s">
        <v>#N/A N/A</v>
        <stp/>
        <stp>BDP|11073162213652739120</stp>
        <tr r="H19" s="3"/>
      </tp>
      <tp t="s">
        <v>#N/A N/A</v>
        <stp/>
        <stp>BDP|17238181709633665720</stp>
        <tr r="C20" s="3"/>
      </tp>
      <tp t="s">
        <v>#N/A N/A</v>
        <stp/>
        <stp>BDP|10556730562987399405</stp>
        <tr r="F16" s="3"/>
      </tp>
      <tp t="s">
        <v>#N/A N/A</v>
        <stp/>
        <stp>BDH|16158052768137855559</stp>
        <tr r="Q9" s="2"/>
      </tp>
      <tp t="s">
        <v>#N/A N/A</v>
        <stp/>
        <stp>BDH|17609405848174795185</stp>
        <tr r="U8" s="2"/>
      </tp>
      <tp t="s">
        <v>#N/A N/A</v>
        <stp/>
        <stp>BDH|11408860150927426962</stp>
        <tr r="AA9" s="5"/>
        <tr r="AA9" s="4"/>
      </tp>
      <tp t="s">
        <v>#N/A N/A</v>
        <stp/>
        <stp>BDH|16111307834056227279</stp>
        <tr r="I22" s="2"/>
      </tp>
      <tp t="s">
        <v>#N/A N/A</v>
        <stp/>
        <stp>BDH|14639247565642546014</stp>
        <tr r="S23" s="2"/>
      </tp>
      <tp t="s">
        <v>#N/A N/A</v>
        <stp/>
        <stp>BDH|17544655617604587607</stp>
        <tr r="AN23" s="2"/>
      </tp>
      <tp t="s">
        <v>#N/A N/A</v>
        <stp/>
        <stp>BDH|16123054200997222341</stp>
        <tr r="P25" s="5"/>
        <tr r="P25" s="4"/>
      </tp>
      <tp t="s">
        <v>#N/A N/A</v>
        <stp/>
        <stp>BDH|15527456042103396444</stp>
        <tr r="AC22" s="2"/>
      </tp>
      <tp t="s">
        <v>#N/A N/A</v>
        <stp/>
        <stp>BDH|10349119673944037044</stp>
        <tr r="AK14" s="5"/>
        <tr r="AK14" s="4"/>
      </tp>
      <tp t="s">
        <v>#N/A N/A</v>
        <stp/>
        <stp>BDH|14697929488313257495</stp>
        <tr r="AO12" s="5"/>
        <tr r="AO12" s="4"/>
      </tp>
      <tp t="s">
        <v>#N/A N/A</v>
        <stp/>
        <stp>BDH|17688265270522545234</stp>
        <tr r="F29" s="2"/>
      </tp>
      <tp t="s">
        <v>#N/A N/A</v>
        <stp/>
        <stp>BDH|12170510531092447430</stp>
        <tr r="AO7" s="2"/>
      </tp>
      <tp t="s">
        <v>#N/A N/A</v>
        <stp/>
        <stp>BDH|16207571785919153078</stp>
        <tr r="V24" s="2"/>
      </tp>
      <tp t="s">
        <v>#N/A N/A</v>
        <stp/>
        <stp>BDH|16004089976653003076</stp>
        <tr r="AE7" s="2"/>
      </tp>
      <tp t="s">
        <v>#N/A N/A</v>
        <stp/>
        <stp>BDH|11469022118531742308</stp>
        <tr r="D8" s="5"/>
        <tr r="D8" s="4"/>
      </tp>
      <tp t="s">
        <v>#N/A N/A</v>
        <stp/>
        <stp>BDH|17150062919001007568</stp>
        <tr r="N28" s="2"/>
      </tp>
      <tp t="s">
        <v>#N/A N/A</v>
        <stp/>
        <stp>BDH|13026425466571753284</stp>
        <tr r="F22" s="2"/>
      </tp>
      <tp t="s">
        <v>#N/A N/A</v>
        <stp/>
        <stp>BDH|14177215866675562780</stp>
        <tr r="AG6" s="5"/>
        <tr r="AG6" s="4"/>
      </tp>
      <tp t="s">
        <v>#N/A N/A</v>
        <stp/>
        <stp>BDH|13112585526083135557</stp>
        <tr r="U9" s="5"/>
        <tr r="U9" s="4"/>
      </tp>
      <tp t="s">
        <v>#N/A N/A</v>
        <stp/>
        <stp>BDH|13386426666283843051</stp>
        <tr r="L20" s="2"/>
      </tp>
      <tp t="s">
        <v>#N/A N/A</v>
        <stp/>
        <stp>BDH|11736461514423912563</stp>
        <tr r="J9" s="2"/>
      </tp>
      <tp t="s">
        <v>#N/A N/A</v>
        <stp/>
        <stp>BDH|12689773889519661633</stp>
        <tr r="C12" s="5"/>
        <tr r="C12" s="4"/>
      </tp>
      <tp t="s">
        <v>#N/A N/A</v>
        <stp/>
        <stp>BDH|16801535140906130360</stp>
        <tr r="Z20" s="2"/>
      </tp>
      <tp t="s">
        <v>#N/A N/A</v>
        <stp/>
        <stp>BDH|15411680134640714238</stp>
        <tr r="F13" s="2"/>
      </tp>
      <tp t="s">
        <v>#N/A N/A</v>
        <stp/>
        <stp>BDH|12300563718784518076</stp>
        <tr r="AC20" s="2"/>
      </tp>
      <tp t="s">
        <v>#N/A N/A</v>
        <stp/>
        <stp>BDH|14927260585914148852</stp>
        <tr r="AH22" s="5"/>
        <tr r="AH22" s="4"/>
      </tp>
      <tp t="s">
        <v>#N/A N/A</v>
        <stp/>
        <stp>BDH|11394937237241087899</stp>
        <tr r="U20" s="2"/>
      </tp>
      <tp t="s">
        <v>#N/A N/A</v>
        <stp/>
        <stp>BDH|17803393744920346288</stp>
        <tr r="R8" s="2"/>
      </tp>
      <tp t="s">
        <v>#N/A N/A</v>
        <stp/>
        <stp>BDH|18001955175490758490</stp>
        <tr r="O8" s="5"/>
        <tr r="O8" s="4"/>
      </tp>
      <tp t="s">
        <v>#N/A N/A</v>
        <stp/>
        <stp>BDP|11382760339796048061</stp>
        <tr r="E20" s="3"/>
      </tp>
      <tp t="s">
        <v>#N/A N/A</v>
        <stp/>
        <stp>BDP|17273639531018640982</stp>
        <tr r="AP13" s="3"/>
      </tp>
      <tp t="s">
        <v>#N/A N/A</v>
        <stp/>
        <stp>BDP|13195852392472620324</stp>
        <tr r="AL13" s="3"/>
      </tp>
      <tp t="s">
        <v>#N/A N/A</v>
        <stp/>
        <stp>BDP|15568202966480979286</stp>
        <tr r="AC13" s="3"/>
      </tp>
      <tp t="s">
        <v>#N/A N/A</v>
        <stp/>
        <stp>BDH|16323895582820888516</stp>
        <tr r="M9" s="2"/>
      </tp>
      <tp t="s">
        <v>#N/A N/A</v>
        <stp/>
        <stp>BDH|17398289123690814416</stp>
        <tr r="AM25" s="5"/>
        <tr r="AM25" s="4"/>
      </tp>
      <tp t="s">
        <v>#N/A N/A</v>
        <stp/>
        <stp>BDH|12120139522730041218</stp>
        <tr r="Y17" s="2"/>
      </tp>
      <tp t="s">
        <v>#N/A N/A</v>
        <stp/>
        <stp>BDH|11945235806541951153</stp>
        <tr r="N13" s="5"/>
        <tr r="N13" s="4"/>
      </tp>
      <tp t="s">
        <v>#N/A N/A</v>
        <stp/>
        <stp>BDH|15448053212300640757</stp>
        <tr r="AL10" s="2"/>
      </tp>
      <tp t="s">
        <v>#N/A N/A</v>
        <stp/>
        <stp>BDH|12904016201150881125</stp>
        <tr r="AF24" s="2"/>
      </tp>
      <tp t="s">
        <v>#N/A N/A</v>
        <stp/>
        <stp>BDH|12031053276731914790</stp>
        <tr r="AK22" s="2"/>
      </tp>
      <tp t="s">
        <v>#N/A N/A</v>
        <stp/>
        <stp>BDH|11111518156975299760</stp>
        <tr r="AM19" s="2"/>
      </tp>
      <tp t="s">
        <v>#N/A N/A</v>
        <stp/>
        <stp>BDH|17425768642070360763</stp>
        <tr r="AG25" s="5"/>
        <tr r="AG25" s="4"/>
      </tp>
      <tp t="s">
        <v>#N/A N/A</v>
        <stp/>
        <stp>BDH|10467602106353058675</stp>
        <tr r="I7" s="5"/>
        <tr r="I7" s="4"/>
      </tp>
      <tp t="s">
        <v>#N/A N/A</v>
        <stp/>
        <stp>BDH|10160404517483750546</stp>
        <tr r="H17" s="2"/>
      </tp>
      <tp t="s">
        <v>#N/A N/A</v>
        <stp/>
        <stp>BDH|13857463832422388588</stp>
        <tr r="AH21" s="2"/>
      </tp>
      <tp t="s">
        <v>#N/A N/A</v>
        <stp/>
        <stp>BDH|16401355965612041230</stp>
        <tr r="V16" s="5"/>
        <tr r="V16" s="4"/>
      </tp>
      <tp t="s">
        <v>#N/A N/A</v>
        <stp/>
        <stp>BDH|13631337869282858736</stp>
        <tr r="G20" s="2"/>
      </tp>
      <tp t="s">
        <v>#N/A N/A</v>
        <stp/>
        <stp>BDH|10411327609842116286</stp>
        <tr r="F20" s="2"/>
      </tp>
      <tp t="s">
        <v>#N/A N/A</v>
        <stp/>
        <stp>BDH|17692209499468195767</stp>
        <tr r="C8" s="2"/>
      </tp>
      <tp t="s">
        <v>#N/A N/A</v>
        <stp/>
        <stp>BDH|17057762769310092543</stp>
        <tr r="M18" s="5"/>
        <tr r="M18" s="4"/>
      </tp>
      <tp t="s">
        <v>#N/A N/A</v>
        <stp/>
        <stp>BDH|10751399877723709456</stp>
        <tr r="J13" s="2"/>
      </tp>
      <tp t="s">
        <v>#N/A N/A</v>
        <stp/>
        <stp>BDH|11017633079014576743</stp>
        <tr r="M29" s="2"/>
      </tp>
      <tp t="s">
        <v>#N/A N/A</v>
        <stp/>
        <stp>BDH|14739155237977766281</stp>
        <tr r="Y22" s="2"/>
      </tp>
      <tp t="s">
        <v>#N/A N/A</v>
        <stp/>
        <stp>BDH|14008701647432983643</stp>
        <tr r="C9" s="2"/>
      </tp>
      <tp t="s">
        <v>#N/A N/A</v>
        <stp/>
        <stp>BDH|12431929392805720492</stp>
        <tr r="AC9" s="2"/>
      </tp>
      <tp t="s">
        <v>#N/A N/A</v>
        <stp/>
        <stp>BDH|12118471641418910940</stp>
        <tr r="O6" s="5"/>
        <tr r="O6" s="4"/>
      </tp>
      <tp t="s">
        <v>#N/A N/A</v>
        <stp/>
        <stp>BDH|15551415347962960474</stp>
        <tr r="U17" s="2"/>
      </tp>
      <tp t="s">
        <v>#N/A N/A</v>
        <stp/>
        <stp>BDH|14410852096821859723</stp>
        <tr r="AA22" s="2"/>
      </tp>
      <tp t="s">
        <v>#N/A N/A</v>
        <stp/>
        <stp>BDH|13596771778018726809</stp>
        <tr r="J21" s="5"/>
        <tr r="J21" s="4"/>
      </tp>
      <tp t="s">
        <v>#N/A N/A</v>
        <stp/>
        <stp>BDH|14125607338501263364</stp>
        <tr r="AO17" s="5"/>
        <tr r="AO17" s="4"/>
      </tp>
      <tp t="s">
        <v>#N/A N/A</v>
        <stp/>
        <stp>BDH|10756502628141566566</stp>
        <tr r="AI14" s="5"/>
        <tr r="AI14" s="4"/>
      </tp>
      <tp t="s">
        <v>#N/A N/A</v>
        <stp/>
        <stp>BDH|10660360861283766593</stp>
        <tr r="R23" s="2"/>
      </tp>
      <tp t="s">
        <v>#N/A N/A</v>
        <stp/>
        <stp>BDH|10250816371279543580</stp>
        <tr r="E13" s="2"/>
      </tp>
      <tp t="s">
        <v>#N/A N/A</v>
        <stp/>
        <stp>BDH|17523689750503764443</stp>
        <tr r="M25" s="5"/>
        <tr r="M25" s="4"/>
      </tp>
      <tp t="s">
        <v>#N/A N/A</v>
        <stp/>
        <stp>BDH|10354762239122417560</stp>
        <tr r="D20" s="5"/>
        <tr r="D20" s="4"/>
      </tp>
      <tp t="s">
        <v>#N/A N/A</v>
        <stp/>
        <stp>BDH|17063488442663669728</stp>
        <tr r="U13" s="5"/>
        <tr r="U13" s="4"/>
      </tp>
      <tp t="s">
        <v>#N/A N/A</v>
        <stp/>
        <stp>BDP|18307478110149957416</stp>
        <tr r="AI13" s="3"/>
      </tp>
      <tp t="s">
        <v>#N/A N/A</v>
        <stp/>
        <stp>BDP|12768113636854636456</stp>
        <tr r="Z20" s="3"/>
      </tp>
      <tp t="s">
        <v>#N/A N/A</v>
        <stp/>
        <stp>BDP|10870113583410469997</stp>
        <tr r="H9" s="3"/>
      </tp>
      <tp t="s">
        <v>#N/A N/A</v>
        <stp/>
        <stp>BDP|10611316849100003791</stp>
        <tr r="Q15" s="3"/>
      </tp>
      <tp t="s">
        <v>#N/A N/A</v>
        <stp/>
        <stp>BDH|14197464205116495662</stp>
        <tr r="E9" s="5"/>
        <tr r="E9" s="4"/>
      </tp>
      <tp t="s">
        <v>#N/A N/A</v>
        <stp/>
        <stp>BDH|17699737709489645995</stp>
        <tr r="Q24" s="2"/>
      </tp>
      <tp t="s">
        <v>#N/A N/A</v>
        <stp/>
        <stp>BDH|16007073260432319279</stp>
        <tr r="M21" s="2"/>
      </tp>
      <tp t="s">
        <v>#N/A N/A</v>
        <stp/>
        <stp>BDH|13176468835184809092</stp>
        <tr r="Q22" s="5"/>
        <tr r="Q22" s="4"/>
      </tp>
      <tp t="s">
        <v>#N/A N/A</v>
        <stp/>
        <stp>BDH|11000461365211163212</stp>
        <tr r="F8" s="2"/>
      </tp>
      <tp t="s">
        <v>#N/A N/A</v>
        <stp/>
        <stp>BDH|13264620074386196473</stp>
        <tr r="S25" s="5"/>
        <tr r="S25" s="4"/>
      </tp>
      <tp t="s">
        <v>#N/A N/A</v>
        <stp/>
        <stp>BDH|11282579901437064364</stp>
        <tr r="T22" s="5"/>
        <tr r="T22" s="4"/>
      </tp>
      <tp t="s">
        <v>#N/A N/A</v>
        <stp/>
        <stp>BDH|16347568217371381333</stp>
        <tr r="V29" s="2"/>
      </tp>
      <tp t="s">
        <v>#N/A N/A</v>
        <stp/>
        <stp>BDH|13614082446827909047</stp>
        <tr r="AD18" s="5"/>
        <tr r="AD18" s="4"/>
      </tp>
      <tp t="s">
        <v>#N/A N/A</v>
        <stp/>
        <stp>BDH|11569300933585152427</stp>
        <tr r="AE13" s="2"/>
      </tp>
      <tp t="s">
        <v>#N/A N/A</v>
        <stp/>
        <stp>BDH|12537811284060199253</stp>
        <tr r="AA23" s="2"/>
      </tp>
      <tp t="s">
        <v>#N/A N/A</v>
        <stp/>
        <stp>BDH|14320716870697499324</stp>
        <tr r="AB8" s="2"/>
      </tp>
      <tp t="s">
        <v>#N/A N/A</v>
        <stp/>
        <stp>BDH|14431325511744111212</stp>
        <tr r="G21" s="5"/>
        <tr r="G21" s="4"/>
      </tp>
      <tp t="s">
        <v>#N/A N/A</v>
        <stp/>
        <stp>BDH|11794688401201168681</stp>
        <tr r="O10" s="5"/>
        <tr r="O10" s="4"/>
      </tp>
      <tp t="s">
        <v>#N/A N/A</v>
        <stp/>
        <stp>BDH|10390622321586051298</stp>
        <tr r="AC12" s="5"/>
        <tr r="AC12" s="4"/>
      </tp>
      <tp t="s">
        <v>#N/A N/A</v>
        <stp/>
        <stp>BDH|12297639918396466347</stp>
        <tr r="AN28" s="2"/>
      </tp>
      <tp t="s">
        <v>#N/A N/A</v>
        <stp/>
        <stp>BDH|17777222460144902752</stp>
        <tr r="W17" s="2"/>
      </tp>
      <tp t="s">
        <v>#N/A N/A</v>
        <stp/>
        <stp>BDH|12520596672104713413</stp>
        <tr r="G7" s="5"/>
        <tr r="G7" s="4"/>
      </tp>
      <tp t="s">
        <v>#N/A N/A</v>
        <stp/>
        <stp>BDH|14079109933886985010</stp>
        <tr r="G22" s="2"/>
      </tp>
      <tp t="s">
        <v>#N/A N/A</v>
        <stp/>
        <stp>BDH|13318386246605703112</stp>
        <tr r="AI7" s="5"/>
        <tr r="AI7" s="4"/>
      </tp>
      <tp t="s">
        <v>#N/A N/A</v>
        <stp/>
        <stp>BDH|13559955268979465563</stp>
        <tr r="Y21" s="5"/>
        <tr r="Y21" s="4"/>
      </tp>
      <tp t="s">
        <v>#N/A N/A</v>
        <stp/>
        <stp>BDH|13807258431212591035</stp>
        <tr r="M14" s="5"/>
        <tr r="M14" s="4"/>
      </tp>
      <tp t="s">
        <v>#N/A N/A</v>
        <stp/>
        <stp>BDH|15413628878783679757</stp>
        <tr r="AG21" s="5"/>
        <tr r="AG21" s="4"/>
      </tp>
      <tp t="s">
        <v>#N/A N/A</v>
        <stp/>
        <stp>BDH|16924752511973168312</stp>
        <tr r="AO22" s="5"/>
        <tr r="AO22" s="4"/>
      </tp>
      <tp t="s">
        <v>#N/A N/A</v>
        <stp/>
        <stp>BDH|10010387242994458339</stp>
        <tr r="L22" s="2"/>
      </tp>
      <tp t="s">
        <v>#N/A N/A</v>
        <stp/>
        <stp>BDH|11516438608565510073</stp>
        <tr r="AC25" s="5"/>
        <tr r="AC25" s="4"/>
      </tp>
      <tp t="s">
        <v>#N/A N/A</v>
        <stp/>
        <stp>BDH|17146281395565156911</stp>
        <tr r="V21" s="5"/>
        <tr r="V21" s="4"/>
      </tp>
      <tp t="s">
        <v>#N/A N/A</v>
        <stp/>
        <stp>BDH|12089076910743290094</stp>
        <tr r="M7" s="5"/>
        <tr r="M7" s="4"/>
      </tp>
      <tp t="s">
        <v>#N/A N/A</v>
        <stp/>
        <stp>BDH|14718637281818822224</stp>
        <tr r="S17" s="2"/>
      </tp>
      <tp t="s">
        <v>#N/A N/A</v>
        <stp/>
        <stp>BDH|17891449539333865322</stp>
        <tr r="T21" s="5"/>
        <tr r="T21" s="4"/>
      </tp>
      <tp t="s">
        <v>#N/A N/A</v>
        <stp/>
        <stp>BDH|13060686525190373710</stp>
        <tr r="AK24" s="2"/>
      </tp>
      <tp t="s">
        <v>#N/A N/A</v>
        <stp/>
        <stp>BDH|14877666104345548714</stp>
        <tr r="W20" s="5"/>
        <tr r="W20" s="4"/>
      </tp>
    </main>
    <main first="bofaddin.rtdserver">
      <tp t="s">
        <v>#N/A N/A</v>
        <stp/>
        <stp>BDP|10932858626528753349</stp>
        <tr r="AA13" s="3"/>
      </tp>
      <tp t="s">
        <v>#N/A N/A</v>
        <stp/>
        <stp>BDP|11788901073057830940</stp>
        <tr r="E15" s="3"/>
      </tp>
      <tp t="s">
        <v>#N/A N/A</v>
        <stp/>
        <stp>BDP|17302968669379775033</stp>
        <tr r="G20" s="3"/>
      </tp>
      <tp t="s">
        <v>#N/A N/A</v>
        <stp/>
        <stp>BDP|12087469462913769226</stp>
        <tr r="AG20" s="3"/>
      </tp>
    </main>
    <main first="bofaddin.rtdserver">
      <tp t="s">
        <v>#N/A N/A</v>
        <stp/>
        <stp>BDP|12517281126250367382</stp>
        <tr r="Y20" s="3"/>
      </tp>
      <tp t="s">
        <v>#N/A N/A</v>
        <stp/>
        <stp>BDP|11581607142620479207</stp>
        <tr r="Z16" s="3"/>
      </tp>
      <tp t="s">
        <v>#N/A N/A</v>
        <stp/>
        <stp>BDP|14914126857095737494</stp>
        <tr r="N20" s="3"/>
      </tp>
      <tp t="s">
        <v>#N/A N/A</v>
        <stp/>
        <stp>BDP|12226544874393438233</stp>
        <tr r="AE13" s="3"/>
      </tp>
      <tp t="s">
        <v>#N/A N/A</v>
        <stp/>
        <stp>BDP|12755966757597495858</stp>
        <tr r="U20" s="3"/>
      </tp>
      <tp t="s">
        <v>#N/A N/A</v>
        <stp/>
        <stp>BDH|10755756763648142819</stp>
        <tr r="AI17" s="2"/>
      </tp>
      <tp t="s">
        <v>#N/A N/A</v>
        <stp/>
        <stp>BDH|13765763924275551213</stp>
        <tr r="AA7" s="2"/>
      </tp>
      <tp t="s">
        <v>#N/A N/A</v>
        <stp/>
        <stp>BDH|16097723914537636604</stp>
        <tr r="Q17" s="5"/>
        <tr r="Q17" s="4"/>
      </tp>
      <tp t="s">
        <v>#N/A N/A</v>
        <stp/>
        <stp>BDH|13091919835710146851</stp>
        <tr r="AO21" s="2"/>
      </tp>
      <tp t="s">
        <v>#N/A N/A</v>
        <stp/>
        <stp>BDH|10361954496501340031</stp>
        <tr r="M17" s="5"/>
        <tr r="M17" s="4"/>
      </tp>
      <tp t="s">
        <v>#N/A N/A</v>
        <stp/>
        <stp>BDH|10728864980251028010</stp>
        <tr r="AF6" s="5"/>
        <tr r="AF6" s="4"/>
      </tp>
      <tp t="s">
        <v>#N/A N/A</v>
        <stp/>
        <stp>BDH|11528790548621511225</stp>
        <tr r="S9" s="5"/>
        <tr r="S9" s="4"/>
      </tp>
      <tp t="s">
        <v>#N/A N/A</v>
        <stp/>
        <stp>BDH|14043929017614475928</stp>
        <tr r="J9" s="5"/>
        <tr r="J9" s="4"/>
      </tp>
      <tp t="s">
        <v>#N/A N/A</v>
        <stp/>
        <stp>BDH|11523434358211476081</stp>
        <tr r="AB16" s="5"/>
        <tr r="AB16" s="4"/>
      </tp>
      <tp t="s">
        <v>#N/A N/A</v>
        <stp/>
        <stp>BDH|17706138272995050545</stp>
        <tr r="AE9" s="2"/>
      </tp>
      <tp t="s">
        <v>#N/A N/A</v>
        <stp/>
        <stp>BDH|17789771013648183801</stp>
        <tr r="I19" s="2"/>
      </tp>
      <tp t="s">
        <v>#N/A N/A</v>
        <stp/>
        <stp>BDH|11759914503171687866</stp>
        <tr r="S12" s="5"/>
        <tr r="S12" s="4"/>
      </tp>
      <tp t="s">
        <v>#N/A N/A</v>
        <stp/>
        <stp>BDH|13868609910786520394</stp>
        <tr r="C24" s="2"/>
      </tp>
      <tp t="s">
        <v>#N/A N/A</v>
        <stp/>
        <stp>BDH|18200652557512372872</stp>
        <tr r="AG16" s="5"/>
        <tr r="AG16" s="4"/>
      </tp>
      <tp t="s">
        <v>#N/A N/A</v>
        <stp/>
        <stp>BDH|10241244846331238665</stp>
        <tr r="AG29" s="2"/>
      </tp>
      <tp t="s">
        <v>#N/A N/A</v>
        <stp/>
        <stp>BDH|13895817355029291698</stp>
        <tr r="AP24" s="2"/>
      </tp>
      <tp t="s">
        <v>#N/A N/A</v>
        <stp/>
        <stp>BDH|12335687889748331567</stp>
        <tr r="Q20" s="5"/>
        <tr r="Q20" s="4"/>
      </tp>
      <tp t="s">
        <v>#N/A N/A</v>
        <stp/>
        <stp>BDH|15436484224614964660</stp>
        <tr r="AE20" s="5"/>
        <tr r="AE20" s="4"/>
      </tp>
      <tp t="s">
        <v>#N/A N/A</v>
        <stp/>
        <stp>BDH|16995071861999166893</stp>
        <tr r="G14" s="5"/>
        <tr r="G14" s="4"/>
      </tp>
      <tp t="s">
        <v>#N/A N/A</v>
        <stp/>
        <stp>BDH|12350967693814029701</stp>
        <tr r="D23" s="2"/>
      </tp>
      <tp t="s">
        <v>#N/A N/A</v>
        <stp/>
        <stp>BDH|17250435801726560432</stp>
        <tr r="R27" s="2"/>
      </tp>
      <tp t="s">
        <v>#N/A N/A</v>
        <stp/>
        <stp>BDH|11037074819483845206</stp>
        <tr r="P20" s="2"/>
      </tp>
      <tp t="s">
        <v>#N/A N/A</v>
        <stp/>
        <stp>BDH|13475915542398161701</stp>
        <tr r="AD8" s="5"/>
        <tr r="AD8" s="4"/>
      </tp>
      <tp t="s">
        <v>#N/A N/A</v>
        <stp/>
        <stp>BDH|14941647405747241437</stp>
        <tr r="N16" s="5"/>
        <tr r="N16" s="4"/>
      </tp>
      <tp t="s">
        <v>#N/A N/A</v>
        <stp/>
        <stp>BDH|13192844089762294077</stp>
        <tr r="S19" s="2"/>
      </tp>
      <tp t="s">
        <v>#N/A N/A</v>
        <stp/>
        <stp>BDH|16585503962513973767</stp>
        <tr r="AN27" s="2"/>
      </tp>
      <tp t="s">
        <v>#N/A N/A</v>
        <stp/>
        <stp>BDH|10959170836031607267</stp>
        <tr r="AJ12" s="5"/>
        <tr r="AJ12" s="4"/>
      </tp>
      <tp t="s">
        <v>#N/A N/A</v>
        <stp/>
        <stp>BDH|13528372403630049194</stp>
        <tr r="W7" s="2"/>
      </tp>
      <tp t="s">
        <v>#N/A N/A</v>
        <stp/>
        <stp>BDH|12696512186298241687</stp>
        <tr r="E20" s="5"/>
        <tr r="E20" s="4"/>
      </tp>
      <tp t="s">
        <v>#N/A N/A</v>
        <stp/>
        <stp>BDH|12147846569855411831</stp>
        <tr r="AK25" s="5"/>
        <tr r="AK25" s="4"/>
      </tp>
      <tp t="s">
        <v>#N/A N/A</v>
        <stp/>
        <stp>BDH|17087706790761222996</stp>
        <tr r="N25" s="5"/>
        <tr r="N25" s="4"/>
      </tp>
      <tp t="s">
        <v>#N/A N/A</v>
        <stp/>
        <stp>BDH|14645943427766746895</stp>
        <tr r="D27" s="2"/>
      </tp>
      <tp t="s">
        <v>#N/A N/A</v>
        <stp/>
        <stp>BDH|10056891130219501367</stp>
        <tr r="Z19" s="2"/>
      </tp>
      <tp t="s">
        <v>#N/A N/A</v>
        <stp/>
        <stp>BDH|15389032958443230209</stp>
        <tr r="AJ21" s="5"/>
        <tr r="AJ21" s="4"/>
      </tp>
      <tp t="s">
        <v>#N/A N/A</v>
        <stp/>
        <stp>BDH|16797679822726858578</stp>
        <tr r="H21" s="5"/>
        <tr r="H21" s="4"/>
      </tp>
      <tp t="s">
        <v>#N/A N/A</v>
        <stp/>
        <stp>BDH|16517745238474394770</stp>
        <tr r="S10" s="2"/>
      </tp>
      <tp t="s">
        <v>#N/A N/A</v>
        <stp/>
        <stp>BDH|15729696161476121231</stp>
        <tr r="AI23" s="2"/>
      </tp>
      <tp t="s">
        <v>#N/A N/A</v>
        <stp/>
        <stp>BDH|17796496940944466275</stp>
        <tr r="AD28" s="2"/>
      </tp>
      <tp t="s">
        <v>#N/A N/A</v>
        <stp/>
        <stp>BDH|16064380936010577773</stp>
        <tr r="AO13" s="5"/>
        <tr r="AO13" s="4"/>
      </tp>
      <tp t="s">
        <v>#N/A N/A</v>
        <stp/>
        <stp>BDH|13180073577224908149</stp>
        <tr r="O21" s="2"/>
      </tp>
      <tp t="s">
        <v>#N/A N/A</v>
        <stp/>
        <stp>BDH|12166807481784531791</stp>
        <tr r="Z18" s="5"/>
        <tr r="Z18" s="4"/>
      </tp>
      <tp t="s">
        <v>#N/A N/A</v>
        <stp/>
        <stp>BDH|11401209422650077096</stp>
        <tr r="U25" s="5"/>
        <tr r="U25" s="4"/>
      </tp>
      <tp t="s">
        <v>#N/A N/A</v>
        <stp/>
        <stp>BDH|16860958512968993793</stp>
        <tr r="E18" s="5"/>
        <tr r="E18" s="4"/>
      </tp>
      <tp t="s">
        <v>#N/A N/A</v>
        <stp/>
        <stp>BDH|15157490816237923686</stp>
        <tr r="M16" s="5"/>
        <tr r="M16" s="4"/>
      </tp>
      <tp t="s">
        <v>#N/A N/A</v>
        <stp/>
        <stp>BDH|12380191413491567228</stp>
        <tr r="E27" s="2"/>
      </tp>
      <tp t="s">
        <v>#N/A N/A</v>
        <stp/>
        <stp>BDH|10150020639140173254</stp>
        <tr r="Q7" s="2"/>
      </tp>
      <tp t="s">
        <v>#N/A N/A</v>
        <stp/>
        <stp>BDP|12584576036813935148</stp>
        <tr r="AG13" s="3"/>
      </tp>
      <tp t="s">
        <v>#N/A N/A</v>
        <stp/>
        <stp>BDP|18320694192484476579</stp>
        <tr r="AL9" s="3"/>
      </tp>
      <tp t="s">
        <v>#N/A N/A</v>
        <stp/>
        <stp>BDP|15231571929644287020</stp>
        <tr r="AI20" s="3"/>
      </tp>
      <tp t="s">
        <v>#N/A N/A</v>
        <stp/>
        <stp>BDP|14065105550495943378</stp>
        <tr r="P16" s="3"/>
      </tp>
      <tp t="s">
        <v>#N/A N/A</v>
        <stp/>
        <stp>BDP|10794904588947005019</stp>
        <tr r="AL16" s="3"/>
      </tp>
      <tp t="s">
        <v>#N/A N/A</v>
        <stp/>
        <stp>BDP|16603494741567611765</stp>
        <tr r="L19" s="3"/>
      </tp>
      <tp t="s">
        <v>#N/A N/A</v>
        <stp/>
        <stp>BDP|10963215915224857143</stp>
        <tr r="AB20" s="3"/>
      </tp>
      <tp t="s">
        <v>#N/A N/A</v>
        <stp/>
        <stp>BDP|11075036472383242323</stp>
        <tr r="AE16" s="3"/>
      </tp>
      <tp t="s">
        <v>#N/A N/A</v>
        <stp/>
        <stp>BDP|10269615118365956471</stp>
        <tr r="AC19" s="3"/>
      </tp>
      <tp t="s">
        <v>#N/A N/A</v>
        <stp/>
        <stp>BDH|14730680864390922233</stp>
        <tr r="AC10" s="5"/>
        <tr r="AC10" s="4"/>
      </tp>
      <tp t="s">
        <v>#N/A N/A</v>
        <stp/>
        <stp>BDH|15521646114647240361</stp>
        <tr r="AG9" s="2"/>
      </tp>
      <tp t="s">
        <v>#N/A N/A</v>
        <stp/>
        <stp>BDH|15925699143025100421</stp>
        <tr r="AJ23" s="2"/>
      </tp>
      <tp t="s">
        <v>#N/A N/A</v>
        <stp/>
        <stp>BDH|17572007201336181754</stp>
        <tr r="H9" s="2"/>
      </tp>
      <tp t="s">
        <v>#N/A N/A</v>
        <stp/>
        <stp>BDH|11212640640526304359</stp>
        <tr r="AP7" s="5"/>
        <tr r="AP7" s="4"/>
      </tp>
      <tp t="s">
        <v>#N/A N/A</v>
        <stp/>
        <stp>BDH|12562917880656300375</stp>
        <tr r="F7" s="2"/>
      </tp>
      <tp t="s">
        <v>#N/A N/A</v>
        <stp/>
        <stp>BDH|12288774607087014417</stp>
        <tr r="Y9" s="2"/>
      </tp>
      <tp t="s">
        <v>#N/A N/A</v>
        <stp/>
        <stp>BDH|13490093915262257695</stp>
        <tr r="X22" s="5"/>
        <tr r="X22" s="4"/>
      </tp>
      <tp t="s">
        <v>#N/A N/A</v>
        <stp/>
        <stp>BDH|11769871391311601746</stp>
        <tr r="X21" s="2"/>
      </tp>
      <tp t="s">
        <v>#N/A N/A</v>
        <stp/>
        <stp>BDH|13910766963907765388</stp>
        <tr r="Z21" s="2"/>
      </tp>
      <tp t="s">
        <v>#N/A N/A</v>
        <stp/>
        <stp>BDH|17039137313763049232</stp>
        <tr r="N17" s="2"/>
      </tp>
    </main>
    <main first="bofaddin.rtdserver">
      <tp t="s">
        <v>#N/A N/A</v>
        <stp/>
        <stp>BDH|16847442559327685616</stp>
        <tr r="AL13" s="5"/>
        <tr r="AL13" s="4"/>
      </tp>
      <tp t="s">
        <v>#N/A N/A</v>
        <stp/>
        <stp>BDH|14841590757734257661</stp>
        <tr r="R20" s="5"/>
        <tr r="R20" s="4"/>
      </tp>
      <tp t="s">
        <v>#N/A N/A</v>
        <stp/>
        <stp>BDH|17359833530963388965</stp>
        <tr r="Q29" s="2"/>
      </tp>
      <tp t="s">
        <v>#N/A N/A</v>
        <stp/>
        <stp>BDH|11943779906661579197</stp>
        <tr r="R16" s="5"/>
        <tr r="R16" s="4"/>
      </tp>
      <tp t="s">
        <v>#N/A N/A</v>
        <stp/>
        <stp>BDH|10693409125800661024</stp>
        <tr r="V6" s="5"/>
        <tr r="V6" s="4"/>
      </tp>
      <tp t="s">
        <v>#N/A N/A</v>
        <stp/>
        <stp>BDH|18094209689245801161</stp>
        <tr r="I8" s="2"/>
      </tp>
      <tp t="s">
        <v>#N/A N/A</v>
        <stp/>
        <stp>BDH|15547402613574354220</stp>
        <tr r="AK29" s="2"/>
      </tp>
      <tp t="s">
        <v>#N/A N/A</v>
        <stp/>
        <stp>BDH|10084425368772863644</stp>
        <tr r="AP18" s="5"/>
        <tr r="AP18" s="4"/>
      </tp>
      <tp t="s">
        <v>#N/A N/A</v>
        <stp/>
        <stp>BDH|13804214600087671097</stp>
        <tr r="C10" s="5"/>
        <tr r="C10" s="4"/>
      </tp>
      <tp t="s">
        <v>#N/A N/A</v>
        <stp/>
        <stp>BDH|10943670472014088358</stp>
        <tr r="V8" s="5"/>
        <tr r="V8" s="4"/>
      </tp>
      <tp t="s">
        <v>#N/A N/A</v>
        <stp/>
        <stp>BDH|14148281524775607709</stp>
        <tr r="AM10" s="2"/>
      </tp>
      <tp t="s">
        <v>#N/A N/A</v>
        <stp/>
        <stp>BDH|17301139762742008495</stp>
        <tr r="AP10" s="2"/>
      </tp>
      <tp t="s">
        <v>#N/A N/A</v>
        <stp/>
        <stp>BDH|14061719266534981750</stp>
        <tr r="O17" s="2"/>
      </tp>
      <tp t="s">
        <v>#N/A N/A</v>
        <stp/>
        <stp>BDH|17567035274195189398</stp>
        <tr r="AN29" s="2"/>
      </tp>
      <tp t="s">
        <v>#N/A N/A</v>
        <stp/>
        <stp>BDH|12429115938333672513</stp>
        <tr r="V17" s="5"/>
        <tr r="V17" s="4"/>
      </tp>
      <tp t="s">
        <v>#N/A N/A</v>
        <stp/>
        <stp>BDH|16324877030112816961</stp>
        <tr r="G8" s="2"/>
      </tp>
      <tp t="s">
        <v>#N/A N/A</v>
        <stp/>
        <stp>BDH|11421278168513776015</stp>
        <tr r="E21" s="2"/>
      </tp>
      <tp t="s">
        <v>#N/A N/A</v>
        <stp/>
        <stp>BDH|15053651464973523085</stp>
        <tr r="F28" s="2"/>
      </tp>
      <tp t="s">
        <v>#N/A N/A</v>
        <stp/>
        <stp>BDH|16705500571527864502</stp>
        <tr r="AI12" s="5"/>
        <tr r="AI12" s="4"/>
      </tp>
      <tp t="s">
        <v>#N/A N/A</v>
        <stp/>
        <stp>BDH|15134546260145980528</stp>
        <tr r="AN6" s="5"/>
        <tr r="AN6" s="4"/>
      </tp>
      <tp t="s">
        <v>#N/A N/A</v>
        <stp/>
        <stp>BDP|17176881559554013985</stp>
        <tr r="AP15" s="3"/>
      </tp>
      <tp t="s">
        <v>#N/A N/A</v>
        <stp/>
        <stp>BDP|15930675247563553314</stp>
        <tr r="AE20" s="3"/>
      </tp>
      <tp t="s">
        <v>#N/A N/A</v>
        <stp/>
        <stp>BDP|11684227115591986443</stp>
        <tr r="F20" s="3"/>
      </tp>
      <tp t="s">
        <v>#N/A N/A</v>
        <stp/>
        <stp>BDP|16138783819000484789</stp>
        <tr r="M15" s="3"/>
      </tp>
      <tp t="s">
        <v>#N/A N/A</v>
        <stp/>
        <stp>BDP|11979378820103965489</stp>
        <tr r="W20" s="3"/>
      </tp>
      <tp t="s">
        <v>#N/A N/A</v>
        <stp/>
        <stp>BDP|16122197200287123763</stp>
        <tr r="AF20" s="3"/>
      </tp>
      <tp t="s">
        <v>#N/A N/A</v>
        <stp/>
        <stp>BDP|17295299235468791987</stp>
        <tr r="M20" s="3"/>
      </tp>
      <tp t="s">
        <v>#N/A N/A</v>
        <stp/>
        <stp>BDP|18414612977039491754</stp>
        <tr r="C19" s="3"/>
      </tp>
      <tp t="s">
        <v>#N/A N/A</v>
        <stp/>
        <stp>BDP|15356435168085848555</stp>
        <tr r="AJ19" s="3"/>
      </tp>
      <tp t="s">
        <v>#N/A N/A</v>
        <stp/>
        <stp>BDP|16050229721180751118</stp>
        <tr r="AI15" s="3"/>
      </tp>
      <tp t="s">
        <v>#N/A N/A</v>
        <stp/>
        <stp>BDP|11975489766720964487</stp>
        <tr r="F9" s="3"/>
      </tp>
      <tp t="s">
        <v>#N/A N/A</v>
        <stp/>
        <stp>BDP|12047583113387939644</stp>
        <tr r="AA20" s="3"/>
      </tp>
      <tp t="s">
        <v>#N/A N/A</v>
        <stp/>
        <stp>BDH|17597120864601644648</stp>
        <tr r="G7" s="2"/>
      </tp>
      <tp t="s">
        <v>#N/A N/A</v>
        <stp/>
        <stp>BDH|12195572634875716655</stp>
        <tr r="Z9" s="5"/>
        <tr r="Z9" s="4"/>
      </tp>
      <tp t="s">
        <v>#N/A N/A</v>
        <stp/>
        <stp>BDH|12085402764186060176</stp>
        <tr r="AC9" s="5"/>
        <tr r="AC9" s="4"/>
      </tp>
      <tp t="s">
        <v>#N/A N/A</v>
        <stp/>
        <stp>BDH|10866781115172728315</stp>
        <tr r="AJ28" s="2"/>
      </tp>
      <tp t="s">
        <v>#N/A N/A</v>
        <stp/>
        <stp>BDH|12684108250120229175</stp>
        <tr r="AN8" s="5"/>
        <tr r="AN8" s="4"/>
      </tp>
      <tp t="s">
        <v>#N/A N/A</v>
        <stp/>
        <stp>BDH|16438787627825087182</stp>
        <tr r="C8" s="5"/>
        <tr r="C8" s="4"/>
      </tp>
      <tp t="s">
        <v>#N/A N/A</v>
        <stp/>
        <stp>BDH|13778067016034044154</stp>
        <tr r="F17" s="2"/>
      </tp>
      <tp t="s">
        <v>#N/A N/A</v>
        <stp/>
        <stp>BDH|10016422061403626675</stp>
        <tr r="V7" s="2"/>
      </tp>
      <tp t="s">
        <v>#N/A N/A</v>
        <stp/>
        <stp>BDH|13065647941761239726</stp>
        <tr r="F10" s="5"/>
        <tr r="F10" s="4"/>
      </tp>
      <tp t="s">
        <v>#N/A N/A</v>
        <stp/>
        <stp>BDH|14717694809032110735</stp>
        <tr r="AH7" s="5"/>
        <tr r="AH7" s="4"/>
      </tp>
      <tp t="s">
        <v>#N/A N/A</v>
        <stp/>
        <stp>BDH|15850456130875881002</stp>
        <tr r="Z8" s="2"/>
      </tp>
      <tp t="s">
        <v>#N/A N/A</v>
        <stp/>
        <stp>BDH|11707244712543221665</stp>
        <tr r="L9" s="5"/>
        <tr r="L9" s="4"/>
      </tp>
      <tp t="s">
        <v>#N/A N/A</v>
        <stp/>
        <stp>BDH|12618388757853898052</stp>
        <tr r="I25" s="5"/>
        <tr r="I25" s="4"/>
      </tp>
      <tp t="s">
        <v>#N/A N/A</v>
        <stp/>
        <stp>BDH|13996340109172536554</stp>
        <tr r="AH9" s="2"/>
      </tp>
      <tp t="s">
        <v>#N/A N/A</v>
        <stp/>
        <stp>BDH|11381845844488107264</stp>
        <tr r="G12" s="5"/>
        <tr r="G12" s="4"/>
      </tp>
      <tp t="s">
        <v>#N/A N/A</v>
        <stp/>
        <stp>BDH|17011201905556772465</stp>
        <tr r="U19" s="2"/>
      </tp>
      <tp t="s">
        <v>#N/A N/A</v>
        <stp/>
        <stp>BDH|10356412361292613724</stp>
        <tr r="T20" s="5"/>
        <tr r="T20" s="4"/>
      </tp>
      <tp t="s">
        <v>#N/A N/A</v>
        <stp/>
        <stp>BDH|10274221233653034543</stp>
        <tr r="E28" s="2"/>
      </tp>
      <tp t="s">
        <v>#N/A N/A</v>
        <stp/>
        <stp>BDH|15295050982188228213</stp>
        <tr r="X19" s="2"/>
      </tp>
      <tp t="s">
        <v>#N/A N/A</v>
        <stp/>
        <stp>BDH|16241275456067218178</stp>
        <tr r="S6" s="5"/>
        <tr r="S6" s="4"/>
      </tp>
      <tp t="s">
        <v>#N/A N/A</v>
        <stp/>
        <stp>BDH|12972420809716017740</stp>
        <tr r="C27" s="2"/>
      </tp>
      <tp t="s">
        <v>#N/A N/A</v>
        <stp/>
        <stp>BDH|16138205822727565603</stp>
        <tr r="Y27" s="2"/>
      </tp>
      <tp t="s">
        <v>#N/A N/A</v>
        <stp/>
        <stp>BDH|15771176575371487592</stp>
        <tr r="AJ16" s="5"/>
        <tr r="AJ16" s="4"/>
      </tp>
      <tp t="s">
        <v>#N/A N/A</v>
        <stp/>
        <stp>BDH|10192549968400163441</stp>
        <tr r="C29" s="2"/>
      </tp>
      <tp t="s">
        <v>#N/A N/A</v>
        <stp/>
        <stp>BDH|15209190105924580737</stp>
        <tr r="AG21" s="2"/>
      </tp>
      <tp t="s">
        <v>#N/A N/A</v>
        <stp/>
        <stp>BDH|13129324213092330480</stp>
        <tr r="AP20" s="2"/>
      </tp>
      <tp t="s">
        <v>#N/A N/A</v>
        <stp/>
        <stp>BDH|14919413434524233049</stp>
        <tr r="AA28" s="2"/>
      </tp>
      <tp t="s">
        <v>#N/A N/A</v>
        <stp/>
        <stp>BDH|10422570938160935182</stp>
        <tr r="AH22" s="2"/>
      </tp>
      <tp t="s">
        <v>#N/A N/A</v>
        <stp/>
        <stp>BDH|10945735237825746679</stp>
        <tr r="AJ29" s="2"/>
      </tp>
      <tp t="s">
        <v>#N/A N/A</v>
        <stp/>
        <stp>BDH|15853684746093884322</stp>
        <tr r="AD17" s="2"/>
      </tp>
      <tp t="s">
        <v>#N/A N/A</v>
        <stp/>
        <stp>BDH|10118591257735770240</stp>
        <tr r="AC8" s="5"/>
        <tr r="AC8" s="4"/>
      </tp>
      <tp t="s">
        <v>#N/A N/A</v>
        <stp/>
        <stp>BDH|14854518483998702624</stp>
        <tr r="H14" s="5"/>
        <tr r="H14" s="4"/>
      </tp>
      <tp t="s">
        <v>#N/A N/A</v>
        <stp/>
        <stp>BDH|11627255988465550907</stp>
        <tr r="Y22" s="5"/>
        <tr r="Y22" s="4"/>
      </tp>
      <tp t="s">
        <v>#N/A N/A</v>
        <stp/>
        <stp>BDH|14890409865853785246</stp>
        <tr r="AK9" s="5"/>
        <tr r="AK9" s="4"/>
      </tp>
    </main>
    <main first="bofaddin.rtdserver">
      <tp t="s">
        <v>#N/A N/A</v>
        <stp/>
        <stp>BDP|14755027856841913478</stp>
        <tr r="T15" s="3"/>
      </tp>
      <tp t="s">
        <v>#N/A N/A</v>
        <stp/>
        <stp>BDP|11876058272392247021</stp>
        <tr r="Q20" s="3"/>
      </tp>
      <tp t="s">
        <v>#N/A N/A</v>
        <stp/>
        <stp>BDP|14421005665564990276</stp>
        <tr r="AF19" s="3"/>
      </tp>
      <tp t="s">
        <v>#N/A N/A</v>
        <stp/>
        <stp>BDP|17760933489833917147</stp>
        <tr r="AN20" s="3"/>
      </tp>
      <tp t="s">
        <v>#N/A N/A</v>
        <stp/>
        <stp>BDH|14222707953216135419</stp>
        <tr r="X28" s="2"/>
      </tp>
      <tp t="s">
        <v>#N/A N/A</v>
        <stp/>
        <stp>BDH|14975811986869461991</stp>
        <tr r="M8" s="2"/>
      </tp>
      <tp t="s">
        <v>#N/A N/A</v>
        <stp/>
        <stp>BDH|13538745717895105446</stp>
        <tr r="AP23" s="2"/>
      </tp>
      <tp t="s">
        <v>#N/A N/A</v>
        <stp/>
        <stp>BDH|16909481302626856080</stp>
        <tr r="AF20" s="2"/>
      </tp>
      <tp t="s">
        <v>#N/A N/A</v>
        <stp/>
        <stp>BDH|11705814531888003654</stp>
        <tr r="AJ20" s="5"/>
        <tr r="AJ20" s="4"/>
      </tp>
      <tp t="s">
        <v>#N/A N/A</v>
        <stp/>
        <stp>BDH|15781666232906106276</stp>
        <tr r="AM24" s="2"/>
      </tp>
      <tp t="s">
        <v>#N/A N/A</v>
        <stp/>
        <stp>BDH|17039192349136350065</stp>
        <tr r="AH16" s="5"/>
        <tr r="AH16" s="4"/>
      </tp>
      <tp t="s">
        <v>#N/A N/A</v>
        <stp/>
        <stp>BDH|15078475431997745154</stp>
        <tr r="Z28" s="2"/>
      </tp>
      <tp t="s">
        <v>#N/A N/A</v>
        <stp/>
        <stp>BDH|16233331324170321329</stp>
        <tr r="Q21" s="2"/>
      </tp>
      <tp t="s">
        <v>#N/A N/A</v>
        <stp/>
        <stp>BDH|14063344704707342470</stp>
        <tr r="AO8" s="2"/>
      </tp>
      <tp t="s">
        <v>#N/A N/A</v>
        <stp/>
        <stp>BDH|14398417335406495173</stp>
        <tr r="J10" s="5"/>
        <tr r="J10" s="4"/>
      </tp>
      <tp t="s">
        <v>#N/A N/A</v>
        <stp/>
        <stp>BDH|10646641866063372734</stp>
        <tr r="H10" s="5"/>
        <tr r="H10" s="4"/>
      </tp>
      <tp t="s">
        <v>#N/A N/A</v>
        <stp/>
        <stp>BDH|10498098874985872666</stp>
        <tr r="F17" s="5"/>
        <tr r="F17" s="4"/>
      </tp>
      <tp t="s">
        <v>#N/A N/A</v>
        <stp/>
        <stp>BDH|12506268611184512104</stp>
        <tr r="AB28" s="2"/>
      </tp>
      <tp t="s">
        <v>#N/A N/A</v>
        <stp/>
        <stp>BDH|10035277874208241961</stp>
        <tr r="L13" s="5"/>
        <tr r="L13" s="4"/>
      </tp>
      <tp t="s">
        <v>#N/A N/A</v>
        <stp/>
        <stp>BDH|15482937546755285940</stp>
        <tr r="P13" s="2"/>
      </tp>
      <tp t="s">
        <v>#N/A N/A</v>
        <stp/>
        <stp>BDH|18348556155204012845</stp>
        <tr r="AI22" s="2"/>
      </tp>
      <tp t="s">
        <v>#N/A N/A</v>
        <stp/>
        <stp>BDH|10847087633231402616</stp>
        <tr r="E23" s="2"/>
      </tp>
      <tp t="s">
        <v>#N/A N/A</v>
        <stp/>
        <stp>BDH|18404134472848127228</stp>
        <tr r="Z7" s="2"/>
      </tp>
      <tp t="s">
        <v>#N/A N/A</v>
        <stp/>
        <stp>BDH|12186594047293187483</stp>
        <tr r="O20" s="5"/>
        <tr r="O20" s="4"/>
      </tp>
      <tp t="s">
        <v>#N/A N/A</v>
        <stp/>
        <stp>BDH|12286243628274546220</stp>
        <tr r="AK23" s="2"/>
      </tp>
      <tp t="s">
        <v>#N/A N/A</v>
        <stp/>
        <stp>BDH|17339535918493846494</stp>
        <tr r="K7" s="2"/>
      </tp>
      <tp t="s">
        <v>#N/A N/A</v>
        <stp/>
        <stp>BDH|14982026250854040126</stp>
        <tr r="I9" s="2"/>
      </tp>
      <tp t="s">
        <v>#N/A N/A</v>
        <stp/>
        <stp>BDH|12550909897624372290</stp>
        <tr r="O18" s="5"/>
        <tr r="O18" s="4"/>
      </tp>
      <tp t="s">
        <v>#N/A N/A</v>
        <stp/>
        <stp>BDH|11002296272547733744</stp>
        <tr r="AP13" s="5"/>
        <tr r="AP13" s="4"/>
      </tp>
      <tp t="s">
        <v>#N/A N/A</v>
        <stp/>
        <stp>BDH|16744080480019705339</stp>
        <tr r="X27" s="2"/>
      </tp>
      <tp t="s">
        <v>#N/A N/A</v>
        <stp/>
        <stp>BDH|14865264374745717009</stp>
        <tr r="U16" s="5"/>
        <tr r="U16" s="4"/>
      </tp>
      <tp t="s">
        <v>#N/A N/A</v>
        <stp/>
        <stp>BDH|13805735303959014950</stp>
        <tr r="H13" s="5"/>
        <tr r="H13" s="4"/>
      </tp>
      <tp t="s">
        <v>#N/A N/A</v>
        <stp/>
        <stp>BDH|15670080028946398582</stp>
        <tr r="T17" s="2"/>
      </tp>
      <tp t="s">
        <v>#N/A N/A</v>
        <stp/>
        <stp>BDH|17861095332731833178</stp>
        <tr r="AO21" s="5"/>
        <tr r="AO21" s="4"/>
      </tp>
      <tp t="s">
        <v>#N/A N/A</v>
        <stp/>
        <stp>BDH|13503882553423002928</stp>
        <tr r="X12" s="5"/>
        <tr r="X12" s="4"/>
      </tp>
      <tp t="s">
        <v>#N/A N/A</v>
        <stp/>
        <stp>BDH|15186970793497880610</stp>
        <tr r="Q25" s="5"/>
        <tr r="Q25" s="4"/>
      </tp>
      <tp t="s">
        <v>#N/A N/A</v>
        <stp/>
        <stp>BDH|16827004060255495137</stp>
        <tr r="R19" s="2"/>
      </tp>
      <tp t="s">
        <v>#N/A N/A</v>
        <stp/>
        <stp>BDH|15122335810634947740</stp>
        <tr r="I7" s="2"/>
      </tp>
      <tp t="s">
        <v>#N/A N/A</v>
        <stp/>
        <stp>BDH|12333185885206709960</stp>
        <tr r="K8" s="5"/>
        <tr r="K8" s="4"/>
      </tp>
      <tp t="s">
        <v>#N/A N/A</v>
        <stp/>
        <stp>BDH|10591820420819091793</stp>
        <tr r="AG22" s="2"/>
      </tp>
      <tp t="s">
        <v>#N/A N/A</v>
        <stp/>
        <stp>BDH|13281137308294127261</stp>
        <tr r="S8" s="5"/>
        <tr r="S8" s="4"/>
      </tp>
      <tp t="s">
        <v>#N/A N/A</v>
        <stp/>
        <stp>BDH|12983197930066712293</stp>
        <tr r="V13" s="2"/>
      </tp>
      <tp t="s">
        <v>#N/A N/A</v>
        <stp/>
        <stp>BDH|13810265005255745027</stp>
        <tr r="H9" s="5"/>
        <tr r="H9" s="4"/>
      </tp>
      <tp t="s">
        <v>#N/A N/A</v>
        <stp/>
        <stp>BDP|11606105132324538282</stp>
        <tr r="J9" s="3"/>
      </tp>
      <tp t="s">
        <v>#N/A N/A</v>
        <stp/>
        <stp>BDP|14405095591561017971</stp>
        <tr r="AF15" s="3"/>
      </tp>
      <tp t="s">
        <v>#N/A N/A</v>
        <stp/>
        <stp>BDP|13354314567641841264</stp>
        <tr r="T13" s="3"/>
      </tp>
      <tp t="s">
        <v>#N/A N/A</v>
        <stp/>
        <stp>BDP|14556923352264921909</stp>
        <tr r="K15" s="3"/>
      </tp>
      <tp t="s">
        <v>#N/A N/A</v>
        <stp/>
        <stp>BDP|11980061844522308274</stp>
        <tr r="M9" s="3"/>
      </tp>
      <tp t="s">
        <v>#N/A N/A</v>
        <stp/>
        <stp>BDP|11530658030670076111</stp>
        <tr r="AN16" s="3"/>
      </tp>
      <tp t="s">
        <v>#N/A N/A</v>
        <stp/>
        <stp>BDP|13095479759622989560</stp>
        <tr r="U15" s="3"/>
      </tp>
      <tp t="s">
        <v>#N/A N/A</v>
        <stp/>
        <stp>BDP|10466002853212032275</stp>
        <tr r="U9" s="3"/>
      </tp>
      <tp t="s">
        <v>#N/A N/A</v>
        <stp/>
        <stp>BDP|17682515407661597661</stp>
        <tr r="D16" s="3"/>
      </tp>
      <tp t="s">
        <v>#N/A N/A</v>
        <stp/>
        <stp>BDP|14104974284610245035</stp>
        <tr r="D15" s="3"/>
      </tp>
      <tp t="s">
        <v>#N/A N/A</v>
        <stp/>
        <stp>BDP|13237369851294686451</stp>
        <tr r="Z19" s="3"/>
      </tp>
      <tp t="s">
        <v>#N/A N/A</v>
        <stp/>
        <stp>BDH|12432740863751315707</stp>
        <tr r="AD13" s="2"/>
      </tp>
      <tp t="s">
        <v>#N/A N/A</v>
        <stp/>
        <stp>BDH|10796273363208324933</stp>
        <tr r="AK16" s="5"/>
        <tr r="AK16" s="4"/>
      </tp>
      <tp t="s">
        <v>#N/A N/A</v>
        <stp/>
        <stp>BDH|17734742725016369177</stp>
        <tr r="Q16" s="5"/>
        <tr r="Q16" s="4"/>
      </tp>
      <tp t="s">
        <v>#N/A N/A</v>
        <stp/>
        <stp>BDH|15899002221971922324</stp>
        <tr r="H22" s="2"/>
      </tp>
      <tp t="s">
        <v>#N/A N/A</v>
        <stp/>
        <stp>BDH|16318776710595296038</stp>
        <tr r="C21" s="2"/>
      </tp>
      <tp t="s">
        <v>#N/A N/A</v>
        <stp/>
        <stp>BDH|17667855570644649901</stp>
        <tr r="L8" s="2"/>
      </tp>
      <tp t="s">
        <v>#N/A N/A</v>
        <stp/>
        <stp>BDH|15088813170917049841</stp>
        <tr r="Q12" s="5"/>
        <tr r="Q12" s="4"/>
      </tp>
      <tp t="s">
        <v>#N/A N/A</v>
        <stp/>
        <stp>BDH|10102019524030825784</stp>
        <tr r="AN22" s="5"/>
        <tr r="AN22" s="4"/>
      </tp>
      <tp t="s">
        <v>#N/A N/A</v>
        <stp/>
        <stp>BDH|14627273886472515968</stp>
        <tr r="Z24" s="2"/>
      </tp>
      <tp t="s">
        <v>#N/A N/A</v>
        <stp/>
        <stp>BDH|12016556237535661406</stp>
        <tr r="AA10" s="5"/>
        <tr r="AA10" s="4"/>
      </tp>
      <tp t="s">
        <v>#N/A N/A</v>
        <stp/>
        <stp>BDH|11730617327737155742</stp>
        <tr r="AE24" s="2"/>
      </tp>
      <tp t="s">
        <v>#N/A N/A</v>
        <stp/>
        <stp>BDH|12374823812698033649</stp>
        <tr r="AG14" s="5"/>
        <tr r="AG14" s="4"/>
      </tp>
      <tp t="s">
        <v>#N/A N/A</v>
        <stp/>
        <stp>BDH|13575972857902796857</stp>
        <tr r="AG7" s="5"/>
        <tr r="AG7" s="4"/>
      </tp>
      <tp t="s">
        <v>#N/A N/A</v>
        <stp/>
        <stp>BDH|12604412700922326138</stp>
        <tr r="G18" s="5"/>
        <tr r="G18" s="4"/>
      </tp>
      <tp t="s">
        <v>#N/A N/A</v>
        <stp/>
        <stp>BDH|13615481328308330824</stp>
        <tr r="R29" s="2"/>
      </tp>
      <tp t="s">
        <v>#N/A N/A</v>
        <stp/>
        <stp>BDH|16570417927557695237</stp>
        <tr r="N14" s="5"/>
        <tr r="N14" s="4"/>
      </tp>
      <tp t="s">
        <v>#N/A N/A</v>
        <stp/>
        <stp>BDH|16107152045467731104</stp>
        <tr r="N23" s="2"/>
      </tp>
      <tp t="s">
        <v>#N/A N/A</v>
        <stp/>
        <stp>BDH|15976664935227445281</stp>
        <tr r="AM13" s="5"/>
        <tr r="AM13" s="4"/>
      </tp>
      <tp t="s">
        <v>#N/A N/A</v>
        <stp/>
        <stp>BDH|11727351435273754799</stp>
        <tr r="AP21" s="2"/>
      </tp>
      <tp t="s">
        <v>#N/A N/A</v>
        <stp/>
        <stp>BDH|17676872079549291434</stp>
        <tr r="AN22" s="2"/>
      </tp>
      <tp t="s">
        <v>#N/A N/A</v>
        <stp/>
        <stp>BDH|14172580719773806617</stp>
        <tr r="Z12" s="5"/>
        <tr r="Z12" s="4"/>
      </tp>
      <tp t="s">
        <v>#N/A N/A</v>
        <stp/>
        <stp>BDH|14833801698892162290</stp>
        <tr r="R13" s="5"/>
        <tr r="R13" s="4"/>
      </tp>
      <tp t="s">
        <v>#N/A N/A</v>
        <stp/>
        <stp>BDH|13490632443472694692</stp>
        <tr r="O21" s="5"/>
        <tr r="O21" s="4"/>
      </tp>
      <tp t="s">
        <v>#N/A N/A</v>
        <stp/>
        <stp>BDH|17114020039697384646</stp>
        <tr r="Q21" s="5"/>
        <tr r="Q21" s="4"/>
      </tp>
      <tp t="s">
        <v>#N/A N/A</v>
        <stp/>
        <stp>BDH|17350288262435248360</stp>
        <tr r="AA14" s="5"/>
        <tr r="AA14" s="4"/>
      </tp>
      <tp t="s">
        <v>#N/A N/A</v>
        <stp/>
        <stp>BDH|18332669028979705074</stp>
        <tr r="AA20" s="2"/>
      </tp>
      <tp t="s">
        <v>#N/A N/A</v>
        <stp/>
        <stp>BDH|10612702161681043587</stp>
        <tr r="AG19" s="2"/>
      </tp>
      <tp t="s">
        <v>#N/A N/A</v>
        <stp/>
        <stp>BDH|15945083419783300244</stp>
        <tr r="D25" s="5"/>
        <tr r="D25" s="4"/>
      </tp>
      <tp t="s">
        <v>#N/A N/A</v>
        <stp/>
        <stp>BDH|17443649912065463081</stp>
        <tr r="AN18" s="5"/>
        <tr r="AN18" s="4"/>
      </tp>
      <tp t="s">
        <v>#N/A N/A</v>
        <stp/>
        <stp>BDH|16665214107044787590</stp>
        <tr r="AD21" s="5"/>
        <tr r="AD21" s="4"/>
      </tp>
      <tp t="s">
        <v>#N/A N/A</v>
        <stp/>
        <stp>BDH|10524884905904132972</stp>
        <tr r="AB7" s="5"/>
        <tr r="AB7" s="4"/>
      </tp>
      <tp t="s">
        <v>#N/A N/A</v>
        <stp/>
        <stp>BDH|15015643634325818063</stp>
        <tr r="AG22" s="5"/>
        <tr r="AG22" s="4"/>
      </tp>
      <tp t="s">
        <v>#N/A N/A</v>
        <stp/>
        <stp>BDH|11432241619594403335</stp>
        <tr r="L8" s="5"/>
        <tr r="L8" s="4"/>
      </tp>
      <tp t="s">
        <v>#N/A N/A</v>
        <stp/>
        <stp>BDH|14477162780139948156</stp>
        <tr r="AG28" s="2"/>
      </tp>
      <tp t="s">
        <v>#N/A N/A</v>
        <stp/>
        <stp>BDH|17736039710881343290</stp>
        <tr r="AF23" s="2"/>
      </tp>
      <tp t="s">
        <v>#N/A N/A</v>
        <stp/>
        <stp>BDH|12661731832943821019</stp>
        <tr r="U21" s="2"/>
      </tp>
    </main>
    <main first="bofaddin.rtdserver">
      <tp t="s">
        <v>#N/A N/A</v>
        <stp/>
        <stp>BDH|3647656823347519</stp>
        <tr r="AB14" s="5"/>
        <tr r="AB14" s="4"/>
      </tp>
    </main>
    <main first="bofaddin.rtdserver">
      <tp t="s">
        <v>#N/A N/A</v>
        <stp/>
        <stp>BDP|4237304668579760477</stp>
        <tr r="G16" s="3"/>
      </tp>
      <tp t="s">
        <v>#N/A N/A</v>
        <stp/>
        <stp>BDH|2937581839288426068</stp>
        <tr r="J17" s="2"/>
      </tp>
      <tp t="s">
        <v>#N/A N/A</v>
        <stp/>
        <stp>BDH|9862629870115175114</stp>
        <tr r="AH21" s="5"/>
        <tr r="AH21" s="4"/>
      </tp>
      <tp t="s">
        <v>#N/A N/A</v>
        <stp/>
        <stp>BDP|1900584828368433269</stp>
        <tr r="X19" s="3"/>
      </tp>
      <tp t="s">
        <v>#N/A N/A</v>
        <stp/>
        <stp>BDH|7437004784795975623</stp>
        <tr r="AA16" s="5"/>
        <tr r="AA16" s="4"/>
      </tp>
      <tp t="s">
        <v>#N/A N/A</v>
        <stp/>
        <stp>BDH|5852998983519898118</stp>
        <tr r="E20" s="2"/>
      </tp>
      <tp t="s">
        <v>#N/A N/A</v>
        <stp/>
        <stp>BDH|7073680187807361270</stp>
        <tr r="AO27" s="2"/>
      </tp>
      <tp t="s">
        <v>#N/A N/A</v>
        <stp/>
        <stp>BDH|8426889496851249404</stp>
        <tr r="Y14" s="5"/>
        <tr r="Y14" s="4"/>
      </tp>
      <tp t="s">
        <v>#N/A N/A</v>
        <stp/>
        <stp>BDH|6145805021166945619</stp>
        <tr r="Z29" s="2"/>
      </tp>
      <tp t="s">
        <v>#N/A N/A</v>
        <stp/>
        <stp>BDH|5170735606119418795</stp>
        <tr r="O12" s="5"/>
        <tr r="O12" s="4"/>
      </tp>
      <tp t="s">
        <v>#N/A N/A</v>
        <stp/>
        <stp>BDH|2690672842188261480</stp>
        <tr r="T9" s="5"/>
        <tr r="T9" s="4"/>
      </tp>
      <tp t="s">
        <v>#N/A N/A</v>
        <stp/>
        <stp>BDP|2538159390113646586</stp>
        <tr r="AG16" s="3"/>
      </tp>
      <tp t="s">
        <v>#N/A N/A</v>
        <stp/>
        <stp>BDH|4006813706340156084</stp>
        <tr r="L20" s="5"/>
        <tr r="L20" s="4"/>
      </tp>
      <tp t="s">
        <v>#N/A N/A</v>
        <stp/>
        <stp>BDH|8651638497948887345</stp>
        <tr r="M10" s="5"/>
        <tr r="M10" s="4"/>
      </tp>
      <tp t="s">
        <v>#N/A N/A</v>
        <stp/>
        <stp>BDP|4665907036335781781</stp>
        <tr r="AD19" s="3"/>
      </tp>
      <tp t="s">
        <v>#N/A N/A</v>
        <stp/>
        <stp>BDH|2839316988781880468</stp>
        <tr r="X9" s="5"/>
        <tr r="X9" s="4"/>
      </tp>
      <tp t="s">
        <v>#N/A N/A</v>
        <stp/>
        <stp>BDH|9655966613345941850</stp>
        <tr r="G23" s="2"/>
      </tp>
      <tp t="s">
        <v>#N/A N/A</v>
        <stp/>
        <stp>BDH|9930302647732346026</stp>
        <tr r="P10" s="5"/>
        <tr r="P10" s="4"/>
      </tp>
      <tp t="s">
        <v>#N/A N/A</v>
        <stp/>
        <stp>BDH|5504167269866506806</stp>
        <tr r="AB21" s="5"/>
        <tr r="AB21" s="4"/>
      </tp>
      <tp t="s">
        <v>#N/A N/A</v>
        <stp/>
        <stp>BDH|9506280978969841922</stp>
        <tr r="AL22" s="2"/>
      </tp>
      <tp t="s">
        <v>#N/A N/A</v>
        <stp/>
        <stp>BDH|2109241579338500340</stp>
        <tr r="AD20" s="2"/>
      </tp>
      <tp t="s">
        <v>#N/A N/A</v>
        <stp/>
        <stp>BDH|4061494547960743847</stp>
        <tr r="L23" s="2"/>
      </tp>
      <tp t="s">
        <v>#N/A N/A</v>
        <stp/>
        <stp>BDH|5685067685080924115</stp>
        <tr r="I9" s="5"/>
        <tr r="I9" s="4"/>
      </tp>
      <tp t="s">
        <v>#N/A N/A</v>
        <stp/>
        <stp>BDP|7335216185237629631</stp>
        <tr r="V13" s="3"/>
      </tp>
      <tp t="s">
        <v>#N/A N/A</v>
        <stp/>
        <stp>BDH|1266800406104174177</stp>
        <tr r="K10" s="5"/>
        <tr r="K10" s="4"/>
      </tp>
      <tp t="s">
        <v>#N/A N/A</v>
        <stp/>
        <stp>BDH|1050022804054553909</stp>
        <tr r="AB21" s="2"/>
      </tp>
      <tp t="s">
        <v>#N/A N/A</v>
        <stp/>
        <stp>BDH|9840807609708785553</stp>
        <tr r="Z17" s="5"/>
        <tr r="Z17" s="4"/>
      </tp>
      <tp t="s">
        <v>#N/A N/A</v>
        <stp/>
        <stp>BDH|6664500457262846890</stp>
        <tr r="AD10" s="5"/>
        <tr r="AD10" s="4"/>
      </tp>
      <tp t="s">
        <v>#N/A N/A</v>
        <stp/>
        <stp>BDP|5045843137427039521</stp>
        <tr r="AH9" s="3"/>
      </tp>
      <tp t="s">
        <v>#N/A N/A</v>
        <stp/>
        <stp>BDH|4142452019114443985</stp>
        <tr r="C7" s="2"/>
      </tp>
      <tp t="s">
        <v>#N/A N/A</v>
        <stp/>
        <stp>BDH|9393455547613021677</stp>
        <tr r="F21" s="5"/>
        <tr r="F21" s="4"/>
      </tp>
      <tp t="s">
        <v>#N/A N/A</v>
        <stp/>
        <stp>BDH|3736778895404730553</stp>
        <tr r="AJ24" s="2"/>
      </tp>
      <tp t="s">
        <v>#N/A N/A</v>
        <stp/>
        <stp>BDH|4074405314659339436</stp>
        <tr r="AH24" s="2"/>
      </tp>
      <tp t="s">
        <v>#N/A N/A</v>
        <stp/>
        <stp>BDH|7976352519259212036</stp>
        <tr r="AL8" s="2"/>
      </tp>
      <tp t="s">
        <v>#N/A N/A</v>
        <stp/>
        <stp>BDH|9468242818173886548</stp>
        <tr r="AF7" s="5"/>
        <tr r="AF7" s="4"/>
      </tp>
      <tp t="s">
        <v>#N/A N/A</v>
        <stp/>
        <stp>BDH|9325467618421176180</stp>
        <tr r="Q22" s="2"/>
      </tp>
      <tp t="s">
        <v>#N/A N/A</v>
        <stp/>
        <stp>BDH|6717265797218290905</stp>
        <tr r="AM20" s="2"/>
      </tp>
      <tp t="s">
        <v>#N/A N/A</v>
        <stp/>
        <stp>BDH|6692175466445771858</stp>
        <tr r="M21" s="5"/>
        <tr r="M21" s="4"/>
      </tp>
      <tp t="s">
        <v>#N/A N/A</v>
        <stp/>
        <stp>BDH|8486022065402412024</stp>
        <tr r="C20" s="2"/>
      </tp>
      <tp t="s">
        <v>#N/A N/A</v>
        <stp/>
        <stp>BDH|5160072150808554466</stp>
        <tr r="R18" s="5"/>
        <tr r="R18" s="4"/>
      </tp>
      <tp t="s">
        <v>#N/A N/A</v>
        <stp/>
        <stp>BDH|92084811473961354</stp>
        <tr r="K24" s="2"/>
      </tp>
      <tp t="s">
        <v>#N/A N/A</v>
        <stp/>
        <stp>BDH|1666295831935587817</stp>
        <tr r="T20" s="2"/>
      </tp>
      <tp t="s">
        <v>#N/A N/A</v>
        <stp/>
        <stp>BDH|6201650391657540398</stp>
        <tr r="N29" s="2"/>
      </tp>
      <tp t="s">
        <v>#N/A N/A</v>
        <stp/>
        <stp>BDH|1410661588115668772</stp>
        <tr r="E14" s="5"/>
        <tr r="E14" s="4"/>
      </tp>
      <tp t="s">
        <v>#N/A N/A</v>
        <stp/>
        <stp>BDH|1448482580064603412</stp>
        <tr r="AA17" s="5"/>
        <tr r="AA17" s="4"/>
      </tp>
      <tp t="s">
        <v>#N/A N/A</v>
        <stp/>
        <stp>BDH|8718873198171116528</stp>
        <tr r="P21" s="2"/>
      </tp>
      <tp t="s">
        <v>#N/A N/A</v>
        <stp/>
        <stp>BDP|9788434337340255384</stp>
        <tr r="U16" s="3"/>
      </tp>
      <tp t="s">
        <v>#N/A N/A</v>
        <stp/>
        <stp>BDH|5440061130698973327</stp>
        <tr r="AN21" s="5"/>
        <tr r="AN21" s="4"/>
      </tp>
      <tp t="s">
        <v>#N/A N/A</v>
        <stp/>
        <stp>BDH|5027162888476209723</stp>
        <tr r="Y17" s="5"/>
        <tr r="Y17" s="4"/>
      </tp>
      <tp t="s">
        <v>#N/A N/A</v>
        <stp/>
        <stp>BDH|7034288417318971195</stp>
        <tr r="AN13" s="5"/>
        <tr r="AN13" s="4"/>
      </tp>
      <tp t="s">
        <v>#N/A N/A</v>
        <stp/>
        <stp>BDP|4071459805654523992</stp>
        <tr r="L9" s="3"/>
      </tp>
      <tp t="s">
        <v>#N/A N/A</v>
        <stp/>
        <stp>BDP|5432787027888435530</stp>
        <tr r="O15" s="3"/>
      </tp>
      <tp t="s">
        <v>#N/A N/A</v>
        <stp/>
        <stp>BDH|1762739449198506741</stp>
        <tr r="AO17" s="2"/>
      </tp>
      <tp t="s">
        <v>#N/A N/A</v>
        <stp/>
        <stp>BDP|9849368220822601758</stp>
        <tr r="AJ9" s="3"/>
      </tp>
      <tp t="s">
        <v>#N/A N/A</v>
        <stp/>
        <stp>BDH|9952000634534277328</stp>
        <tr r="E19" s="2"/>
      </tp>
      <tp t="s">
        <v>#N/A N/A</v>
        <stp/>
        <stp>BDH|5131666658488437390</stp>
        <tr r="H28" s="2"/>
      </tp>
      <tp t="s">
        <v>#N/A N/A</v>
        <stp/>
        <stp>BDH|6761852372714317016</stp>
        <tr r="L17" s="5"/>
        <tr r="L17" s="4"/>
      </tp>
      <tp t="s">
        <v>#N/A N/A</v>
        <stp/>
        <stp>BDH|2701293758851372978</stp>
        <tr r="J20" s="5"/>
        <tr r="J20" s="4"/>
      </tp>
      <tp t="s">
        <v>#N/A N/A</v>
        <stp/>
        <stp>BDH|6230802804070731336</stp>
        <tr r="Y25" s="5"/>
        <tr r="Y25" s="4"/>
      </tp>
      <tp t="s">
        <v>#N/A N/A</v>
        <stp/>
        <stp>BDH|1191989902944187192</stp>
        <tr r="D10" s="2"/>
      </tp>
      <tp t="s">
        <v>#N/A N/A</v>
        <stp/>
        <stp>BDH|2641704378176864955</stp>
        <tr r="O28" s="2"/>
      </tp>
      <tp t="s">
        <v>#N/A N/A</v>
        <stp/>
        <stp>BDH|1163020214899448401</stp>
        <tr r="I17" s="5"/>
        <tr r="I17" s="4"/>
      </tp>
      <tp t="s">
        <v>#N/A N/A</v>
        <stp/>
        <stp>BDH|3920635375196870972</stp>
        <tr r="AD16" s="5"/>
        <tr r="AD16" s="4"/>
      </tp>
      <tp t="s">
        <v>#N/A N/A</v>
        <stp/>
        <stp>BDH|7724371192736491673</stp>
        <tr r="AB18" s="5"/>
        <tr r="AB18" s="4"/>
      </tp>
      <tp t="s">
        <v>#N/A N/A</v>
        <stp/>
        <stp>BDH|7241114956589805784</stp>
        <tr r="D10" s="5"/>
        <tr r="D10" s="4"/>
      </tp>
      <tp t="s">
        <v>#N/A N/A</v>
        <stp/>
        <stp>BDH|7806239584944885425</stp>
        <tr r="AJ22" s="2"/>
      </tp>
      <tp t="s">
        <v>#N/A N/A</v>
        <stp/>
        <stp>BDH|3697508241429534586</stp>
        <tr r="V12" s="5"/>
        <tr r="V12" s="4"/>
      </tp>
      <tp t="s">
        <v>#N/A N/A</v>
        <stp/>
        <stp>BDH|9727263736752962443</stp>
        <tr r="AJ27" s="2"/>
      </tp>
      <tp t="s">
        <v>#N/A N/A</v>
        <stp/>
        <stp>BDH|5233806359562502442</stp>
        <tr r="G17" s="5"/>
        <tr r="G17" s="4"/>
      </tp>
      <tp t="s">
        <v>#N/A N/A</v>
        <stp/>
        <stp>BDH|4574786882664201175</stp>
        <tr r="L25" s="5"/>
        <tr r="L25" s="4"/>
      </tp>
      <tp t="s">
        <v>#N/A N/A</v>
        <stp/>
        <stp>BDH|5897752765403167933</stp>
        <tr r="Z17" s="2"/>
      </tp>
      <tp t="s">
        <v>#N/A N/A</v>
        <stp/>
        <stp>BDH|7755187389766881640</stp>
        <tr r="AE18" s="5"/>
        <tr r="AE18" s="4"/>
      </tp>
      <tp t="s">
        <v>#N/A N/A</v>
        <stp/>
        <stp>BDH|4263077448627030967</stp>
        <tr r="K22" s="2"/>
      </tp>
      <tp t="s">
        <v>#N/A N/A</v>
        <stp/>
        <stp>BDH|7707301918663635822</stp>
        <tr r="L19" s="2"/>
      </tp>
      <tp t="s">
        <v>#N/A N/A</v>
        <stp/>
        <stp>BDH|2521579915249506197</stp>
        <tr r="P21" s="5"/>
        <tr r="P21" s="4"/>
      </tp>
      <tp t="s">
        <v>#N/A N/A</v>
        <stp/>
        <stp>BDP|8605178159891033319</stp>
        <tr r="T19" s="3"/>
      </tp>
      <tp t="s">
        <v>#N/A N/A</v>
        <stp/>
        <stp>BDP|5546786041998438068</stp>
        <tr r="L20" s="3"/>
      </tp>
      <tp t="s">
        <v>#N/A N/A</v>
        <stp/>
        <stp>BDH|1490305919058072526</stp>
        <tr r="AL10" s="5"/>
        <tr r="AL10" s="4"/>
      </tp>
      <tp t="s">
        <v>#N/A N/A</v>
        <stp/>
        <stp>BDH|9288277658444158431</stp>
        <tr r="T28" s="2"/>
      </tp>
      <tp t="s">
        <v>#N/A N/A</v>
        <stp/>
        <stp>BDH|9131078602056032189</stp>
        <tr r="O14" s="5"/>
        <tr r="O14" s="4"/>
      </tp>
      <tp t="s">
        <v>#N/A N/A</v>
        <stp/>
        <stp>BDH|2651969588285426807</stp>
        <tr r="AM27" s="2"/>
      </tp>
      <tp t="s">
        <v>#N/A N/A</v>
        <stp/>
        <stp>BDH|8766494820881715155</stp>
        <tr r="AH12" s="5"/>
        <tr r="AH12" s="4"/>
      </tp>
      <tp t="s">
        <v>#N/A N/A</v>
        <stp/>
        <stp>BDH|9547330595539899461</stp>
        <tr r="W13" s="5"/>
        <tr r="W13" s="4"/>
      </tp>
      <tp t="s">
        <v>#N/A N/A</v>
        <stp/>
        <stp>BDP|7276325562714318833</stp>
        <tr r="N9" s="3"/>
      </tp>
      <tp t="s">
        <v>#N/A N/A</v>
        <stp/>
        <stp>BDH|2871626252588271780</stp>
        <tr r="AI8" s="5"/>
        <tr r="AI8" s="4"/>
      </tp>
      <tp t="s">
        <v>#N/A N/A</v>
        <stp/>
        <stp>BDH|4006358987032447341</stp>
        <tr r="H24" s="2"/>
      </tp>
      <tp t="s">
        <v>#N/A N/A</v>
        <stp/>
        <stp>BDP|3927230666130603994</stp>
        <tr r="AP16" s="3"/>
      </tp>
      <tp t="s">
        <v>#N/A N/A</v>
        <stp/>
        <stp>BDH|6421312186067516459</stp>
        <tr r="AL9" s="5"/>
        <tr r="AL9" s="4"/>
      </tp>
      <tp t="s">
        <v>#N/A N/A</v>
        <stp/>
        <stp>BDH|8414235149970925045</stp>
        <tr r="D22" s="5"/>
        <tr r="D22" s="4"/>
      </tp>
      <tp t="s">
        <v>#N/A N/A</v>
        <stp/>
        <stp>BDH|4806061988905435711</stp>
        <tr r="AE13" s="5"/>
        <tr r="AE13" s="4"/>
      </tp>
      <tp t="s">
        <v>#N/A N/A</v>
        <stp/>
        <stp>BDH|9947408037413575380</stp>
        <tr r="AJ14" s="5"/>
        <tr r="AJ14" s="4"/>
      </tp>
      <tp t="s">
        <v>#N/A N/A</v>
        <stp/>
        <stp>BDH|9011098118584264230</stp>
        <tr r="T23" s="2"/>
      </tp>
      <tp t="s">
        <v>#N/A N/A</v>
        <stp/>
        <stp>BDH|5282408188002355587</stp>
        <tr r="AI19" s="2"/>
      </tp>
      <tp t="s">
        <v>#N/A N/A</v>
        <stp/>
        <stp>BDH|6975284341426559845</stp>
        <tr r="AB7" s="2"/>
      </tp>
      <tp t="s">
        <v>#N/A N/A</v>
        <stp/>
        <stp>BDH|1409469648649251692</stp>
        <tr r="O22" s="5"/>
        <tr r="O22" s="4"/>
      </tp>
      <tp t="s">
        <v>#N/A N/A</v>
        <stp/>
        <stp>BDP|1762897759836977482</stp>
        <tr r="AD13" s="3"/>
      </tp>
      <tp t="s">
        <v>#N/A N/A</v>
        <stp/>
        <stp>BDP|3838310599464529339</stp>
        <tr r="T9" s="3"/>
      </tp>
      <tp t="s">
        <v>#N/A N/A</v>
        <stp/>
        <stp>BDH|1763547302682690815</stp>
        <tr r="C6" s="5"/>
        <tr r="C6" s="4"/>
      </tp>
      <tp t="s">
        <v>#N/A N/A</v>
        <stp/>
        <stp>BDH|8164638265163920580</stp>
        <tr r="AL7" s="5"/>
        <tr r="AL7" s="4"/>
      </tp>
      <tp t="s">
        <v>#N/A N/A</v>
        <stp/>
        <stp>BDH|8762487949377278129</stp>
        <tr r="AH8" s="5"/>
        <tr r="AH8" s="4"/>
      </tp>
      <tp t="s">
        <v>#N/A N/A</v>
        <stp/>
        <stp>BDP|9634961565279343113</stp>
        <tr r="N13" s="3"/>
      </tp>
      <tp t="s">
        <v>#N/A N/A</v>
        <stp/>
        <stp>BDH|9701518189268807208</stp>
        <tr r="J12" s="5"/>
        <tr r="J12" s="4"/>
      </tp>
      <tp t="s">
        <v>#N/A N/A</v>
        <stp/>
        <stp>BDH|2147606184672582076</stp>
        <tr r="X8" s="2"/>
      </tp>
      <tp t="s">
        <v>#N/A N/A</v>
        <stp/>
        <stp>BDH|1466437996116181475</stp>
        <tr r="F21" s="2"/>
      </tp>
      <tp t="s">
        <v>#N/A N/A</v>
        <stp/>
        <stp>BDH|1632999574198981960</stp>
        <tr r="G13" s="2"/>
      </tp>
      <tp t="s">
        <v>#N/A N/A</v>
        <stp/>
        <stp>BDH|2467450110758680132</stp>
        <tr r="P8" s="2"/>
      </tp>
      <tp t="s">
        <v>#N/A N/A</v>
        <stp/>
        <stp>BDH|2318908291708677404</stp>
        <tr r="W14" s="5"/>
        <tr r="W14" s="4"/>
      </tp>
      <tp t="s">
        <v>#N/A N/A</v>
        <stp/>
        <stp>BDH|8827651132256319598</stp>
        <tr r="AD20" s="5"/>
        <tr r="AD20" s="4"/>
      </tp>
      <tp t="s">
        <v>#N/A N/A</v>
        <stp/>
        <stp>BDH|28496720635066069</stp>
        <tr r="S29" s="2"/>
      </tp>
      <tp t="s">
        <v>#N/A N/A</v>
        <stp/>
        <stp>BDP|7673959078403606572</stp>
        <tr r="P9" s="3"/>
      </tp>
      <tp t="s">
        <v>#N/A N/A</v>
        <stp/>
        <stp>BDP|2158021393815978135</stp>
        <tr r="V15" s="3"/>
      </tp>
      <tp t="s">
        <v>#N/A N/A</v>
        <stp/>
        <stp>BDP|5025815020516862633</stp>
        <tr r="S19" s="3"/>
      </tp>
      <tp t="s">
        <v>#N/A N/A</v>
        <stp/>
        <stp>BDH|5966007668165258993</stp>
        <tr r="AI8" s="2"/>
      </tp>
      <tp t="s">
        <v>#N/A N/A</v>
        <stp/>
        <stp>BDH|1313947688039238666</stp>
        <tr r="W18" s="5"/>
        <tr r="W18" s="4"/>
      </tp>
      <tp t="s">
        <v>#N/A N/A</v>
        <stp/>
        <stp>BDH|2587979948584435450</stp>
        <tr r="E6" s="5"/>
        <tr r="E6" s="4"/>
      </tp>
      <tp t="s">
        <v>#N/A N/A</v>
        <stp/>
        <stp>BDH|7924819332056557545</stp>
        <tr r="J18" s="5"/>
        <tr r="J18" s="4"/>
      </tp>
      <tp t="s">
        <v>#N/A N/A</v>
        <stp/>
        <stp>BDH|6318504694226829348</stp>
        <tr r="AJ19" s="2"/>
      </tp>
      <tp t="s">
        <v>#N/A N/A</v>
        <stp/>
        <stp>BDH|8380718518292784359</stp>
        <tr r="U12" s="5"/>
        <tr r="U12" s="4"/>
      </tp>
      <tp t="s">
        <v>#N/A N/A</v>
        <stp/>
        <stp>BDH|9409612866092943421</stp>
        <tr r="R22" s="5"/>
        <tr r="R22" s="4"/>
      </tp>
      <tp t="s">
        <v>#N/A N/A</v>
        <stp/>
        <stp>BDH|7160885620460056214</stp>
        <tr r="AP28" s="2"/>
      </tp>
      <tp t="s">
        <v>#N/A N/A</v>
        <stp/>
        <stp>BDH|8709127177201966020</stp>
        <tr r="AD6" s="5"/>
        <tr r="AD6" s="4"/>
      </tp>
      <tp t="s">
        <v>#N/A N/A</v>
        <stp/>
        <stp>BDH|5414053496624825768</stp>
        <tr r="AJ9" s="5"/>
        <tr r="AJ9" s="4"/>
      </tp>
      <tp t="s">
        <v>#N/A N/A</v>
        <stp/>
        <stp>BDP|6096973738186482559</stp>
        <tr r="W16" s="3"/>
      </tp>
      <tp t="s">
        <v>#N/A N/A</v>
        <stp/>
        <stp>BDH|6836043943985799869</stp>
        <tr r="E12" s="5"/>
        <tr r="E12" s="4"/>
      </tp>
      <tp t="s">
        <v>#N/A N/A</v>
        <stp/>
        <stp>BDH|4423462392666909063</stp>
        <tr r="G17" s="2"/>
      </tp>
      <tp t="s">
        <v>#N/A N/A</v>
        <stp/>
        <stp>BDH|8895507753270583710</stp>
        <tr r="AF21" s="2"/>
      </tp>
      <tp t="s">
        <v>#N/A N/A</v>
        <stp/>
        <stp>BDH|2099913268803702115</stp>
        <tr r="D9" s="5"/>
        <tr r="D9" s="4"/>
      </tp>
      <tp t="s">
        <v>#N/A N/A</v>
        <stp/>
        <stp>BDH|1377036369049116144</stp>
        <tr r="F9" s="5"/>
        <tr r="F9" s="4"/>
      </tp>
      <tp t="s">
        <v>#N/A N/A</v>
        <stp/>
        <stp>BDH|8386080652214149646</stp>
        <tr r="AB9" s="2"/>
      </tp>
      <tp t="s">
        <v>#N/A N/A</v>
        <stp/>
        <stp>BDH|6419430421848391780</stp>
        <tr r="T21" s="2"/>
      </tp>
      <tp t="s">
        <v>#N/A N/A</v>
        <stp/>
        <stp>BDH|3985245267118775008</stp>
        <tr r="AG7" s="2"/>
      </tp>
      <tp t="s">
        <v>#N/A N/A</v>
        <stp/>
        <stp>BDH|9799127585416871950</stp>
        <tr r="AL25" s="5"/>
        <tr r="AL25" s="4"/>
      </tp>
      <tp t="s">
        <v>#N/A N/A</v>
        <stp/>
        <stp>BDH|8805690906435038445</stp>
        <tr r="E7" s="2"/>
      </tp>
      <tp t="s">
        <v>#N/A N/A</v>
        <stp/>
        <stp>BDH|5692001212132646911</stp>
        <tr r="N6" s="5"/>
        <tr r="N6" s="4"/>
      </tp>
      <tp t="s">
        <v>#N/A N/A</v>
        <stp/>
        <stp>BDP|4622464516237461921</stp>
        <tr r="O13" s="3"/>
      </tp>
      <tp t="s">
        <v>#N/A N/A</v>
        <stp/>
        <stp>BDH|8603637405212930397</stp>
        <tr r="AO8" s="5"/>
        <tr r="AO8" s="4"/>
      </tp>
      <tp t="s">
        <v>#N/A N/A</v>
        <stp/>
        <stp>BDH|9056526889302390989</stp>
        <tr r="K9" s="2"/>
      </tp>
      <tp t="s">
        <v>#N/A N/A</v>
        <stp/>
        <stp>BDH|4433526574448527176</stp>
        <tr r="AC13" s="5"/>
        <tr r="AC13" s="4"/>
      </tp>
      <tp t="s">
        <v>#N/A N/A</v>
        <stp/>
        <stp>BDH|3678277490684772369</stp>
        <tr r="AJ13" s="5"/>
        <tr r="AJ13" s="4"/>
      </tp>
      <tp t="s">
        <v>#N/A N/A</v>
        <stp/>
        <stp>BDH|9471600874354842390</stp>
        <tr r="L6" s="5"/>
        <tr r="L6" s="4"/>
      </tp>
      <tp t="s">
        <v>#N/A N/A</v>
        <stp/>
        <stp>BDH|1142551617762442864</stp>
        <tr r="AB27" s="2"/>
      </tp>
      <tp t="s">
        <v>#N/A N/A</v>
        <stp/>
        <stp>BDH|9210358560166471526</stp>
        <tr r="W29" s="2"/>
      </tp>
      <tp t="s">
        <v>#N/A N/A</v>
        <stp/>
        <stp>BDP|9473488836265541494</stp>
        <tr r="AL15" s="3"/>
      </tp>
      <tp t="s">
        <v>#N/A N/A</v>
        <stp/>
        <stp>BDP|6079311580991115360</stp>
        <tr r="E9" s="3"/>
      </tp>
      <tp t="s">
        <v>#N/A N/A</v>
        <stp/>
        <stp>BDP|6433860128410418387</stp>
        <tr r="Q13" s="3"/>
      </tp>
      <tp t="s">
        <v>#N/A N/A</v>
        <stp/>
        <stp>BDH|8495653143071486406</stp>
        <tr r="Y10" s="2"/>
      </tp>
      <tp t="s">
        <v>#N/A N/A</v>
        <stp/>
        <stp>BDH|5191459390182188532</stp>
        <tr r="AA12" s="5"/>
        <tr r="AA12" s="4"/>
      </tp>
      <tp t="s">
        <v>#N/A N/A</v>
        <stp/>
        <stp>BDH|5368560511456040837</stp>
        <tr r="R21" s="2"/>
      </tp>
      <tp t="s">
        <v>#N/A N/A</v>
        <stp/>
        <stp>BDP|1195084866391296998</stp>
        <tr r="AG9" s="3"/>
      </tp>
      <tp t="s">
        <v>#N/A N/A</v>
        <stp/>
        <stp>BDP|3689334690854673272</stp>
        <tr r="K9" s="3"/>
      </tp>
      <tp t="s">
        <v>#N/A N/A</v>
        <stp/>
        <stp>BDH|2578511243609661551</stp>
        <tr r="F16" s="5"/>
        <tr r="F16" s="4"/>
      </tp>
      <tp t="s">
        <v>#N/A N/A</v>
        <stp/>
        <stp>BDH|8863560627238951849</stp>
        <tr r="J22" s="5"/>
        <tr r="J22" s="4"/>
      </tp>
      <tp t="s">
        <v>#N/A N/A</v>
        <stp/>
        <stp>BDH|6788669582011785606</stp>
        <tr r="R22" s="2"/>
      </tp>
      <tp t="s">
        <v>#N/A N/A</v>
        <stp/>
        <stp>BDH|1303788337983821910</stp>
        <tr r="AG27" s="2"/>
      </tp>
      <tp t="s">
        <v>#N/A N/A</v>
        <stp/>
        <stp>BDH|3876989935296514058</stp>
        <tr r="AM13" s="2"/>
      </tp>
      <tp t="s">
        <v>#N/A N/A</v>
        <stp/>
        <stp>BDH|7020736476531143912</stp>
        <tr r="J22" s="2"/>
      </tp>
      <tp t="s">
        <v>#N/A N/A</v>
        <stp/>
        <stp>BDH|4320628245860679972</stp>
        <tr r="Q9" s="5"/>
        <tr r="Q9" s="4"/>
      </tp>
      <tp t="s">
        <v>#N/A N/A</v>
        <stp/>
        <stp>BDH|8558677023837312476</stp>
        <tr r="AP20" s="5"/>
        <tr r="AP20" s="4"/>
      </tp>
      <tp t="s">
        <v>#N/A N/A</v>
        <stp/>
        <stp>BDH|7092462552319326024</stp>
        <tr r="I10" s="5"/>
        <tr r="I10" s="4"/>
      </tp>
      <tp t="s">
        <v>#N/A N/A</v>
        <stp/>
        <stp>BDH|9180116251605321774</stp>
        <tr r="S21" s="5"/>
        <tr r="S21" s="4"/>
      </tp>
      <tp t="s">
        <v>#N/A N/A</v>
        <stp/>
        <stp>BDH|1427630322534944961</stp>
        <tr r="U28" s="2"/>
      </tp>
      <tp t="s">
        <v>#N/A N/A</v>
        <stp/>
        <stp>BDH|3959386179489009622</stp>
        <tr r="AD24" s="2"/>
      </tp>
      <tp t="s">
        <v>#N/A N/A</v>
        <stp/>
        <stp>BDH|3409987340325594330</stp>
        <tr r="Z8" s="5"/>
        <tr r="Z8" s="4"/>
      </tp>
      <tp t="s">
        <v>#N/A N/A</v>
        <stp/>
        <stp>BDH|3570285398177897775</stp>
        <tr r="AO10" s="5"/>
        <tr r="AO10" s="4"/>
      </tp>
      <tp t="s">
        <v>#N/A N/A</v>
        <stp/>
        <stp>BDH|7159814352012197086</stp>
        <tr r="AO23" s="2"/>
      </tp>
      <tp t="s">
        <v>#N/A N/A</v>
        <stp/>
        <stp>BDP|3473751772819242295</stp>
        <tr r="AC15" s="3"/>
      </tp>
      <tp t="s">
        <v>#N/A N/A</v>
        <stp/>
        <stp>BDH|8162284617832745116</stp>
        <tr r="R17" s="2"/>
      </tp>
      <tp t="s">
        <v>#N/A N/A</v>
        <stp/>
        <stp>BDH|8755695516357870090</stp>
        <tr r="AO7" s="5"/>
        <tr r="AO7" s="4"/>
      </tp>
      <tp t="s">
        <v>#N/A N/A</v>
        <stp/>
        <stp>BDH|4053323469221433860</stp>
        <tr r="AI24" s="2"/>
      </tp>
      <tp t="s">
        <v>#N/A N/A</v>
        <stp/>
        <stp>BDH|2146880940470145613</stp>
        <tr r="O17" s="5"/>
        <tr r="O17" s="4"/>
      </tp>
      <tp t="s">
        <v>#N/A N/A</v>
        <stp/>
        <stp>BDH|8150515749502584352</stp>
        <tr r="AE6" s="5"/>
        <tr r="AE6" s="4"/>
      </tp>
      <tp t="s">
        <v>#N/A N/A</v>
        <stp/>
        <stp>BDH|8538732529662818796</stp>
        <tr r="F7" s="5"/>
        <tr r="F7" s="4"/>
      </tp>
      <tp t="s">
        <v>#N/A N/A</v>
        <stp/>
        <stp>BDH|5418216599730174630</stp>
        <tr r="AB17" s="5"/>
        <tr r="AB17" s="4"/>
      </tp>
      <tp t="s">
        <v>#N/A N/A</v>
        <stp/>
        <stp>BDH|2457232235949457292</stp>
        <tr r="E13" s="5"/>
        <tr r="E13" s="4"/>
      </tp>
      <tp t="s">
        <v>#N/A N/A</v>
        <stp/>
        <stp>BDH|2855569432614526864</stp>
        <tr r="Z23" s="2"/>
      </tp>
      <tp t="s">
        <v>#N/A N/A</v>
        <stp/>
        <stp>BDH|8093534444777968613</stp>
        <tr r="Y20" s="5"/>
        <tr r="Y20" s="4"/>
      </tp>
      <tp t="s">
        <v>#N/A N/A</v>
        <stp/>
        <stp>BDH|9914315832343104276</stp>
        <tr r="AC27" s="2"/>
      </tp>
      <tp t="s">
        <v>#N/A N/A</v>
        <stp/>
        <stp>BDH|6441705441719826412</stp>
        <tr r="E10" s="5"/>
        <tr r="E10" s="4"/>
      </tp>
      <tp t="s">
        <v>#N/A N/A</v>
        <stp/>
        <stp>BDH|3066850724098592982</stp>
        <tr r="AI17" s="5"/>
        <tr r="AI17" s="4"/>
      </tp>
      <tp t="s">
        <v>#N/A N/A</v>
        <stp/>
        <stp>BDH|8829657573830379100</stp>
        <tr r="P19" s="2"/>
      </tp>
      <tp t="s">
        <v>#N/A N/A</v>
        <stp/>
        <stp>BDP|9538024473442324454</stp>
        <tr r="W13" s="3"/>
      </tp>
      <tp t="s">
        <v>#N/A N/A</v>
        <stp/>
        <stp>BDH|3704213380505156453</stp>
        <tr r="AG20" s="2"/>
      </tp>
      <tp t="s">
        <v>#N/A N/A</v>
        <stp/>
        <stp>BDH|6928448072275890847</stp>
        <tr r="V9" s="5"/>
        <tr r="V9" s="4"/>
      </tp>
      <tp t="s">
        <v>#N/A N/A</v>
        <stp/>
        <stp>BDH|1571923570311455608</stp>
        <tr r="AM21" s="5"/>
        <tr r="AM21" s="4"/>
      </tp>
      <tp t="s">
        <v>#N/A N/A</v>
        <stp/>
        <stp>BDH|8306488190209120494</stp>
        <tr r="AJ10" s="5"/>
        <tr r="AJ10" s="4"/>
      </tp>
      <tp t="s">
        <v>#N/A N/A</v>
        <stp/>
        <stp>BDH|1832826861902964515</stp>
        <tr r="D29" s="2"/>
      </tp>
      <tp t="s">
        <v>#N/A N/A</v>
        <stp/>
        <stp>BDP|2804832566095912140</stp>
        <tr r="AM19" s="3"/>
      </tp>
      <tp t="s">
        <v>#N/A N/A</v>
        <stp/>
        <stp>BDH|8326534279850806216</stp>
        <tr r="G13" s="5"/>
        <tr r="G13" s="4"/>
      </tp>
      <tp t="s">
        <v>#N/A N/A</v>
        <stp/>
        <stp>BDH|8673626612920189778</stp>
        <tr r="O20" s="2"/>
      </tp>
      <tp t="s">
        <v>#N/A N/A</v>
        <stp/>
        <stp>BDH|9682510193959685422</stp>
        <tr r="AL13" s="2"/>
      </tp>
      <tp t="s">
        <v>#N/A N/A</v>
        <stp/>
        <stp>BDP|7796736485257024706</stp>
        <tr r="V19" s="3"/>
      </tp>
      <tp t="s">
        <v>#N/A N/A</v>
        <stp/>
        <stp>BDP|9517568555725258455</stp>
        <tr r="AC20" s="3"/>
      </tp>
      <tp t="s">
        <v>#N/A N/A</v>
        <stp/>
        <stp>BDH|9366892984881873079</stp>
        <tr r="T16" s="5"/>
        <tr r="T16" s="4"/>
      </tp>
      <tp t="s">
        <v>#N/A N/A</v>
        <stp/>
        <stp>BDH|1444221021370555931</stp>
        <tr r="I16" s="5"/>
        <tr r="I16" s="4"/>
      </tp>
      <tp t="s">
        <v>#N/A N/A</v>
        <stp/>
        <stp>BDH|5586983824971145794</stp>
        <tr r="E17" s="5"/>
        <tr r="E17" s="4"/>
      </tp>
      <tp t="s">
        <v>#N/A N/A</v>
        <stp/>
        <stp>BDH|7333995125381817561</stp>
        <tr r="U20" s="5"/>
        <tr r="U20" s="4"/>
      </tp>
      <tp t="s">
        <v>#N/A N/A</v>
        <stp/>
        <stp>BDH|4635674095104591708</stp>
        <tr r="AI10" s="5"/>
        <tr r="AI10" s="4"/>
      </tp>
      <tp t="s">
        <v>#N/A N/A</v>
        <stp/>
        <stp>BDP|7615438783606792578</stp>
        <tr r="AM13" s="3"/>
      </tp>
      <tp t="s">
        <v>#N/A N/A</v>
        <stp/>
        <stp>BDH|1017208020888226142</stp>
        <tr r="F20" s="5"/>
        <tr r="F20" s="4"/>
      </tp>
      <tp t="s">
        <v>#N/A N/A</v>
        <stp/>
        <stp>BDH|3926399070996351953</stp>
        <tr r="Y19" s="2"/>
      </tp>
      <tp t="s">
        <v>#N/A N/A</v>
        <stp/>
        <stp>BDH|8915133333746685490</stp>
        <tr r="P16" s="5"/>
        <tr r="P16" s="4"/>
      </tp>
      <tp t="s">
        <v>#N/A N/A</v>
        <stp/>
        <stp>BDH|2992301145735910831</stp>
        <tr r="J10" s="2"/>
      </tp>
      <tp t="s">
        <v>#N/A N/A</v>
        <stp/>
        <stp>BDH|5543357795211530678</stp>
        <tr r="J20" s="2"/>
      </tp>
      <tp t="s">
        <v>#N/A N/A</v>
        <stp/>
        <stp>BDH|9532641203191275678</stp>
        <tr r="F23" s="2"/>
      </tp>
      <tp t="s">
        <v>#N/A N/A</v>
        <stp/>
        <stp>BDH|4972554168947418849</stp>
        <tr r="R10" s="2"/>
      </tp>
      <tp t="s">
        <v>#N/A N/A</v>
        <stp/>
        <stp>BDH|2444256175027233824</stp>
        <tr r="AF18" s="5"/>
        <tr r="AF18" s="4"/>
      </tp>
      <tp t="s">
        <v>#N/A N/A</v>
        <stp/>
        <stp>BDH|3827326429572278846</stp>
        <tr r="AG12" s="5"/>
        <tr r="AG12" s="4"/>
      </tp>
      <tp t="s">
        <v>#N/A N/A</v>
        <stp/>
        <stp>BDH|6192848947395145761</stp>
        <tr r="C13" s="5"/>
        <tr r="C13" s="4"/>
      </tp>
      <tp t="s">
        <v>#N/A N/A</v>
        <stp/>
        <stp>BDH|5158039647421934894</stp>
        <tr r="AB22" s="5"/>
        <tr r="AB22" s="4"/>
      </tp>
      <tp t="s">
        <v>#N/A N/A</v>
        <stp/>
        <stp>BDH|6044177216396871937</stp>
        <tr r="AC17" s="2"/>
      </tp>
      <tp t="s">
        <v>#N/A N/A</v>
        <stp/>
        <stp>BDH|8870487843339851816</stp>
        <tr r="AK21" s="5"/>
        <tr r="AK21" s="4"/>
      </tp>
      <tp t="s">
        <v>#N/A N/A</v>
        <stp/>
        <stp>BDH|6955706340364565847</stp>
        <tr r="AG24" s="2"/>
      </tp>
      <tp t="s">
        <v>#N/A N/A</v>
        <stp/>
        <stp>BDH|4787048597945430199</stp>
        <tr r="K29" s="2"/>
      </tp>
      <tp t="s">
        <v>#N/A N/A</v>
        <stp/>
        <stp>BDH|1179722706107415887</stp>
        <tr r="AL8" s="5"/>
        <tr r="AL8" s="4"/>
      </tp>
      <tp t="s">
        <v>#N/A N/A</v>
        <stp/>
        <stp>BDH|8862509072725269619</stp>
        <tr r="AL6" s="5"/>
        <tr r="AL6" s="4"/>
      </tp>
      <tp t="s">
        <v>#N/A N/A</v>
        <stp/>
        <stp>BDH|9103497818990863511</stp>
        <tr r="AC7" s="5"/>
        <tr r="AC7" s="4"/>
      </tp>
      <tp t="s">
        <v>#N/A N/A</v>
        <stp/>
        <stp>BDH|4914824502553387630</stp>
        <tr r="AM9" s="2"/>
      </tp>
      <tp t="s">
        <v>#N/A N/A</v>
        <stp/>
        <stp>BDH|1052508376109954364</stp>
        <tr r="O27" s="2"/>
      </tp>
      <tp t="s">
        <v>#N/A N/A</v>
        <stp/>
        <stp>BDH|9603929101388978153</stp>
        <tr r="P7" s="2"/>
      </tp>
    </main>
    <main first="bofaddin.rtdserver">
      <tp t="s">
        <v>#N/A N/A</v>
        <stp/>
        <stp>BDH|6056391981635154173</stp>
        <tr r="I14" s="5"/>
        <tr r="I14" s="4"/>
      </tp>
      <tp t="s">
        <v>#N/A N/A</v>
        <stp/>
        <stp>BDH|8608153749045192147</stp>
        <tr r="K25" s="5"/>
        <tr r="K25" s="4"/>
      </tp>
      <tp t="s">
        <v>#N/A N/A</v>
        <stp/>
        <stp>BDH|9424750178276235676</stp>
        <tr r="I17" s="2"/>
      </tp>
      <tp t="s">
        <v>#N/A N/A</v>
        <stp/>
        <stp>BDH|9247431434803903404</stp>
        <tr r="N12" s="5"/>
        <tr r="N12" s="4"/>
      </tp>
      <tp t="s">
        <v>#N/A N/A</v>
        <stp/>
        <stp>BDH|5148275906946827846</stp>
        <tr r="AN20" s="2"/>
      </tp>
      <tp t="s">
        <v>#N/A N/A</v>
        <stp/>
        <stp>BDH|4578794750427252833</stp>
        <tr r="AP22" s="2"/>
      </tp>
      <tp t="s">
        <v>#N/A N/A</v>
        <stp/>
        <stp>BDH|3752191422411338823</stp>
        <tr r="AN20" s="5"/>
        <tr r="AN20" s="4"/>
      </tp>
      <tp t="s">
        <v>#N/A N/A</v>
        <stp/>
        <stp>BDH|3519655589104500011</stp>
        <tr r="P8" s="5"/>
        <tr r="P8" s="4"/>
      </tp>
      <tp t="s">
        <v>#N/A N/A</v>
        <stp/>
        <stp>BDH|1799390083504030706</stp>
        <tr r="T10" s="2"/>
      </tp>
      <tp t="s">
        <v>#N/A N/A</v>
        <stp/>
        <stp>BDH|1187280615272962984</stp>
        <tr r="R28" s="2"/>
      </tp>
      <tp t="s">
        <v>#N/A N/A</v>
        <stp/>
        <stp>BDH|3422515650819541323</stp>
        <tr r="W19" s="2"/>
      </tp>
      <tp t="s">
        <v>#N/A N/A</v>
        <stp/>
        <stp>BDH|8560215693162695830</stp>
        <tr r="AD22" s="5"/>
        <tr r="AD22" s="4"/>
      </tp>
      <tp t="s">
        <v>#N/A N/A</v>
        <stp/>
        <stp>BDH|5340313001179663661</stp>
        <tr r="AK10" s="5"/>
        <tr r="AK10" s="4"/>
      </tp>
      <tp t="s">
        <v>#N/A N/A</v>
        <stp/>
        <stp>BDH|6532558334328343145</stp>
        <tr r="U7" s="5"/>
        <tr r="U7" s="4"/>
      </tp>
      <tp t="s">
        <v>#N/A N/A</v>
        <stp/>
        <stp>BDH|3719949032770514075</stp>
        <tr r="AM6" s="5"/>
        <tr r="AM6" s="4"/>
      </tp>
      <tp t="s">
        <v>#N/A N/A</v>
        <stp/>
        <stp>BDH|8037760436466420379</stp>
        <tr r="C17" s="5"/>
        <tr r="C17" s="4"/>
      </tp>
      <tp t="s">
        <v>#N/A N/A</v>
        <stp/>
        <stp>BDH|8090111115739001870</stp>
        <tr r="AE28" s="2"/>
      </tp>
      <tp t="s">
        <v>#N/A N/A</v>
        <stp/>
        <stp>BDH|6359589068214603856</stp>
        <tr r="AF17" s="2"/>
      </tp>
      <tp t="s">
        <v>#N/A N/A</v>
        <stp/>
        <stp>BDH|8593540662091627356</stp>
        <tr r="W10" s="2"/>
      </tp>
      <tp t="s">
        <v>#N/A N/A</v>
        <stp/>
        <stp>BDH|2761218492766367671</stp>
        <tr r="W10" s="5"/>
        <tr r="W10" s="4"/>
      </tp>
      <tp t="s">
        <v>#N/A N/A</v>
        <stp/>
        <stp>BDP|8932234802044054791</stp>
        <tr r="AO20" s="3"/>
      </tp>
      <tp t="s">
        <v>#N/A N/A</v>
        <stp/>
        <stp>BDH|2242875577164070037</stp>
        <tr r="P10" s="2"/>
      </tp>
      <tp t="s">
        <v>#N/A N/A</v>
        <stp/>
        <stp>BDH|4497020940551397841</stp>
        <tr r="U21" s="5"/>
        <tr r="U21" s="4"/>
      </tp>
      <tp t="s">
        <v>#N/A N/A</v>
        <stp/>
        <stp>BDH|3017113926501944888</stp>
        <tr r="AM18" s="5"/>
        <tr r="AM18" s="4"/>
      </tp>
      <tp t="s">
        <v>#N/A N/A</v>
        <stp/>
        <stp>BDP|6749715848199150589</stp>
        <tr r="R19" s="3"/>
      </tp>
      <tp t="s">
        <v>#N/A N/A</v>
        <stp/>
        <stp>BDH|3627432981787228115</stp>
        <tr r="W8" s="5"/>
        <tr r="W8" s="4"/>
      </tp>
      <tp t="s">
        <v>#N/A N/A</v>
        <stp/>
        <stp>BDH|7393902980946131958</stp>
        <tr r="O22" s="2"/>
      </tp>
      <tp t="s">
        <v>#N/A N/A</v>
        <stp/>
        <stp>BDH|2354538482223652530</stp>
        <tr r="M22" s="5"/>
        <tr r="M22" s="4"/>
      </tp>
      <tp t="s">
        <v>#N/A N/A</v>
        <stp/>
        <stp>BDH|2734055191403145176</stp>
        <tr r="O24" s="2"/>
      </tp>
      <tp t="s">
        <v>#N/A N/A</v>
        <stp/>
        <stp>BDH|1597317883946265501</stp>
        <tr r="S9" s="2"/>
      </tp>
      <tp t="s">
        <v>#N/A N/A</v>
        <stp/>
        <stp>BDH|1624174064359039605</stp>
        <tr r="J8" s="2"/>
      </tp>
      <tp t="s">
        <v>#N/A N/A</v>
        <stp/>
        <stp>BDH|6781400279294222892</stp>
        <tr r="Q18" s="5"/>
        <tr r="Q18" s="4"/>
      </tp>
      <tp t="s">
        <v>#N/A N/A</v>
        <stp/>
        <stp>BDP|2576759828135439864</stp>
        <tr r="K13" s="3"/>
      </tp>
      <tp t="s">
        <v>#N/A N/A</v>
        <stp/>
        <stp>BDP|2839204561779556561</stp>
        <tr r="M16" s="3"/>
      </tp>
      <tp t="s">
        <v>#N/A N/A</v>
        <stp/>
        <stp>BDP|4761049050913976807</stp>
        <tr r="AA15" s="3"/>
      </tp>
      <tp t="s">
        <v>#N/A N/A</v>
        <stp/>
        <stp>BDH|8836591436820918443</stp>
        <tr r="M13" s="5"/>
        <tr r="M13" s="4"/>
      </tp>
      <tp t="s">
        <v>#N/A N/A</v>
        <stp/>
        <stp>BDH|8344645546928348881</stp>
        <tr r="AE10" s="5"/>
        <tr r="AE10" s="4"/>
      </tp>
      <tp t="s">
        <v>#N/A N/A</v>
        <stp/>
        <stp>BDH|9311112285503827943</stp>
        <tr r="M10" s="2"/>
      </tp>
      <tp t="s">
        <v>#N/A N/A</v>
        <stp/>
        <stp>BDH|4893801405922513437</stp>
        <tr r="J27" s="2"/>
      </tp>
      <tp t="s">
        <v>#N/A N/A</v>
        <stp/>
        <stp>BDH|7064999536026624124</stp>
        <tr r="P13" s="5"/>
        <tr r="P13" s="4"/>
      </tp>
      <tp t="s">
        <v>#N/A N/A</v>
        <stp/>
        <stp>BDH|4143996514166174057</stp>
        <tr r="AD19" s="2"/>
      </tp>
      <tp t="s">
        <v>#N/A N/A</v>
        <stp/>
        <stp>BDH|9613185618195688687</stp>
        <tr r="Q6" s="5"/>
        <tr r="Q6" s="4"/>
      </tp>
      <tp t="s">
        <v>#N/A N/A</v>
        <stp/>
        <stp>BDP|4337270158609608032</stp>
        <tr r="AJ20" s="3"/>
      </tp>
      <tp t="s">
        <v>#N/A N/A</v>
        <stp/>
        <stp>BDH|4799667732988934335</stp>
        <tr r="W6" s="5"/>
        <tr r="W6" s="4"/>
      </tp>
      <tp t="s">
        <v>#N/A N/A</v>
        <stp/>
        <stp>BDH|7394900448706764654</stp>
        <tr r="M28" s="2"/>
      </tp>
      <tp t="s">
        <v>#N/A N/A</v>
        <stp/>
        <stp>BDP|4404923779922602270</stp>
        <tr r="H13" s="3"/>
      </tp>
      <tp t="s">
        <v>#N/A N/A</v>
        <stp/>
        <stp>BDP|2503765931759489584</stp>
        <tr r="O9" s="3"/>
      </tp>
      <tp t="s">
        <v>#N/A N/A</v>
        <stp/>
        <stp>BDH|7479378177920230987</stp>
        <tr r="M19" s="2"/>
      </tp>
      <tp t="s">
        <v>#N/A N/A</v>
        <stp/>
        <stp>BDH|9300234910309821960</stp>
        <tr r="X25" s="5"/>
        <tr r="X25" s="4"/>
      </tp>
      <tp t="s">
        <v>#N/A N/A</v>
        <stp/>
        <stp>BDH|6851205200286037867</stp>
        <tr r="L18" s="5"/>
        <tr r="L18" s="4"/>
      </tp>
      <tp t="s">
        <v>#N/A N/A</v>
        <stp/>
        <stp>BDP|4360397700298039556</stp>
        <tr r="AN15" s="3"/>
      </tp>
      <tp t="s">
        <v>#N/A N/A</v>
        <stp/>
        <stp>BDH|4863568435401337970</stp>
        <tr r="AF9" s="2"/>
      </tp>
      <tp t="s">
        <v>#N/A N/A</v>
        <stp/>
        <stp>BDP|1863329806418775073</stp>
        <tr r="AM9" s="3"/>
      </tp>
      <tp t="s">
        <v>#N/A N/A</v>
        <stp/>
        <stp>BDH|9010787536341671640</stp>
        <tr r="AC17" s="5"/>
        <tr r="AC17" s="4"/>
      </tp>
      <tp t="s">
        <v>#N/A N/A</v>
        <stp/>
        <stp>BDH|8333155927683910244</stp>
        <tr r="E8" s="5"/>
        <tr r="E8" s="4"/>
      </tp>
      <tp t="s">
        <v>#N/A N/A</v>
        <stp/>
        <stp>BDH|7257322050783846855</stp>
        <tr r="J24" s="2"/>
      </tp>
      <tp t="s">
        <v>#N/A N/A</v>
        <stp/>
        <stp>BDH|6730117072043101981</stp>
        <tr r="F18" s="5"/>
        <tr r="F18" s="4"/>
      </tp>
      <tp t="s">
        <v>#N/A N/A</v>
        <stp/>
        <stp>BDH|8323251078433473474</stp>
        <tr r="R14" s="5"/>
        <tr r="R14" s="4"/>
      </tp>
      <tp t="s">
        <v>#N/A N/A</v>
        <stp/>
        <stp>BDH|3851955803450125020</stp>
        <tr r="AF7" s="2"/>
      </tp>
      <tp t="s">
        <v>#N/A N/A</v>
        <stp/>
        <stp>BDH|8076354748935729075</stp>
        <tr r="AP10" s="5"/>
        <tr r="AP10" s="4"/>
      </tp>
      <tp t="s">
        <v>#N/A N/A</v>
        <stp/>
        <stp>BDP|4002548089347786481</stp>
        <tr r="F19" s="3"/>
      </tp>
      <tp t="s">
        <v>#N/A N/A</v>
        <stp/>
        <stp>BDP|8834180682479826280</stp>
        <tr r="R16" s="3"/>
      </tp>
      <tp t="s">
        <v>#N/A N/A</v>
        <stp/>
        <stp>BDH|2525714684455707254</stp>
        <tr r="AC19" s="2"/>
      </tp>
      <tp t="s">
        <v>#N/A N/A</v>
        <stp/>
        <stp>BDH|7015151370932668906</stp>
        <tr r="G9" s="2"/>
      </tp>
      <tp t="s">
        <v>#N/A N/A</v>
        <stp/>
        <stp>BDH|3808214082756024588</stp>
        <tr r="S28" s="2"/>
      </tp>
      <tp t="s">
        <v>#N/A N/A</v>
        <stp/>
        <stp>BDH|6773805172143073068</stp>
        <tr r="I8" s="5"/>
        <tr r="I8" s="4"/>
      </tp>
      <tp t="s">
        <v>#N/A N/A</v>
        <stp/>
        <stp>BDH|2658914768755989251</stp>
        <tr r="X17" s="5"/>
        <tr r="X17" s="4"/>
      </tp>
      <tp t="s">
        <v>#N/A N/A</v>
        <stp/>
        <stp>BDP|1721329488443869358</stp>
        <tr r="AH15" s="3"/>
      </tp>
      <tp t="s">
        <v>#N/A N/A</v>
        <stp/>
        <stp>BDH|2730294783627891551</stp>
        <tr r="T24" s="2"/>
      </tp>
      <tp t="s">
        <v>#N/A N/A</v>
        <stp/>
        <stp>BDH|9403340413132679345</stp>
        <tr r="J14" s="5"/>
        <tr r="J14" s="4"/>
      </tp>
      <tp t="s">
        <v>#N/A N/A</v>
        <stp/>
        <stp>BDH|8355525863030054132</stp>
        <tr r="N8" s="5"/>
        <tr r="N8" s="4"/>
      </tp>
      <tp t="s">
        <v>#N/A N/A</v>
        <stp/>
        <stp>BDH|3138337794586648513</stp>
        <tr r="J17" s="5"/>
        <tr r="J17" s="4"/>
      </tp>
      <tp t="s">
        <v>#N/A N/A</v>
        <stp/>
        <stp>BDH|6597069244681334928</stp>
        <tr r="I20" s="2"/>
      </tp>
      <tp t="s">
        <v>#N/A N/A</v>
        <stp/>
        <stp>BDH|5004702696432588351</stp>
        <tr r="AG8" s="5"/>
        <tr r="AG8" s="4"/>
      </tp>
      <tp t="s">
        <v>#N/A N/A</v>
        <stp/>
        <stp>BDP|4900870344985480799</stp>
        <tr r="K19" s="3"/>
      </tp>
      <tp t="s">
        <v>#N/A N/A</v>
        <stp/>
        <stp>BDH|3676911520127653562</stp>
        <tr r="S14" s="5"/>
        <tr r="S14" s="4"/>
      </tp>
      <tp t="s">
        <v>#N/A N/A</v>
        <stp/>
        <stp>BDH|9782713284328351469</stp>
        <tr r="L21" s="2"/>
      </tp>
      <tp t="s">
        <v>#N/A N/A</v>
        <stp/>
        <stp>BDH|3403425230469954783</stp>
        <tr r="AL16" s="5"/>
        <tr r="AL16" s="4"/>
      </tp>
      <tp t="s">
        <v>#N/A N/A</v>
        <stp/>
        <stp>BDH|9985569948900984297</stp>
        <tr r="P27" s="2"/>
      </tp>
      <tp t="s">
        <v>#N/A N/A</v>
        <stp/>
        <stp>BDH|6293133376423769970</stp>
        <tr r="W24" s="2"/>
      </tp>
      <tp t="s">
        <v>#N/A N/A</v>
        <stp/>
        <stp>BDP|1347820181972126953</stp>
        <tr r="AA19" s="3"/>
      </tp>
      <tp t="s">
        <v>#N/A N/A</v>
        <stp/>
        <stp>BDP|3853180404411981998</stp>
        <tr r="AB15" s="3"/>
      </tp>
      <tp t="s">
        <v>#N/A N/A</v>
        <stp/>
        <stp>BDH|5106177007759072752</stp>
        <tr r="X18" s="5"/>
        <tr r="X18" s="4"/>
      </tp>
      <tp t="s">
        <v>#N/A N/A</v>
        <stp/>
        <stp>BDH|5138632087677349624</stp>
        <tr r="H19" s="2"/>
      </tp>
      <tp t="s">
        <v>#N/A N/A</v>
        <stp/>
        <stp>BDH|8374176436203669303</stp>
        <tr r="Y23" s="2"/>
      </tp>
      <tp t="s">
        <v>#N/A N/A</v>
        <stp/>
        <stp>BDH|9097509296599306606</stp>
        <tr r="V10" s="2"/>
      </tp>
      <tp t="s">
        <v>#N/A N/A</v>
        <stp/>
        <stp>BDH|7895459492863342398</stp>
        <tr r="AF13" s="5"/>
        <tr r="AF13" s="4"/>
      </tp>
      <tp t="s">
        <v>#N/A N/A</v>
        <stp/>
        <stp>BDH|9901261579117102127</stp>
        <tr r="AK8" s="2"/>
      </tp>
      <tp t="s">
        <v>#N/A N/A</v>
        <stp/>
        <stp>BDH|5268242330796331807</stp>
        <tr r="AD29" s="2"/>
      </tp>
      <tp t="s">
        <v>#N/A N/A</v>
        <stp/>
        <stp>BDH|1371233349938994558</stp>
        <tr r="T8" s="2"/>
      </tp>
      <tp t="s">
        <v>#N/A N/A</v>
        <stp/>
        <stp>BDH|33584304327657519</stp>
        <tr r="AD23" s="2"/>
      </tp>
    </main>
    <main first="bofaddin.rtdserver">
      <tp t="s">
        <v>#N/A N/A</v>
        <stp/>
        <stp>BDP|4549434456049914724</stp>
        <tr r="D9" s="3"/>
      </tp>
      <tp t="s">
        <v>#N/A N/A</v>
        <stp/>
        <stp>BDP|3326382726988555101</stp>
        <tr r="X15" s="3"/>
      </tp>
      <tp t="s">
        <v>#N/A N/A</v>
        <stp/>
        <stp>BDH|4044393357269271043</stp>
        <tr r="G10" s="5"/>
        <tr r="G10" s="4"/>
      </tp>
      <tp t="s">
        <v>#N/A N/A</v>
        <stp/>
        <stp>BDH|8992121520251133129</stp>
        <tr r="C7" s="5"/>
        <tr r="C7" s="4"/>
      </tp>
      <tp t="s">
        <v>#N/A N/A</v>
        <stp/>
        <stp>BDH|5564296414528908597</stp>
        <tr r="AO14" s="5"/>
        <tr r="AO14" s="4"/>
      </tp>
      <tp t="s">
        <v>#N/A N/A</v>
        <stp/>
        <stp>BDH|4016586826319315153</stp>
        <tr r="AI29" s="2"/>
      </tp>
      <tp t="s">
        <v>#N/A N/A</v>
        <stp/>
        <stp>BDH|9303329446190811573</stp>
        <tr r="AF8" s="5"/>
        <tr r="AF8" s="4"/>
      </tp>
      <tp t="s">
        <v>#N/A N/A</v>
        <stp/>
        <stp>BDH|8388107001852385084</stp>
        <tr r="C10" s="2"/>
      </tp>
      <tp t="s">
        <v>#N/A N/A</v>
        <stp/>
        <stp>BDH|1104866086582707886</stp>
        <tr r="U9" s="2"/>
      </tp>
      <tp t="s">
        <v>#N/A N/A</v>
        <stp/>
        <stp>BDH|2806366829209883116</stp>
        <tr r="AJ21" s="2"/>
      </tp>
      <tp t="s">
        <v>#N/A N/A</v>
        <stp/>
        <stp>BDH|8167126837629237891</stp>
        <tr r="D16" s="5"/>
        <tr r="D16" s="4"/>
      </tp>
      <tp t="s">
        <v>#N/A N/A</v>
        <stp/>
        <stp>BDH|9022365679053926592</stp>
        <tr r="AK13" s="2"/>
      </tp>
      <tp t="s">
        <v>#N/A N/A</v>
        <stp/>
        <stp>BDH|2311742027605853948</stp>
        <tr r="P28" s="2"/>
      </tp>
      <tp t="s">
        <v>#N/A N/A</v>
        <stp/>
        <stp>BDP|7133498352389465434</stp>
        <tr r="I16" s="3"/>
      </tp>
      <tp t="s">
        <v>#N/A N/A</v>
        <stp/>
        <stp>BDH|1420449864181077995</stp>
        <tr r="AO18" s="5"/>
        <tr r="AO18" s="4"/>
      </tp>
      <tp t="s">
        <v>#N/A N/A</v>
        <stp/>
        <stp>BDP|3142635266998730016</stp>
        <tr r="S9" s="3"/>
      </tp>
      <tp t="s">
        <v>#N/A N/A</v>
        <stp/>
        <stp>BDP|2965744426579862510</stp>
        <tr r="F15" s="3"/>
      </tp>
      <tp t="s">
        <v>#N/A N/A</v>
        <stp/>
        <stp>BDH|1798922655465191339</stp>
        <tr r="T27" s="2"/>
      </tp>
      <tp t="s">
        <v>#N/A N/A</v>
        <stp/>
        <stp>BDH|3161798070580318888</stp>
        <tr r="V22" s="2"/>
      </tp>
      <tp t="s">
        <v>#N/A N/A</v>
        <stp/>
        <stp>BDH|5523335357231473968</stp>
        <tr r="AN19" s="2"/>
      </tp>
      <tp t="s">
        <v>#N/A N/A</v>
        <stp/>
        <stp>BDH|4126908229506024284</stp>
        <tr r="H18" s="5"/>
        <tr r="H18" s="4"/>
      </tp>
      <tp t="s">
        <v>#N/A N/A</v>
        <stp/>
        <stp>BDP|8045205230455462750</stp>
        <tr r="Q19" s="3"/>
      </tp>
      <tp t="s">
        <v>#N/A N/A</v>
        <stp/>
        <stp>BDH|1544672247218006044</stp>
        <tr r="AO29" s="2"/>
      </tp>
      <tp t="s">
        <v>#N/A N/A</v>
        <stp/>
        <stp>BDH|4688133876249417068</stp>
        <tr r="H25" s="5"/>
        <tr r="H25" s="4"/>
      </tp>
      <tp t="s">
        <v>#N/A N/A</v>
        <stp/>
        <stp>BDH|8675377973332173522</stp>
        <tr r="D7" s="5"/>
        <tr r="D7" s="4"/>
      </tp>
      <tp t="s">
        <v>#N/A N/A</v>
        <stp/>
        <stp>BDH|7316214844058080277</stp>
        <tr r="T7" s="5"/>
        <tr r="T7" s="4"/>
      </tp>
      <tp t="s">
        <v>#N/A N/A</v>
        <stp/>
        <stp>BDH|7989608317762929917</stp>
        <tr r="G8" s="5"/>
        <tr r="G8" s="4"/>
      </tp>
      <tp t="s">
        <v>#N/A N/A</v>
        <stp/>
        <stp>BDH|1665171376324847892</stp>
        <tr r="W7" s="5"/>
        <tr r="W7" s="4"/>
      </tp>
      <tp t="s">
        <v>#N/A N/A</v>
        <stp/>
        <stp>BDH|6293993666227946523</stp>
        <tr r="K28" s="2"/>
      </tp>
      <tp t="s">
        <v>#N/A N/A</v>
        <stp/>
        <stp>BDH|7741374506906926994</stp>
        <tr r="AN13" s="2"/>
      </tp>
      <tp t="s">
        <v>#N/A N/A</v>
        <stp/>
        <stp>BDH|2890709909298207643</stp>
        <tr r="AF9" s="5"/>
        <tr r="AF9" s="4"/>
      </tp>
      <tp t="s">
        <v>#N/A N/A</v>
        <stp/>
        <stp>BDH|9139084159527031076</stp>
        <tr r="V13" s="5"/>
        <tr r="V13" s="4"/>
      </tp>
      <tp t="s">
        <v>#N/A N/A</v>
        <stp/>
        <stp>BDH|2094825360195521203</stp>
        <tr r="AH20" s="5"/>
        <tr r="AH20" s="4"/>
      </tp>
      <tp t="s">
        <v>#N/A N/A</v>
        <stp/>
        <stp>BDH|3249959842061588444</stp>
        <tr r="AE22" s="2"/>
      </tp>
      <tp t="s">
        <v>#N/A N/A</v>
        <stp/>
        <stp>BDH|7152940417281645503</stp>
        <tr r="AN25" s="5"/>
        <tr r="AN25" s="4"/>
      </tp>
      <tp t="s">
        <v>#N/A N/A</v>
        <stp/>
        <stp>BDP|5948649793268243993</stp>
        <tr r="AE19" s="3"/>
      </tp>
      <tp t="s">
        <v>#N/A N/A</v>
        <stp/>
        <stp>BDH|6932882271615769723</stp>
        <tr r="Z9" s="2"/>
      </tp>
      <tp t="s">
        <v>#N/A N/A</v>
        <stp/>
        <stp>BDH|2736966533740060373</stp>
        <tr r="T9" s="2"/>
      </tp>
      <tp t="s">
        <v>#N/A N/A</v>
        <stp/>
        <stp>BDH|6215279290602732476</stp>
        <tr r="S27" s="2"/>
      </tp>
      <tp t="s">
        <v>#N/A N/A</v>
        <stp/>
        <stp>BDH|4184134221594251847</stp>
        <tr r="I10" s="2"/>
      </tp>
      <tp t="s">
        <v>#N/A N/A</v>
        <stp/>
        <stp>BDH|1275365791230224028</stp>
        <tr r="I21" s="5"/>
        <tr r="I21" s="4"/>
      </tp>
      <tp t="s">
        <v>#N/A N/A</v>
        <stp/>
        <stp>BDH|5101102409451513167</stp>
        <tr r="AH17" s="2"/>
      </tp>
      <tp t="s">
        <v>#N/A N/A</v>
        <stp/>
        <stp>BDH|7693470468685184437</stp>
        <tr r="AH25" s="5"/>
        <tr r="AH25" s="4"/>
      </tp>
      <tp t="s">
        <v>#N/A N/A</v>
        <stp/>
        <stp>BDH|1016490227594417717</stp>
        <tr r="M8" s="5"/>
        <tr r="M8" s="4"/>
      </tp>
      <tp t="s">
        <v>#N/A N/A</v>
        <stp/>
        <stp>BDH|4644174204314922575</stp>
        <tr r="Y13" s="2"/>
      </tp>
      <tp t="s">
        <v>#N/A N/A</v>
        <stp/>
        <stp>BDH|4627296014850181312</stp>
        <tr r="AN17" s="5"/>
        <tr r="AN17" s="4"/>
      </tp>
      <tp t="s">
        <v>#N/A N/A</v>
        <stp/>
        <stp>BDH|9328953147642900207</stp>
        <tr r="AE29" s="2"/>
      </tp>
      <tp t="s">
        <v>#N/A N/A</v>
        <stp/>
        <stp>BDH|2469859928494064819</stp>
        <tr r="M20" s="5"/>
        <tr r="M20" s="4"/>
      </tp>
      <tp t="s">
        <v>#N/A N/A</v>
        <stp/>
        <stp>BDH|1224333746526665494</stp>
        <tr r="AE9" s="5"/>
        <tr r="AE9" s="4"/>
      </tp>
      <tp t="s">
        <v>#N/A N/A</v>
        <stp/>
        <stp>BDH|6496357112394829436</stp>
        <tr r="R24" s="2"/>
      </tp>
      <tp t="s">
        <v>#N/A N/A</v>
        <stp/>
        <stp>BDH|4904342132104481436</stp>
        <tr r="AF20" s="5"/>
        <tr r="AF20" s="4"/>
      </tp>
      <tp t="s">
        <v>#N/A N/A</v>
        <stp/>
        <stp>BDH|4309962217538242095</stp>
        <tr r="G28" s="2"/>
      </tp>
      <tp t="s">
        <v>#N/A N/A</v>
        <stp/>
        <stp>BDH|2954973538278940468</stp>
        <tr r="AO16" s="5"/>
        <tr r="AO16" s="4"/>
      </tp>
      <tp t="s">
        <v>#N/A N/A</v>
        <stp/>
        <stp>BDH|8311268953412776981</stp>
        <tr r="G20" s="5"/>
        <tr r="G20" s="4"/>
      </tp>
      <tp t="s">
        <v>#N/A N/A</v>
        <stp/>
        <stp>BDH|1813486975746495086</stp>
        <tr r="I13" s="5"/>
        <tr r="I13" s="4"/>
      </tp>
      <tp t="s">
        <v>#N/A N/A</v>
        <stp/>
        <stp>BDH|3557187087428132655</stp>
        <tr r="K27" s="2"/>
      </tp>
      <tp t="s">
        <v>#N/A N/A</v>
        <stp/>
        <stp>BDH|2344309357847229780</stp>
        <tr r="AK12" s="5"/>
        <tr r="AK12" s="4"/>
      </tp>
      <tp t="s">
        <v>#N/A N/A</v>
        <stp/>
        <stp>BDH|8216887264832451047</stp>
        <tr r="AE21" s="5"/>
        <tr r="AE21" s="4"/>
      </tp>
      <tp t="s">
        <v>#N/A N/A</v>
        <stp/>
        <stp>BDH|3267435585813928835</stp>
        <tr r="W27" s="2"/>
      </tp>
      <tp t="s">
        <v>#N/A N/A</v>
        <stp/>
        <stp>BDH|6077069616942918179</stp>
        <tr r="H12" s="5"/>
        <tr r="H12" s="4"/>
      </tp>
      <tp t="s">
        <v>#N/A N/A</v>
        <stp/>
        <stp>BDH|1034580564376670053</stp>
        <tr r="V18" s="5"/>
        <tr r="V18" s="4"/>
      </tp>
      <tp t="s">
        <v>#N/A N/A</v>
        <stp/>
        <stp>BDH|2512735245562831749</stp>
        <tr r="AB10" s="5"/>
        <tr r="AB10" s="4"/>
      </tp>
      <tp t="s">
        <v>#N/A N/A</v>
        <stp/>
        <stp>BDH|8182583114408012022</stp>
        <tr r="X7" s="5"/>
        <tr r="X7" s="4"/>
      </tp>
      <tp t="s">
        <v>#N/A N/A</v>
        <stp/>
        <stp>BDH|3213006175404316488</stp>
        <tr r="G19" s="2"/>
      </tp>
      <tp t="s">
        <v>#N/A N/A</v>
        <stp/>
        <stp>BDP|5624441359388246844</stp>
        <tr r="AF16" s="3"/>
      </tp>
      <tp t="s">
        <v>#N/A N/A</v>
        <stp/>
        <stp>BDH|1652704061724234081</stp>
        <tr r="R9" s="5"/>
        <tr r="R9" s="4"/>
      </tp>
      <tp t="s">
        <v>#N/A N/A</v>
        <stp/>
        <stp>BDH|8463910472865917738</stp>
        <tr r="C21" s="5"/>
        <tr r="C21" s="4"/>
      </tp>
      <tp t="s">
        <v>#N/A N/A</v>
        <stp/>
        <stp>BDH|2851886597446741120</stp>
        <tr r="AN17" s="2"/>
      </tp>
      <tp t="s">
        <v>#N/A N/A</v>
        <stp/>
        <stp>BDH|5480963333392544962</stp>
        <tr r="W17" s="5"/>
        <tr r="W17" s="4"/>
      </tp>
      <tp t="s">
        <v>#N/A N/A</v>
        <stp/>
        <stp>BDH|9956990309910990434</stp>
        <tr r="S21" s="2"/>
      </tp>
      <tp t="s">
        <v>#N/A N/A</v>
        <stp/>
        <stp>BDH|2164354524102663554</stp>
        <tr r="T7" s="2"/>
      </tp>
      <tp t="s">
        <v>#N/A N/A</v>
        <stp/>
        <stp>BDH|4619878015151524829</stp>
        <tr r="O9" s="5"/>
        <tr r="O9" s="4"/>
      </tp>
      <tp t="s">
        <v>#N/A N/A</v>
        <stp/>
        <stp>BDH|8081152496507696362</stp>
        <tr r="AM7" s="2"/>
      </tp>
      <tp t="s">
        <v>#N/A N/A</v>
        <stp/>
        <stp>BDH|5712027784810453966</stp>
        <tr r="H7" s="2"/>
      </tp>
      <tp t="s">
        <v>#N/A N/A</v>
        <stp/>
        <stp>BDH|3895453758681718724</stp>
        <tr r="AF10" s="5"/>
        <tr r="AF10" s="4"/>
      </tp>
      <tp t="s">
        <v>#N/A N/A</v>
        <stp/>
        <stp>BDH|1138959165153071910</stp>
        <tr r="AF14" s="5"/>
        <tr r="AF14" s="4"/>
      </tp>
      <tp t="s">
        <v>#N/A N/A</v>
        <stp/>
        <stp>BDH|8477806642365747505</stp>
        <tr r="Q17" s="2"/>
      </tp>
      <tp t="s">
        <v>#N/A N/A</v>
        <stp/>
        <stp>BDH|6710347160090431762</stp>
        <tr r="AJ13" s="2"/>
      </tp>
      <tp t="s">
        <v>#N/A N/A</v>
        <stp/>
        <stp>BDH|6358705413683227732</stp>
        <tr r="F12" s="5"/>
        <tr r="F12" s="4"/>
      </tp>
      <tp t="s">
        <v>#N/A N/A</v>
        <stp/>
        <stp>BDH|4572001963246902092</stp>
        <tr r="AP7" s="2"/>
      </tp>
      <tp t="s">
        <v>#N/A N/A</v>
        <stp/>
        <stp>BDH|6329643351872915390</stp>
        <tr r="AF29" s="2"/>
      </tp>
      <tp t="s">
        <v>#N/A N/A</v>
        <stp/>
        <stp>BDH|9001259503539800680</stp>
        <tr r="O13" s="2"/>
      </tp>
      <tp t="s">
        <v>#N/A N/A</v>
        <stp/>
        <stp>BDP|2666349673354526635</stp>
        <tr r="O19" s="3"/>
      </tp>
      <tp t="s">
        <v>#N/A N/A</v>
        <stp/>
        <stp>BDP|7411700811563064625</stp>
        <tr r="AJ15" s="3"/>
      </tp>
      <tp t="s">
        <v>#N/A N/A</v>
        <stp/>
        <stp>BDP|3431023642566393536</stp>
        <tr r="AK9" s="3"/>
      </tp>
      <tp t="s">
        <v>#N/A N/A</v>
        <stp/>
        <stp>BDP|1805805849911164844</stp>
        <tr r="AH20" s="3"/>
      </tp>
      <tp t="s">
        <v>#N/A N/A</v>
        <stp/>
        <stp>BDP|4617651035233201618</stp>
        <tr r="S16" s="3"/>
      </tp>
      <tp t="s">
        <v>#N/A N/A</v>
        <stp/>
        <stp>BDP|3289767396900241954</stp>
        <tr r="C15" s="3"/>
      </tp>
      <tp t="s">
        <v>#N/A N/A</v>
        <stp/>
        <stp>BDH|5606934927672617812</stp>
        <tr r="AE17" s="2"/>
      </tp>
      <tp t="s">
        <v>#N/A N/A</v>
        <stp/>
        <stp>BDH|9283877027630581723</stp>
        <tr r="I28" s="2"/>
      </tp>
      <tp t="s">
        <v>#N/A N/A</v>
        <stp/>
        <stp>BDH|1534066562116214563</stp>
        <tr r="AL22" s="5"/>
        <tr r="AL22" s="4"/>
      </tp>
      <tp t="s">
        <v>#N/A N/A</v>
        <stp/>
        <stp>BDH|23855334361711320</stp>
        <tr r="L24" s="2"/>
      </tp>
      <tp t="s">
        <v>#N/A N/A</v>
        <stp/>
        <stp>BDH|6410605769081365242</stp>
        <tr r="AL28" s="2"/>
      </tp>
      <tp t="s">
        <v>#N/A N/A</v>
        <stp/>
        <stp>BDH|6209682050629484957</stp>
        <tr r="AM22" s="5"/>
        <tr r="AM22" s="4"/>
      </tp>
      <tp t="s">
        <v>#N/A N/A</v>
        <stp/>
        <stp>BDP|2699194344760453271</stp>
        <tr r="AE15" s="3"/>
      </tp>
      <tp t="s">
        <v>#N/A N/A</v>
        <stp/>
        <stp>BDP|2935593450610899701</stp>
        <tr r="E13" s="3"/>
      </tp>
      <tp t="s">
        <v>#N/A N/A</v>
        <stp/>
        <stp>BDH|5794602179301600002</stp>
        <tr r="AH27" s="2"/>
      </tp>
      <tp t="s">
        <v>#N/A N/A</v>
        <stp/>
        <stp>BDH|1710649476757847251</stp>
        <tr r="AO24" s="2"/>
      </tp>
      <tp t="s">
        <v>#N/A N/A</v>
        <stp/>
        <stp>BDH|6121008671686110297</stp>
        <tr r="AD8" s="2"/>
      </tp>
      <tp t="s">
        <v>#N/A N/A</v>
        <stp/>
        <stp>BDH|6548728823173475590</stp>
        <tr r="S7" s="2"/>
      </tp>
      <tp t="s">
        <v>#N/A N/A</v>
        <stp/>
        <stp>BDH|2501030751280062299</stp>
        <tr r="R10" s="5"/>
        <tr r="R10" s="4"/>
      </tp>
      <tp t="s">
        <v>#N/A N/A</v>
        <stp/>
        <stp>BDH|1951114514341488564</stp>
        <tr r="S10" s="5"/>
        <tr r="S10" s="4"/>
      </tp>
      <tp t="s">
        <v>#N/A N/A</v>
        <stp/>
        <stp>BDH|7168479819455517252</stp>
        <tr r="AN10" s="2"/>
      </tp>
      <tp t="s">
        <v>#N/A N/A</v>
        <stp/>
        <stp>BDP|3620905242349006285</stp>
        <tr r="AD20" s="3"/>
      </tp>
      <tp t="s">
        <v>#N/A N/A</v>
        <stp/>
        <stp>BDP|1866436763575329373</stp>
        <tr r="T20" s="3"/>
      </tp>
      <tp t="s">
        <v>#N/A N/A</v>
        <stp/>
        <stp>BDH|4807991496611875038</stp>
        <tr r="O7" s="5"/>
        <tr r="O7" s="4"/>
      </tp>
      <tp t="s">
        <v>#N/A N/A</v>
        <stp/>
        <stp>BDH|1833227481218674606</stp>
        <tr r="Y21" s="2"/>
      </tp>
      <tp t="s">
        <v>#N/A N/A</v>
        <stp/>
        <stp>BDH|2373252935341968776</stp>
        <tr r="F14" s="5"/>
        <tr r="F14" s="4"/>
      </tp>
      <tp t="s">
        <v>#N/A N/A</v>
        <stp/>
        <stp>BDH|1047313172795830582</stp>
        <tr r="AP22" s="5"/>
        <tr r="AP22" s="4"/>
      </tp>
      <tp t="s">
        <v>#N/A N/A</v>
        <stp/>
        <stp>BDH|9656696230729520096</stp>
        <tr r="AB20" s="2"/>
      </tp>
      <tp t="s">
        <v>#N/A N/A</v>
        <stp/>
        <stp>BDH|7437833065224443853</stp>
        <tr r="AI13" s="5"/>
        <tr r="AI13" s="4"/>
      </tp>
      <tp t="s">
        <v>#N/A N/A</v>
        <stp/>
        <stp>BDH|8102487893086153686</stp>
        <tr r="P7" s="5"/>
        <tr r="P7" s="4"/>
      </tp>
      <tp t="s">
        <v>#N/A N/A</v>
        <stp/>
        <stp>BDH|1305019371546307537</stp>
        <tr r="S7" s="5"/>
        <tr r="S7" s="4"/>
      </tp>
      <tp t="s">
        <v>#N/A N/A</v>
        <stp/>
        <stp>BDH|5717258578842912732</stp>
        <tr r="C14" s="5"/>
        <tr r="C14" s="4"/>
      </tp>
      <tp t="s">
        <v>#N/A N/A</v>
        <stp/>
        <stp>BDH|2013155111197195051</stp>
        <tr r="AA17" s="2"/>
      </tp>
      <tp t="s">
        <v>#N/A N/A</v>
        <stp/>
        <stp>BDH|1765638693772074971</stp>
        <tr r="K7" s="5"/>
        <tr r="K7" s="4"/>
      </tp>
      <tp t="s">
        <v>#N/A N/A</v>
        <stp/>
        <stp>BDH|2841345936163322487</stp>
        <tr r="T13" s="2"/>
      </tp>
      <tp t="s">
        <v>#N/A N/A</v>
        <stp/>
        <stp>BDH|1310029964855317777</stp>
        <tr r="AO22" s="2"/>
      </tp>
      <tp t="s">
        <v>#N/A N/A</v>
        <stp/>
        <stp>BDH|7437616419893873652</stp>
        <tr r="AE7" s="5"/>
        <tr r="AE7" s="4"/>
      </tp>
      <tp t="s">
        <v>#N/A N/A</v>
        <stp/>
        <stp>BDH|6447550469886871613</stp>
        <tr r="N7" s="2"/>
      </tp>
      <tp t="s">
        <v>#N/A N/A</v>
        <stp/>
        <stp>BDH|6998611270574119686</stp>
        <tr r="AH7" s="2"/>
      </tp>
      <tp t="s">
        <v>#N/A N/A</v>
        <stp/>
        <stp>BDH|2750572217954100772</stp>
        <tr r="AC21" s="5"/>
        <tr r="AC21" s="4"/>
      </tp>
      <tp t="s">
        <v>#N/A N/A</v>
        <stp/>
        <stp>BDH|9123879298734765986</stp>
        <tr r="F25" s="5"/>
        <tr r="F25" s="4"/>
      </tp>
      <tp t="s">
        <v>#N/A N/A</v>
        <stp/>
        <stp>BDH|7743828479824408998</stp>
        <tr r="D14" s="5"/>
        <tr r="D14" s="4"/>
      </tp>
      <tp t="s">
        <v>#N/A N/A</v>
        <stp/>
        <stp>BDP|6040546870318653945</stp>
        <tr r="R9" s="3"/>
      </tp>
      <tp t="s">
        <v>#N/A N/A</v>
        <stp/>
        <stp>BDH|6259877086211280278</stp>
        <tr r="Y10" s="5"/>
        <tr r="Y10" s="4"/>
      </tp>
      <tp t="s">
        <v>#N/A N/A</v>
        <stp/>
        <stp>BDH|4242059204062644334</stp>
        <tr r="AF22" s="5"/>
        <tr r="AF22" s="4"/>
      </tp>
      <tp t="s">
        <v>#N/A N/A</v>
        <stp/>
        <stp>BDP|2095658731583165127</stp>
        <tr r="H20" s="3"/>
      </tp>
      <tp t="s">
        <v>#N/A N/A</v>
        <stp/>
        <stp>BDP|7885048169873785754</stp>
        <tr r="AA16" s="3"/>
      </tp>
      <tp t="s">
        <v>#N/A N/A</v>
        <stp/>
        <stp>BDH|9047359395516716008</stp>
        <tr r="F9" s="2"/>
      </tp>
      <tp t="s">
        <v>#N/A N/A</v>
        <stp/>
        <stp>BDH|4563296324746630794</stp>
        <tr r="X13" s="5"/>
        <tr r="X13" s="4"/>
      </tp>
      <tp t="s">
        <v>#N/A N/A</v>
        <stp/>
        <stp>BDH|9878647878895091834</stp>
        <tr r="AE17" s="5"/>
        <tr r="AE17" s="4"/>
      </tp>
      <tp t="s">
        <v>#N/A N/A</v>
        <stp/>
        <stp>BDH|6119772874606417513</stp>
        <tr r="AJ7" s="5"/>
        <tr r="AJ7" s="4"/>
      </tp>
      <tp t="s">
        <v>#N/A N/A</v>
        <stp/>
        <stp>BDH|1587446902329533917</stp>
        <tr r="R21" s="5"/>
        <tr r="R21" s="4"/>
      </tp>
      <tp t="s">
        <v>#N/A N/A</v>
        <stp/>
        <stp>BDH|2811196296436292922</stp>
        <tr r="AJ18" s="5"/>
        <tr r="AJ18" s="4"/>
      </tp>
      <tp t="s">
        <v>#N/A N/A</v>
        <stp/>
        <stp>BDH|6727461814864461265</stp>
        <tr r="R7" s="5"/>
        <tr r="R7" s="4"/>
      </tp>
      <tp t="s">
        <v>#N/A N/A</v>
        <stp/>
        <stp>BDH|2123209276175124712</stp>
        <tr r="N9" s="5"/>
        <tr r="N9" s="4"/>
      </tp>
      <tp t="s">
        <v>#N/A N/A</v>
        <stp/>
        <stp>BDH|6904659895374839866</stp>
        <tr r="AC29" s="2"/>
      </tp>
      <tp t="s">
        <v>#N/A N/A</v>
        <stp/>
        <stp>BDH|6259045268710080590</stp>
        <tr r="H10" s="2"/>
      </tp>
      <tp t="s">
        <v>#N/A N/A</v>
        <stp/>
        <stp>BDH|1278456636951244279</stp>
        <tr r="AB8" s="5"/>
        <tr r="AB8" s="4"/>
      </tp>
      <tp t="s">
        <v>#N/A N/A</v>
        <stp/>
        <stp>BDH|9656984803487139282</stp>
        <tr r="AO25" s="5"/>
        <tr r="AO25" s="4"/>
      </tp>
      <tp t="s">
        <v>#N/A N/A</v>
        <stp/>
        <stp>BDP|1279655472427504258</stp>
        <tr r="Y19" s="3"/>
      </tp>
      <tp t="s">
        <v>#N/A N/A</v>
        <stp/>
        <stp>BDH|2934097680629612635</stp>
        <tr r="J6" s="5"/>
        <tr r="J6" s="4"/>
      </tp>
      <tp t="s">
        <v>#N/A N/A</v>
        <stp/>
        <stp>BDH|8556163705774486871</stp>
        <tr r="AA25" s="5"/>
        <tr r="AA25" s="4"/>
      </tp>
      <tp t="s">
        <v>#N/A N/A</v>
        <stp/>
        <stp>BDH|22944333164072604</stp>
        <tr r="AE19" s="2"/>
      </tp>
      <tp t="s">
        <v>#N/A N/A</v>
        <stp/>
        <stp>BDP|4671131364792203799</stp>
        <tr r="V16" s="3"/>
      </tp>
      <tp t="s">
        <v>#N/A N/A</v>
        <stp/>
        <stp>BDH|6876771666796288719</stp>
        <tr r="AP29" s="2"/>
      </tp>
      <tp t="s">
        <v>#N/A N/A</v>
        <stp/>
        <stp>BDH|3193233292619916734</stp>
        <tr r="C23" s="2"/>
      </tp>
      <tp t="s">
        <v>#N/A N/A</v>
        <stp/>
        <stp>BDH|8177848669756122671</stp>
        <tr r="W22" s="5"/>
        <tr r="W22" s="4"/>
      </tp>
      <tp t="s">
        <v>#N/A N/A</v>
        <stp/>
        <stp>BDH|3363276243774908757</stp>
        <tr r="Z22" s="5"/>
        <tr r="Z22" s="4"/>
      </tp>
      <tp t="s">
        <v>#N/A N/A</v>
        <stp/>
        <stp>BDH|5084499212542622464</stp>
        <tr r="U22" s="2"/>
      </tp>
      <tp t="s">
        <v>#N/A N/A</v>
        <stp/>
        <stp>BDH|5919753826302020416</stp>
        <tr r="T10" s="5"/>
        <tr r="T10" s="4"/>
      </tp>
      <tp t="s">
        <v>#N/A N/A</v>
        <stp/>
        <stp>BDH|2440174950473186399</stp>
        <tr r="V25" s="5"/>
        <tr r="V25" s="4"/>
      </tp>
      <tp t="s">
        <v>#N/A N/A</v>
        <stp/>
        <stp>BDH|4675509605212093582</stp>
        <tr r="AE16" s="5"/>
        <tr r="AE16" s="4"/>
      </tp>
      <tp t="s">
        <v>#N/A N/A</v>
        <stp/>
        <stp>BDH|3724091361847412438</stp>
        <tr r="V7" s="5"/>
        <tr r="V7" s="4"/>
      </tp>
      <tp t="s">
        <v>#N/A N/A</v>
        <stp/>
        <stp>BDH|4829287994398440186</stp>
        <tr r="U14" s="5"/>
        <tr r="U14" s="4"/>
      </tp>
      <tp t="s">
        <v>#N/A N/A</v>
        <stp/>
        <stp>BDH|2935773796873647966</stp>
        <tr r="N20" s="5"/>
        <tr r="N20" s="4"/>
      </tp>
      <tp t="s">
        <v>#N/A N/A</v>
        <stp/>
        <stp>BDH|3875047055378892897</stp>
        <tr r="AP16" s="5"/>
        <tr r="AP16" s="4"/>
      </tp>
      <tp t="s">
        <v>#N/A N/A</v>
        <stp/>
        <stp>BDH|7747025110445992541</stp>
        <tr r="AN7" s="2"/>
      </tp>
      <tp t="s">
        <v>#N/A N/A</v>
        <stp/>
        <stp>BDH|6465280845306451045</stp>
        <tr r="P9" s="5"/>
        <tr r="P9" s="4"/>
      </tp>
      <tp t="s">
        <v>#N/A N/A</v>
        <stp/>
        <stp>BDH|9670157196916830142</stp>
        <tr r="AO20" s="2"/>
      </tp>
      <tp t="s">
        <v>#N/A N/A</v>
        <stp/>
        <stp>BDH|3246142568043649118</stp>
        <tr r="AF8" s="2"/>
      </tp>
      <tp t="s">
        <v>#N/A N/A</v>
        <stp/>
        <stp>BDH|7218010563827803017</stp>
        <tr r="AP6" s="5"/>
        <tr r="AP6" s="4"/>
      </tp>
      <tp t="s">
        <v>#N/A N/A</v>
        <stp/>
        <stp>BDP|3666918704925432990</stp>
        <tr r="AG15" s="3"/>
      </tp>
      <tp t="s">
        <v>#N/A N/A</v>
        <stp/>
        <stp>BDH|9115523615403175890</stp>
        <tr r="AD17" s="5"/>
        <tr r="AD17" s="4"/>
      </tp>
      <tp t="s">
        <v>#N/A N/A</v>
        <stp/>
        <stp>BDH|9973847755302629009</stp>
        <tr r="M9" s="5"/>
        <tr r="M9" s="4"/>
      </tp>
      <tp t="s">
        <v>#N/A N/A</v>
        <stp/>
        <stp>BDP|3672027877482500096</stp>
        <tr r="F13" s="3"/>
      </tp>
      <tp t="s">
        <v>#N/A N/A</v>
        <stp/>
        <stp>BDH|3242962840571951925</stp>
        <tr r="R12" s="5"/>
        <tr r="R12" s="4"/>
      </tp>
      <tp t="s">
        <v>#N/A N/A</v>
        <stp/>
        <stp>BDP|6764214250331838623</stp>
        <tr r="AI9" s="3"/>
      </tp>
      <tp t="s">
        <v>#N/A N/A</v>
        <stp/>
        <stp>BDP|6499407086825610980</stp>
        <tr r="AO9" s="3"/>
      </tp>
      <tp t="s">
        <v>#N/A N/A</v>
        <stp/>
        <stp>BDH|4217672150654137587</stp>
        <tr r="C19" s="2"/>
      </tp>
      <tp t="s">
        <v>#N/A N/A</v>
        <stp/>
        <stp>BDH|2531747789072579912</stp>
        <tr r="T18" s="5"/>
        <tr r="T18" s="4"/>
      </tp>
      <tp t="s">
        <v>#N/A N/A</v>
        <stp/>
        <stp>BDH|3616305858700030323</stp>
        <tr r="X16" s="5"/>
        <tr r="X16" s="4"/>
      </tp>
      <tp t="s">
        <v>#N/A N/A</v>
        <stp/>
        <stp>BDP|1371286676464277629</stp>
        <tr r="AJ13" s="3"/>
      </tp>
      <tp t="s">
        <v>#N/A N/A</v>
        <stp/>
        <stp>BDH|4394806369859275559</stp>
        <tr r="T19" s="2"/>
      </tp>
      <tp t="s">
        <v>#N/A N/A</v>
        <stp/>
        <stp>BDH|8266762198750395022</stp>
        <tr r="AF27" s="2"/>
      </tp>
      <tp t="s">
        <v>#N/A N/A</v>
        <stp/>
        <stp>BDH|7045215914355536727</stp>
        <tr r="AM22" s="2"/>
      </tp>
      <tp t="s">
        <v>#N/A N/A</v>
        <stp/>
        <stp>BDH|9198482188193536065</stp>
        <tr r="AB13" s="2"/>
      </tp>
      <tp t="s">
        <v>#N/A N/A</v>
        <stp/>
        <stp>BDH|6493041352317138208</stp>
        <tr r="C17" s="2"/>
      </tp>
      <tp t="s">
        <v>#N/A N/A</v>
        <stp/>
        <stp>BDH|9897973557883005080</stp>
        <tr r="AF17" s="5"/>
        <tr r="AF17" s="4"/>
      </tp>
      <tp t="s">
        <v>#N/A N/A</v>
        <stp/>
        <stp>BDH|4852395043335575071</stp>
        <tr r="Z20" s="5"/>
        <tr r="Z20" s="4"/>
      </tp>
      <tp t="s">
        <v>#N/A N/A</v>
        <stp/>
        <stp>BDH|6764659879629252899</stp>
        <tr r="AF19" s="2"/>
      </tp>
      <tp t="s">
        <v>#N/A N/A</v>
        <stp/>
        <stp>BDH|3907250403826904163</stp>
        <tr r="AB20" s="5"/>
        <tr r="AB20" s="4"/>
      </tp>
      <tp t="s">
        <v>#N/A N/A</v>
        <stp/>
        <stp>BDH|2927004728995456351</stp>
        <tr r="AO9" s="5"/>
        <tr r="AO9" s="4"/>
      </tp>
      <tp t="s">
        <v>#N/A N/A</v>
        <stp/>
        <stp>BDH|3348527902413796344</stp>
        <tr r="AH19" s="2"/>
      </tp>
      <tp t="s">
        <v>#N/A N/A</v>
        <stp/>
        <stp>BDP|7085380445063508596</stp>
        <tr r="J15" s="3"/>
      </tp>
      <tp t="s">
        <v>#N/A N/A</v>
        <stp/>
        <stp>BDH|9422326717259718471</stp>
        <tr r="W28" s="2"/>
      </tp>
      <tp t="s">
        <v>#N/A N/A</v>
        <stp/>
        <stp>BDH|3632089972587823557</stp>
        <tr r="L17" s="2"/>
      </tp>
      <tp t="s">
        <v>#N/A N/A</v>
        <stp/>
        <stp>BDH|3579478153852051678</stp>
        <tr r="AK8" s="5"/>
        <tr r="AK8" s="4"/>
      </tp>
      <tp t="s">
        <v>#N/A N/A</v>
        <stp/>
        <stp>BDH|2241575810163370308</stp>
        <tr r="L10" s="2"/>
      </tp>
      <tp t="s">
        <v>#N/A N/A</v>
        <stp/>
        <stp>BDP|7596630622632277726</stp>
        <tr r="AJ16" s="3"/>
      </tp>
      <tp t="s">
        <v>#N/A N/A</v>
        <stp/>
        <stp>BDH|3303413082570377970</stp>
        <tr r="I29" s="2"/>
      </tp>
      <tp t="s">
        <v>#N/A N/A</v>
        <stp/>
        <stp>BDH|3985599192928624103</stp>
        <tr r="AB6" s="5"/>
        <tr r="AB6" s="4"/>
      </tp>
      <tp t="s">
        <v>#N/A N/A</v>
        <stp/>
        <stp>BDH|7526278964513357615</stp>
        <tr r="AL14" s="5"/>
        <tr r="AL14" s="4"/>
      </tp>
      <tp t="s">
        <v>#N/A N/A</v>
        <stp/>
        <stp>BDP|4543221472892066504</stp>
        <tr r="L16" s="3"/>
      </tp>
      <tp t="s">
        <v>#N/A N/A</v>
        <stp/>
        <stp>BDH|9416421681333649046</stp>
        <tr r="I21" s="2"/>
      </tp>
      <tp t="s">
        <v>#N/A N/A</v>
        <stp/>
        <stp>BDH|8897042638844571944</stp>
        <tr r="Y7" s="5"/>
        <tr r="Y7" s="4"/>
      </tp>
      <tp t="s">
        <v>#N/A N/A</v>
        <stp/>
        <stp>BDH|3828097250418009842</stp>
        <tr r="D18" s="5"/>
        <tr r="D18" s="4"/>
      </tp>
      <tp t="s">
        <v>#N/A N/A</v>
        <stp/>
        <stp>BDH|6359397114586898437</stp>
        <tr r="AL12" s="5"/>
        <tr r="AL12" s="4"/>
      </tp>
      <tp t="s">
        <v>#N/A N/A</v>
        <stp/>
        <stp>BDP|8485898214485494377</stp>
        <tr r="X9" s="3"/>
      </tp>
      <tp t="s">
        <v>#N/A N/A</v>
        <stp/>
        <stp>BDH|6920597077437800450</stp>
        <tr r="P17" s="2"/>
      </tp>
      <tp t="s">
        <v>#N/A N/A</v>
        <stp/>
        <stp>BDH|3303561243412402781</stp>
        <tr r="K12" s="5"/>
        <tr r="K12" s="4"/>
      </tp>
      <tp t="s">
        <v>#N/A N/A</v>
        <stp/>
        <stp>BDH|9879833443703490165</stp>
        <tr r="AM7" s="5"/>
        <tr r="AM7" s="4"/>
      </tp>
      <tp t="s">
        <v>#N/A N/A</v>
        <stp/>
        <stp>BDP|8076515880210358298</stp>
        <tr r="J16" s="3"/>
      </tp>
      <tp t="s">
        <v>#N/A N/A</v>
        <stp/>
        <stp>BDH|2672587763921379755</stp>
        <tr r="E7" s="5"/>
        <tr r="E7" s="4"/>
      </tp>
      <tp t="s">
        <v>#N/A N/A</v>
        <stp/>
        <stp>BDH|9950536686296525510</stp>
        <tr r="AD9" s="5"/>
        <tr r="AD9" s="4"/>
      </tp>
      <tp t="s">
        <v>#N/A N/A</v>
        <stp/>
        <stp>BDH|6871852903819351057</stp>
        <tr r="G29" s="2"/>
      </tp>
    </main>
    <main first="bofaddin.rtdserver">
      <tp t="s">
        <v>#N/A N/A</v>
        <stp/>
        <stp>BDP|7552738526184930177</stp>
        <tr r="AK20" s="3"/>
      </tp>
      <tp t="s">
        <v>#N/A N/A</v>
        <stp/>
        <stp>BDP|3365433334695262684</stp>
        <tr r="AD9" s="3"/>
      </tp>
      <tp t="s">
        <v>#N/A N/A</v>
        <stp/>
        <stp>BDH|4249707249462463215</stp>
        <tr r="AL9" s="2"/>
      </tp>
      <tp t="s">
        <v>#N/A N/A</v>
        <stp/>
        <stp>BDH|6399595421770433616</stp>
        <tr r="AG23" s="2"/>
      </tp>
      <tp t="s">
        <v>#N/A N/A</v>
        <stp/>
        <stp>BDH|1985705824125614645</stp>
        <tr r="F8" s="5"/>
        <tr r="F8" s="4"/>
      </tp>
      <tp t="s">
        <v>#N/A N/A</v>
        <stp/>
        <stp>BDH|4138193314292418178</stp>
        <tr r="N22" s="5"/>
        <tr r="N22" s="4"/>
      </tp>
      <tp t="s">
        <v>#N/A N/A</v>
        <stp/>
        <stp>BDH|4512377923522967078</stp>
        <tr r="D19" s="2"/>
      </tp>
      <tp t="s">
        <v>#N/A N/A</v>
        <stp/>
        <stp>BDP|6931432830301562739</stp>
        <tr r="W9" s="3"/>
      </tp>
      <tp t="s">
        <v>#N/A N/A</v>
        <stp/>
        <stp>BDH|5236285483039610136</stp>
        <tr r="AI27" s="2"/>
      </tp>
      <tp t="s">
        <v>#N/A N/A</v>
        <stp/>
        <stp>BDH|4926242546922273751</stp>
        <tr r="Y16" s="5"/>
        <tr r="Y16" s="4"/>
      </tp>
      <tp t="s">
        <v>#N/A N/A</v>
        <stp/>
        <stp>BDP|8829759194928609928</stp>
        <tr r="AF13" s="3"/>
      </tp>
      <tp t="s">
        <v>#N/A N/A</v>
        <stp/>
        <stp>BDH|5835993377699326585</stp>
        <tr r="F13" s="5"/>
        <tr r="F13" s="4"/>
      </tp>
      <tp t="s">
        <v>#N/A N/A</v>
        <stp/>
        <stp>BDH|2062892018218978454</stp>
        <tr r="D13" s="2"/>
      </tp>
      <tp t="s">
        <v>#N/A N/A</v>
        <stp/>
        <stp>BDH|2155772109143316119</stp>
        <tr r="X29" s="2"/>
      </tp>
      <tp t="s">
        <v>#N/A N/A</v>
        <stp/>
        <stp>BDH|6201525633151924678</stp>
        <tr r="T14" s="5"/>
        <tr r="T14" s="4"/>
      </tp>
      <tp t="s">
        <v>#N/A N/A</v>
        <stp/>
        <stp>BDP|4980275732845621780</stp>
        <tr r="Y15" s="3"/>
      </tp>
      <tp t="s">
        <v>#N/A N/A</v>
        <stp/>
        <stp>BDH|3385008414983399669</stp>
        <tr r="Z7" s="5"/>
        <tr r="Z7" s="4"/>
      </tp>
      <tp t="s">
        <v>#N/A N/A</v>
        <stp/>
        <stp>BDH|8845882416322517418</stp>
        <tr r="AL21" s="2"/>
      </tp>
      <tp t="s">
        <v>#N/A N/A</v>
        <stp/>
        <stp>BDH|3186271294757521852</stp>
        <tr r="AK27" s="2"/>
      </tp>
      <tp t="s">
        <v>#N/A N/A</v>
        <stp/>
        <stp>BDP|9105878054196021514</stp>
        <tr r="D13" s="3"/>
      </tp>
      <tp t="s">
        <v>#N/A N/A</v>
        <stp/>
        <stp>BDH|9047995842406865504</stp>
        <tr r="O19" s="2"/>
      </tp>
      <tp t="s">
        <v>#N/A N/A</v>
        <stp/>
        <stp>BDH|7292132650674035027</stp>
        <tr r="AI22" s="5"/>
        <tr r="AI22" s="4"/>
      </tp>
      <tp t="s">
        <v>#N/A N/A</v>
        <stp/>
        <stp>BDH|3371035210577701249</stp>
        <tr r="AL19" s="2"/>
      </tp>
      <tp t="s">
        <v>#N/A N/A</v>
        <stp/>
        <stp>BDH|4928452472908989873</stp>
        <tr r="K19" s="2"/>
      </tp>
      <tp t="s">
        <v>#N/A N/A</v>
        <stp/>
        <stp>BDH|4853341271691844652</stp>
        <tr r="AB12" s="5"/>
        <tr r="AB12" s="4"/>
      </tp>
      <tp t="s">
        <v>#N/A N/A</v>
        <stp/>
        <stp>BDH|6729803493696611621</stp>
        <tr r="N13" s="2"/>
      </tp>
      <tp t="s">
        <v>#N/A N/A</v>
        <stp/>
        <stp>BDH|2911183700233229721</stp>
        <tr r="AE10" s="2"/>
      </tp>
      <tp t="s">
        <v>#N/A N/A</v>
        <stp/>
        <stp>BDH|7064926061699100634</stp>
        <tr r="AI21" s="5"/>
        <tr r="AI21" s="4"/>
      </tp>
      <tp t="s">
        <v>#N/A N/A</v>
        <stp/>
        <stp>BDH|3813074429075575325</stp>
        <tr r="AD25" s="5"/>
        <tr r="AD25" s="4"/>
      </tp>
      <tp t="s">
        <v>#N/A N/A</v>
        <stp/>
        <stp>BDH|9065677576528012702</stp>
        <tr r="K20" s="5"/>
        <tr r="K20" s="4"/>
      </tp>
      <tp t="s">
        <v>#N/A N/A</v>
        <stp/>
        <stp>BDH|1267273788384582895</stp>
        <tr r="AI18" s="5"/>
        <tr r="AI18" s="4"/>
      </tp>
      <tp t="s">
        <v>#N/A N/A</v>
        <stp/>
        <stp>BDH|1245543951745170379</stp>
        <tr r="P18" s="5"/>
        <tr r="P18" s="4"/>
      </tp>
      <tp t="s">
        <v>#N/A N/A</v>
        <stp/>
        <stp>BDP|4553410556052177055</stp>
        <tr r="AP9" s="3"/>
      </tp>
      <tp t="s">
        <v>#N/A N/A</v>
        <stp/>
        <stp>BDH|4844321073042812575</stp>
        <tr r="AL27" s="2"/>
      </tp>
      <tp t="s">
        <v>#N/A N/A</v>
        <stp/>
        <stp>BDH|6789150497169154023</stp>
        <tr r="T12" s="5"/>
        <tr r="T12" s="4"/>
      </tp>
      <tp t="s">
        <v>#N/A N/A</v>
        <stp/>
        <stp>BDH|3670453106657151736</stp>
        <tr r="AF22" s="2"/>
      </tp>
      <tp t="s">
        <v>#N/A N/A</v>
        <stp/>
        <stp>BDH|4778325113932212333</stp>
        <tr r="W9" s="2"/>
      </tp>
      <tp t="s">
        <v>#N/A N/A</v>
        <stp/>
        <stp>BDH|9977895291936728911</stp>
        <tr r="V20" s="5"/>
        <tr r="V20" s="4"/>
      </tp>
      <tp t="s">
        <v>#N/A N/A</v>
        <stp/>
        <stp>BDH|5795261140565527135</stp>
        <tr r="N20" s="2"/>
      </tp>
      <tp t="s">
        <v>#N/A N/A</v>
        <stp/>
        <stp>BDP|8986233865608824331</stp>
        <tr r="AB13" s="3"/>
      </tp>
      <tp t="s">
        <v>#N/A N/A</v>
        <stp/>
        <stp>BDH|8772911231693180624</stp>
        <tr r="W25" s="5"/>
        <tr r="W25" s="4"/>
      </tp>
      <tp t="s">
        <v>#N/A N/A</v>
        <stp/>
        <stp>BDH|4508798792708975520</stp>
        <tr r="G21" s="2"/>
      </tp>
      <tp t="s">
        <v>#N/A N/A</v>
        <stp/>
        <stp>BDP|5328336522161150589</stp>
        <tr r="AH19" s="3"/>
      </tp>
      <tp t="s">
        <v>#N/A N/A</v>
        <stp/>
        <stp>BDH|5380194076755691617</stp>
        <tr r="S13" s="5"/>
        <tr r="S13" s="4"/>
      </tp>
      <tp t="s">
        <v>#N/A N/A</v>
        <stp/>
        <stp>BDH|8807010072796234923</stp>
        <tr r="P23" s="2"/>
      </tp>
      <tp t="s">
        <v>#N/A N/A</v>
        <stp/>
        <stp>BDP|3095851128971252876</stp>
        <tr r="K16" s="3"/>
      </tp>
      <tp t="s">
        <v>#N/A N/A</v>
        <stp/>
        <stp>BDH|4311252738076148376</stp>
        <tr r="T6" s="5"/>
        <tr r="T6" s="4"/>
      </tp>
      <tp t="s">
        <v>#N/A N/A</v>
        <stp/>
        <stp>BDH|3487252618129510948</stp>
        <tr r="H8" s="2"/>
      </tp>
      <tp t="s">
        <v>#N/A N/A</v>
        <stp/>
        <stp>BDP|2156901597180990269</stp>
        <tr r="O16" s="3"/>
      </tp>
      <tp t="s">
        <v>#N/A N/A</v>
        <stp/>
        <stp>BDH|1872210364173230664</stp>
        <tr r="V21" s="2"/>
      </tp>
      <tp t="s">
        <v>#N/A N/A</v>
        <stp/>
        <stp>BDH|9391745229458186467</stp>
        <tr r="S20" s="5"/>
        <tr r="S20" s="4"/>
      </tp>
      <tp t="s">
        <v>#N/A N/A</v>
        <stp/>
        <stp>BDH|7125926606836399881</stp>
        <tr r="N8" s="2"/>
      </tp>
      <tp t="s">
        <v>#N/A N/A</v>
        <stp/>
        <stp>BDH|7129318269056728401</stp>
        <tr r="X7" s="2"/>
      </tp>
      <tp t="s">
        <v>#N/A N/A</v>
        <stp/>
        <stp>BDH|7482061384577181885</stp>
        <tr r="O29" s="2"/>
      </tp>
      <tp t="s">
        <v>#N/A N/A</v>
        <stp/>
        <stp>BDP|8868590358998703022</stp>
        <tr r="AK19" s="3"/>
      </tp>
      <tp t="s">
        <v>#N/A N/A</v>
        <stp/>
        <stp>BDP|7049344121494851212</stp>
        <tr r="U19" s="3"/>
      </tp>
      <tp t="s">
        <v>#N/A N/A</v>
        <stp/>
        <stp>BDH|4843214274409890898</stp>
        <tr r="AA9" s="2"/>
      </tp>
      <tp t="s">
        <v>#N/A N/A</v>
        <stp/>
        <stp>BDH|8212215095156246595</stp>
        <tr r="AL20" s="2"/>
      </tp>
      <tp t="s">
        <v>#N/A N/A</v>
        <stp/>
        <stp>BDH|4077186698669982548</stp>
        <tr r="O10" s="2"/>
      </tp>
      <tp t="s">
        <v>#N/A N/A</v>
        <stp/>
        <stp>BDH|7981786526600987236</stp>
        <tr r="AA13" s="5"/>
        <tr r="AA13" s="4"/>
      </tp>
      <tp t="s">
        <v>#N/A N/A</v>
        <stp/>
        <stp>BDH|4191872487551464585</stp>
        <tr r="E16" s="5"/>
        <tr r="E16" s="4"/>
      </tp>
      <tp t="s">
        <v>#N/A N/A</v>
        <stp/>
        <stp>BDH|5892119633874078371</stp>
        <tr r="P24" s="2"/>
      </tp>
      <tp t="s">
        <v>#N/A N/A</v>
        <stp/>
        <stp>BDH|9363954775142392529</stp>
        <tr r="AA10" s="2"/>
      </tp>
      <tp t="s">
        <v>#N/A N/A</v>
        <stp/>
        <stp>BDH|1024279034180451054</stp>
        <tr r="AA6" s="5"/>
        <tr r="AA6" s="4"/>
      </tp>
      <tp t="s">
        <v>#N/A N/A</v>
        <stp/>
        <stp>BDH|1865080642832274726</stp>
        <tr r="N18" s="5"/>
        <tr r="N18" s="4"/>
      </tp>
      <tp t="s">
        <v>#N/A N/A</v>
        <stp/>
        <stp>BDP|4058330523036784343</stp>
        <tr r="AO16" s="3"/>
      </tp>
      <tp t="s">
        <v>#N/A N/A</v>
        <stp/>
        <stp>BDH|7130582476845539098</stp>
        <tr r="Y29" s="2"/>
      </tp>
      <tp t="s">
        <v>#N/A N/A</v>
        <stp/>
        <stp>BDH|7016053561473752206</stp>
        <tr r="X10" s="5"/>
        <tr r="X10" s="4"/>
      </tp>
      <tp t="s">
        <v>#N/A N/A</v>
        <stp/>
        <stp>BDH|7226824179200864825</stp>
        <tr r="AM28" s="2"/>
      </tp>
      <tp t="s">
        <v>#N/A N/A</v>
        <stp/>
        <stp>BDH|4919428389200585845</stp>
        <tr r="Q7" s="5"/>
        <tr r="Q7" s="4"/>
      </tp>
      <tp t="s">
        <v>#N/A N/A</v>
        <stp/>
        <stp>BDH|1080449340465681422</stp>
        <tr r="AO10" s="2"/>
      </tp>
      <tp t="s">
        <v>#N/A N/A</v>
        <stp/>
        <stp>BDP|6574843947573485931</stp>
        <tr r="Z9" s="3"/>
      </tp>
      <tp t="s">
        <v>#N/A N/A</v>
        <stp/>
        <stp>BDH|5803534145316928268</stp>
        <tr r="D20" s="2"/>
      </tp>
      <tp t="s">
        <v>#N/A N/A</v>
        <stp/>
        <stp>BDH|5845134426155883345</stp>
        <tr r="AK17" s="2"/>
      </tp>
      <tp t="s">
        <v>#N/A N/A</v>
        <stp/>
        <stp>BDH|1356850796491515130</stp>
        <tr r="AD7" s="2"/>
      </tp>
      <tp t="s">
        <v>#N/A N/A</v>
        <stp/>
        <stp>BDH|1229063831170241204</stp>
        <tr r="U13" s="2"/>
      </tp>
      <tp t="s">
        <v>#N/A N/A</v>
        <stp/>
        <stp>BDH|7119268520414026303</stp>
        <tr r="AJ22" s="5"/>
        <tr r="AJ22" s="4"/>
      </tp>
      <tp t="s">
        <v>#N/A N/A</v>
        <stp/>
        <stp>BDH|6598014343922603051</stp>
        <tr r="AK20" s="2"/>
      </tp>
      <tp t="s">
        <v>#N/A N/A</v>
        <stp/>
        <stp>BDH|9933485045370011909</stp>
        <tr r="AI20" s="5"/>
        <tr r="AI20" s="4"/>
      </tp>
      <tp t="s">
        <v>#N/A N/A</v>
        <stp/>
        <stp>BDH|7439382971120054381</stp>
        <tr r="E22" s="5"/>
        <tr r="E22" s="4"/>
      </tp>
    </main>
    <main first="bofaddin.rtdserver">
      <tp t="s">
        <v>#N/A N/A</v>
        <stp/>
        <stp>BDP|7245803766068881063</stp>
        <tr r="Z13" s="3"/>
      </tp>
      <tp t="s">
        <v>#N/A N/A</v>
        <stp/>
        <stp>BDP|8463514177752884902</stp>
        <tr r="AG19" s="3"/>
      </tp>
      <tp t="s">
        <v>#N/A N/A</v>
        <stp/>
        <stp>BDH|2963545984159251713</stp>
        <tr r="AD27" s="2"/>
      </tp>
      <tp t="s">
        <v>#N/A N/A</v>
        <stp/>
        <stp>BDP|3722181651930394669</stp>
        <tr r="AO13" s="3"/>
      </tp>
      <tp t="s">
        <v>#N/A N/A</v>
        <stp/>
        <stp>BDH|1513787237665012111</stp>
        <tr r="Q8" s="2"/>
      </tp>
      <tp t="s">
        <v>#N/A N/A</v>
        <stp/>
        <stp>BDH|4921041072443667125</stp>
        <tr r="AP8" s="5"/>
        <tr r="AP8" s="4"/>
      </tp>
      <tp t="s">
        <v>#N/A N/A</v>
        <stp/>
        <stp>BDH|3395929249189270610</stp>
        <tr r="T25" s="5"/>
        <tr r="T25" s="4"/>
      </tp>
      <tp t="s">
        <v>#N/A N/A</v>
        <stp/>
        <stp>BDH|5085461987629362197</stp>
        <tr r="J21" s="2"/>
      </tp>
      <tp t="s">
        <v>#N/A N/A</v>
        <stp/>
        <stp>BDP|3847700075902097051</stp>
        <tr r="AB19" s="3"/>
      </tp>
      <tp t="s">
        <v>#N/A N/A</v>
        <stp/>
        <stp>BDH|5191469384679299194</stp>
        <tr r="I27" s="2"/>
      </tp>
      <tp t="s">
        <v>#N/A N/A</v>
        <stp/>
        <stp>BDP|9202321496826619498</stp>
        <tr r="S15" s="3"/>
      </tp>
      <tp t="s">
        <v>#N/A N/A</v>
        <stp/>
        <stp>BDH|3913535724751379436</stp>
        <tr r="H8" s="5"/>
        <tr r="H8" s="4"/>
      </tp>
      <tp t="s">
        <v>#N/A N/A</v>
        <stp/>
        <stp>BDH|4217707241913920547</stp>
        <tr r="W23" s="2"/>
      </tp>
      <tp t="s">
        <v>#N/A N/A</v>
        <stp/>
        <stp>BDH|6789098155884024657</stp>
        <tr r="AC28" s="2"/>
      </tp>
      <tp t="s">
        <v>#N/A N/A</v>
        <stp/>
        <stp>BDH|4461068985695170881</stp>
        <tr r="T22" s="2"/>
      </tp>
      <tp t="s">
        <v>#N/A N/A</v>
        <stp/>
        <stp>BDH|7352759629205458646</stp>
        <tr r="P12" s="5"/>
        <tr r="P12" s="4"/>
      </tp>
      <tp t="s">
        <v>#N/A N/A</v>
        <stp/>
        <stp>BDP|2010177884039996363</stp>
        <tr r="AK15" s="3"/>
      </tp>
      <tp t="s">
        <v>#N/A N/A</v>
        <stp/>
        <stp>BDH|9331388696361894393</stp>
        <tr r="AP25" s="5"/>
        <tr r="AP25" s="4"/>
      </tp>
      <tp t="s">
        <v>#N/A N/A</v>
        <stp/>
        <stp>BDH|4401239961840972132</stp>
        <tr r="K21" s="5"/>
        <tr r="K21" s="4"/>
      </tp>
      <tp t="s">
        <v>#N/A N/A</v>
        <stp/>
        <stp>BDH|9456473481905615189</stp>
        <tr r="AC16" s="5"/>
        <tr r="AC16" s="4"/>
      </tp>
      <tp t="s">
        <v>#N/A N/A</v>
        <stp/>
        <stp>BDH|7147587096239515369</stp>
        <tr r="V20" s="2"/>
      </tp>
      <tp t="s">
        <v>#N/A N/A</v>
        <stp/>
        <stp>BDH|3797508809932053521</stp>
        <tr r="X10" s="2"/>
      </tp>
      <tp t="s">
        <v>#N/A N/A</v>
        <stp/>
        <stp>BDP|2968469754222206043</stp>
        <tr r="Y16" s="3"/>
      </tp>
      <tp t="s">
        <v>#N/A N/A</v>
        <stp/>
        <stp>BDH|8945663231078134426</stp>
        <tr r="K20" s="2"/>
      </tp>
      <tp t="s">
        <v>#N/A N/A</v>
        <stp/>
        <stp>BDH|3445489106057005180</stp>
        <tr r="AL17" s="5"/>
        <tr r="AL17" s="4"/>
      </tp>
    </main>
    <main first="bofaddin.rtdserver">
      <tp t="s">
        <v>#N/A N/A</v>
        <stp/>
        <stp>BDH|6360912362408107023</stp>
        <tr r="X9" s="2"/>
      </tp>
      <tp t="s">
        <v>#N/A N/A</v>
        <stp/>
        <stp>BDH|6898798307714271478</stp>
        <tr r="AK20" s="5"/>
        <tr r="AK20" s="4"/>
      </tp>
      <tp t="s">
        <v>#N/A N/A</v>
        <stp/>
        <stp>BDH|2004119641693438573</stp>
        <tr r="N27" s="2"/>
      </tp>
      <tp t="s">
        <v>#N/A N/A</v>
        <stp/>
        <stp>BDH|7078289949431940187</stp>
        <tr r="AB23" s="2"/>
      </tp>
      <tp t="s">
        <v>#N/A N/A</v>
        <stp/>
        <stp>BDH|6490669064900741716</stp>
        <tr r="G22" s="5"/>
        <tr r="G22" s="4"/>
      </tp>
      <tp t="s">
        <v>#N/A N/A</v>
        <stp/>
        <stp>BDH|5758759001517640456</stp>
        <tr r="L7" s="5"/>
        <tr r="L7" s="4"/>
      </tp>
      <tp t="s">
        <v>#N/A N/A</v>
        <stp/>
        <stp>BDH|1183110567896005167</stp>
        <tr r="AH14" s="5"/>
        <tr r="AH14" s="4"/>
      </tp>
      <tp t="s">
        <v>#N/A N/A</v>
        <stp/>
        <stp>BDH|6184458323643098268</stp>
        <tr r="K13" s="2"/>
      </tp>
      <tp t="s">
        <v>#N/A N/A</v>
        <stp/>
        <stp>BDH|3908238479622117539</stp>
        <tr r="O8" s="2"/>
      </tp>
      <tp t="s">
        <v>#N/A N/A</v>
        <stp/>
        <stp>BDP|5895995084837699251</stp>
        <tr r="AB9" s="3"/>
      </tp>
      <tp t="s">
        <v>#N/A N/A</v>
        <stp/>
        <stp>BDH|8584251994905394718</stp>
        <tr r="Q14" s="5"/>
        <tr r="Q14" s="4"/>
      </tp>
      <tp t="s">
        <v>#N/A N/A</v>
        <stp/>
        <stp>BDH|9703479287540041418</stp>
        <tr r="AF10" s="2"/>
      </tp>
      <tp t="s">
        <v>#N/A N/A</v>
        <stp/>
        <stp>BDH|6611005802207064025</stp>
        <tr r="AN16" s="5"/>
        <tr r="AN16" s="4"/>
      </tp>
      <tp t="s">
        <v>#N/A N/A</v>
        <stp/>
        <stp>BDH|8164202537098171017</stp>
        <tr r="L10" s="5"/>
        <tr r="L10" s="4"/>
      </tp>
      <tp t="s">
        <v>#N/A N/A</v>
        <stp/>
        <stp>BDH|9062454222747868995</stp>
        <tr r="H23" s="2"/>
      </tp>
      <tp t="s">
        <v>#N/A N/A</v>
        <stp/>
        <stp>BDH|1209056494771638838</stp>
        <tr r="V17" s="2"/>
      </tp>
      <tp t="s">
        <v>#N/A N/A</v>
        <stp/>
        <stp>BDP|5013701494549212316</stp>
        <tr r="Y9" s="3"/>
      </tp>
      <tp t="s">
        <v>#N/A N/A</v>
        <stp/>
        <stp>BDH|9913318178325489933</stp>
        <tr r="X21" s="5"/>
        <tr r="X21" s="4"/>
      </tp>
      <tp t="s">
        <v>#N/A N/A</v>
        <stp/>
        <stp>BDH|3754103494383511917</stp>
        <tr r="AF12" s="5"/>
        <tr r="AF12" s="4"/>
      </tp>
      <tp t="s">
        <v>#N/A N/A</v>
        <stp/>
        <stp>BDH|1187171986788057172</stp>
        <tr r="Y13" s="5"/>
        <tr r="Y13" s="4"/>
      </tp>
      <tp t="s">
        <v>#N/A N/A</v>
        <stp/>
        <stp>BDP|5824526807167914600</stp>
        <tr r="H15" s="3"/>
      </tp>
      <tp t="s">
        <v>#N/A N/A</v>
        <stp/>
        <stp>BDH|3821429429675499132</stp>
        <tr r="I13" s="2"/>
      </tp>
      <tp t="s">
        <v>#N/A N/A</v>
        <stp/>
        <stp>BDH|7286708367176891189</stp>
        <tr r="R13" s="2"/>
      </tp>
      <tp t="s">
        <v>#N/A N/A</v>
        <stp/>
        <stp>BDH|8915273787651898246</stp>
        <tr r="U10" s="2"/>
      </tp>
    </main>
    <main first="bofaddin.rtdserver">
      <tp t="s">
        <v>#N/A N/A</v>
        <stp/>
        <stp>BDH|9676956588449551340</stp>
        <tr r="AD9" s="2"/>
      </tp>
      <tp t="s">
        <v>#N/A N/A</v>
        <stp/>
        <stp>BDH|7688859179992161814</stp>
        <tr r="D21" s="5"/>
        <tr r="D21" s="4"/>
      </tp>
      <tp t="s">
        <v>#N/A N/A</v>
        <stp/>
        <stp>BDP|1511997391696351554</stp>
        <tr r="AA9" s="3"/>
      </tp>
      <tp t="s">
        <v>#N/A N/A</v>
        <stp/>
        <stp>BDH|1648352245761937541</stp>
        <tr r="I20" s="5"/>
        <tr r="I20" s="4"/>
      </tp>
      <tp t="s">
        <v>#N/A N/A</v>
        <stp/>
        <stp>BDH|3971493934597855176</stp>
        <tr r="Y12" s="5"/>
        <tr r="Y12" s="4"/>
      </tp>
      <tp t="s">
        <v>#N/A N/A</v>
        <stp/>
        <stp>BDP|3544710397119929622</stp>
        <tr r="AP19" s="3"/>
      </tp>
      <tp t="s">
        <v>#N/A N/A</v>
        <stp/>
        <stp>BDH|3380422208954558144</stp>
        <tr r="AI16" s="5"/>
        <tr r="AI16" s="4"/>
      </tp>
      <tp t="s">
        <v>#N/A N/A</v>
        <stp/>
        <stp>BDH|7362086552758159800</stp>
        <tr r="M7" s="2"/>
      </tp>
      <tp t="s">
        <v>#N/A N/A</v>
        <stp/>
        <stp>BDH|7606527342775767192</stp>
        <tr r="M23" s="2"/>
      </tp>
      <tp t="s">
        <v>#N/A N/A</v>
        <stp/>
        <stp>BDH|4024442429672692238</stp>
        <tr r="AM8" s="5"/>
        <tr r="AM8" s="4"/>
      </tp>
      <tp t="s">
        <v>#N/A N/A</v>
        <stp/>
        <stp>BDH|7274079563504670787</stp>
        <tr r="AE8" s="5"/>
        <tr r="AE8" s="4"/>
      </tp>
      <tp t="s">
        <v>#N/A N/A</v>
        <stp/>
        <stp>BDH|7110693020857300637</stp>
        <tr r="AM29" s="2"/>
      </tp>
      <tp t="s">
        <v>#N/A N/A</v>
        <stp/>
        <stp>BDP|2404094515836723711</stp>
        <tr r="E16" s="3"/>
      </tp>
      <tp t="s">
        <v>#N/A N/A</v>
        <stp/>
        <stp>BDH|2304928981713986274</stp>
        <tr r="AP21" s="5"/>
        <tr r="AP21" s="4"/>
      </tp>
      <tp t="s">
        <v>#N/A N/A</v>
        <stp/>
        <stp>BDH|1522536532431901436</stp>
        <tr r="M17" s="2"/>
      </tp>
      <tp t="s">
        <v>#N/A N/A</v>
        <stp/>
        <stp>BDH|7039991571428348342</stp>
        <tr r="D7" s="2"/>
      </tp>
      <tp t="s">
        <v>#N/A N/A</v>
        <stp/>
        <stp>BDH|6843309115345516376</stp>
        <tr r="AL21" s="5"/>
        <tr r="AL21" s="4"/>
      </tp>
      <tp t="s">
        <v>#N/A N/A</v>
        <stp/>
        <stp>BDH|2816265001811428341</stp>
        <tr r="AM14" s="5"/>
        <tr r="AM14" s="4"/>
      </tp>
      <tp t="s">
        <v>#N/A N/A</v>
        <stp/>
        <stp>BDH|3892897319000302878</stp>
        <tr r="AC7" s="2"/>
      </tp>
      <tp t="s">
        <v>#N/A N/A</v>
        <stp/>
        <stp>BDH|7932154588238603402</stp>
        <tr r="Z10" s="2"/>
      </tp>
      <tp t="s">
        <v>#N/A N/A</v>
        <stp/>
        <stp>BDH|3590510296299106410</stp>
        <tr r="P22" s="5"/>
        <tr r="P22" s="4"/>
      </tp>
      <tp t="s">
        <v>#N/A N/A</v>
        <stp/>
        <stp>BDH|8433807612112567102</stp>
        <tr r="D22" s="2"/>
      </tp>
      <tp t="s">
        <v>#N/A N/A</v>
        <stp/>
        <stp>BDH|1880913111799955212</stp>
        <tr r="V8" s="2"/>
      </tp>
      <tp t="s">
        <v>#N/A N/A</v>
        <stp/>
        <stp>BDH|5336913829159399598</stp>
        <tr r="C13" s="2"/>
      </tp>
      <tp t="s">
        <v>#N/A N/A</v>
        <stp/>
        <stp>BDH|1505400014065989398</stp>
        <tr r="D6" s="5"/>
        <tr r="D6" s="4"/>
      </tp>
      <tp t="s">
        <v>#N/A N/A</v>
        <stp/>
        <stp>BDP|3162448243782967394</stp>
        <tr r="P20" s="3"/>
      </tp>
      <tp t="s">
        <v>#N/A N/A</v>
        <stp/>
        <stp>BDP|7399644690718403245</stp>
        <tr r="X20" s="3"/>
      </tp>
      <tp t="s">
        <v>#N/A N/A</v>
        <stp/>
        <stp>BDP|7971095701605237049</stp>
        <tr r="AI16" s="3"/>
      </tp>
      <tp t="s">
        <v>#N/A N/A</v>
        <stp/>
        <stp>BDH|6802224590559413692</stp>
        <tr r="AL20" s="5"/>
        <tr r="AL20" s="4"/>
      </tp>
      <tp t="s">
        <v>#N/A N/A</v>
        <stp/>
        <stp>BDH|4576980316528916657</stp>
        <tr r="AK9" s="2"/>
      </tp>
      <tp t="s">
        <v>#N/A N/A</v>
        <stp/>
        <stp>BDH|5341259799538968412</stp>
        <tr r="AC24" s="2"/>
      </tp>
      <tp t="s">
        <v>#N/A N/A</v>
        <stp/>
        <stp>BDH|7760659051802625415</stp>
        <tr r="AI10" s="2"/>
      </tp>
      <tp t="s">
        <v>#N/A N/A</v>
        <stp/>
        <stp>BDH|3329324333938795916</stp>
        <tr r="G25" s="5"/>
        <tr r="G25" s="4"/>
      </tp>
      <tp t="s">
        <v>#N/A N/A</v>
        <stp/>
        <stp>BDH|1946545709084933297</stp>
        <tr r="G9" s="5"/>
        <tr r="G9" s="4"/>
      </tp>
      <tp t="s">
        <v>#N/A N/A</v>
        <stp/>
        <stp>BDH|8007742157568172067</stp>
        <tr r="Q13" s="2"/>
      </tp>
      <tp t="s">
        <v>#N/A N/A</v>
        <stp/>
        <stp>BDH|2856289231852025359</stp>
        <tr r="AM23" s="2"/>
      </tp>
      <tp t="s">
        <v>#N/A N/A</v>
        <stp/>
        <stp>BDH|6700806382380987483</stp>
        <tr r="AI28" s="2"/>
      </tp>
      <tp t="s">
        <v>#N/A N/A</v>
        <stp/>
        <stp>BDH|1281936288517939546</stp>
        <tr r="X14" s="5"/>
        <tr r="X14" s="4"/>
      </tp>
      <tp t="s">
        <v>#N/A N/A</v>
        <stp/>
        <stp>BDP|2436838721063268912</stp>
        <tr r="Q16" s="3"/>
      </tp>
      <tp t="s">
        <v>#N/A N/A</v>
        <stp/>
        <stp>BDH|2592150538334404699</stp>
        <tr r="R9" s="2"/>
      </tp>
      <tp t="s">
        <v>#N/A N/A</v>
        <stp/>
        <stp>BDH|7659230369772135388</stp>
        <tr r="K10" s="2"/>
      </tp>
      <tp t="s">
        <v>#N/A N/A</v>
        <stp/>
        <stp>BDH|1371772946139038884</stp>
        <tr r="AN21" s="2"/>
      </tp>
      <tp t="s">
        <v>#N/A N/A</v>
        <stp/>
        <stp>BDH|8156495302897824882</stp>
        <tr r="X23" s="2"/>
      </tp>
      <tp t="s">
        <v>#N/A N/A</v>
        <stp/>
        <stp>BDP|9898320907510159973</stp>
        <tr r="N15" s="3"/>
      </tp>
      <tp t="s">
        <v>#N/A N/A</v>
        <stp/>
        <stp>BDP|1147328738273090136</stp>
        <tr r="AD16" s="3"/>
      </tp>
      <tp t="s">
        <v>#N/A N/A</v>
        <stp/>
        <stp>BDP|9914688881644716098</stp>
        <tr r="AL19" s="3"/>
      </tp>
      <tp t="s">
        <v>#N/A N/A</v>
        <stp/>
        <stp>BDH|4228775215567845677</stp>
        <tr r="J25" s="5"/>
        <tr r="J25" s="4"/>
      </tp>
      <tp t="s">
        <v>#N/A N/A</v>
        <stp/>
        <stp>BDH|2209742633106393392</stp>
        <tr r="AM17" s="2"/>
      </tp>
      <tp t="s">
        <v>#N/A N/A</v>
        <stp/>
        <stp>BDH|2973073070242554448</stp>
        <tr r="AF13" s="2"/>
      </tp>
      <tp t="s">
        <v>#N/A N/A</v>
        <stp/>
        <stp>BDH|4862595524414812428</stp>
        <tr r="AP9" s="5"/>
        <tr r="AP9" s="4"/>
      </tp>
      <tp t="s">
        <v>#N/A N/A</v>
        <stp/>
        <stp>BDH|6382561212037870639</stp>
        <tr r="M27" s="2"/>
      </tp>
      <tp t="s">
        <v>#N/A N/A</v>
        <stp/>
        <stp>BDH|1337293776280224734</stp>
        <tr r="N17" s="5"/>
        <tr r="N17" s="4"/>
      </tp>
      <tp t="s">
        <v>#N/A N/A</v>
        <stp/>
        <stp>BDH|7645061227213373598</stp>
        <tr r="U6" s="5"/>
        <tr r="U6" s="4"/>
      </tp>
      <tp t="s">
        <v>#N/A N/A</v>
        <stp/>
        <stp>BDH|7462409818020230134</stp>
        <tr r="Z25" s="5"/>
        <tr r="Z25" s="4"/>
      </tp>
      <tp t="s">
        <v>#N/A N/A</v>
        <stp/>
        <stp>BDH|2858648755057634521</stp>
        <tr r="AJ25" s="5"/>
        <tr r="AJ25" s="4"/>
      </tp>
      <tp t="s">
        <v>#N/A N/A</v>
        <stp/>
        <stp>BDP|6525724151540494714</stp>
        <tr r="U13" s="3"/>
      </tp>
      <tp t="s">
        <v>#N/A N/A</v>
        <stp/>
        <stp>BDP|8301854627100171135</stp>
        <tr r="AH16" s="3"/>
      </tp>
      <tp t="s">
        <v>#N/A N/A</v>
        <stp/>
        <stp>BDH|6399612742376429179</stp>
        <tr r="O23" s="2"/>
      </tp>
      <tp t="s">
        <v>#N/A N/A</v>
        <stp/>
        <stp>BDH|5190310487325387875</stp>
        <tr r="AA21" s="5"/>
        <tr r="AA21" s="4"/>
      </tp>
      <tp t="s">
        <v>#N/A N/A</v>
        <stp/>
        <stp>BDH|5091090703060918602</stp>
        <tr r="AF21" s="5"/>
        <tr r="AF21" s="4"/>
      </tp>
      <tp t="s">
        <v>#N/A N/A</v>
        <stp/>
        <stp>BDH|2649091974475815336</stp>
        <tr r="J19" s="2"/>
      </tp>
      <tp t="s">
        <v>#N/A N/A</v>
        <stp/>
        <stp>BDH|1186745227061729656</stp>
        <tr r="AD14" s="5"/>
        <tr r="AD14" s="4"/>
      </tp>
      <tp t="s">
        <v>#N/A N/A</v>
        <stp/>
        <stp>BDH|4454019354071593354</stp>
        <tr r="R25" s="5"/>
        <tr r="R25" s="4"/>
      </tp>
      <tp t="s">
        <v>#N/A N/A</v>
        <stp/>
        <stp>BDH|7970627916617950452</stp>
        <tr r="AO9" s="2"/>
      </tp>
      <tp t="s">
        <v>#N/A N/A</v>
        <stp/>
        <stp>BDH|4428961970309618052</stp>
        <tr r="N21" s="2"/>
      </tp>
      <tp t="s">
        <v>#N/A N/A</v>
        <stp/>
        <stp>BDH|1147766437485064319</stp>
        <tr r="G27" s="2"/>
      </tp>
      <tp t="s">
        <v>#N/A N/A</v>
        <stp/>
        <stp>BDP|7311593963596878173</stp>
        <tr r="AM15" s="3"/>
      </tp>
      <tp t="s">
        <v>#N/A N/A</v>
        <stp/>
        <stp>BDH|9888123535699882114</stp>
        <tr r="AG10" s="2"/>
      </tp>
      <tp t="s">
        <v>#N/A N/A</v>
        <stp/>
        <stp>BDH|4559357338906963177</stp>
        <tr r="AE20" s="2"/>
      </tp>
      <tp t="s">
        <v>#N/A N/A</v>
        <stp/>
        <stp>BDH|7781552651284476015</stp>
        <tr r="V19" s="2"/>
      </tp>
      <tp t="s">
        <v>#N/A N/A</v>
        <stp/>
        <stp>BDH|6385280919094118257</stp>
        <tr r="AJ8" s="5"/>
        <tr r="AJ8" s="4"/>
      </tp>
      <tp t="s">
        <v>#N/A N/A</v>
        <stp/>
        <stp>BDP|1620115980123485847</stp>
        <tr r="AP20" s="3"/>
      </tp>
      <tp t="s">
        <v>#N/A N/A</v>
        <stp/>
        <stp>BDH|2339153612915215413</stp>
        <tr r="AN12" s="5"/>
        <tr r="AN12" s="4"/>
      </tp>
      <tp t="s">
        <v>#N/A N/A</v>
        <stp/>
        <stp>BDH|6780151351812627329</stp>
        <tr r="V28" s="2"/>
      </tp>
      <tp t="s">
        <v>#N/A N/A</v>
        <stp/>
        <stp>BDH|2234125322027514509</stp>
        <tr r="E25" s="5"/>
        <tr r="E25" s="4"/>
      </tp>
      <tp t="s">
        <v>#N/A N/A</v>
        <stp/>
        <stp>BDH|9338437690433718436</stp>
        <tr r="Q13" s="5"/>
        <tr r="Q13" s="4"/>
      </tp>
      <tp t="s">
        <v>#N/A N/A</v>
        <stp/>
        <stp>BDH|7916138030832962470</stp>
        <tr r="E29" s="2"/>
      </tp>
      <tp t="s">
        <v>#N/A N/A</v>
        <stp/>
        <stp>BDH|7261551667915392271</stp>
        <tr r="N22" s="2"/>
      </tp>
      <tp t="s">
        <v>#N/A N/A</v>
        <stp/>
        <stp>BDH|4147564970147488269</stp>
        <tr r="Q20" s="2"/>
      </tp>
    </main>
    <main first="bofaddin.rtdserver">
      <tp t="s">
        <v>#N/A N/A</v>
        <stp/>
        <stp>BDP|55261901203755365</stp>
        <tr r="W15" s="3"/>
      </tp>
    </main>
    <main first="bofaddin.rtdserver">
      <tp t="s">
        <v>#N/A N/A</v>
        <stp/>
        <stp>BDP|17865636438791589</stp>
        <tr r="X13" s="3"/>
      </tp>
      <tp t="s">
        <v>#N/A N/A</v>
        <stp/>
        <stp>BDH|606110753232946330</stp>
        <tr r="T17" s="5"/>
        <tr r="T17" s="4"/>
      </tp>
      <tp t="s">
        <v>#N/A N/A</v>
        <stp/>
        <stp>BDH|361499465445636226</stp>
        <tr r="V9" s="2"/>
      </tp>
      <tp t="s">
        <v>#N/A N/A</v>
        <stp/>
        <stp>BDH|825925684480319498</stp>
        <tr r="AE25" s="5"/>
        <tr r="AE25" s="4"/>
      </tp>
      <tp t="s">
        <v>#N/A N/A</v>
        <stp/>
        <stp>BDH|302352784089128755</stp>
        <tr r="F19" s="2"/>
      </tp>
      <tp t="s">
        <v>#N/A N/A</v>
        <stp/>
        <stp>BDP|538863219519384592</stp>
        <tr r="I19" s="3"/>
      </tp>
      <tp t="s">
        <v>#N/A N/A</v>
        <stp/>
        <stp>BDH|514434662922419501</stp>
        <tr r="AN24" s="2"/>
      </tp>
      <tp t="s">
        <v>#N/A N/A</v>
        <stp/>
        <stp>BDH|457694929488704923</stp>
        <tr r="C16" s="5"/>
        <tr r="C16" s="4"/>
      </tp>
      <tp t="s">
        <v>#N/A N/A</v>
        <stp/>
        <stp>BDH|985701930668024847</stp>
        <tr r="AE27" s="2"/>
      </tp>
      <tp t="s">
        <v>#N/A N/A</v>
        <stp/>
        <stp>BDP|398775525365991407</stp>
        <tr r="AN9" s="3"/>
      </tp>
      <tp t="s">
        <v>#N/A N/A</v>
        <stp/>
        <stp>BDH|145307632292763618</stp>
        <tr r="AJ17" s="2"/>
      </tp>
      <tp t="s">
        <v>#N/A N/A</v>
        <stp/>
        <stp>BDH|572149154556436649</stp>
        <tr r="H22" s="5"/>
        <tr r="H22" s="4"/>
      </tp>
      <tp t="s">
        <v>#N/A N/A</v>
        <stp/>
        <stp>BDH|867494930021268213</stp>
        <tr r="J7" s="2"/>
      </tp>
      <tp t="s">
        <v>#N/A N/A</v>
        <stp/>
        <stp>BDH|488755163321090402</stp>
        <tr r="M24" s="2"/>
      </tp>
      <tp t="s">
        <v>#N/A N/A</v>
        <stp/>
        <stp>BDH|750832776318429080</stp>
        <tr r="AK28" s="2"/>
      </tp>
      <tp t="s">
        <v>#N/A N/A</v>
        <stp/>
        <stp>BDH|587703365597941108</stp>
        <tr r="F27" s="2"/>
      </tp>
      <tp t="s">
        <v>#N/A N/A</v>
        <stp/>
        <stp>BDH|478902403926557886</stp>
        <tr r="AM21" s="2"/>
      </tp>
      <tp t="s">
        <v>#N/A N/A</v>
        <stp/>
        <stp>BDP|845373574846353538</stp>
        <tr r="P13" s="3"/>
      </tp>
    </main>
    <main first="bofaddin.rtdserver">
      <tp t="s">
        <v>#N/A N/A</v>
        <stp/>
        <stp>BDH|587463230986660787</stp>
        <tr r="AE23" s="2"/>
      </tp>
      <tp t="s">
        <v>#N/A N/A</v>
        <stp/>
        <stp>BDH|292269323307097183</stp>
        <tr r="AM10" s="5"/>
        <tr r="AM10" s="4"/>
      </tp>
      <tp t="s">
        <v>#N/A N/A</v>
        <stp/>
        <stp>BDH|643609028466292469</stp>
        <tr r="AE8" s="2"/>
      </tp>
      <tp t="s">
        <v>#N/A N/A</v>
        <stp/>
        <stp>BDH|666144314303056533</stp>
        <tr r="AF25" s="5"/>
        <tr r="AF25" s="4"/>
      </tp>
      <tp t="s">
        <v>#N/A N/A</v>
        <stp/>
        <stp>BDH|748312344847669624</stp>
        <tr r="AC13" s="2"/>
      </tp>
    </main>
    <main first="bofaddin.rtdserver">
      <tp t="s">
        <v>#N/A N/A</v>
        <stp/>
        <stp>BDH|422084234507738528</stp>
        <tr r="O9" s="2"/>
      </tp>
      <tp t="s">
        <v>#N/A N/A</v>
        <stp/>
        <stp>BDH|341194715991010027</stp>
        <tr r="AO13" s="2"/>
      </tp>
    </main>
    <main first="bofaddin.rtdserver">
      <tp t="s">
        <v>#N/A N/A</v>
        <stp/>
        <stp>BDH|323413536437628063</stp>
        <tr r="H21" s="2"/>
      </tp>
      <tp t="s">
        <v>#N/A N/A</v>
        <stp/>
        <stp>BDH|763003730740637376</stp>
        <tr r="Q10" s="2"/>
      </tp>
      <tp t="s">
        <v>#N/A N/A</v>
        <stp/>
        <stp>BDH|693039533467694406</stp>
        <tr r="D17" s="5"/>
        <tr r="D17" s="4"/>
      </tp>
      <tp t="s">
        <v>#N/A N/A</v>
        <stp/>
        <stp>BDH|966288441915719376</stp>
        <tr r="P17" s="5"/>
        <tr r="P17" s="4"/>
      </tp>
    </main>
    <main first="bofaddin.rtdserver">
      <tp t="s">
        <v>#N/A N/A</v>
        <stp/>
        <stp>BDH|813339541725116159</stp>
        <tr r="K17" s="2"/>
      </tp>
      <tp t="s">
        <v>#N/A N/A</v>
        <stp/>
        <stp>BDH|446472510862831432</stp>
        <tr r="AI9" s="5"/>
        <tr r="AI9" s="4"/>
      </tp>
      <tp t="s">
        <v>#N/A N/A</v>
        <stp/>
        <stp>BDH|730450237715547199</stp>
        <tr r="F22" s="5"/>
        <tr r="F22" s="4"/>
      </tp>
    </main>
    <main first="bofaddin.rtdserver">
      <tp t="s">
        <v>#N/A N/A</v>
        <stp/>
        <stp>BDH|407382262777567058</stp>
        <tr r="AH20" s="2"/>
      </tp>
      <tp t="s">
        <v>#N/A N/A</v>
        <stp/>
        <stp>BDH|955027807395079768</stp>
        <tr r="AD22" s="2"/>
      </tp>
      <tp t="s">
        <v>#N/A N/A</v>
        <stp/>
        <stp>BDH|298208716227562649</stp>
        <tr r="Y24" s="2"/>
      </tp>
      <tp t="s">
        <v>#N/A N/A</v>
        <stp/>
        <stp>BDH|269695754577035694</stp>
        <tr r="H7" s="5"/>
        <tr r="H7" s="4"/>
      </tp>
    </main>
    <main first="bofaddin.rtdserver">
      <tp t="s">
        <v>#N/A N/A</v>
        <stp/>
        <stp>BDH|325477394556164651</stp>
        <tr r="E21" s="5"/>
        <tr r="E21" s="4"/>
      </tp>
      <tp t="s">
        <v>#N/A N/A</v>
        <stp/>
        <stp>BDH|846165274532389981</stp>
        <tr r="AP27" s="2"/>
      </tp>
      <tp t="s">
        <v>#N/A N/A</v>
        <stp/>
        <stp>BDH|398717804942275863</stp>
        <tr r="AG10" s="5"/>
        <tr r="AG10" s="4"/>
      </tp>
    </main>
    <main first="bofaddin.rtdserver">
      <tp t="s">
        <v>#N/A N/A</v>
        <stp/>
        <stp>BDH|491555043629766417</stp>
        <tr r="C22" s="5"/>
        <tr r="C22" s="4"/>
      </tp>
      <tp t="s">
        <v>#N/A N/A</v>
        <stp/>
        <stp>BDP|410892311906395391</stp>
        <tr r="W19" s="3"/>
      </tp>
      <tp t="s">
        <v>#N/A N/A</v>
        <stp/>
        <stp>BDH|231396892975220384</stp>
        <tr r="Z10" s="5"/>
        <tr r="Z10" s="4"/>
      </tp>
      <tp t="s">
        <v>#N/A N/A</v>
        <stp/>
        <stp>BDH|451800351380164170</stp>
        <tr r="AJ8" s="2"/>
      </tp>
    </main>
    <main first="bofaddin.rtdserver">
      <tp t="s">
        <v>#N/A N/A</v>
        <stp/>
        <stp>BDP|325099322669462408</stp>
        <tr r="AL20" s="3"/>
      </tp>
    </main>
    <main first="bofaddin.rtdserver">
      <tp t="s">
        <v>#N/A N/A</v>
        <stp/>
        <stp>BDH|119778694756325799</stp>
        <tr r="M13" s="2"/>
      </tp>
      <tp t="s">
        <v>#N/A N/A</v>
        <stp/>
        <stp>BDH|900970147820865240</stp>
        <tr r="W8" s="2"/>
      </tp>
      <tp t="s">
        <v>#N/A N/A</v>
        <stp/>
        <stp>BDH|244930040451142320</stp>
        <tr r="U17" s="5"/>
        <tr r="U17" s="4"/>
      </tp>
    </main>
    <main first="bofaddin.rtdserver">
      <tp t="s">
        <v>#N/A N/A</v>
        <stp/>
        <stp>BDH|733213354981135801</stp>
        <tr r="AM12" s="5"/>
        <tr r="AM12" s="4"/>
      </tp>
    </main>
    <main first="bofaddin.rtdserver">
      <tp t="s">
        <v>#N/A N/A</v>
        <stp/>
        <stp>BDH|118124813938479192</stp>
        <tr r="U10" s="5"/>
        <tr r="U10" s="4"/>
      </tp>
      <tp t="s">
        <v>#N/A N/A</v>
        <stp/>
        <stp>BDH|347412434826951825</stp>
        <tr r="N24" s="2"/>
      </tp>
      <tp t="s">
        <v>#N/A N/A</v>
        <stp/>
        <stp>BDH|492889962556642164</stp>
        <tr r="S18" s="5"/>
        <tr r="S18" s="4"/>
      </tp>
      <tp t="s">
        <v>#N/A N/A</v>
        <stp/>
        <stp>BDP|504394037628521197</stp>
        <tr r="G15" s="3"/>
      </tp>
      <tp t="s">
        <v>#N/A N/A</v>
        <stp/>
        <stp>BDH|539011341899651579</stp>
        <tr r="AC10" s="2"/>
      </tp>
      <tp t="s">
        <v>#N/A N/A</v>
        <stp/>
        <stp>BDH|554957171770535670</stp>
        <tr r="N7" s="5"/>
        <tr r="N7" s="4"/>
      </tp>
    </main>
    <main first="bofaddin.rtdserver">
      <tp t="s">
        <v>#N/A N/A</v>
        <stp/>
        <stp>BDH|884366886810189042</stp>
        <tr r="K14" s="5"/>
        <tr r="K14" s="4"/>
      </tp>
      <tp t="s">
        <v>#N/A N/A</v>
        <stp/>
        <stp>BDH|925537528974231862</stp>
        <tr r="N10" s="5"/>
        <tr r="N10" s="4"/>
      </tp>
      <tp t="s">
        <v>#N/A N/A</v>
        <stp/>
        <stp>BDH|106486697306919064</stp>
        <tr r="S17" s="5"/>
        <tr r="S17" s="4"/>
      </tp>
    </main>
    <main first="bofaddin.rtdserver">
      <tp t="s">
        <v>#N/A N/A</v>
        <stp/>
        <stp>BDH|579775561893753887</stp>
        <tr r="AB22" s="2"/>
      </tp>
      <tp t="s">
        <v>#N/A N/A</v>
        <stp/>
        <stp>BDH|176815317272973152</stp>
        <tr r="Q28" s="2"/>
      </tp>
      <tp t="s">
        <v>#N/A N/A</v>
        <stp/>
        <stp>BDP|953920055812961414</stp>
        <tr r="G9" s="3"/>
      </tp>
      <tp t="s">
        <v>#N/A N/A</v>
        <stp/>
        <stp>BDH|459106232531651911</stp>
        <tr r="AA8" s="5"/>
        <tr r="AA8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11" t="s">
        <v>2</v>
      </c>
      <c r="B4" s="11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30</v>
      </c>
      <c r="AE4" s="12" t="s">
        <v>31</v>
      </c>
      <c r="AF4" s="12" t="s">
        <v>32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37</v>
      </c>
      <c r="AL4" s="12" t="s">
        <v>38</v>
      </c>
      <c r="AM4" s="12" t="s">
        <v>39</v>
      </c>
      <c r="AN4" s="12" t="s">
        <v>40</v>
      </c>
      <c r="AO4" s="12" t="s">
        <v>41</v>
      </c>
      <c r="AP4" s="12" t="s">
        <v>42</v>
      </c>
    </row>
    <row r="5" spans="1:42" x14ac:dyDescent="0.25">
      <c r="A5" s="17" t="s">
        <v>43</v>
      </c>
      <c r="B5" s="17"/>
      <c r="C5" s="13" t="s">
        <v>44</v>
      </c>
      <c r="D5" s="13" t="s">
        <v>45</v>
      </c>
      <c r="E5" s="13" t="s">
        <v>46</v>
      </c>
      <c r="F5" s="13" t="s">
        <v>47</v>
      </c>
      <c r="G5" s="13" t="s">
        <v>48</v>
      </c>
      <c r="H5" s="13" t="s">
        <v>49</v>
      </c>
      <c r="I5" s="13" t="s">
        <v>50</v>
      </c>
      <c r="J5" s="13" t="s">
        <v>51</v>
      </c>
      <c r="K5" s="13" t="s">
        <v>52</v>
      </c>
      <c r="L5" s="13" t="s">
        <v>53</v>
      </c>
      <c r="M5" s="13" t="s">
        <v>54</v>
      </c>
      <c r="N5" s="13" t="s">
        <v>55</v>
      </c>
      <c r="O5" s="13" t="s">
        <v>56</v>
      </c>
      <c r="P5" s="13" t="s">
        <v>57</v>
      </c>
      <c r="Q5" s="13" t="s">
        <v>58</v>
      </c>
      <c r="R5" s="13" t="s">
        <v>59</v>
      </c>
      <c r="S5" s="13" t="s">
        <v>60</v>
      </c>
      <c r="T5" s="13" t="s">
        <v>61</v>
      </c>
      <c r="U5" s="13" t="s">
        <v>62</v>
      </c>
      <c r="V5" s="13" t="s">
        <v>63</v>
      </c>
      <c r="W5" s="13" t="s">
        <v>64</v>
      </c>
      <c r="X5" s="13" t="s">
        <v>65</v>
      </c>
      <c r="Y5" s="13" t="s">
        <v>66</v>
      </c>
      <c r="Z5" s="13" t="s">
        <v>67</v>
      </c>
      <c r="AA5" s="13" t="s">
        <v>68</v>
      </c>
      <c r="AB5" s="13" t="s">
        <v>69</v>
      </c>
      <c r="AC5" s="13" t="s">
        <v>70</v>
      </c>
      <c r="AD5" s="13" t="s">
        <v>71</v>
      </c>
      <c r="AE5" s="13" t="s">
        <v>72</v>
      </c>
      <c r="AF5" s="13" t="s">
        <v>73</v>
      </c>
      <c r="AG5" s="13" t="s">
        <v>74</v>
      </c>
      <c r="AH5" s="13" t="s">
        <v>75</v>
      </c>
      <c r="AI5" s="13" t="s">
        <v>76</v>
      </c>
      <c r="AJ5" s="13" t="s">
        <v>77</v>
      </c>
      <c r="AK5" s="13" t="s">
        <v>78</v>
      </c>
      <c r="AL5" s="13" t="s">
        <v>79</v>
      </c>
      <c r="AM5" s="13" t="s">
        <v>80</v>
      </c>
      <c r="AN5" s="13" t="s">
        <v>81</v>
      </c>
      <c r="AO5" s="13" t="s">
        <v>82</v>
      </c>
      <c r="AP5" s="13" t="s">
        <v>83</v>
      </c>
    </row>
    <row r="6" spans="1:42" x14ac:dyDescent="0.25">
      <c r="A6" s="14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18" t="s">
        <v>85</v>
      </c>
      <c r="B7" s="18" t="s">
        <v>86</v>
      </c>
      <c r="C7" s="21">
        <f>_xll.BDH("AAPL US Equity","RETURN_COM_EQY","FQ3 2011","FQ3 2011","Currency=USD","Period=FQ","BEST_FPERIOD_OVERRIDE=FQ","FILING_STATUS=MR","FA_ADJUSTED=GAAP","Sort=A","Dates=H","DateFormat=P","Fill=—","Direction=H","UseDPDF=Y")</f>
        <v>41.985199999999999</v>
      </c>
      <c r="D7" s="21">
        <f>_xll.BDH("AAPL US Equity","RETURN_COM_EQY","FQ4 2011","FQ4 2011","Currency=USD","Period=FQ","BEST_FPERIOD_OVERRIDE=FQ","FILING_STATUS=MR","FA_ADJUSTED=GAAP","Sort=A","Dates=H","DateFormat=P","Fill=—","Direction=H","UseDPDF=Y")</f>
        <v>41.673200000000001</v>
      </c>
      <c r="E7" s="21">
        <f>_xll.BDH("AAPL US Equity","RETURN_COM_EQY","FQ1 2012","FQ1 2012","Currency=USD","Period=FQ","BEST_FPERIOD_OVERRIDE=FQ","FILING_STATUS=MR","FA_ADJUSTED=GAAP","Sort=A","Dates=H","DateFormat=P","Fill=—","Direction=H","UseDPDF=Y")</f>
        <v>45.580399999999997</v>
      </c>
      <c r="F7" s="21">
        <f>_xll.BDH("AAPL US Equity","RETURN_COM_EQY","FQ2 2012","FQ2 2012","Currency=USD","Period=FQ","BEST_FPERIOD_OVERRIDE=FQ","FILING_STATUS=MR","FA_ADJUSTED=GAAP","Sort=A","Dates=H","DateFormat=P","Fill=—","Direction=H","UseDPDF=Y")</f>
        <v>47.101100000000002</v>
      </c>
      <c r="G7" s="21">
        <f>_xll.BDH("AAPL US Equity","RETURN_COM_EQY","FQ3 2012","FQ3 2012","Currency=USD","Period=FQ","BEST_FPERIOD_OVERRIDE=FQ","FILING_STATUS=MR","FA_ADJUSTED=GAAP","Sort=A","Dates=H","DateFormat=P","Fill=—","Direction=H","UseDPDF=Y")</f>
        <v>44.324100000000001</v>
      </c>
      <c r="H7" s="21">
        <f>_xll.BDH("AAPL US Equity","RETURN_COM_EQY","FQ4 2012","FQ4 2012","Currency=USD","Period=FQ","BEST_FPERIOD_OVERRIDE=FQ","FILING_STATUS=MR","FA_ADJUSTED=GAAP","Sort=A","Dates=H","DateFormat=P","Fill=—","Direction=H","UseDPDF=Y")</f>
        <v>42.841500000000003</v>
      </c>
      <c r="I7" s="21">
        <f>_xll.BDH("AAPL US Equity","RETURN_COM_EQY","FQ1 2013","FQ1 2013","Currency=USD","Period=FQ","BEST_FPERIOD_OVERRIDE=FQ","FILING_STATUS=MR","FA_ADJUSTED=GAAP","Sort=A","Dates=H","DateFormat=P","Fill=—","Direction=H","UseDPDF=Y")</f>
        <v>38.405700000000003</v>
      </c>
      <c r="J7" s="21">
        <f>_xll.BDH("AAPL US Equity","RETURN_COM_EQY","FQ2 2013","FQ2 2013","Currency=USD","Period=FQ","BEST_FPERIOD_OVERRIDE=FQ","FILING_STATUS=MR","FA_ADJUSTED=GAAP","Sort=A","Dates=H","DateFormat=P","Fill=—","Direction=H","UseDPDF=Y")</f>
        <v>33.339500000000001</v>
      </c>
      <c r="K7" s="21">
        <f>_xll.BDH("AAPL US Equity","RETURN_COM_EQY","FQ3 2013","FQ3 2013","Currency=USD","Period=FQ","BEST_FPERIOD_OVERRIDE=FQ","FILING_STATUS=MR","FA_ADJUSTED=GAAP","Sort=A","Dates=H","DateFormat=P","Fill=—","Direction=H","UseDPDF=Y")</f>
        <v>32.112299999999998</v>
      </c>
      <c r="L7" s="21">
        <f>_xll.BDH("AAPL US Equity","RETURN_COM_EQY","FQ4 2013","FQ4 2013","Currency=USD","Period=FQ","BEST_FPERIOD_OVERRIDE=FQ","FILING_STATUS=MR","FA_ADJUSTED=GAAP","Sort=A","Dates=H","DateFormat=P","Fill=—","Direction=H","UseDPDF=Y")</f>
        <v>30.639600000000002</v>
      </c>
      <c r="M7" s="21">
        <f>_xll.BDH("AAPL US Equity","RETURN_COM_EQY","FQ1 2014","FQ1 2014","Currency=USD","Period=FQ","BEST_FPERIOD_OVERRIDE=FQ","FILING_STATUS=MR","FA_ADJUSTED=GAAP","Sort=A","Dates=H","DateFormat=P","Fill=—","Direction=H","UseDPDF=Y")</f>
        <v>28.814499999999999</v>
      </c>
      <c r="N7" s="21">
        <f>_xll.BDH("AAPL US Equity","RETURN_COM_EQY","FQ2 2014","FQ2 2014","Currency=USD","Period=FQ","BEST_FPERIOD_OVERRIDE=FQ","FILING_STATUS=MR","FA_ADJUSTED=GAAP","Sort=A","Dates=H","DateFormat=P","Fill=—","Direction=H","UseDPDF=Y")</f>
        <v>29.496700000000001</v>
      </c>
      <c r="O7" s="21">
        <f>_xll.BDH("AAPL US Equity","RETURN_COM_EQY","FQ3 2014","FQ3 2014","Currency=USD","Period=FQ","BEST_FPERIOD_OVERRIDE=FQ","FILING_STATUS=MR","FA_ADJUSTED=GAAP","Sort=A","Dates=H","DateFormat=P","Fill=—","Direction=H","UseDPDF=Y")</f>
        <v>31.564399999999999</v>
      </c>
      <c r="P7" s="21">
        <f>_xll.BDH("AAPL US Equity","RETURN_COM_EQY","FQ4 2014","FQ4 2014","Currency=USD","Period=FQ","BEST_FPERIOD_OVERRIDE=FQ","FILING_STATUS=MR","FA_ADJUSTED=GAAP","Sort=A","Dates=H","DateFormat=P","Fill=—","Direction=H","UseDPDF=Y")</f>
        <v>33.611800000000002</v>
      </c>
      <c r="Q7" s="21">
        <f>_xll.BDH("AAPL US Equity","RETURN_COM_EQY","FQ1 2015","FQ1 2015","Currency=USD","Period=FQ","BEST_FPERIOD_OVERRIDE=FQ","FILING_STATUS=MR","FA_ADJUSTED=GAAP","Sort=A","Dates=H","DateFormat=P","Fill=—","Direction=H","UseDPDF=Y")</f>
        <v>35.1462</v>
      </c>
      <c r="R7" s="21">
        <f>_xll.BDH("AAPL US Equity","RETURN_COM_EQY","FQ2 2015","FQ2 2015","Currency=USD","Period=FQ","BEST_FPERIOD_OVERRIDE=FQ","FILING_STATUS=MR","FA_ADJUSTED=GAAP","Sort=A","Dates=H","DateFormat=P","Fill=—","Direction=H","UseDPDF=Y")</f>
        <v>38.371499999999997</v>
      </c>
      <c r="S7" s="21">
        <f>_xll.BDH("AAPL US Equity","RETURN_COM_EQY","FQ3 2015","FQ3 2015","Currency=USD","Period=FQ","BEST_FPERIOD_OVERRIDE=FQ","FILING_STATUS=MR","FA_ADJUSTED=GAAP","Sort=A","Dates=H","DateFormat=P","Fill=—","Direction=H","UseDPDF=Y")</f>
        <v>41.1464</v>
      </c>
      <c r="T7" s="21">
        <f>_xll.BDH("AAPL US Equity","RETURN_COM_EQY","FQ4 2015","FQ4 2015","Currency=USD","Period=FQ","BEST_FPERIOD_OVERRIDE=FQ","FILING_STATUS=MR","FA_ADJUSTED=GAAP","Sort=A","Dates=H","DateFormat=P","Fill=—","Direction=H","UseDPDF=Y")</f>
        <v>46.248199999999997</v>
      </c>
      <c r="U7" s="21">
        <f>_xll.BDH("AAPL US Equity","RETURN_COM_EQY","FQ1 2016","FQ1 2016","Currency=USD","Period=FQ","BEST_FPERIOD_OVERRIDE=FQ","FILING_STATUS=MR","FA_ADJUSTED=GAAP","Sort=A","Dates=H","DateFormat=P","Fill=—","Direction=H","UseDPDF=Y")</f>
        <v>42.712299999999999</v>
      </c>
      <c r="V7" s="21">
        <f>_xll.BDH("AAPL US Equity","RETURN_COM_EQY","FQ2 2016","FQ2 2016","Currency=USD","Period=FQ","BEST_FPERIOD_OVERRIDE=FQ","FILING_STATUS=MR","FA_ADJUSTED=GAAP","Sort=A","Dates=H","DateFormat=P","Fill=—","Direction=H","UseDPDF=Y")</f>
        <v>39.063800000000001</v>
      </c>
      <c r="W7" s="21">
        <f>_xll.BDH("AAPL US Equity","RETURN_COM_EQY","FQ3 2016","FQ3 2016","Currency=USD","Period=FQ","BEST_FPERIOD_OVERRIDE=FQ","FILING_STATUS=MR","FA_ADJUSTED=GAAP","Sort=A","Dates=H","DateFormat=P","Fill=—","Direction=H","UseDPDF=Y")</f>
        <v>37.901299999999999</v>
      </c>
      <c r="X7" s="21">
        <f>_xll.BDH("AAPL US Equity","RETURN_COM_EQY","FQ4 2016","FQ4 2016","Currency=USD","Period=FQ","BEST_FPERIOD_OVERRIDE=FQ","FILING_STATUS=MR","FA_ADJUSTED=GAAP","Sort=A","Dates=H","DateFormat=P","Fill=—","Direction=H","UseDPDF=Y")</f>
        <v>36.903300000000002</v>
      </c>
      <c r="Y7" s="21">
        <f>_xll.BDH("AAPL US Equity","RETURN_COM_EQY","FQ1 2017","FQ1 2017","Currency=USD","Period=FQ","BEST_FPERIOD_OVERRIDE=FQ","FILING_STATUS=MR","FA_ADJUSTED=GAAP","Sort=A","Dates=H","DateFormat=P","Fill=—","Direction=H","UseDPDF=Y")</f>
        <v>34.694600000000001</v>
      </c>
      <c r="Z7" s="21">
        <f>_xll.BDH("AAPL US Equity","RETURN_COM_EQY","FQ2 2017","FQ2 2017","Currency=USD","Period=FQ","BEST_FPERIOD_OVERRIDE=FQ","FILING_STATUS=MR","FA_ADJUSTED=GAAP","Sort=A","Dates=H","DateFormat=P","Fill=—","Direction=H","UseDPDF=Y")</f>
        <v>34.573399999999999</v>
      </c>
      <c r="AA7" s="21">
        <f>_xll.BDH("AAPL US Equity","RETURN_COM_EQY","FQ3 2017","FQ3 2017","Currency=USD","Period=FQ","BEST_FPERIOD_OVERRIDE=FQ","FILING_STATUS=MR","FA_ADJUSTED=GAAP","Sort=A","Dates=H","DateFormat=P","Fill=—","Direction=H","UseDPDF=Y")</f>
        <v>36.028700000000001</v>
      </c>
      <c r="AB7" s="21">
        <f>_xll.BDH("AAPL US Equity","RETURN_COM_EQY","FQ4 2017","FQ4 2017","Currency=USD","Period=FQ","BEST_FPERIOD_OVERRIDE=FQ","FILING_STATUS=MR","FA_ADJUSTED=GAAP","Sort=A","Dates=H","DateFormat=P","Fill=—","Direction=H","UseDPDF=Y")</f>
        <v>36.8675</v>
      </c>
      <c r="AC7" s="21">
        <f>_xll.BDH("AAPL US Equity","RETURN_COM_EQY","FQ1 2018","FQ1 2018","Currency=USD","Period=FQ","BEST_FPERIOD_OVERRIDE=FQ","FILING_STATUS=MR","FA_ADJUSTED=GAAP","Sort=A","Dates=H","DateFormat=P","Fill=—","Direction=H","UseDPDF=Y")</f>
        <v>37.070500000000003</v>
      </c>
      <c r="AD7" s="21">
        <f>_xll.BDH("AAPL US Equity","RETURN_COM_EQY","FQ2 2018","FQ2 2018","Currency=USD","Period=FQ","BEST_FPERIOD_OVERRIDE=FQ","FILING_STATUS=MR","FA_ADJUSTED=GAAP","Sort=A","Dates=H","DateFormat=P","Fill=—","Direction=H","UseDPDF=Y")</f>
        <v>40.863</v>
      </c>
      <c r="AE7" s="21">
        <f>_xll.BDH("AAPL US Equity","RETURN_COM_EQY","FQ3 2018","FQ3 2018","Currency=USD","Period=FQ","BEST_FPERIOD_OVERRIDE=FQ","FILING_STATUS=MR","FA_ADJUSTED=GAAP","Sort=A","Dates=H","DateFormat=P","Fill=—","Direction=H","UseDPDF=Y")</f>
        <v>45.372599999999998</v>
      </c>
      <c r="AF7" s="21">
        <f>_xll.BDH("AAPL US Equity","RETURN_COM_EQY","FQ4 2018","FQ4 2018","Currency=USD","Period=FQ","BEST_FPERIOD_OVERRIDE=FQ","FILING_STATUS=MR","FA_ADJUSTED=GAAP","Sort=A","Dates=H","DateFormat=P","Fill=—","Direction=H","UseDPDF=Y")</f>
        <v>49.363599999999998</v>
      </c>
      <c r="AG7" s="21">
        <f>_xll.BDH("AAPL US Equity","RETURN_COM_EQY","FQ1 2019","FQ1 2019","Currency=USD","Period=FQ","BEST_FPERIOD_OVERRIDE=FQ","FILING_STATUS=MR","FA_ADJUSTED=GAAP","Sort=A","Dates=H","DateFormat=P","Fill=—","Direction=H","UseDPDF=Y")</f>
        <v>46.054299999999998</v>
      </c>
      <c r="AH7" s="21">
        <f>_xll.BDH("AAPL US Equity","RETURN_COM_EQY","FQ2 2019","FQ2 2019","Currency=USD","Period=FQ","BEST_FPERIOD_OVERRIDE=FQ","FILING_STATUS=MR","FA_ADJUSTED=GAAP","Sort=A","Dates=H","DateFormat=P","Fill=—","Direction=H","UseDPDF=Y")</f>
        <v>49.1282</v>
      </c>
      <c r="AI7" s="21">
        <f>_xll.BDH("AAPL US Equity","RETURN_COM_EQY","FQ3 2019","FQ3 2019","Currency=USD","Period=FQ","BEST_FPERIOD_OVERRIDE=FQ","FILING_STATUS=MR","FA_ADJUSTED=GAAP","Sort=A","Dates=H","DateFormat=P","Fill=—","Direction=H","UseDPDF=Y")</f>
        <v>52.690300000000001</v>
      </c>
      <c r="AJ7" s="21">
        <f>_xll.BDH("AAPL US Equity","RETURN_COM_EQY","FQ4 2019","FQ4 2019","Currency=USD","Period=FQ","BEST_FPERIOD_OVERRIDE=FQ","FILING_STATUS=MR","FA_ADJUSTED=GAAP","Sort=A","Dates=H","DateFormat=P","Fill=—","Direction=H","UseDPDF=Y")</f>
        <v>55.917200000000001</v>
      </c>
      <c r="AK7" s="21">
        <f>_xll.BDH("AAPL US Equity","RETURN_COM_EQY","FQ1 2020","FQ1 2020","Currency=USD","Period=FQ","BEST_FPERIOD_OVERRIDE=FQ","FILING_STATUS=MR","FA_ADJUSTED=GAAP","Sort=A","Dates=H","DateFormat=P","Fill=—","Direction=H","UseDPDF=Y")</f>
        <v>55.468299999999999</v>
      </c>
      <c r="AL7" s="21">
        <f>_xll.BDH("AAPL US Equity","RETURN_COM_EQY","FQ2 2020","FQ2 2020","Currency=USD","Period=FQ","BEST_FPERIOD_OVERRIDE=FQ","FILING_STATUS=MR","FA_ADJUSTED=GAAP","Sort=A","Dates=H","DateFormat=P","Fill=—","Direction=H","UseDPDF=Y")</f>
        <v>62.094000000000001</v>
      </c>
      <c r="AM7" s="21">
        <f>_xll.BDH("AAPL US Equity","RETURN_COM_EQY","FQ3 2020","FQ3 2020","Currency=USD","Period=FQ","BEST_FPERIOD_OVERRIDE=FQ","FILING_STATUS=MR","FA_ADJUSTED=GAAP","Sort=A","Dates=H","DateFormat=P","Fill=—","Direction=H","UseDPDF=Y")</f>
        <v>69.248199999999997</v>
      </c>
      <c r="AN7" s="21">
        <f>_xll.BDH("AAPL US Equity","RETURN_COM_EQY","FQ4 2020","FQ4 2020","Currency=USD","Period=FQ","BEST_FPERIOD_OVERRIDE=FQ","FILING_STATUS=MR","FA_ADJUSTED=GAAP","Sort=A","Dates=H","DateFormat=P","Fill=—","Direction=H","UseDPDF=Y")</f>
        <v>73.685599999999994</v>
      </c>
      <c r="AO7" s="21">
        <f>_xll.BDH("AAPL US Equity","RETURN_COM_EQY","FQ1 2021","FQ1 2021","Currency=USD","Period=FQ","BEST_FPERIOD_OVERRIDE=FQ","FILING_STATUS=MR","FA_ADJUSTED=GAAP","Sort=A","Dates=H","DateFormat=P","Fill=—","Direction=H","UseDPDF=Y")</f>
        <v>82.090500000000006</v>
      </c>
      <c r="AP7" s="21">
        <f>_xll.BDH("AAPL US Equity","RETURN_COM_EQY","FQ2 2021","FQ2 2021","Currency=USD","Period=FQ","BEST_FPERIOD_OVERRIDE=FQ","FILING_STATUS=MR","FA_ADJUSTED=GAAP","Sort=A","Dates=H","DateFormat=P","Fill=—","Direction=H","UseDPDF=Y")</f>
        <v>103.4003</v>
      </c>
    </row>
    <row r="8" spans="1:42" x14ac:dyDescent="0.25">
      <c r="A8" s="18" t="s">
        <v>87</v>
      </c>
      <c r="B8" s="18" t="s">
        <v>88</v>
      </c>
      <c r="C8" s="21">
        <f>_xll.BDH("AAPL US Equity","RETURN_ON_ASSET","FQ3 2011","FQ3 2011","Currency=USD","Period=FQ","BEST_FPERIOD_OVERRIDE=FQ","FILING_STATUS=MR","FA_ADJUSTED=GAAP","Sort=A","Dates=H","DateFormat=P","Fill=—","Direction=H","UseDPDF=Y")</f>
        <v>27.532800000000002</v>
      </c>
      <c r="D8" s="21">
        <f>_xll.BDH("AAPL US Equity","RETURN_ON_ASSET","FQ4 2011","FQ4 2011","Currency=USD","Period=FQ","BEST_FPERIOD_OVERRIDE=FQ","FILING_STATUS=MR","FA_ADJUSTED=GAAP","Sort=A","Dates=H","DateFormat=P","Fill=—","Direction=H","UseDPDF=Y")</f>
        <v>27.065000000000001</v>
      </c>
      <c r="E8" s="21">
        <f>_xll.BDH("AAPL US Equity","RETURN_ON_ASSET","FQ1 2012","FQ1 2012","Currency=USD","Period=FQ","BEST_FPERIOD_OVERRIDE=FQ","FILING_STATUS=MR","FA_ADJUSTED=GAAP","Sort=A","Dates=H","DateFormat=P","Fill=—","Direction=H","UseDPDF=Y")</f>
        <v>29.2623</v>
      </c>
      <c r="F8" s="21">
        <f>_xll.BDH("AAPL US Equity","RETURN_ON_ASSET","FQ2 2012","FQ2 2012","Currency=USD","Period=FQ","BEST_FPERIOD_OVERRIDE=FQ","FILING_STATUS=MR","FA_ADJUSTED=GAAP","Sort=A","Dates=H","DateFormat=P","Fill=—","Direction=H","UseDPDF=Y")</f>
        <v>31.416599999999999</v>
      </c>
      <c r="G8" s="21">
        <f>_xll.BDH("AAPL US Equity","RETURN_ON_ASSET","FQ3 2012","FQ3 2012","Currency=USD","Period=FQ","BEST_FPERIOD_OVERRIDE=FQ","FILING_STATUS=MR","FA_ADJUSTED=GAAP","Sort=A","Dates=H","DateFormat=P","Fill=—","Direction=H","UseDPDF=Y")</f>
        <v>29.766300000000001</v>
      </c>
      <c r="H8" s="21">
        <f>_xll.BDH("AAPL US Equity","RETURN_ON_ASSET","FQ4 2012","FQ4 2012","Currency=USD","Period=FQ","BEST_FPERIOD_OVERRIDE=FQ","FILING_STATUS=MR","FA_ADJUSTED=GAAP","Sort=A","Dates=H","DateFormat=P","Fill=—","Direction=H","UseDPDF=Y")</f>
        <v>28.541699999999999</v>
      </c>
      <c r="I8" s="21">
        <f>_xll.BDH("AAPL US Equity","RETURN_ON_ASSET","FQ1 2013","FQ1 2013","Currency=USD","Period=FQ","BEST_FPERIOD_OVERRIDE=FQ","FILING_STATUS=MR","FA_ADJUSTED=GAAP","Sort=A","Dates=H","DateFormat=P","Fill=—","Direction=H","UseDPDF=Y")</f>
        <v>24.940799999999999</v>
      </c>
      <c r="J8" s="21">
        <f>_xll.BDH("AAPL US Equity","RETURN_ON_ASSET","FQ2 2013","FQ2 2013","Currency=USD","Period=FQ","BEST_FPERIOD_OVERRIDE=FQ","FILING_STATUS=MR","FA_ADJUSTED=GAAP","Sort=A","Dates=H","DateFormat=P","Fill=—","Direction=H","UseDPDF=Y")</f>
        <v>22.953199999999999</v>
      </c>
      <c r="K8" s="21">
        <f>_xll.BDH("AAPL US Equity","RETURN_ON_ASSET","FQ3 2013","FQ3 2013","Currency=USD","Period=FQ","BEST_FPERIOD_OVERRIDE=FQ","FILING_STATUS=MR","FA_ADJUSTED=GAAP","Sort=A","Dates=H","DateFormat=P","Fill=—","Direction=H","UseDPDF=Y")</f>
        <v>20.812000000000001</v>
      </c>
      <c r="L8" s="21">
        <f>_xll.BDH("AAPL US Equity","RETURN_ON_ASSET","FQ4 2013","FQ4 2013","Currency=USD","Period=FQ","BEST_FPERIOD_OVERRIDE=FQ","FILING_STATUS=MR","FA_ADJUSTED=GAAP","Sort=A","Dates=H","DateFormat=P","Fill=—","Direction=H","UseDPDF=Y")</f>
        <v>19.337199999999999</v>
      </c>
      <c r="M8" s="21">
        <f>_xll.BDH("AAPL US Equity","RETURN_ON_ASSET","FQ1 2014","FQ1 2014","Currency=USD","Period=FQ","BEST_FPERIOD_OVERRIDE=FQ","FILING_STATUS=MR","FA_ADJUSTED=GAAP","Sort=A","Dates=H","DateFormat=P","Fill=—","Direction=H","UseDPDF=Y")</f>
        <v>17.5806</v>
      </c>
      <c r="N8" s="21">
        <f>_xll.BDH("AAPL US Equity","RETURN_ON_ASSET","FQ2 2014","FQ2 2014","Currency=USD","Period=FQ","BEST_FPERIOD_OVERRIDE=FQ","FILING_STATUS=MR","FA_ADJUSTED=GAAP","Sort=A","Dates=H","DateFormat=P","Fill=—","Direction=H","UseDPDF=Y")</f>
        <v>18.819099999999999</v>
      </c>
      <c r="O8" s="21">
        <f>_xll.BDH("AAPL US Equity","RETURN_ON_ASSET","FQ3 2014","FQ3 2014","Currency=USD","Period=FQ","BEST_FPERIOD_OVERRIDE=FQ","FILING_STATUS=MR","FA_ADJUSTED=GAAP","Sort=A","Dates=H","DateFormat=P","Fill=—","Direction=H","UseDPDF=Y")</f>
        <v>18.2562</v>
      </c>
      <c r="P8" s="21">
        <f>_xll.BDH("AAPL US Equity","RETURN_ON_ASSET","FQ4 2014","FQ4 2014","Currency=USD","Period=FQ","BEST_FPERIOD_OVERRIDE=FQ","FILING_STATUS=MR","FA_ADJUSTED=GAAP","Sort=A","Dates=H","DateFormat=P","Fill=—","Direction=H","UseDPDF=Y")</f>
        <v>18.006599999999999</v>
      </c>
      <c r="Q8" s="21">
        <f>_xll.BDH("AAPL US Equity","RETURN_ON_ASSET","FQ1 2015","FQ1 2015","Currency=USD","Period=FQ","BEST_FPERIOD_OVERRIDE=FQ","FILING_STATUS=MR","FA_ADJUSTED=GAAP","Sort=A","Dates=H","DateFormat=P","Fill=—","Direction=H","UseDPDF=Y")</f>
        <v>18.256599999999999</v>
      </c>
      <c r="R8" s="21">
        <f>_xll.BDH("AAPL US Equity","RETURN_ON_ASSET","FQ2 2015","FQ2 2015","Currency=USD","Period=FQ","BEST_FPERIOD_OVERRIDE=FQ","FILING_STATUS=MR","FA_ADJUSTED=GAAP","Sort=A","Dates=H","DateFormat=P","Fill=—","Direction=H","UseDPDF=Y")</f>
        <v>20.4665</v>
      </c>
      <c r="S8" s="21">
        <f>_xll.BDH("AAPL US Equity","RETURN_ON_ASSET","FQ3 2015","FQ3 2015","Currency=USD","Period=FQ","BEST_FPERIOD_OVERRIDE=FQ","FILING_STATUS=MR","FA_ADJUSTED=GAAP","Sort=A","Dates=H","DateFormat=P","Fill=—","Direction=H","UseDPDF=Y")</f>
        <v>20.472000000000001</v>
      </c>
      <c r="T8" s="21">
        <f>_xll.BDH("AAPL US Equity","RETURN_ON_ASSET","FQ4 2015","FQ4 2015","Currency=USD","Period=FQ","BEST_FPERIOD_OVERRIDE=FQ","FILING_STATUS=MR","FA_ADJUSTED=GAAP","Sort=A","Dates=H","DateFormat=P","Fill=—","Direction=H","UseDPDF=Y")</f>
        <v>20.450299999999999</v>
      </c>
      <c r="U8" s="21">
        <f>_xll.BDH("AAPL US Equity","RETURN_ON_ASSET","FQ1 2016","FQ1 2016","Currency=USD","Period=FQ","BEST_FPERIOD_OVERRIDE=FQ","FILING_STATUS=MR","FA_ADJUSTED=GAAP","Sort=A","Dates=H","DateFormat=P","Fill=—","Direction=H","UseDPDF=Y")</f>
        <v>19.356300000000001</v>
      </c>
      <c r="V8" s="21">
        <f>_xll.BDH("AAPL US Equity","RETURN_ON_ASSET","FQ2 2016","FQ2 2016","Currency=USD","Period=FQ","BEST_FPERIOD_OVERRIDE=FQ","FILING_STATUS=MR","FA_ADJUSTED=GAAP","Sort=A","Dates=H","DateFormat=P","Fill=—","Direction=H","UseDPDF=Y")</f>
        <v>17.892499999999998</v>
      </c>
      <c r="W8" s="21">
        <f>_xll.BDH("AAPL US Equity","RETURN_ON_ASSET","FQ3 2016","FQ3 2016","Currency=USD","Period=FQ","BEST_FPERIOD_OVERRIDE=FQ","FILING_STATUS=MR","FA_ADJUSTED=GAAP","Sort=A","Dates=H","DateFormat=P","Fill=—","Direction=H","UseDPDF=Y")</f>
        <v>16.517199999999999</v>
      </c>
      <c r="X8" s="21">
        <f>_xll.BDH("AAPL US Equity","RETURN_ON_ASSET","FQ4 2016","FQ4 2016","Currency=USD","Period=FQ","BEST_FPERIOD_OVERRIDE=FQ","FILING_STATUS=MR","FA_ADJUSTED=GAAP","Sort=A","Dates=H","DateFormat=P","Fill=—","Direction=H","UseDPDF=Y")</f>
        <v>14.929600000000001</v>
      </c>
      <c r="Y8" s="21">
        <f>_xll.BDH("AAPL US Equity","RETURN_ON_ASSET","FQ1 2017","FQ1 2017","Currency=USD","Period=FQ","BEST_FPERIOD_OVERRIDE=FQ","FILING_STATUS=MR","FA_ADJUSTED=GAAP","Sort=A","Dates=H","DateFormat=P","Fill=—","Direction=H","UseDPDF=Y")</f>
        <v>14.482799999999999</v>
      </c>
      <c r="Z8" s="21">
        <f>_xll.BDH("AAPL US Equity","RETURN_ON_ASSET","FQ2 2017","FQ2 2017","Currency=USD","Period=FQ","BEST_FPERIOD_OVERRIDE=FQ","FILING_STATUS=MR","FA_ADJUSTED=GAAP","Sort=A","Dates=H","DateFormat=P","Fill=—","Direction=H","UseDPDF=Y")</f>
        <v>14.2949</v>
      </c>
      <c r="AA8" s="21">
        <f>_xll.BDH("AAPL US Equity","RETURN_ON_ASSET","FQ3 2017","FQ3 2017","Currency=USD","Period=FQ","BEST_FPERIOD_OVERRIDE=FQ","FILING_STATUS=MR","FA_ADJUSTED=GAAP","Sort=A","Dates=H","DateFormat=P","Fill=—","Direction=H","UseDPDF=Y")</f>
        <v>14.3371</v>
      </c>
      <c r="AB8" s="21">
        <f>_xll.BDH("AAPL US Equity","RETURN_ON_ASSET","FQ4 2017","FQ4 2017","Currency=USD","Period=FQ","BEST_FPERIOD_OVERRIDE=FQ","FILING_STATUS=MR","FA_ADJUSTED=GAAP","Sort=A","Dates=H","DateFormat=P","Fill=—","Direction=H","UseDPDF=Y")</f>
        <v>13.873900000000001</v>
      </c>
      <c r="AC8" s="21">
        <f>_xll.BDH("AAPL US Equity","RETURN_ON_ASSET","FQ1 2018","FQ1 2018","Currency=USD","Period=FQ","BEST_FPERIOD_OVERRIDE=FQ","FILING_STATUS=MR","FA_ADJUSTED=GAAP","Sort=A","Dates=H","DateFormat=P","Fill=—","Direction=H","UseDPDF=Y")</f>
        <v>13.6936</v>
      </c>
      <c r="AD8" s="21">
        <f>_xll.BDH("AAPL US Equity","RETURN_ON_ASSET","FQ2 2018","FQ2 2018","Currency=USD","Period=FQ","BEST_FPERIOD_OVERRIDE=FQ","FILING_STATUS=MR","FA_ADJUSTED=GAAP","Sort=A","Dates=H","DateFormat=P","Fill=—","Direction=H","UseDPDF=Y")</f>
        <v>15.1896</v>
      </c>
      <c r="AE8" s="21">
        <f>_xll.BDH("AAPL US Equity","RETURN_ON_ASSET","FQ3 2018","FQ3 2018","Currency=USD","Period=FQ","BEST_FPERIOD_OVERRIDE=FQ","FILING_STATUS=MR","FA_ADJUSTED=GAAP","Sort=A","Dates=H","DateFormat=P","Fill=—","Direction=H","UseDPDF=Y")</f>
        <v>16.164300000000001</v>
      </c>
      <c r="AF8" s="21">
        <f>_xll.BDH("AAPL US Equity","RETURN_ON_ASSET","FQ4 2018","FQ4 2018","Currency=USD","Period=FQ","BEST_FPERIOD_OVERRIDE=FQ","FILING_STATUS=MR","FA_ADJUSTED=GAAP","Sort=A","Dates=H","DateFormat=P","Fill=—","Direction=H","UseDPDF=Y")</f>
        <v>16.066800000000001</v>
      </c>
      <c r="AG8" s="21">
        <f>_xll.BDH("AAPL US Equity","RETURN_ON_ASSET","FQ1 2019","FQ1 2019","Currency=USD","Period=FQ","BEST_FPERIOD_OVERRIDE=FQ","FILING_STATUS=MR","FA_ADJUSTED=GAAP","Sort=A","Dates=H","DateFormat=P","Fill=—","Direction=H","UseDPDF=Y")</f>
        <v>15.2287</v>
      </c>
      <c r="AH8" s="21">
        <f>_xll.BDH("AAPL US Equity","RETURN_ON_ASSET","FQ2 2019","FQ2 2019","Currency=USD","Period=FQ","BEST_FPERIOD_OVERRIDE=FQ","FILING_STATUS=MR","FA_ADJUSTED=GAAP","Sort=A","Dates=H","DateFormat=P","Fill=—","Direction=H","UseDPDF=Y")</f>
        <v>16.115600000000001</v>
      </c>
      <c r="AI8" s="21">
        <f>_xll.BDH("AAPL US Equity","RETURN_ON_ASSET","FQ3 2019","FQ3 2019","Currency=USD","Period=FQ","BEST_FPERIOD_OVERRIDE=FQ","FILING_STATUS=MR","FA_ADJUSTED=GAAP","Sort=A","Dates=H","DateFormat=P","Fill=—","Direction=H","UseDPDF=Y")</f>
        <v>16.5898</v>
      </c>
      <c r="AJ8" s="21">
        <f>_xll.BDH("AAPL US Equity","RETURN_ON_ASSET","FQ4 2019","FQ4 2019","Currency=USD","Period=FQ","BEST_FPERIOD_OVERRIDE=FQ","FILING_STATUS=MR","FA_ADJUSTED=GAAP","Sort=A","Dates=H","DateFormat=P","Fill=—","Direction=H","UseDPDF=Y")</f>
        <v>15.692399999999999</v>
      </c>
      <c r="AK8" s="21">
        <f>_xll.BDH("AAPL US Equity","RETURN_ON_ASSET","FQ1 2020","FQ1 2020","Currency=USD","Period=FQ","BEST_FPERIOD_OVERRIDE=FQ","FILING_STATUS=MR","FA_ADJUSTED=GAAP","Sort=A","Dates=H","DateFormat=P","Fill=—","Direction=H","UseDPDF=Y")</f>
        <v>16.106400000000001</v>
      </c>
      <c r="AL8" s="21">
        <f>_xll.BDH("AAPL US Equity","RETURN_ON_ASSET","FQ2 2020","FQ2 2020","Currency=USD","Period=FQ","BEST_FPERIOD_OVERRIDE=FQ","FILING_STATUS=MR","FA_ADJUSTED=GAAP","Sort=A","Dates=H","DateFormat=P","Fill=—","Direction=H","UseDPDF=Y")</f>
        <v>17.275099999999998</v>
      </c>
      <c r="AM8" s="21">
        <f>_xll.BDH("AAPL US Equity","RETURN_ON_ASSET","FQ3 2020","FQ3 2020","Currency=USD","Period=FQ","BEST_FPERIOD_OVERRIDE=FQ","FILING_STATUS=MR","FA_ADJUSTED=GAAP","Sort=A","Dates=H","DateFormat=P","Fill=—","Direction=H","UseDPDF=Y")</f>
        <v>18.269400000000001</v>
      </c>
      <c r="AN8" s="21">
        <f>_xll.BDH("AAPL US Equity","RETURN_ON_ASSET","FQ4 2020","FQ4 2020","Currency=USD","Period=FQ","BEST_FPERIOD_OVERRIDE=FQ","FILING_STATUS=MR","FA_ADJUSTED=GAAP","Sort=A","Dates=H","DateFormat=P","Fill=—","Direction=H","UseDPDF=Y")</f>
        <v>17.334099999999999</v>
      </c>
      <c r="AO8" s="21">
        <f>_xll.BDH("AAPL US Equity","RETURN_ON_ASSET","FQ1 2021","FQ1 2021","Currency=USD","Period=FQ","BEST_FPERIOD_OVERRIDE=FQ","FILING_STATUS=MR","FA_ADJUSTED=GAAP","Sort=A","Dates=H","DateFormat=P","Fill=—","Direction=H","UseDPDF=Y")</f>
        <v>18.405799999999999</v>
      </c>
      <c r="AP8" s="21">
        <f>_xll.BDH("AAPL US Equity","RETURN_ON_ASSET","FQ2 2021","FQ2 2021","Currency=USD","Period=FQ","BEST_FPERIOD_OVERRIDE=FQ","FILING_STATUS=MR","FA_ADJUSTED=GAAP","Sort=A","Dates=H","DateFormat=P","Fill=—","Direction=H","UseDPDF=Y")</f>
        <v>23.2104</v>
      </c>
    </row>
    <row r="9" spans="1:42" x14ac:dyDescent="0.25">
      <c r="A9" s="18" t="s">
        <v>89</v>
      </c>
      <c r="B9" s="18" t="s">
        <v>90</v>
      </c>
      <c r="C9" s="21">
        <f>_xll.BDH("AAPL US Equity","RETURN_ON_CAP","FQ3 2011","FQ3 2011","Currency=USD","Period=FQ","BEST_FPERIOD_OVERRIDE=FQ","FILING_STATUS=MR","FA_ADJUSTED=GAAP","Sort=A","Dates=H","DateFormat=P","Fill=—","Direction=H","UseDPDF=Y")</f>
        <v>41.985199999999999</v>
      </c>
      <c r="D9" s="21">
        <f>_xll.BDH("AAPL US Equity","RETURN_ON_CAP","FQ4 2011","FQ4 2011","Currency=USD","Period=FQ","BEST_FPERIOD_OVERRIDE=FQ","FILING_STATUS=MR","FA_ADJUSTED=GAAP","Sort=A","Dates=H","DateFormat=P","Fill=—","Direction=H","UseDPDF=Y")</f>
        <v>41.673200000000001</v>
      </c>
      <c r="E9" s="21">
        <f>_xll.BDH("AAPL US Equity","RETURN_ON_CAP","FQ1 2012","FQ1 2012","Currency=USD","Period=FQ","BEST_FPERIOD_OVERRIDE=FQ","FILING_STATUS=MR","FA_ADJUSTED=GAAP","Sort=A","Dates=H","DateFormat=P","Fill=—","Direction=H","UseDPDF=Y")</f>
        <v>45.580399999999997</v>
      </c>
      <c r="F9" s="21">
        <f>_xll.BDH("AAPL US Equity","RETURN_ON_CAP","FQ2 2012","FQ2 2012","Currency=USD","Period=FQ","BEST_FPERIOD_OVERRIDE=FQ","FILING_STATUS=MR","FA_ADJUSTED=GAAP","Sort=A","Dates=H","DateFormat=P","Fill=—","Direction=H","UseDPDF=Y")</f>
        <v>47.101100000000002</v>
      </c>
      <c r="G9" s="21">
        <f>_xll.BDH("AAPL US Equity","RETURN_ON_CAP","FQ3 2012","FQ3 2012","Currency=USD","Period=FQ","BEST_FPERIOD_OVERRIDE=FQ","FILING_STATUS=MR","FA_ADJUSTED=GAAP","Sort=A","Dates=H","DateFormat=P","Fill=—","Direction=H","UseDPDF=Y")</f>
        <v>44.324100000000001</v>
      </c>
      <c r="H9" s="21">
        <f>_xll.BDH("AAPL US Equity","RETURN_ON_CAP","FQ4 2012","FQ4 2012","Currency=USD","Period=FQ","BEST_FPERIOD_OVERRIDE=FQ","FILING_STATUS=MR","FA_ADJUSTED=GAAP","Sort=A","Dates=H","DateFormat=P","Fill=—","Direction=H","UseDPDF=Y")</f>
        <v>42.841500000000003</v>
      </c>
      <c r="I9" s="21">
        <f>_xll.BDH("AAPL US Equity","RETURN_ON_CAP","FQ1 2013","FQ1 2013","Currency=USD","Period=FQ","BEST_FPERIOD_OVERRIDE=FQ","FILING_STATUS=MR","FA_ADJUSTED=GAAP","Sort=A","Dates=H","DateFormat=P","Fill=—","Direction=H","UseDPDF=Y")</f>
        <v>38.405700000000003</v>
      </c>
      <c r="J9" s="21">
        <f>_xll.BDH("AAPL US Equity","RETURN_ON_CAP","FQ2 2013","FQ2 2013","Currency=USD","Period=FQ","BEST_FPERIOD_OVERRIDE=FQ","FILING_STATUS=MR","FA_ADJUSTED=GAAP","Sort=A","Dates=H","DateFormat=P","Fill=—","Direction=H","UseDPDF=Y")</f>
        <v>33.339500000000001</v>
      </c>
      <c r="K9" s="21">
        <f>_xll.BDH("AAPL US Equity","RETURN_ON_CAP","FQ3 2013","FQ3 2013","Currency=USD","Period=FQ","BEST_FPERIOD_OVERRIDE=FQ","FILING_STATUS=MR","FA_ADJUSTED=GAAP","Sort=A","Dates=H","DateFormat=P","Fill=—","Direction=H","UseDPDF=Y")</f>
        <v>29.983000000000001</v>
      </c>
      <c r="L9" s="21">
        <f>_xll.BDH("AAPL US Equity","RETURN_ON_CAP","FQ4 2013","FQ4 2013","Currency=USD","Period=FQ","BEST_FPERIOD_OVERRIDE=FQ","FILING_STATUS=MR","FA_ADJUSTED=GAAP","Sort=A","Dates=H","DateFormat=P","Fill=—","Direction=H","UseDPDF=Y")</f>
        <v>28.7087</v>
      </c>
      <c r="M9" s="21">
        <f>_xll.BDH("AAPL US Equity","RETURN_ON_CAP","FQ1 2014","FQ1 2014","Currency=USD","Period=FQ","BEST_FPERIOD_OVERRIDE=FQ","FILING_STATUS=MR","FA_ADJUSTED=GAAP","Sort=A","Dates=H","DateFormat=P","Fill=—","Direction=H","UseDPDF=Y")</f>
        <v>27.1493</v>
      </c>
      <c r="N9" s="21">
        <f>_xll.BDH("AAPL US Equity","RETURN_ON_CAP","FQ2 2014","FQ2 2014","Currency=USD","Period=FQ","BEST_FPERIOD_OVERRIDE=FQ","FILING_STATUS=MR","FA_ADJUSTED=GAAP","Sort=A","Dates=H","DateFormat=P","Fill=—","Direction=H","UseDPDF=Y")</f>
        <v>27.826699999999999</v>
      </c>
      <c r="O9" s="21">
        <f>_xll.BDH("AAPL US Equity","RETURN_ON_CAP","FQ3 2014","FQ3 2014","Currency=USD","Period=FQ","BEST_FPERIOD_OVERRIDE=FQ","FILING_STATUS=MR","FA_ADJUSTED=GAAP","Sort=A","Dates=H","DateFormat=P","Fill=—","Direction=H","UseDPDF=Y")</f>
        <v>26.559200000000001</v>
      </c>
      <c r="P9" s="21">
        <f>_xll.BDH("AAPL US Equity","RETURN_ON_CAP","FQ4 2014","FQ4 2014","Currency=USD","Period=FQ","BEST_FPERIOD_OVERRIDE=FQ","FILING_STATUS=MR","FA_ADJUSTED=GAAP","Sort=A","Dates=H","DateFormat=P","Fill=—","Direction=H","UseDPDF=Y")</f>
        <v>27.696899999999999</v>
      </c>
      <c r="Q9" s="21">
        <f>_xll.BDH("AAPL US Equity","RETURN_ON_CAP","FQ1 2015","FQ1 2015","Currency=USD","Period=FQ","BEST_FPERIOD_OVERRIDE=FQ","FILING_STATUS=MR","FA_ADJUSTED=GAAP","Sort=A","Dates=H","DateFormat=P","Fill=—","Direction=H","UseDPDF=Y")</f>
        <v>29.232299999999999</v>
      </c>
      <c r="R9" s="21">
        <f>_xll.BDH("AAPL US Equity","RETURN_ON_CAP","FQ2 2015","FQ2 2015","Currency=USD","Period=FQ","BEST_FPERIOD_OVERRIDE=FQ","FILING_STATUS=MR","FA_ADJUSTED=GAAP","Sort=A","Dates=H","DateFormat=P","Fill=—","Direction=H","UseDPDF=Y")</f>
        <v>31.0838</v>
      </c>
      <c r="S9" s="21">
        <f>_xll.BDH("AAPL US Equity","RETURN_ON_CAP","FQ3 2015","FQ3 2015","Currency=USD","Period=FQ","BEST_FPERIOD_OVERRIDE=FQ","FILING_STATUS=MR","FA_ADJUSTED=GAAP","Sort=A","Dates=H","DateFormat=P","Fill=—","Direction=H","UseDPDF=Y")</f>
        <v>30.827999999999999</v>
      </c>
      <c r="T9" s="21">
        <f>_xll.BDH("AAPL US Equity","RETURN_ON_CAP","FQ4 2015","FQ4 2015","Currency=USD","Period=FQ","BEST_FPERIOD_OVERRIDE=FQ","FILING_STATUS=MR","FA_ADJUSTED=GAAP","Sort=A","Dates=H","DateFormat=P","Fill=—","Direction=H","UseDPDF=Y")</f>
        <v>32.635199999999998</v>
      </c>
      <c r="U9" s="21">
        <f>_xll.BDH("AAPL US Equity","RETURN_ON_CAP","FQ1 2016","FQ1 2016","Currency=USD","Period=FQ","BEST_FPERIOD_OVERRIDE=FQ","FILING_STATUS=MR","FA_ADJUSTED=GAAP","Sort=A","Dates=H","DateFormat=P","Fill=—","Direction=H","UseDPDF=Y")</f>
        <v>30.9893</v>
      </c>
      <c r="V9" s="21">
        <f>_xll.BDH("AAPL US Equity","RETURN_ON_CAP","FQ2 2016","FQ2 2016","Currency=USD","Period=FQ","BEST_FPERIOD_OVERRIDE=FQ","FILING_STATUS=MR","FA_ADJUSTED=GAAP","Sort=A","Dates=H","DateFormat=P","Fill=—","Direction=H","UseDPDF=Y")</f>
        <v>26.850999999999999</v>
      </c>
      <c r="W9" s="21">
        <f>_xll.BDH("AAPL US Equity","RETURN_ON_CAP","FQ3 2016","FQ3 2016","Currency=USD","Period=FQ","BEST_FPERIOD_OVERRIDE=FQ","FILING_STATUS=MR","FA_ADJUSTED=GAAP","Sort=A","Dates=H","DateFormat=P","Fill=—","Direction=H","UseDPDF=Y")</f>
        <v>24.8857</v>
      </c>
      <c r="X9" s="21">
        <f>_xll.BDH("AAPL US Equity","RETURN_ON_CAP","FQ4 2016","FQ4 2016","Currency=USD","Period=FQ","BEST_FPERIOD_OVERRIDE=FQ","FILING_STATUS=MR","FA_ADJUSTED=GAAP","Sort=A","Dates=H","DateFormat=P","Fill=—","Direction=H","UseDPDF=Y")</f>
        <v>23.446200000000001</v>
      </c>
      <c r="Y9" s="21">
        <f>_xll.BDH("AAPL US Equity","RETURN_ON_CAP","FQ1 2017","FQ1 2017","Currency=USD","Period=FQ","BEST_FPERIOD_OVERRIDE=FQ","FILING_STATUS=MR","FA_ADJUSTED=GAAP","Sort=A","Dates=H","DateFormat=P","Fill=—","Direction=H","UseDPDF=Y")</f>
        <v>22.609300000000001</v>
      </c>
      <c r="Z9" s="21">
        <f>_xll.BDH("AAPL US Equity","RETURN_ON_CAP","FQ2 2017","FQ2 2017","Currency=USD","Period=FQ","BEST_FPERIOD_OVERRIDE=FQ","FILING_STATUS=MR","FA_ADJUSTED=GAAP","Sort=A","Dates=H","DateFormat=P","Fill=—","Direction=H","UseDPDF=Y")</f>
        <v>21.2911</v>
      </c>
      <c r="AA9" s="21">
        <f>_xll.BDH("AAPL US Equity","RETURN_ON_CAP","FQ3 2017","FQ3 2017","Currency=USD","Period=FQ","BEST_FPERIOD_OVERRIDE=FQ","FILING_STATUS=MR","FA_ADJUSTED=GAAP","Sort=A","Dates=H","DateFormat=P","Fill=—","Direction=H","UseDPDF=Y")</f>
        <v>21.328199999999999</v>
      </c>
      <c r="AB9" s="21">
        <f>_xll.BDH("AAPL US Equity","RETURN_ON_CAP","FQ4 2017","FQ4 2017","Currency=USD","Period=FQ","BEST_FPERIOD_OVERRIDE=FQ","FILING_STATUS=MR","FA_ADJUSTED=GAAP","Sort=A","Dates=H","DateFormat=P","Fill=—","Direction=H","UseDPDF=Y")</f>
        <v>21.549499999999998</v>
      </c>
      <c r="AC9" s="21">
        <f>_xll.BDH("AAPL US Equity","RETURN_ON_CAP","FQ1 2018","FQ1 2018","Currency=USD","Period=FQ","BEST_FPERIOD_OVERRIDE=FQ","FILING_STATUS=MR","FA_ADJUSTED=GAAP","Sort=A","Dates=H","DateFormat=P","Fill=—","Direction=H","UseDPDF=Y")</f>
        <v>21.733499999999999</v>
      </c>
      <c r="AD9" s="21">
        <f>_xll.BDH("AAPL US Equity","RETURN_ON_CAP","FQ2 2018","FQ2 2018","Currency=USD","Period=FQ","BEST_FPERIOD_OVERRIDE=FQ","FILING_STATUS=MR","FA_ADJUSTED=GAAP","Sort=A","Dates=H","DateFormat=P","Fill=—","Direction=H","UseDPDF=Y")</f>
        <v>23.0595</v>
      </c>
      <c r="AE9" s="21">
        <f>_xll.BDH("AAPL US Equity","RETURN_ON_CAP","FQ3 2018","FQ3 2018","Currency=USD","Period=FQ","BEST_FPERIOD_OVERRIDE=FQ","FILING_STATUS=MR","FA_ADJUSTED=GAAP","Sort=A","Dates=H","DateFormat=P","Fill=—","Direction=H","UseDPDF=Y")</f>
        <v>24.8948</v>
      </c>
      <c r="AF9" s="21">
        <f>_xll.BDH("AAPL US Equity","RETURN_ON_CAP","FQ4 2018","FQ4 2018","Currency=USD","Period=FQ","BEST_FPERIOD_OVERRIDE=FQ","FILING_STATUS=MR","FA_ADJUSTED=GAAP","Sort=A","Dates=H","DateFormat=P","Fill=—","Direction=H","UseDPDF=Y")</f>
        <v>26.382000000000001</v>
      </c>
      <c r="AG9" s="21">
        <f>_xll.BDH("AAPL US Equity","RETURN_ON_CAP","FQ1 2019","FQ1 2019","Currency=USD","Period=FQ","BEST_FPERIOD_OVERRIDE=FQ","FILING_STATUS=MR","FA_ADJUSTED=GAAP","Sort=A","Dates=H","DateFormat=P","Fill=—","Direction=H","UseDPDF=Y")</f>
        <v>25.169899999999998</v>
      </c>
      <c r="AH9" s="21">
        <f>_xll.BDH("AAPL US Equity","RETURN_ON_CAP","FQ2 2019","FQ2 2019","Currency=USD","Period=FQ","BEST_FPERIOD_OVERRIDE=FQ","FILING_STATUS=MR","FA_ADJUSTED=GAAP","Sort=A","Dates=H","DateFormat=P","Fill=—","Direction=H","UseDPDF=Y")</f>
        <v>25.7852</v>
      </c>
      <c r="AI9" s="21">
        <f>_xll.BDH("AAPL US Equity","RETURN_ON_CAP","FQ3 2019","FQ3 2019","Currency=USD","Period=FQ","BEST_FPERIOD_OVERRIDE=FQ","FILING_STATUS=MR","FA_ADJUSTED=GAAP","Sort=A","Dates=H","DateFormat=P","Fill=—","Direction=H","UseDPDF=Y")</f>
        <v>27.052</v>
      </c>
      <c r="AJ9" s="21">
        <f>_xll.BDH("AAPL US Equity","RETURN_ON_CAP","FQ4 2019","FQ4 2019","Currency=USD","Period=FQ","BEST_FPERIOD_OVERRIDE=FQ","FILING_STATUS=MR","FA_ADJUSTED=GAAP","Sort=A","Dates=H","DateFormat=P","Fill=—","Direction=H","UseDPDF=Y")</f>
        <v>27.732800000000001</v>
      </c>
      <c r="AK9" s="21">
        <f>_xll.BDH("AAPL US Equity","RETURN_ON_CAP","FQ1 2020","FQ1 2020","Currency=USD","Period=FQ","BEST_FPERIOD_OVERRIDE=FQ","FILING_STATUS=MR","FA_ADJUSTED=GAAP","Sort=A","Dates=H","DateFormat=P","Fill=—","Direction=H","UseDPDF=Y")</f>
        <v>27.556999999999999</v>
      </c>
      <c r="AL9" s="21">
        <f>_xll.BDH("AAPL US Equity","RETURN_ON_CAP","FQ2 2020","FQ2 2020","Currency=USD","Period=FQ","BEST_FPERIOD_OVERRIDE=FQ","FILING_STATUS=MR","FA_ADJUSTED=GAAP","Sort=A","Dates=H","DateFormat=P","Fill=—","Direction=H","UseDPDF=Y")</f>
        <v>28.8491</v>
      </c>
      <c r="AM9" s="21">
        <f>_xll.BDH("AAPL US Equity","RETURN_ON_CAP","FQ3 2020","FQ3 2020","Currency=USD","Period=FQ","BEST_FPERIOD_OVERRIDE=FQ","FILING_STATUS=MR","FA_ADJUSTED=GAAP","Sort=A","Dates=H","DateFormat=P","Fill=—","Direction=H","UseDPDF=Y")</f>
        <v>30.565999999999999</v>
      </c>
      <c r="AN9" s="21">
        <f>_xll.BDH("AAPL US Equity","RETURN_ON_CAP","FQ4 2020","FQ4 2020","Currency=USD","Period=FQ","BEST_FPERIOD_OVERRIDE=FQ","FILING_STATUS=MR","FA_ADJUSTED=GAAP","Sort=A","Dates=H","DateFormat=P","Fill=—","Direction=H","UseDPDF=Y")</f>
        <v>31.008199999999999</v>
      </c>
      <c r="AO9" s="21">
        <f>_xll.BDH("AAPL US Equity","RETURN_ON_CAP","FQ1 2021","FQ1 2021","Currency=USD","Period=FQ","BEST_FPERIOD_OVERRIDE=FQ","FILING_STATUS=MR","FA_ADJUSTED=GAAP","Sort=A","Dates=H","DateFormat=P","Fill=—","Direction=H","UseDPDF=Y")</f>
        <v>34.4619</v>
      </c>
      <c r="AP9" s="21">
        <f>_xll.BDH("AAPL US Equity","RETURN_ON_CAP","FQ2 2021","FQ2 2021","Currency=USD","Period=FQ","BEST_FPERIOD_OVERRIDE=FQ","FILING_STATUS=MR","FA_ADJUSTED=GAAP","Sort=A","Dates=H","DateFormat=P","Fill=—","Direction=H","UseDPDF=Y")</f>
        <v>40.492800000000003</v>
      </c>
    </row>
    <row r="10" spans="1:42" x14ac:dyDescent="0.25">
      <c r="A10" s="18" t="s">
        <v>91</v>
      </c>
      <c r="B10" s="18" t="s">
        <v>92</v>
      </c>
      <c r="C10" s="21">
        <f>_xll.BDH("AAPL US Equity","RETURN_ON_INV_CAPITAL","FQ3 2011","FQ3 2011","Currency=USD","Period=FQ","BEST_FPERIOD_OVERRIDE=FQ","FILING_STATUS=MR","FA_ADJUSTED=GAAP","Sort=A","Dates=H","DateFormat=P","Fill=—","Direction=H","UseDPDF=Y")</f>
        <v>41.042099999999998</v>
      </c>
      <c r="D10" s="21">
        <f>_xll.BDH("AAPL US Equity","RETURN_ON_INV_CAPITAL","FQ4 2011","FQ4 2011","Currency=USD","Period=FQ","BEST_FPERIOD_OVERRIDE=FQ","FILING_STATUS=MR","FA_ADJUSTED=GAAP","Sort=A","Dates=H","DateFormat=P","Fill=—","Direction=H","UseDPDF=Y")</f>
        <v>43.502200000000002</v>
      </c>
      <c r="E10" s="21">
        <f>_xll.BDH("AAPL US Equity","RETURN_ON_INV_CAPITAL","FQ1 2012","FQ1 2012","Currency=USD","Period=FQ","BEST_FPERIOD_OVERRIDE=FQ","FILING_STATUS=MR","FA_ADJUSTED=GAAP","Sort=A","Dates=H","DateFormat=P","Fill=—","Direction=H","UseDPDF=Y")</f>
        <v>44.284999999999997</v>
      </c>
      <c r="F10" s="21">
        <f>_xll.BDH("AAPL US Equity","RETURN_ON_INV_CAPITAL","FQ2 2012","FQ2 2012","Currency=USD","Period=FQ","BEST_FPERIOD_OVERRIDE=FQ","FILING_STATUS=MR","FA_ADJUSTED=GAAP","Sort=A","Dates=H","DateFormat=P","Fill=—","Direction=H","UseDPDF=Y")</f>
        <v>45.942100000000003</v>
      </c>
      <c r="G10" s="21">
        <f>_xll.BDH("AAPL US Equity","RETURN_ON_INV_CAPITAL","FQ3 2012","FQ3 2012","Currency=USD","Period=FQ","BEST_FPERIOD_OVERRIDE=FQ","FILING_STATUS=MR","FA_ADJUSTED=GAAP","Sort=A","Dates=H","DateFormat=P","Fill=—","Direction=H","UseDPDF=Y")</f>
        <v>43.099899999999998</v>
      </c>
      <c r="H10" s="21">
        <f>_xll.BDH("AAPL US Equity","RETURN_ON_INV_CAPITAL","FQ4 2012","FQ4 2012","Currency=USD","Period=FQ","BEST_FPERIOD_OVERRIDE=FQ","FILING_STATUS=MR","FA_ADJUSTED=GAAP","Sort=A","Dates=H","DateFormat=P","Fill=—","Direction=H","UseDPDF=Y")</f>
        <v>45.743499999999997</v>
      </c>
      <c r="I10" s="21">
        <f>_xll.BDH("AAPL US Equity","RETURN_ON_INV_CAPITAL","FQ1 2013","FQ1 2013","Currency=USD","Period=FQ","BEST_FPERIOD_OVERRIDE=FQ","FILING_STATUS=MR","FA_ADJUSTED=GAAP","Sort=A","Dates=H","DateFormat=P","Fill=—","Direction=H","UseDPDF=Y")</f>
        <v>37.025399999999998</v>
      </c>
      <c r="J10" s="21">
        <f>_xll.BDH("AAPL US Equity","RETURN_ON_INV_CAPITAL","FQ2 2013","FQ2 2013","Currency=USD","Period=FQ","BEST_FPERIOD_OVERRIDE=FQ","FILING_STATUS=MR","FA_ADJUSTED=GAAP","Sort=A","Dates=H","DateFormat=P","Fill=—","Direction=H","UseDPDF=Y")</f>
        <v>32.269599999999997</v>
      </c>
      <c r="K10" s="21">
        <f>_xll.BDH("AAPL US Equity","RETURN_ON_INV_CAPITAL","FQ3 2013","FQ3 2013","Currency=USD","Period=FQ","BEST_FPERIOD_OVERRIDE=FQ","FILING_STATUS=MR","FA_ADJUSTED=GAAP","Sort=A","Dates=H","DateFormat=P","Fill=—","Direction=H","UseDPDF=Y")</f>
        <v>29.016400000000001</v>
      </c>
      <c r="L10" s="21">
        <f>_xll.BDH("AAPL US Equity","RETURN_ON_INV_CAPITAL","FQ4 2013","FQ4 2013","Currency=USD","Period=FQ","BEST_FPERIOD_OVERRIDE=FQ","FILING_STATUS=MR","FA_ADJUSTED=GAAP","Sort=A","Dates=H","DateFormat=P","Fill=—","Direction=H","UseDPDF=Y")</f>
        <v>30.342500000000001</v>
      </c>
      <c r="M10" s="21">
        <f>_xll.BDH("AAPL US Equity","RETURN_ON_INV_CAPITAL","FQ1 2014","FQ1 2014","Currency=USD","Period=FQ","BEST_FPERIOD_OVERRIDE=FQ","FILING_STATUS=MR","FA_ADJUSTED=GAAP","Sort=A","Dates=H","DateFormat=P","Fill=—","Direction=H","UseDPDF=Y")</f>
        <v>26.116099999999999</v>
      </c>
      <c r="N10" s="21">
        <f>_xll.BDH("AAPL US Equity","RETURN_ON_INV_CAPITAL","FQ2 2014","FQ2 2014","Currency=USD","Period=FQ","BEST_FPERIOD_OVERRIDE=FQ","FILING_STATUS=MR","FA_ADJUSTED=GAAP","Sort=A","Dates=H","DateFormat=P","Fill=—","Direction=H","UseDPDF=Y")</f>
        <v>26.829899999999999</v>
      </c>
      <c r="O10" s="21">
        <f>_xll.BDH("AAPL US Equity","RETURN_ON_INV_CAPITAL","FQ3 2014","FQ3 2014","Currency=USD","Period=FQ","BEST_FPERIOD_OVERRIDE=FQ","FILING_STATUS=MR","FA_ADJUSTED=GAAP","Sort=A","Dates=H","DateFormat=P","Fill=—","Direction=H","UseDPDF=Y")</f>
        <v>25.726800000000001</v>
      </c>
      <c r="P10" s="21">
        <f>_xll.BDH("AAPL US Equity","RETURN_ON_INV_CAPITAL","FQ4 2014","FQ4 2014","Currency=USD","Period=FQ","BEST_FPERIOD_OVERRIDE=FQ","FILING_STATUS=MR","FA_ADJUSTED=GAAP","Sort=A","Dates=H","DateFormat=P","Fill=—","Direction=H","UseDPDF=Y")</f>
        <v>29.546500000000002</v>
      </c>
      <c r="Q10" s="21">
        <f>_xll.BDH("AAPL US Equity","RETURN_ON_INV_CAPITAL","FQ1 2015","FQ1 2015","Currency=USD","Period=FQ","BEST_FPERIOD_OVERRIDE=FQ","FILING_STATUS=MR","FA_ADJUSTED=GAAP","Sort=A","Dates=H","DateFormat=P","Fill=—","Direction=H","UseDPDF=Y")</f>
        <v>28.2286</v>
      </c>
      <c r="R10" s="21">
        <f>_xll.BDH("AAPL US Equity","RETURN_ON_INV_CAPITAL","FQ2 2015","FQ2 2015","Currency=USD","Period=FQ","BEST_FPERIOD_OVERRIDE=FQ","FILING_STATUS=MR","FA_ADJUSTED=GAAP","Sort=A","Dates=H","DateFormat=P","Fill=—","Direction=H","UseDPDF=Y")</f>
        <v>29.9635</v>
      </c>
      <c r="S10" s="21">
        <f>_xll.BDH("AAPL US Equity","RETURN_ON_INV_CAPITAL","FQ3 2015","FQ3 2015","Currency=USD","Period=FQ","BEST_FPERIOD_OVERRIDE=FQ","FILING_STATUS=MR","FA_ADJUSTED=GAAP","Sort=A","Dates=H","DateFormat=P","Fill=—","Direction=H","UseDPDF=Y")</f>
        <v>29.762</v>
      </c>
      <c r="T10" s="21">
        <f>_xll.BDH("AAPL US Equity","RETURN_ON_INV_CAPITAL","FQ4 2015","FQ4 2015","Currency=USD","Period=FQ","BEST_FPERIOD_OVERRIDE=FQ","FILING_STATUS=MR","FA_ADJUSTED=GAAP","Sort=A","Dates=H","DateFormat=P","Fill=—","Direction=H","UseDPDF=Y")</f>
        <v>30.776800000000001</v>
      </c>
      <c r="U10" s="21">
        <f>_xll.BDH("AAPL US Equity","RETURN_ON_INV_CAPITAL","FQ1 2016","FQ1 2016","Currency=USD","Period=FQ","BEST_FPERIOD_OVERRIDE=FQ","FILING_STATUS=MR","FA_ADJUSTED=GAAP","Sort=A","Dates=H","DateFormat=P","Fill=—","Direction=H","UseDPDF=Y")</f>
        <v>29.827999999999999</v>
      </c>
      <c r="V10" s="21">
        <f>_xll.BDH("AAPL US Equity","RETURN_ON_INV_CAPITAL","FQ2 2016","FQ2 2016","Currency=USD","Period=FQ","BEST_FPERIOD_OVERRIDE=FQ","FILING_STATUS=MR","FA_ADJUSTED=GAAP","Sort=A","Dates=H","DateFormat=P","Fill=—","Direction=H","UseDPDF=Y")</f>
        <v>25.767900000000001</v>
      </c>
      <c r="W10" s="21">
        <f>_xll.BDH("AAPL US Equity","RETURN_ON_INV_CAPITAL","FQ3 2016","FQ3 2016","Currency=USD","Period=FQ","BEST_FPERIOD_OVERRIDE=FQ","FILING_STATUS=MR","FA_ADJUSTED=GAAP","Sort=A","Dates=H","DateFormat=P","Fill=—","Direction=H","UseDPDF=Y")</f>
        <v>23.793099999999999</v>
      </c>
      <c r="X10" s="21">
        <f>_xll.BDH("AAPL US Equity","RETURN_ON_INV_CAPITAL","FQ4 2016","FQ4 2016","Currency=USD","Period=FQ","BEST_FPERIOD_OVERRIDE=FQ","FILING_STATUS=MR","FA_ADJUSTED=GAAP","Sort=A","Dates=H","DateFormat=P","Fill=—","Direction=H","UseDPDF=Y")</f>
        <v>20.0808</v>
      </c>
      <c r="Y10" s="21">
        <f>_xll.BDH("AAPL US Equity","RETURN_ON_INV_CAPITAL","FQ1 2017","FQ1 2017","Currency=USD","Period=FQ","BEST_FPERIOD_OVERRIDE=FQ","FILING_STATUS=MR","FA_ADJUSTED=GAAP","Sort=A","Dates=H","DateFormat=P","Fill=—","Direction=H","UseDPDF=Y")</f>
        <v>21.351299999999998</v>
      </c>
      <c r="Z10" s="21">
        <f>_xll.BDH("AAPL US Equity","RETURN_ON_INV_CAPITAL","FQ2 2017","FQ2 2017","Currency=USD","Period=FQ","BEST_FPERIOD_OVERRIDE=FQ","FILING_STATUS=MR","FA_ADJUSTED=GAAP","Sort=A","Dates=H","DateFormat=P","Fill=—","Direction=H","UseDPDF=Y")</f>
        <v>19.9053</v>
      </c>
      <c r="AA10" s="21">
        <f>_xll.BDH("AAPL US Equity","RETURN_ON_INV_CAPITAL","FQ3 2017","FQ3 2017","Currency=USD","Period=FQ","BEST_FPERIOD_OVERRIDE=FQ","FILING_STATUS=MR","FA_ADJUSTED=GAAP","Sort=A","Dates=H","DateFormat=P","Fill=—","Direction=H","UseDPDF=Y")</f>
        <v>19.838899999999999</v>
      </c>
      <c r="AB10" s="21">
        <f>_xll.BDH("AAPL US Equity","RETURN_ON_INV_CAPITAL","FQ4 2017","FQ4 2017","Currency=USD","Period=FQ","BEST_FPERIOD_OVERRIDE=FQ","FILING_STATUS=MR","FA_ADJUSTED=GAAP","Sort=A","Dates=H","DateFormat=P","Fill=—","Direction=H","UseDPDF=Y")</f>
        <v>17.983499999999999</v>
      </c>
      <c r="AC10" s="21">
        <f>_xll.BDH("AAPL US Equity","RETURN_ON_INV_CAPITAL","FQ1 2018","FQ1 2018","Currency=USD","Period=FQ","BEST_FPERIOD_OVERRIDE=FQ","FILING_STATUS=MR","FA_ADJUSTED=GAAP","Sort=A","Dates=H","DateFormat=P","Fill=—","Direction=H","UseDPDF=Y")</f>
        <v>20.0945</v>
      </c>
      <c r="AD10" s="21">
        <f>_xll.BDH("AAPL US Equity","RETURN_ON_INV_CAPITAL","FQ2 2018","FQ2 2018","Currency=USD","Period=FQ","BEST_FPERIOD_OVERRIDE=FQ","FILING_STATUS=MR","FA_ADJUSTED=GAAP","Sort=A","Dates=H","DateFormat=P","Fill=—","Direction=H","UseDPDF=Y")</f>
        <v>21.391300000000001</v>
      </c>
      <c r="AE10" s="21">
        <f>_xll.BDH("AAPL US Equity","RETURN_ON_INV_CAPITAL","FQ3 2018","FQ3 2018","Currency=USD","Period=FQ","BEST_FPERIOD_OVERRIDE=FQ","FILING_STATUS=MR","FA_ADJUSTED=GAAP","Sort=A","Dates=H","DateFormat=P","Fill=—","Direction=H","UseDPDF=Y")</f>
        <v>23.0153</v>
      </c>
      <c r="AF10" s="21">
        <f>_xll.BDH("AAPL US Equity","RETURN_ON_INV_CAPITAL","FQ4 2018","FQ4 2018","Currency=USD","Period=FQ","BEST_FPERIOD_OVERRIDE=FQ","FILING_STATUS=MR","FA_ADJUSTED=GAAP","Sort=A","Dates=H","DateFormat=P","Fill=—","Direction=H","UseDPDF=Y")</f>
        <v>22.934999999999999</v>
      </c>
      <c r="AG10" s="21">
        <f>_xll.BDH("AAPL US Equity","RETURN_ON_INV_CAPITAL","FQ1 2019","FQ1 2019","Currency=USD","Period=FQ","BEST_FPERIOD_OVERRIDE=FQ","FILING_STATUS=MR","FA_ADJUSTED=GAAP","Sort=A","Dates=H","DateFormat=P","Fill=—","Direction=H","UseDPDF=Y")</f>
        <v>23.375</v>
      </c>
      <c r="AH10" s="21">
        <f>_xll.BDH("AAPL US Equity","RETURN_ON_INV_CAPITAL","FQ2 2019","FQ2 2019","Currency=USD","Period=FQ","BEST_FPERIOD_OVERRIDE=FQ","FILING_STATUS=MR","FA_ADJUSTED=GAAP","Sort=A","Dates=H","DateFormat=P","Fill=—","Direction=H","UseDPDF=Y")</f>
        <v>23.773099999999999</v>
      </c>
      <c r="AI10" s="21">
        <f>_xll.BDH("AAPL US Equity","RETURN_ON_INV_CAPITAL","FQ3 2019","FQ3 2019","Currency=USD","Period=FQ","BEST_FPERIOD_OVERRIDE=FQ","FILING_STATUS=MR","FA_ADJUSTED=GAAP","Sort=A","Dates=H","DateFormat=P","Fill=—","Direction=H","UseDPDF=Y")</f>
        <v>25.017299999999999</v>
      </c>
      <c r="AJ10" s="21">
        <f>_xll.BDH("AAPL US Equity","RETURN_ON_INV_CAPITAL","FQ4 2019","FQ4 2019","Currency=USD","Period=FQ","BEST_FPERIOD_OVERRIDE=FQ","FILING_STATUS=MR","FA_ADJUSTED=GAAP","Sort=A","Dates=H","DateFormat=P","Fill=—","Direction=H","UseDPDF=Y")</f>
        <v>24.7606</v>
      </c>
      <c r="AK10" s="21">
        <f>_xll.BDH("AAPL US Equity","RETURN_ON_INV_CAPITAL","FQ1 2020","FQ1 2020","Currency=USD","Period=FQ","BEST_FPERIOD_OVERRIDE=FQ","FILING_STATUS=MR","FA_ADJUSTED=GAAP","Sort=A","Dates=H","DateFormat=P","Fill=—","Direction=H","UseDPDF=Y")</f>
        <v>25.597999999999999</v>
      </c>
      <c r="AL10" s="21">
        <f>_xll.BDH("AAPL US Equity","RETURN_ON_INV_CAPITAL","FQ2 2020","FQ2 2020","Currency=USD","Period=FQ","BEST_FPERIOD_OVERRIDE=FQ","FILING_STATUS=MR","FA_ADJUSTED=GAAP","Sort=A","Dates=H","DateFormat=P","Fill=—","Direction=H","UseDPDF=Y")</f>
        <v>26.9145</v>
      </c>
      <c r="AM10" s="21">
        <f>_xll.BDH("AAPL US Equity","RETURN_ON_INV_CAPITAL","FQ3 2020","FQ3 2020","Currency=USD","Period=FQ","BEST_FPERIOD_OVERRIDE=FQ","FILING_STATUS=MR","FA_ADJUSTED=GAAP","Sort=A","Dates=H","DateFormat=P","Fill=—","Direction=H","UseDPDF=Y")</f>
        <v>28.7561</v>
      </c>
      <c r="AN10" s="21">
        <f>_xll.BDH("AAPL US Equity","RETURN_ON_INV_CAPITAL","FQ4 2020","FQ4 2020","Currency=USD","Period=FQ","BEST_FPERIOD_OVERRIDE=FQ","FILING_STATUS=MR","FA_ADJUSTED=GAAP","Sort=A","Dates=H","DateFormat=P","Fill=—","Direction=H","UseDPDF=Y")</f>
        <v>28.195799999999998</v>
      </c>
      <c r="AO10" s="21">
        <f>_xll.BDH("AAPL US Equity","RETURN_ON_INV_CAPITAL","FQ1 2021","FQ1 2021","Currency=USD","Period=FQ","BEST_FPERIOD_OVERRIDE=FQ","FILING_STATUS=MR","FA_ADJUSTED=GAAP","Sort=A","Dates=H","DateFormat=P","Fill=—","Direction=H","UseDPDF=Y")</f>
        <v>33.027500000000003</v>
      </c>
      <c r="AP10" s="21">
        <f>_xll.BDH("AAPL US Equity","RETURN_ON_INV_CAPITAL","FQ2 2021","FQ2 2021","Currency=USD","Period=FQ","BEST_FPERIOD_OVERRIDE=FQ","FILING_STATUS=MR","FA_ADJUSTED=GAAP","Sort=A","Dates=H","DateFormat=P","Fill=—","Direction=H","UseDPDF=Y")</f>
        <v>39.018300000000004</v>
      </c>
    </row>
    <row r="11" spans="1:42" x14ac:dyDescent="0.25">
      <c r="A11" s="1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14" t="s">
        <v>93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x14ac:dyDescent="0.25">
      <c r="A13" s="18" t="s">
        <v>94</v>
      </c>
      <c r="B13" s="18" t="s">
        <v>95</v>
      </c>
      <c r="C13" s="21">
        <f>_xll.BDH("AAPL US Equity","GROSS_MARGIN","FQ3 2011","FQ3 2011","Currency=USD","Period=FQ","BEST_FPERIOD_OVERRIDE=FQ","FILING_STATUS=MR","FA_ADJUSTED=GAAP","Sort=A","Dates=H","DateFormat=P","Fill=—","Direction=H","UseDPDF=Y")</f>
        <v>41.727600000000002</v>
      </c>
      <c r="D13" s="21">
        <f>_xll.BDH("AAPL US Equity","GROSS_MARGIN","FQ4 2011","FQ4 2011","Currency=USD","Period=FQ","BEST_FPERIOD_OVERRIDE=FQ","FILING_STATUS=MR","FA_ADJUSTED=GAAP","Sort=A","Dates=H","DateFormat=P","Fill=—","Direction=H","UseDPDF=Y")</f>
        <v>40.2547</v>
      </c>
      <c r="E13" s="21">
        <f>_xll.BDH("AAPL US Equity","GROSS_MARGIN","FQ1 2012","FQ1 2012","Currency=USD","Period=FQ","BEST_FPERIOD_OVERRIDE=FQ","FILING_STATUS=MR","FA_ADJUSTED=GAAP","Sort=A","Dates=H","DateFormat=P","Fill=—","Direction=H","UseDPDF=Y")</f>
        <v>44.683100000000003</v>
      </c>
      <c r="F13" s="21">
        <f>_xll.BDH("AAPL US Equity","GROSS_MARGIN","FQ2 2012","FQ2 2012","Currency=USD","Period=FQ","BEST_FPERIOD_OVERRIDE=FQ","FILING_STATUS=MR","FA_ADJUSTED=GAAP","Sort=A","Dates=H","DateFormat=P","Fill=—","Direction=H","UseDPDF=Y")</f>
        <v>47.374099999999999</v>
      </c>
      <c r="G13" s="21">
        <f>_xll.BDH("AAPL US Equity","GROSS_MARGIN","FQ3 2012","FQ3 2012","Currency=USD","Period=FQ","BEST_FPERIOD_OVERRIDE=FQ","FILING_STATUS=MR","FA_ADJUSTED=GAAP","Sort=A","Dates=H","DateFormat=P","Fill=—","Direction=H","UseDPDF=Y")</f>
        <v>42.811900000000001</v>
      </c>
      <c r="H13" s="21">
        <f>_xll.BDH("AAPL US Equity","GROSS_MARGIN","FQ4 2012","FQ4 2012","Currency=USD","Period=FQ","BEST_FPERIOD_OVERRIDE=FQ","FILING_STATUS=MR","FA_ADJUSTED=GAAP","Sort=A","Dates=H","DateFormat=P","Fill=—","Direction=H","UseDPDF=Y")</f>
        <v>40.040599999999998</v>
      </c>
      <c r="I13" s="21">
        <f>_xll.BDH("AAPL US Equity","GROSS_MARGIN","FQ1 2013","FQ1 2013","Currency=USD","Period=FQ","BEST_FPERIOD_OVERRIDE=FQ","FILING_STATUS=MR","FA_ADJUSTED=GAAP","Sort=A","Dates=H","DateFormat=P","Fill=—","Direction=H","UseDPDF=Y")</f>
        <v>38.633699999999997</v>
      </c>
      <c r="J13" s="21">
        <f>_xll.BDH("AAPL US Equity","GROSS_MARGIN","FQ2 2013","FQ2 2013","Currency=USD","Period=FQ","BEST_FPERIOD_OVERRIDE=FQ","FILING_STATUS=MR","FA_ADJUSTED=GAAP","Sort=A","Dates=H","DateFormat=P","Fill=—","Direction=H","UseDPDF=Y")</f>
        <v>37.495100000000001</v>
      </c>
      <c r="K13" s="21">
        <f>_xll.BDH("AAPL US Equity","GROSS_MARGIN","FQ3 2013","FQ3 2013","Currency=USD","Period=FQ","BEST_FPERIOD_OVERRIDE=FQ","FILING_STATUS=MR","FA_ADJUSTED=GAAP","Sort=A","Dates=H","DateFormat=P","Fill=—","Direction=H","UseDPDF=Y")</f>
        <v>36.871200000000002</v>
      </c>
      <c r="L13" s="21">
        <f>_xll.BDH("AAPL US Equity","GROSS_MARGIN","FQ4 2013","FQ4 2013","Currency=USD","Period=FQ","BEST_FPERIOD_OVERRIDE=FQ","FILING_STATUS=MR","FA_ADJUSTED=GAAP","Sort=A","Dates=H","DateFormat=P","Fill=—","Direction=H","UseDPDF=Y")</f>
        <v>37.017000000000003</v>
      </c>
      <c r="M13" s="21">
        <f>_xll.BDH("AAPL US Equity","GROSS_MARGIN","FQ1 2014","FQ1 2014","Currency=USD","Period=FQ","BEST_FPERIOD_OVERRIDE=FQ","FILING_STATUS=MR","FA_ADJUSTED=GAAP","Sort=A","Dates=H","DateFormat=P","Fill=—","Direction=H","UseDPDF=Y")</f>
        <v>37.930999999999997</v>
      </c>
      <c r="N13" s="21">
        <f>_xll.BDH("AAPL US Equity","GROSS_MARGIN","FQ2 2014","FQ2 2014","Currency=USD","Period=FQ","BEST_FPERIOD_OVERRIDE=FQ","FILING_STATUS=MR","FA_ADJUSTED=GAAP","Sort=A","Dates=H","DateFormat=P","Fill=—","Direction=H","UseDPDF=Y")</f>
        <v>39.317799999999998</v>
      </c>
      <c r="O13" s="21">
        <f>_xll.BDH("AAPL US Equity","GROSS_MARGIN","FQ3 2014","FQ3 2014","Currency=USD","Period=FQ","BEST_FPERIOD_OVERRIDE=FQ","FILING_STATUS=MR","FA_ADJUSTED=GAAP","Sort=A","Dates=H","DateFormat=P","Fill=—","Direction=H","UseDPDF=Y")</f>
        <v>39.364699999999999</v>
      </c>
      <c r="P13" s="21">
        <f>_xll.BDH("AAPL US Equity","GROSS_MARGIN","FQ4 2014","FQ4 2014","Currency=USD","Period=FQ","BEST_FPERIOD_OVERRIDE=FQ","FILING_STATUS=MR","FA_ADJUSTED=GAAP","Sort=A","Dates=H","DateFormat=P","Fill=—","Direction=H","UseDPDF=Y")</f>
        <v>38.005400000000002</v>
      </c>
      <c r="Q13" s="21">
        <f>_xll.BDH("AAPL US Equity","GROSS_MARGIN","FQ1 2015","FQ1 2015","Currency=USD","Period=FQ","BEST_FPERIOD_OVERRIDE=FQ","FILING_STATUS=MR","FA_ADJUSTED=GAAP","Sort=A","Dates=H","DateFormat=P","Fill=—","Direction=H","UseDPDF=Y")</f>
        <v>39.867800000000003</v>
      </c>
      <c r="R13" s="21">
        <f>_xll.BDH("AAPL US Equity","GROSS_MARGIN","FQ2 2015","FQ2 2015","Currency=USD","Period=FQ","BEST_FPERIOD_OVERRIDE=FQ","FILING_STATUS=MR","FA_ADJUSTED=GAAP","Sort=A","Dates=H","DateFormat=P","Fill=—","Direction=H","UseDPDF=Y")</f>
        <v>40.779200000000003</v>
      </c>
      <c r="S13" s="21">
        <f>_xll.BDH("AAPL US Equity","GROSS_MARGIN","FQ3 2015","FQ3 2015","Currency=USD","Period=FQ","BEST_FPERIOD_OVERRIDE=FQ","FILING_STATUS=MR","FA_ADJUSTED=GAAP","Sort=A","Dates=H","DateFormat=P","Fill=—","Direction=H","UseDPDF=Y")</f>
        <v>39.675400000000003</v>
      </c>
      <c r="T13" s="21">
        <f>_xll.BDH("AAPL US Equity","GROSS_MARGIN","FQ4 2015","FQ4 2015","Currency=USD","Period=FQ","BEST_FPERIOD_OVERRIDE=FQ","FILING_STATUS=MR","FA_ADJUSTED=GAAP","Sort=A","Dates=H","DateFormat=P","Fill=—","Direction=H","UseDPDF=Y")</f>
        <v>39.898299999999999</v>
      </c>
      <c r="U13" s="21">
        <f>_xll.BDH("AAPL US Equity","GROSS_MARGIN","FQ1 2016","FQ1 2016","Currency=USD","Period=FQ","BEST_FPERIOD_OVERRIDE=FQ","FILING_STATUS=MR","FA_ADJUSTED=GAAP","Sort=A","Dates=H","DateFormat=P","Fill=—","Direction=H","UseDPDF=Y")</f>
        <v>40.097799999999999</v>
      </c>
      <c r="V13" s="21">
        <f>_xll.BDH("AAPL US Equity","GROSS_MARGIN","FQ2 2016","FQ2 2016","Currency=USD","Period=FQ","BEST_FPERIOD_OVERRIDE=FQ","FILING_STATUS=MR","FA_ADJUSTED=GAAP","Sort=A","Dates=H","DateFormat=P","Fill=—","Direction=H","UseDPDF=Y")</f>
        <v>39.403100000000002</v>
      </c>
      <c r="W13" s="21">
        <f>_xll.BDH("AAPL US Equity","GROSS_MARGIN","FQ3 2016","FQ3 2016","Currency=USD","Period=FQ","BEST_FPERIOD_OVERRIDE=FQ","FILING_STATUS=MR","FA_ADJUSTED=GAAP","Sort=A","Dates=H","DateFormat=P","Fill=—","Direction=H","UseDPDF=Y")</f>
        <v>38.023499999999999</v>
      </c>
      <c r="X13" s="21">
        <f>_xll.BDH("AAPL US Equity","GROSS_MARGIN","FQ4 2016","FQ4 2016","Currency=USD","Period=FQ","BEST_FPERIOD_OVERRIDE=FQ","FILING_STATUS=MR","FA_ADJUSTED=GAAP","Sort=A","Dates=H","DateFormat=P","Fill=—","Direction=H","UseDPDF=Y")</f>
        <v>38.0197</v>
      </c>
      <c r="Y13" s="21">
        <f>_xll.BDH("AAPL US Equity","GROSS_MARGIN","FQ1 2017","FQ1 2017","Currency=USD","Period=FQ","BEST_FPERIOD_OVERRIDE=FQ","FILING_STATUS=MR","FA_ADJUSTED=GAAP","Sort=A","Dates=H","DateFormat=P","Fill=—","Direction=H","UseDPDF=Y")</f>
        <v>38.5139</v>
      </c>
      <c r="Z13" s="21">
        <f>_xll.BDH("AAPL US Equity","GROSS_MARGIN","FQ2 2017","FQ2 2017","Currency=USD","Period=FQ","BEST_FPERIOD_OVERRIDE=FQ","FILING_STATUS=MR","FA_ADJUSTED=GAAP","Sort=A","Dates=H","DateFormat=P","Fill=—","Direction=H","UseDPDF=Y")</f>
        <v>38.927300000000002</v>
      </c>
      <c r="AA13" s="21">
        <f>_xll.BDH("AAPL US Equity","GROSS_MARGIN","FQ3 2017","FQ3 2017","Currency=USD","Period=FQ","BEST_FPERIOD_OVERRIDE=FQ","FILING_STATUS=MR","FA_ADJUSTED=GAAP","Sort=A","Dates=H","DateFormat=P","Fill=—","Direction=H","UseDPDF=Y")</f>
        <v>38.512999999999998</v>
      </c>
      <c r="AB13" s="21">
        <f>_xll.BDH("AAPL US Equity","GROSS_MARGIN","FQ4 2017","FQ4 2017","Currency=USD","Period=FQ","BEST_FPERIOD_OVERRIDE=FQ","FILING_STATUS=MR","FA_ADJUSTED=GAAP","Sort=A","Dates=H","DateFormat=P","Fill=—","Direction=H","UseDPDF=Y")</f>
        <v>37.906799999999997</v>
      </c>
      <c r="AC13" s="21">
        <f>_xll.BDH("AAPL US Equity","GROSS_MARGIN","FQ1 2018","FQ1 2018","Currency=USD","Period=FQ","BEST_FPERIOD_OVERRIDE=FQ","FILING_STATUS=MR","FA_ADJUSTED=GAAP","Sort=A","Dates=H","DateFormat=P","Fill=—","Direction=H","UseDPDF=Y")</f>
        <v>38.408499999999997</v>
      </c>
      <c r="AD13" s="21">
        <f>_xll.BDH("AAPL US Equity","GROSS_MARGIN","FQ2 2018","FQ2 2018","Currency=USD","Period=FQ","BEST_FPERIOD_OVERRIDE=FQ","FILING_STATUS=MR","FA_ADJUSTED=GAAP","Sort=A","Dates=H","DateFormat=P","Fill=—","Direction=H","UseDPDF=Y")</f>
        <v>38.310699999999997</v>
      </c>
      <c r="AE13" s="21">
        <f>_xll.BDH("AAPL US Equity","GROSS_MARGIN","FQ3 2018","FQ3 2018","Currency=USD","Period=FQ","BEST_FPERIOD_OVERRIDE=FQ","FILING_STATUS=MR","FA_ADJUSTED=GAAP","Sort=A","Dates=H","DateFormat=P","Fill=—","Direction=H","UseDPDF=Y")</f>
        <v>38.338500000000003</v>
      </c>
      <c r="AF13" s="21">
        <f>_xll.BDH("AAPL US Equity","GROSS_MARGIN","FQ4 2018","FQ4 2018","Currency=USD","Period=FQ","BEST_FPERIOD_OVERRIDE=FQ","FILING_STATUS=MR","FA_ADJUSTED=GAAP","Sort=A","Dates=H","DateFormat=P","Fill=—","Direction=H","UseDPDF=Y")</f>
        <v>38.289299999999997</v>
      </c>
      <c r="AG13" s="21">
        <f>_xll.BDH("AAPL US Equity","GROSS_MARGIN","FQ1 2019","FQ1 2019","Currency=USD","Period=FQ","BEST_FPERIOD_OVERRIDE=FQ","FILING_STATUS=MR","FA_ADJUSTED=GAAP","Sort=A","Dates=H","DateFormat=P","Fill=—","Direction=H","UseDPDF=Y")</f>
        <v>37.991900000000001</v>
      </c>
      <c r="AH13" s="21">
        <f>_xll.BDH("AAPL US Equity","GROSS_MARGIN","FQ2 2019","FQ2 2019","Currency=USD","Period=FQ","BEST_FPERIOD_OVERRIDE=FQ","FILING_STATUS=MR","FA_ADJUSTED=GAAP","Sort=A","Dates=H","DateFormat=P","Fill=—","Direction=H","UseDPDF=Y")</f>
        <v>37.612699999999997</v>
      </c>
      <c r="AI13" s="21">
        <f>_xll.BDH("AAPL US Equity","GROSS_MARGIN","FQ3 2019","FQ3 2019","Currency=USD","Period=FQ","BEST_FPERIOD_OVERRIDE=FQ","FILING_STATUS=MR","FA_ADJUSTED=GAAP","Sort=A","Dates=H","DateFormat=P","Fill=—","Direction=H","UseDPDF=Y")</f>
        <v>37.590400000000002</v>
      </c>
      <c r="AJ13" s="21">
        <f>_xll.BDH("AAPL US Equity","GROSS_MARGIN","FQ4 2019","FQ4 2019","Currency=USD","Period=FQ","BEST_FPERIOD_OVERRIDE=FQ","FILING_STATUS=MR","FA_ADJUSTED=GAAP","Sort=A","Dates=H","DateFormat=P","Fill=—","Direction=H","UseDPDF=Y")</f>
        <v>37.965299999999999</v>
      </c>
      <c r="AK13" s="21">
        <f>_xll.BDH("AAPL US Equity","GROSS_MARGIN","FQ1 2020","FQ1 2020","Currency=USD","Period=FQ","BEST_FPERIOD_OVERRIDE=FQ","FILING_STATUS=MR","FA_ADJUSTED=GAAP","Sort=A","Dates=H","DateFormat=P","Fill=—","Direction=H","UseDPDF=Y")</f>
        <v>38.354799999999997</v>
      </c>
      <c r="AL13" s="21">
        <f>_xll.BDH("AAPL US Equity","GROSS_MARGIN","FQ2 2020","FQ2 2020","Currency=USD","Period=FQ","BEST_FPERIOD_OVERRIDE=FQ","FILING_STATUS=MR","FA_ADJUSTED=GAAP","Sort=A","Dates=H","DateFormat=P","Fill=—","Direction=H","UseDPDF=Y")</f>
        <v>38.361899999999999</v>
      </c>
      <c r="AM13" s="21">
        <f>_xll.BDH("AAPL US Equity","GROSS_MARGIN","FQ3 2020","FQ3 2020","Currency=USD","Period=FQ","BEST_FPERIOD_OVERRIDE=FQ","FILING_STATUS=MR","FA_ADJUSTED=GAAP","Sort=A","Dates=H","DateFormat=P","Fill=—","Direction=H","UseDPDF=Y")</f>
        <v>37.999499999999998</v>
      </c>
      <c r="AN13" s="21">
        <f>_xll.BDH("AAPL US Equity","GROSS_MARGIN","FQ4 2020","FQ4 2020","Currency=USD","Period=FQ","BEST_FPERIOD_OVERRIDE=FQ","FILING_STATUS=MR","FA_ADJUSTED=GAAP","Sort=A","Dates=H","DateFormat=P","Fill=—","Direction=H","UseDPDF=Y")</f>
        <v>38.160400000000003</v>
      </c>
      <c r="AO13" s="21">
        <f>_xll.BDH("AAPL US Equity","GROSS_MARGIN","FQ1 2021","FQ1 2021","Currency=USD","Period=FQ","BEST_FPERIOD_OVERRIDE=FQ","FILING_STATUS=MR","FA_ADJUSTED=GAAP","Sort=A","Dates=H","DateFormat=P","Fill=—","Direction=H","UseDPDF=Y")</f>
        <v>39.777799999999999</v>
      </c>
      <c r="AP13" s="21">
        <f>_xll.BDH("AAPL US Equity","GROSS_MARGIN","FQ2 2021","FQ2 2021","Currency=USD","Period=FQ","BEST_FPERIOD_OVERRIDE=FQ","FILING_STATUS=MR","FA_ADJUSTED=GAAP","Sort=A","Dates=H","DateFormat=P","Fill=—","Direction=H","UseDPDF=Y")</f>
        <v>42.506500000000003</v>
      </c>
    </row>
    <row r="14" spans="1:42" x14ac:dyDescent="0.25">
      <c r="A14" s="14" t="s">
        <v>96</v>
      </c>
      <c r="B14" s="14"/>
      <c r="C14" s="23" t="s">
        <v>97</v>
      </c>
      <c r="D14" s="23" t="s">
        <v>97</v>
      </c>
      <c r="E14" s="23" t="s">
        <v>97</v>
      </c>
      <c r="F14" s="23" t="s">
        <v>97</v>
      </c>
      <c r="G14" s="23" t="s">
        <v>97</v>
      </c>
      <c r="H14" s="23" t="s">
        <v>97</v>
      </c>
      <c r="I14" s="23" t="s">
        <v>97</v>
      </c>
      <c r="J14" s="23" t="s">
        <v>97</v>
      </c>
      <c r="K14" s="23" t="s">
        <v>97</v>
      </c>
      <c r="L14" s="23" t="s">
        <v>97</v>
      </c>
      <c r="M14" s="23" t="s">
        <v>97</v>
      </c>
      <c r="N14" s="23" t="s">
        <v>97</v>
      </c>
      <c r="O14" s="23" t="s">
        <v>97</v>
      </c>
      <c r="P14" s="23" t="s">
        <v>97</v>
      </c>
      <c r="Q14" s="23" t="s">
        <v>97</v>
      </c>
      <c r="R14" s="23" t="s">
        <v>97</v>
      </c>
      <c r="S14" s="23" t="s">
        <v>97</v>
      </c>
      <c r="T14" s="23" t="s">
        <v>97</v>
      </c>
      <c r="U14" s="23" t="s">
        <v>97</v>
      </c>
      <c r="V14" s="23" t="s">
        <v>97</v>
      </c>
      <c r="W14" s="23" t="s">
        <v>97</v>
      </c>
      <c r="X14" s="23" t="s">
        <v>97</v>
      </c>
      <c r="Y14" s="23" t="s">
        <v>97</v>
      </c>
      <c r="Z14" s="23" t="s">
        <v>97</v>
      </c>
      <c r="AA14" s="23" t="s">
        <v>97</v>
      </c>
      <c r="AB14" s="23" t="s">
        <v>97</v>
      </c>
      <c r="AC14" s="23" t="s">
        <v>97</v>
      </c>
      <c r="AD14" s="23" t="s">
        <v>97</v>
      </c>
      <c r="AE14" s="23" t="s">
        <v>97</v>
      </c>
      <c r="AF14" s="23" t="s">
        <v>97</v>
      </c>
      <c r="AG14" s="23" t="s">
        <v>97</v>
      </c>
      <c r="AH14" s="23" t="s">
        <v>97</v>
      </c>
      <c r="AI14" s="23" t="s">
        <v>97</v>
      </c>
      <c r="AJ14" s="23" t="s">
        <v>97</v>
      </c>
      <c r="AK14" s="23" t="s">
        <v>97</v>
      </c>
      <c r="AL14" s="23" t="s">
        <v>97</v>
      </c>
      <c r="AM14" s="23" t="s">
        <v>97</v>
      </c>
      <c r="AN14" s="23" t="s">
        <v>97</v>
      </c>
      <c r="AO14" s="23" t="s">
        <v>97</v>
      </c>
      <c r="AP14" s="23" t="s">
        <v>97</v>
      </c>
    </row>
    <row r="15" spans="1:42" x14ac:dyDescent="0.25">
      <c r="A15" s="18" t="s">
        <v>98</v>
      </c>
      <c r="B15" s="18"/>
      <c r="C15" s="21" t="s">
        <v>97</v>
      </c>
      <c r="D15" s="21" t="s">
        <v>97</v>
      </c>
      <c r="E15" s="21" t="s">
        <v>97</v>
      </c>
      <c r="F15" s="21" t="s">
        <v>97</v>
      </c>
      <c r="G15" s="21" t="s">
        <v>97</v>
      </c>
      <c r="H15" s="21" t="s">
        <v>97</v>
      </c>
      <c r="I15" s="21" t="s">
        <v>97</v>
      </c>
      <c r="J15" s="21" t="s">
        <v>97</v>
      </c>
      <c r="K15" s="21" t="s">
        <v>97</v>
      </c>
      <c r="L15" s="21" t="s">
        <v>97</v>
      </c>
      <c r="M15" s="21" t="s">
        <v>97</v>
      </c>
      <c r="N15" s="21" t="s">
        <v>97</v>
      </c>
      <c r="O15" s="21" t="s">
        <v>97</v>
      </c>
      <c r="P15" s="21" t="s">
        <v>97</v>
      </c>
      <c r="Q15" s="21" t="s">
        <v>97</v>
      </c>
      <c r="R15" s="21" t="s">
        <v>97</v>
      </c>
      <c r="S15" s="21" t="s">
        <v>97</v>
      </c>
      <c r="T15" s="21" t="s">
        <v>97</v>
      </c>
      <c r="U15" s="21" t="s">
        <v>97</v>
      </c>
      <c r="V15" s="21" t="s">
        <v>97</v>
      </c>
      <c r="W15" s="21" t="s">
        <v>97</v>
      </c>
      <c r="X15" s="21" t="s">
        <v>97</v>
      </c>
      <c r="Y15" s="21" t="s">
        <v>97</v>
      </c>
      <c r="Z15" s="21" t="s">
        <v>97</v>
      </c>
      <c r="AA15" s="21" t="s">
        <v>97</v>
      </c>
      <c r="AB15" s="21" t="s">
        <v>97</v>
      </c>
      <c r="AC15" s="21">
        <v>58.3</v>
      </c>
      <c r="AD15" s="21">
        <v>61.6</v>
      </c>
      <c r="AE15" s="21">
        <v>61.8</v>
      </c>
      <c r="AF15" s="21">
        <v>61.13</v>
      </c>
      <c r="AG15" s="21">
        <v>62.8</v>
      </c>
      <c r="AH15" s="21">
        <v>63.8</v>
      </c>
      <c r="AI15" s="21">
        <v>64.099999999999994</v>
      </c>
      <c r="AJ15" s="21">
        <v>64.12</v>
      </c>
      <c r="AK15" s="21">
        <v>64.400000000000006</v>
      </c>
      <c r="AL15" s="21">
        <v>65.400000000000006</v>
      </c>
      <c r="AM15" s="21">
        <v>67.2</v>
      </c>
      <c r="AN15" s="21">
        <v>67</v>
      </c>
      <c r="AO15" s="21">
        <v>68.400000000000006</v>
      </c>
      <c r="AP15" s="21">
        <v>70.099999999999994</v>
      </c>
    </row>
    <row r="16" spans="1:42" x14ac:dyDescent="0.25">
      <c r="A16" s="18" t="s">
        <v>99</v>
      </c>
      <c r="B16" s="18"/>
      <c r="C16" s="21" t="s">
        <v>97</v>
      </c>
      <c r="D16" s="21" t="s">
        <v>97</v>
      </c>
      <c r="E16" s="21" t="s">
        <v>97</v>
      </c>
      <c r="F16" s="21" t="s">
        <v>97</v>
      </c>
      <c r="G16" s="21" t="s">
        <v>97</v>
      </c>
      <c r="H16" s="21" t="s">
        <v>97</v>
      </c>
      <c r="I16" s="21" t="s">
        <v>97</v>
      </c>
      <c r="J16" s="21" t="s">
        <v>97</v>
      </c>
      <c r="K16" s="21" t="s">
        <v>97</v>
      </c>
      <c r="L16" s="21" t="s">
        <v>97</v>
      </c>
      <c r="M16" s="21" t="s">
        <v>97</v>
      </c>
      <c r="N16" s="21" t="s">
        <v>97</v>
      </c>
      <c r="O16" s="21" t="s">
        <v>97</v>
      </c>
      <c r="P16" s="21" t="s">
        <v>97</v>
      </c>
      <c r="Q16" s="21" t="s">
        <v>97</v>
      </c>
      <c r="R16" s="21" t="s">
        <v>97</v>
      </c>
      <c r="S16" s="21" t="s">
        <v>97</v>
      </c>
      <c r="T16" s="21" t="s">
        <v>97</v>
      </c>
      <c r="U16" s="21" t="s">
        <v>97</v>
      </c>
      <c r="V16" s="21" t="s">
        <v>97</v>
      </c>
      <c r="W16" s="21" t="s">
        <v>97</v>
      </c>
      <c r="X16" s="21" t="s">
        <v>97</v>
      </c>
      <c r="Y16" s="21" t="s">
        <v>97</v>
      </c>
      <c r="Z16" s="21" t="s">
        <v>97</v>
      </c>
      <c r="AA16" s="21" t="s">
        <v>97</v>
      </c>
      <c r="AB16" s="21" t="s">
        <v>97</v>
      </c>
      <c r="AC16" s="21">
        <v>36.1</v>
      </c>
      <c r="AD16" s="21">
        <v>33.799999999999997</v>
      </c>
      <c r="AE16" s="21">
        <v>32.799999999999997</v>
      </c>
      <c r="AF16" s="21">
        <v>33.659999999999997</v>
      </c>
      <c r="AG16" s="21">
        <v>34.299999999999997</v>
      </c>
      <c r="AH16" s="21">
        <v>31.2</v>
      </c>
      <c r="AI16" s="21">
        <v>30.4</v>
      </c>
      <c r="AJ16" s="21">
        <v>31.61</v>
      </c>
      <c r="AK16" s="21">
        <v>34.200000000000003</v>
      </c>
      <c r="AL16" s="21">
        <v>30.3</v>
      </c>
      <c r="AM16" s="21">
        <v>29.7</v>
      </c>
      <c r="AN16" s="21">
        <v>30</v>
      </c>
      <c r="AO16" s="21">
        <v>35.1</v>
      </c>
      <c r="AP16" s="21">
        <v>36.1</v>
      </c>
    </row>
    <row r="17" spans="1:42" x14ac:dyDescent="0.25">
      <c r="A17" s="18" t="s">
        <v>100</v>
      </c>
      <c r="B17" s="18" t="s">
        <v>101</v>
      </c>
      <c r="C17" s="21">
        <f>_xll.BDH("AAPL US Equity","EBITDA_TO_REVENUE","FQ3 2011","FQ3 2011","Currency=USD","Period=FQ","BEST_FPERIOD_OVERRIDE=FQ","FILING_STATUS=MR","FA_ADJUSTED=GAAP","Sort=A","Dates=H","DateFormat=P","Fill=—","Direction=H","UseDPDF=Y")</f>
        <v>34.5105</v>
      </c>
      <c r="D17" s="21">
        <f>_xll.BDH("AAPL US Equity","EBITDA_TO_REVENUE","FQ4 2011","FQ4 2011","Currency=USD","Period=FQ","BEST_FPERIOD_OVERRIDE=FQ","FILING_STATUS=MR","FA_ADJUSTED=GAAP","Sort=A","Dates=H","DateFormat=P","Fill=—","Direction=H","UseDPDF=Y")</f>
        <v>32.730800000000002</v>
      </c>
      <c r="E17" s="21">
        <f>_xll.BDH("AAPL US Equity","EBITDA_TO_REVENUE","FQ1 2012","FQ1 2012","Currency=USD","Period=FQ","BEST_FPERIOD_OVERRIDE=FQ","FILING_STATUS=MR","FA_ADJUSTED=GAAP","Sort=A","Dates=H","DateFormat=P","Fill=—","Direction=H","UseDPDF=Y")</f>
        <v>38.980899999999998</v>
      </c>
      <c r="F17" s="21">
        <f>_xll.BDH("AAPL US Equity","EBITDA_TO_REVENUE","FQ2 2012","FQ2 2012","Currency=USD","Period=FQ","BEST_FPERIOD_OVERRIDE=FQ","FILING_STATUS=MR","FA_ADJUSTED=GAAP","Sort=A","Dates=H","DateFormat=P","Fill=—","Direction=H","UseDPDF=Y")</f>
        <v>41.147300000000001</v>
      </c>
      <c r="G17" s="21">
        <f>_xll.BDH("AAPL US Equity","EBITDA_TO_REVENUE","FQ3 2012","FQ3 2012","Currency=USD","Period=FQ","BEST_FPERIOD_OVERRIDE=FQ","FILING_STATUS=MR","FA_ADJUSTED=GAAP","Sort=A","Dates=H","DateFormat=P","Fill=—","Direction=H","UseDPDF=Y")</f>
        <v>35.428100000000001</v>
      </c>
      <c r="H17" s="21">
        <f>_xll.BDH("AAPL US Equity","EBITDA_TO_REVENUE","FQ4 2012","FQ4 2012","Currency=USD","Period=FQ","BEST_FPERIOD_OVERRIDE=FQ","FILING_STATUS=MR","FA_ADJUSTED=GAAP","Sort=A","Dates=H","DateFormat=P","Fill=—","Direction=H","UseDPDF=Y")</f>
        <v>33.156300000000002</v>
      </c>
      <c r="I17" s="21">
        <f>_xll.BDH("AAPL US Equity","EBITDA_TO_REVENUE","FQ1 2013","FQ1 2013","Currency=USD","Period=FQ","BEST_FPERIOD_OVERRIDE=FQ","FILING_STATUS=MR","FA_ADJUSTED=GAAP","Sort=A","Dates=H","DateFormat=P","Fill=—","Direction=H","UseDPDF=Y")</f>
        <v>34.484200000000001</v>
      </c>
      <c r="J17" s="21">
        <f>_xll.BDH("AAPL US Equity","EBITDA_TO_REVENUE","FQ2 2013","FQ2 2013","Currency=USD","Period=FQ","BEST_FPERIOD_OVERRIDE=FQ","FILING_STATUS=MR","FA_ADJUSTED=GAAP","Sort=A","Dates=H","DateFormat=P","Fill=—","Direction=H","UseDPDF=Y")</f>
        <v>32.681199999999997</v>
      </c>
      <c r="K17" s="21">
        <f>_xll.BDH("AAPL US Equity","EBITDA_TO_REVENUE","FQ3 2013","FQ3 2013","Currency=USD","Period=FQ","BEST_FPERIOD_OVERRIDE=FQ","FILING_STATUS=MR","FA_ADJUSTED=GAAP","Sort=A","Dates=H","DateFormat=P","Fill=—","Direction=H","UseDPDF=Y")</f>
        <v>30.843900000000001</v>
      </c>
      <c r="L17" s="21">
        <f>_xll.BDH("AAPL US Equity","EBITDA_TO_REVENUE","FQ4 2013","FQ4 2013","Currency=USD","Period=FQ","BEST_FPERIOD_OVERRIDE=FQ","FILING_STATUS=MR","FA_ADJUSTED=GAAP","Sort=A","Dates=H","DateFormat=P","Fill=—","Direction=H","UseDPDF=Y")</f>
        <v>31.524899999999999</v>
      </c>
      <c r="M17" s="21">
        <f>_xll.BDH("AAPL US Equity","EBITDA_TO_REVENUE","FQ1 2014","FQ1 2014","Currency=USD","Period=FQ","BEST_FPERIOD_OVERRIDE=FQ","FILING_STATUS=MR","FA_ADJUSTED=GAAP","Sort=A","Dates=H","DateFormat=P","Fill=—","Direction=H","UseDPDF=Y")</f>
        <v>34.043500000000002</v>
      </c>
      <c r="N17" s="21">
        <f>_xll.BDH("AAPL US Equity","EBITDA_TO_REVENUE","FQ2 2014","FQ2 2014","Currency=USD","Period=FQ","BEST_FPERIOD_OVERRIDE=FQ","FILING_STATUS=MR","FA_ADJUSTED=GAAP","Sort=A","Dates=H","DateFormat=P","Fill=—","Direction=H","UseDPDF=Y")</f>
        <v>33.913200000000003</v>
      </c>
      <c r="O17" s="21">
        <f>_xll.BDH("AAPL US Equity","EBITDA_TO_REVENUE","FQ3 2014","FQ3 2014","Currency=USD","Period=FQ","BEST_FPERIOD_OVERRIDE=FQ","FILING_STATUS=MR","FA_ADJUSTED=GAAP","Sort=A","Dates=H","DateFormat=P","Fill=—","Direction=H","UseDPDF=Y")</f>
        <v>32.667200000000001</v>
      </c>
      <c r="P17" s="21">
        <f>_xll.BDH("AAPL US Equity","EBITDA_TO_REVENUE","FQ4 2014","FQ4 2014","Currency=USD","Period=FQ","BEST_FPERIOD_OVERRIDE=FQ","FILING_STATUS=MR","FA_ADJUSTED=GAAP","Sort=A","Dates=H","DateFormat=P","Fill=—","Direction=H","UseDPDF=Y")</f>
        <v>31.180099999999999</v>
      </c>
      <c r="Q17" s="21">
        <f>_xll.BDH("AAPL US Equity","EBITDA_TO_REVENUE","FQ1 2015","FQ1 2015","Currency=USD","Period=FQ","BEST_FPERIOD_OVERRIDE=FQ","FILING_STATUS=MR","FA_ADJUSTED=GAAP","Sort=A","Dates=H","DateFormat=P","Fill=—","Direction=H","UseDPDF=Y")</f>
        <v>35.953600000000002</v>
      </c>
      <c r="R17" s="21">
        <f>_xll.BDH("AAPL US Equity","EBITDA_TO_REVENUE","FQ2 2015","FQ2 2015","Currency=USD","Period=FQ","BEST_FPERIOD_OVERRIDE=FQ","FILING_STATUS=MR","FA_ADJUSTED=GAAP","Sort=A","Dates=H","DateFormat=P","Fill=—","Direction=H","UseDPDF=Y")</f>
        <v>35.781799999999997</v>
      </c>
      <c r="S17" s="21">
        <f>_xll.BDH("AAPL US Equity","EBITDA_TO_REVENUE","FQ3 2015","FQ3 2015","Currency=USD","Period=FQ","BEST_FPERIOD_OVERRIDE=FQ","FILING_STATUS=MR","FA_ADJUSTED=GAAP","Sort=A","Dates=H","DateFormat=P","Fill=—","Direction=H","UseDPDF=Y")</f>
        <v>34.607399999999998</v>
      </c>
      <c r="T17" s="21">
        <f>_xll.BDH("AAPL US Equity","EBITDA_TO_REVENUE","FQ4 2015","FQ4 2015","Currency=USD","Period=FQ","BEST_FPERIOD_OVERRIDE=FQ","FILING_STATUS=MR","FA_ADJUSTED=GAAP","Sort=A","Dates=H","DateFormat=P","Fill=—","Direction=H","UseDPDF=Y")</f>
        <v>34.449800000000003</v>
      </c>
      <c r="U17" s="21">
        <f>_xll.BDH("AAPL US Equity","EBITDA_TO_REVENUE","FQ1 2016","FQ1 2016","Currency=USD","Period=FQ","BEST_FPERIOD_OVERRIDE=FQ","FILING_STATUS=MR","FA_ADJUSTED=GAAP","Sort=A","Dates=H","DateFormat=P","Fill=—","Direction=H","UseDPDF=Y")</f>
        <v>35.750999999999998</v>
      </c>
      <c r="V17" s="21">
        <f>_xll.BDH("AAPL US Equity","EBITDA_TO_REVENUE","FQ2 2016","FQ2 2016","Currency=USD","Period=FQ","BEST_FPERIOD_OVERRIDE=FQ","FILING_STATUS=MR","FA_ADJUSTED=GAAP","Sort=A","Dates=H","DateFormat=P","Fill=—","Direction=H","UseDPDF=Y")</f>
        <v>32.565199999999997</v>
      </c>
      <c r="W17" s="21">
        <f>_xll.BDH("AAPL US Equity","EBITDA_TO_REVENUE","FQ3 2016","FQ3 2016","Currency=USD","Period=FQ","BEST_FPERIOD_OVERRIDE=FQ","FILING_STATUS=MR","FA_ADJUSTED=GAAP","Sort=A","Dates=H","DateFormat=P","Fill=—","Direction=H","UseDPDF=Y")</f>
        <v>29.819600000000001</v>
      </c>
      <c r="X17" s="21">
        <f>_xll.BDH("AAPL US Equity","EBITDA_TO_REVENUE","FQ4 2016","FQ4 2016","Currency=USD","Period=FQ","BEST_FPERIOD_OVERRIDE=FQ","FILING_STATUS=MR","FA_ADJUSTED=GAAP","Sort=A","Dates=H","DateFormat=P","Fill=—","Direction=H","UseDPDF=Y")</f>
        <v>30.540900000000001</v>
      </c>
      <c r="Y17" s="21">
        <f>_xll.BDH("AAPL US Equity","EBITDA_TO_REVENUE","FQ1 2017","FQ1 2017","Currency=USD","Period=FQ","BEST_FPERIOD_OVERRIDE=FQ","FILING_STATUS=MR","FA_ADJUSTED=GAAP","Sort=A","Dates=H","DateFormat=P","Fill=—","Direction=H","UseDPDF=Y")</f>
        <v>33.625599999999999</v>
      </c>
      <c r="Z17" s="21">
        <f>_xll.BDH("AAPL US Equity","EBITDA_TO_REVENUE","FQ2 2017","FQ2 2017","Currency=USD","Period=FQ","BEST_FPERIOD_OVERRIDE=FQ","FILING_STATUS=MR","FA_ADJUSTED=GAAP","Sort=A","Dates=H","DateFormat=P","Fill=—","Direction=H","UseDPDF=Y")</f>
        <v>36.706000000000003</v>
      </c>
      <c r="AA17" s="21">
        <f>_xll.BDH("AAPL US Equity","EBITDA_TO_REVENUE","FQ3 2017","FQ3 2017","Currency=USD","Period=FQ","BEST_FPERIOD_OVERRIDE=FQ","FILING_STATUS=MR","FA_ADJUSTED=GAAP","Sort=A","Dates=H","DateFormat=P","Fill=—","Direction=H","UseDPDF=Y")</f>
        <v>28.898</v>
      </c>
      <c r="AB17" s="21">
        <f>_xll.BDH("AAPL US Equity","EBITDA_TO_REVENUE","FQ4 2017","FQ4 2017","Currency=USD","Period=FQ","BEST_FPERIOD_OVERRIDE=FQ","FILING_STATUS=MR","FA_ADJUSTED=GAAP","Sort=A","Dates=H","DateFormat=P","Fill=—","Direction=H","UseDPDF=Y")</f>
        <v>29.677199999999999</v>
      </c>
      <c r="AC17" s="21">
        <f>_xll.BDH("AAPL US Equity","EBITDA_TO_REVENUE","FQ1 2018","FQ1 2018","Currency=USD","Period=FQ","BEST_FPERIOD_OVERRIDE=FQ","FILING_STATUS=MR","FA_ADJUSTED=GAAP","Sort=A","Dates=H","DateFormat=P","Fill=—","Direction=H","UseDPDF=Y")</f>
        <v>32.866700000000002</v>
      </c>
      <c r="AD17" s="21">
        <f>_xll.BDH("AAPL US Equity","EBITDA_TO_REVENUE","FQ2 2018","FQ2 2018","Currency=USD","Period=FQ","BEST_FPERIOD_OVERRIDE=FQ","FILING_STATUS=MR","FA_ADJUSTED=GAAP","Sort=A","Dates=H","DateFormat=P","Fill=—","Direction=H","UseDPDF=Y")</f>
        <v>30.477499999999999</v>
      </c>
      <c r="AE17" s="21">
        <f>_xll.BDH("AAPL US Equity","EBITDA_TO_REVENUE","FQ3 2018","FQ3 2018","Currency=USD","Period=FQ","BEST_FPERIOD_OVERRIDE=FQ","FILING_STATUS=MR","FA_ADJUSTED=GAAP","Sort=A","Dates=H","DateFormat=P","Fill=—","Direction=H","UseDPDF=Y")</f>
        <v>28.681100000000001</v>
      </c>
      <c r="AF17" s="21">
        <f>_xll.BDH("AAPL US Equity","EBITDA_TO_REVENUE","FQ4 2018","FQ4 2018","Currency=USD","Period=FQ","BEST_FPERIOD_OVERRIDE=FQ","FILING_STATUS=MR","FA_ADJUSTED=GAAP","Sort=A","Dates=H","DateFormat=P","Fill=—","Direction=H","UseDPDF=Y")</f>
        <v>30.0032</v>
      </c>
      <c r="AG17" s="21">
        <f>_xll.BDH("AAPL US Equity","EBITDA_TO_REVENUE","FQ1 2019","FQ1 2019","Currency=USD","Period=FQ","BEST_FPERIOD_OVERRIDE=FQ","FILING_STATUS=MR","FA_ADJUSTED=GAAP","Sort=A","Dates=H","DateFormat=P","Fill=—","Direction=H","UseDPDF=Y")</f>
        <v>31.717500000000001</v>
      </c>
      <c r="AH17" s="21">
        <f>_xll.BDH("AAPL US Equity","EBITDA_TO_REVENUE","FQ2 2019","FQ2 2019","Currency=USD","Period=FQ","BEST_FPERIOD_OVERRIDE=FQ","FILING_STATUS=MR","FA_ADJUSTED=GAAP","Sort=A","Dates=H","DateFormat=P","Fill=—","Direction=H","UseDPDF=Y")</f>
        <v>28.363399999999999</v>
      </c>
      <c r="AI17" s="21">
        <f>_xll.BDH("AAPL US Equity","EBITDA_TO_REVENUE","FQ3 2019","FQ3 2019","Currency=USD","Period=FQ","BEST_FPERIOD_OVERRIDE=FQ","FILING_STATUS=MR","FA_ADJUSTED=GAAP","Sort=A","Dates=H","DateFormat=P","Fill=—","Direction=H","UseDPDF=Y")</f>
        <v>26.904399999999999</v>
      </c>
      <c r="AJ17" s="21">
        <f>_xll.BDH("AAPL US Equity","EBITDA_TO_REVENUE","FQ4 2019","FQ4 2019","Currency=USD","Period=FQ","BEST_FPERIOD_OVERRIDE=FQ","FILING_STATUS=MR","FA_ADJUSTED=GAAP","Sort=A","Dates=H","DateFormat=P","Fill=—","Direction=H","UseDPDF=Y")</f>
        <v>29.3629</v>
      </c>
      <c r="AK17" s="21">
        <f>_xll.BDH("AAPL US Equity","EBITDA_TO_REVENUE","FQ1 2020","FQ1 2020","Currency=USD","Period=FQ","BEST_FPERIOD_OVERRIDE=FQ","FILING_STATUS=MR","FA_ADJUSTED=GAAP","Sort=A","Dates=H","DateFormat=P","Fill=—","Direction=H","UseDPDF=Y")</f>
        <v>31.315999999999999</v>
      </c>
      <c r="AL17" s="21">
        <f>_xll.BDH("AAPL US Equity","EBITDA_TO_REVENUE","FQ2 2020","FQ2 2020","Currency=USD","Period=FQ","BEST_FPERIOD_OVERRIDE=FQ","FILING_STATUS=MR","FA_ADJUSTED=GAAP","Sort=A","Dates=H","DateFormat=P","Fill=—","Direction=H","UseDPDF=Y")</f>
        <v>26.819099999999999</v>
      </c>
      <c r="AM17" s="21">
        <f>_xll.BDH("AAPL US Equity","EBITDA_TO_REVENUE","FQ3 2020","FQ3 2020","Currency=USD","Period=FQ","BEST_FPERIOD_OVERRIDE=FQ","FILING_STATUS=MR","FA_ADJUSTED=GAAP","Sort=A","Dates=H","DateFormat=P","Fill=—","Direction=H","UseDPDF=Y")</f>
        <v>27.182700000000001</v>
      </c>
      <c r="AN17" s="21">
        <f>_xll.BDH("AAPL US Equity","EBITDA_TO_REVENUE","FQ4 2020","FQ4 2020","Currency=USD","Period=FQ","BEST_FPERIOD_OVERRIDE=FQ","FILING_STATUS=MR","FA_ADJUSTED=GAAP","Sort=A","Dates=H","DateFormat=P","Fill=—","Direction=H","UseDPDF=Y")</f>
        <v>27.631499999999999</v>
      </c>
      <c r="AO17" s="21">
        <f>_xll.BDH("AAPL US Equity","EBITDA_TO_REVENUE","FQ1 2021","FQ1 2021","Currency=USD","Period=FQ","BEST_FPERIOD_OVERRIDE=FQ","FILING_STATUS=MR","FA_ADJUSTED=GAAP","Sort=A","Dates=H","DateFormat=P","Fill=—","Direction=H","UseDPDF=Y")</f>
        <v>32.484099999999998</v>
      </c>
      <c r="AP17" s="21">
        <f>_xll.BDH("AAPL US Equity","EBITDA_TO_REVENUE","FQ2 2021","FQ2 2021","Currency=USD","Period=FQ","BEST_FPERIOD_OVERRIDE=FQ","FILING_STATUS=MR","FA_ADJUSTED=GAAP","Sort=A","Dates=H","DateFormat=P","Fill=—","Direction=H","UseDPDF=Y")</f>
        <v>33.823</v>
      </c>
    </row>
    <row r="18" spans="1:42" x14ac:dyDescent="0.25">
      <c r="A18" s="19" t="s">
        <v>102</v>
      </c>
      <c r="B18" s="19" t="s">
        <v>101</v>
      </c>
      <c r="C18" s="24">
        <v>20.216361121044802</v>
      </c>
      <c r="D18" s="24">
        <v>15.277504970493</v>
      </c>
      <c r="E18" s="24">
        <v>27.384463554236099</v>
      </c>
      <c r="F18" s="24">
        <v>22.169193054784699</v>
      </c>
      <c r="G18" s="24">
        <v>2.6589835597367899</v>
      </c>
      <c r="H18" s="24">
        <v>1.3000106016319299</v>
      </c>
      <c r="I18" s="24">
        <v>-11.535677923542799</v>
      </c>
      <c r="J18" s="24">
        <v>-20.5751067948509</v>
      </c>
      <c r="K18" s="24">
        <v>-12.939488480726901</v>
      </c>
      <c r="L18" s="24">
        <v>-4.9204564777616797</v>
      </c>
      <c r="M18" s="24">
        <v>-1.27790013672947</v>
      </c>
      <c r="N18" s="24">
        <v>3.76950224468241</v>
      </c>
      <c r="O18" s="24">
        <v>5.9114102400582897</v>
      </c>
      <c r="P18" s="24">
        <v>-1.0936031714894801</v>
      </c>
      <c r="Q18" s="24">
        <v>5.6107312422876001</v>
      </c>
      <c r="R18" s="24">
        <v>5.5099675471095804</v>
      </c>
      <c r="S18" s="24">
        <v>5.9391646743800299</v>
      </c>
      <c r="T18" s="24">
        <v>10.4864975642329</v>
      </c>
      <c r="U18" s="24">
        <v>-0.56340170995559902</v>
      </c>
      <c r="V18" s="24">
        <v>-8.9893253440118404</v>
      </c>
      <c r="W18" s="24">
        <v>-13.834513071453699</v>
      </c>
      <c r="X18" s="24">
        <v>-11.346838213973699</v>
      </c>
      <c r="Y18" s="24">
        <v>-5.94499141590493</v>
      </c>
      <c r="Z18" s="24">
        <v>12.715300613786701</v>
      </c>
      <c r="AA18" s="24">
        <v>-3.0907187891950301</v>
      </c>
      <c r="AB18" s="24">
        <v>-2.8277010739582602</v>
      </c>
      <c r="AC18" s="24">
        <v>-2.2569197856585901</v>
      </c>
      <c r="AD18" s="24">
        <v>-16.968721371327199</v>
      </c>
      <c r="AE18" s="24">
        <v>-0.75046390766527704</v>
      </c>
      <c r="AF18" s="24">
        <v>1.0982554716663799</v>
      </c>
      <c r="AG18" s="24">
        <v>-3.4966510941696298</v>
      </c>
      <c r="AH18" s="24">
        <v>-6.93659693074079</v>
      </c>
      <c r="AI18" s="24">
        <v>-6.1946737580672799</v>
      </c>
      <c r="AJ18" s="24">
        <v>-2.1340471243381498</v>
      </c>
      <c r="AK18" s="24">
        <v>-1.2659016855410701</v>
      </c>
      <c r="AL18" s="24">
        <v>-5.4446699075151699</v>
      </c>
      <c r="AM18" s="24">
        <v>1.03435788489929</v>
      </c>
      <c r="AN18" s="24">
        <v>-5.89669657266119</v>
      </c>
      <c r="AO18" s="24">
        <v>3.7303024952868298</v>
      </c>
      <c r="AP18" s="24">
        <v>26.115532075076601</v>
      </c>
    </row>
    <row r="19" spans="1:42" x14ac:dyDescent="0.25">
      <c r="A19" s="18" t="s">
        <v>103</v>
      </c>
      <c r="B19" s="18" t="s">
        <v>104</v>
      </c>
      <c r="C19" s="21">
        <f>_xll.BDH("AAPL US Equity","OPER_MARGIN","FQ3 2011","FQ3 2011","Currency=USD","Period=FQ","BEST_FPERIOD_OVERRIDE=FQ","FILING_STATUS=MR","FA_ADJUSTED=GAAP","Sort=A","Dates=H","DateFormat=P","Fill=—","Direction=H","UseDPDF=Y")</f>
        <v>32.826999999999998</v>
      </c>
      <c r="D19" s="21">
        <f>_xll.BDH("AAPL US Equity","OPER_MARGIN","FQ4 2011","FQ4 2011","Currency=USD","Period=FQ","BEST_FPERIOD_OVERRIDE=FQ","FILING_STATUS=MR","FA_ADJUSTED=GAAP","Sort=A","Dates=H","DateFormat=P","Fill=—","Direction=H","UseDPDF=Y")</f>
        <v>30.81</v>
      </c>
      <c r="E19" s="21">
        <f>_xll.BDH("AAPL US Equity","OPER_MARGIN","FQ1 2012","FQ1 2012","Currency=USD","Period=FQ","BEST_FPERIOD_OVERRIDE=FQ","FILING_STATUS=MR","FA_ADJUSTED=GAAP","Sort=A","Dates=H","DateFormat=P","Fill=—","Direction=H","UseDPDF=Y")</f>
        <v>37.424700000000001</v>
      </c>
      <c r="F19" s="21">
        <f>_xll.BDH("AAPL US Equity","OPER_MARGIN","FQ2 2012","FQ2 2012","Currency=USD","Period=FQ","BEST_FPERIOD_OVERRIDE=FQ","FILING_STATUS=MR","FA_ADJUSTED=GAAP","Sort=A","Dates=H","DateFormat=P","Fill=—","Direction=H","UseDPDF=Y")</f>
        <v>39.258899999999997</v>
      </c>
      <c r="G19" s="21">
        <f>_xll.BDH("AAPL US Equity","OPER_MARGIN","FQ3 2012","FQ3 2012","Currency=USD","Period=FQ","BEST_FPERIOD_OVERRIDE=FQ","FILING_STATUS=MR","FA_ADJUSTED=GAAP","Sort=A","Dates=H","DateFormat=P","Fill=—","Direction=H","UseDPDF=Y")</f>
        <v>33.043999999999997</v>
      </c>
      <c r="H19" s="21">
        <f>_xll.BDH("AAPL US Equity","OPER_MARGIN","FQ4 2012","FQ4 2012","Currency=USD","Period=FQ","BEST_FPERIOD_OVERRIDE=FQ","FILING_STATUS=MR","FA_ADJUSTED=GAAP","Sort=A","Dates=H","DateFormat=P","Fill=—","Direction=H","UseDPDF=Y")</f>
        <v>30.428699999999999</v>
      </c>
      <c r="I19" s="21">
        <f>_xll.BDH("AAPL US Equity","OPER_MARGIN","FQ1 2013","FQ1 2013","Currency=USD","Period=FQ","BEST_FPERIOD_OVERRIDE=FQ","FILING_STATUS=MR","FA_ADJUSTED=GAAP","Sort=A","Dates=H","DateFormat=P","Fill=—","Direction=H","UseDPDF=Y")</f>
        <v>31.571000000000002</v>
      </c>
      <c r="J19" s="21">
        <f>_xll.BDH("AAPL US Equity","OPER_MARGIN","FQ2 2013","FQ2 2013","Currency=USD","Period=FQ","BEST_FPERIOD_OVERRIDE=FQ","FILING_STATUS=MR","FA_ADJUSTED=GAAP","Sort=A","Dates=H","DateFormat=P","Fill=—","Direction=H","UseDPDF=Y")</f>
        <v>28.800799999999999</v>
      </c>
      <c r="K19" s="21">
        <f>_xll.BDH("AAPL US Equity","OPER_MARGIN","FQ3 2013","FQ3 2013","Currency=USD","Period=FQ","BEST_FPERIOD_OVERRIDE=FQ","FILING_STATUS=MR","FA_ADJUSTED=GAAP","Sort=A","Dates=H","DateFormat=P","Fill=—","Direction=H","UseDPDF=Y")</f>
        <v>26.048200000000001</v>
      </c>
      <c r="L19" s="21">
        <f>_xll.BDH("AAPL US Equity","OPER_MARGIN","FQ4 2013","FQ4 2013","Currency=USD","Period=FQ","BEST_FPERIOD_OVERRIDE=FQ","FILING_STATUS=MR","FA_ADJUSTED=GAAP","Sort=A","Dates=H","DateFormat=P","Fill=—","Direction=H","UseDPDF=Y")</f>
        <v>26.7667</v>
      </c>
      <c r="M19" s="21">
        <f>_xll.BDH("AAPL US Equity","OPER_MARGIN","FQ1 2014","FQ1 2014","Currency=USD","Period=FQ","BEST_FPERIOD_OVERRIDE=FQ","FILING_STATUS=MR","FA_ADJUSTED=GAAP","Sort=A","Dates=H","DateFormat=P","Fill=—","Direction=H","UseDPDF=Y")</f>
        <v>30.320900000000002</v>
      </c>
      <c r="N19" s="21">
        <f>_xll.BDH("AAPL US Equity","OPER_MARGIN","FQ2 2014","FQ2 2014","Currency=USD","Period=FQ","BEST_FPERIOD_OVERRIDE=FQ","FILING_STATUS=MR","FA_ADJUSTED=GAAP","Sort=A","Dates=H","DateFormat=P","Fill=—","Direction=H","UseDPDF=Y")</f>
        <v>29.779199999999999</v>
      </c>
      <c r="O19" s="21">
        <f>_xll.BDH("AAPL US Equity","OPER_MARGIN","FQ3 2014","FQ3 2014","Currency=USD","Period=FQ","BEST_FPERIOD_OVERRIDE=FQ","FILING_STATUS=MR","FA_ADJUSTED=GAAP","Sort=A","Dates=H","DateFormat=P","Fill=—","Direction=H","UseDPDF=Y")</f>
        <v>27.468499999999999</v>
      </c>
      <c r="P19" s="21">
        <f>_xll.BDH("AAPL US Equity","OPER_MARGIN","FQ4 2014","FQ4 2014","Currency=USD","Period=FQ","BEST_FPERIOD_OVERRIDE=FQ","FILING_STATUS=MR","FA_ADJUSTED=GAAP","Sort=A","Dates=H","DateFormat=P","Fill=—","Direction=H","UseDPDF=Y")</f>
        <v>26.505700000000001</v>
      </c>
      <c r="Q19" s="21">
        <f>_xll.BDH("AAPL US Equity","OPER_MARGIN","FQ1 2015","FQ1 2015","Currency=USD","Period=FQ","BEST_FPERIOD_OVERRIDE=FQ","FILING_STATUS=MR","FA_ADJUSTED=GAAP","Sort=A","Dates=H","DateFormat=P","Fill=—","Direction=H","UseDPDF=Y")</f>
        <v>32.501800000000003</v>
      </c>
      <c r="R19" s="21">
        <f>_xll.BDH("AAPL US Equity","OPER_MARGIN","FQ2 2015","FQ2 2015","Currency=USD","Period=FQ","BEST_FPERIOD_OVERRIDE=FQ","FILING_STATUS=MR","FA_ADJUSTED=GAAP","Sort=A","Dates=H","DateFormat=P","Fill=—","Direction=H","UseDPDF=Y")</f>
        <v>31.508400000000002</v>
      </c>
      <c r="S19" s="21">
        <f>_xll.BDH("AAPL US Equity","OPER_MARGIN","FQ3 2015","FQ3 2015","Currency=USD","Period=FQ","BEST_FPERIOD_OVERRIDE=FQ","FILING_STATUS=MR","FA_ADJUSTED=GAAP","Sort=A","Dates=H","DateFormat=P","Fill=—","Direction=H","UseDPDF=Y")</f>
        <v>28.3903</v>
      </c>
      <c r="T19" s="21">
        <f>_xll.BDH("AAPL US Equity","OPER_MARGIN","FQ4 2015","FQ4 2015","Currency=USD","Period=FQ","BEST_FPERIOD_OVERRIDE=FQ","FILING_STATUS=MR","FA_ADJUSTED=GAAP","Sort=A","Dates=H","DateFormat=P","Fill=—","Direction=H","UseDPDF=Y")</f>
        <v>28.393599999999999</v>
      </c>
      <c r="U19" s="21">
        <f>_xll.BDH("AAPL US Equity","OPER_MARGIN","FQ1 2016","FQ1 2016","Currency=USD","Period=FQ","BEST_FPERIOD_OVERRIDE=FQ","FILING_STATUS=MR","FA_ADJUSTED=GAAP","Sort=A","Dates=H","DateFormat=P","Fill=—","Direction=H","UseDPDF=Y")</f>
        <v>31.857600000000001</v>
      </c>
      <c r="V19" s="21">
        <f>_xll.BDH("AAPL US Equity","OPER_MARGIN","FQ2 2016","FQ2 2016","Currency=USD","Period=FQ","BEST_FPERIOD_OVERRIDE=FQ","FILING_STATUS=MR","FA_ADJUSTED=GAAP","Sort=A","Dates=H","DateFormat=P","Fill=—","Direction=H","UseDPDF=Y")</f>
        <v>27.665800000000001</v>
      </c>
      <c r="W19" s="21">
        <f>_xll.BDH("AAPL US Equity","OPER_MARGIN","FQ3 2016","FQ3 2016","Currency=USD","Period=FQ","BEST_FPERIOD_OVERRIDE=FQ","FILING_STATUS=MR","FA_ADJUSTED=GAAP","Sort=A","Dates=H","DateFormat=P","Fill=—","Direction=H","UseDPDF=Y")</f>
        <v>23.856200000000001</v>
      </c>
      <c r="X19" s="21">
        <f>_xll.BDH("AAPL US Equity","OPER_MARGIN","FQ4 2016","FQ4 2016","Currency=USD","Period=FQ","BEST_FPERIOD_OVERRIDE=FQ","FILING_STATUS=MR","FA_ADJUSTED=GAAP","Sort=A","Dates=H","DateFormat=P","Fill=—","Direction=H","UseDPDF=Y")</f>
        <v>25.102499999999999</v>
      </c>
      <c r="Y19" s="21">
        <f>_xll.BDH("AAPL US Equity","OPER_MARGIN","FQ1 2017","FQ1 2017","Currency=USD","Period=FQ","BEST_FPERIOD_OVERRIDE=FQ","FILING_STATUS=MR","FA_ADJUSTED=GAAP","Sort=A","Dates=H","DateFormat=P","Fill=—","Direction=H","UseDPDF=Y")</f>
        <v>29.813300000000002</v>
      </c>
      <c r="Z19" s="21">
        <f>_xll.BDH("AAPL US Equity","OPER_MARGIN","FQ2 2017","FQ2 2017","Currency=USD","Period=FQ","BEST_FPERIOD_OVERRIDE=FQ","FILING_STATUS=MR","FA_ADJUSTED=GAAP","Sort=A","Dates=H","DateFormat=P","Fill=—","Direction=H","UseDPDF=Y")</f>
        <v>26.650400000000001</v>
      </c>
      <c r="AA19" s="21">
        <f>_xll.BDH("AAPL US Equity","OPER_MARGIN","FQ3 2017","FQ3 2017","Currency=USD","Period=FQ","BEST_FPERIOD_OVERRIDE=FQ","FILING_STATUS=MR","FA_ADJUSTED=GAAP","Sort=A","Dates=H","DateFormat=P","Fill=—","Direction=H","UseDPDF=Y")</f>
        <v>23.713899999999999</v>
      </c>
      <c r="AB19" s="21">
        <f>_xll.BDH("AAPL US Equity","OPER_MARGIN","FQ4 2017","FQ4 2017","Currency=USD","Period=FQ","BEST_FPERIOD_OVERRIDE=FQ","FILING_STATUS=MR","FA_ADJUSTED=GAAP","Sort=A","Dates=H","DateFormat=P","Fill=—","Direction=H","UseDPDF=Y")</f>
        <v>24.9529</v>
      </c>
      <c r="AC19" s="21">
        <f>_xll.BDH("AAPL US Equity","OPER_MARGIN","FQ1 2018","FQ1 2018","Currency=USD","Period=FQ","BEST_FPERIOD_OVERRIDE=FQ","FILING_STATUS=MR","FA_ADJUSTED=GAAP","Sort=A","Dates=H","DateFormat=P","Fill=—","Direction=H","UseDPDF=Y")</f>
        <v>29.7577</v>
      </c>
      <c r="AD19" s="21">
        <f>_xll.BDH("AAPL US Equity","OPER_MARGIN","FQ2 2018","FQ2 2018","Currency=USD","Period=FQ","BEST_FPERIOD_OVERRIDE=FQ","FILING_STATUS=MR","FA_ADJUSTED=GAAP","Sort=A","Dates=H","DateFormat=P","Fill=—","Direction=H","UseDPDF=Y")</f>
        <v>25.997399999999999</v>
      </c>
      <c r="AE19" s="21">
        <f>_xll.BDH("AAPL US Equity","OPER_MARGIN","FQ3 2018","FQ3 2018","Currency=USD","Period=FQ","BEST_FPERIOD_OVERRIDE=FQ","FILING_STATUS=MR","FA_ADJUSTED=GAAP","Sort=A","Dates=H","DateFormat=P","Fill=—","Direction=H","UseDPDF=Y")</f>
        <v>23.677800000000001</v>
      </c>
      <c r="AF19" s="21">
        <f>_xll.BDH("AAPL US Equity","OPER_MARGIN","FQ4 2018","FQ4 2018","Currency=USD","Period=FQ","BEST_FPERIOD_OVERRIDE=FQ","FILING_STATUS=MR","FA_ADJUSTED=GAAP","Sort=A","Dates=H","DateFormat=P","Fill=—","Direction=H","UseDPDF=Y")</f>
        <v>25.6248</v>
      </c>
      <c r="AG19" s="21">
        <f>_xll.BDH("AAPL US Equity","OPER_MARGIN","FQ1 2019","FQ1 2019","Currency=USD","Period=FQ","BEST_FPERIOD_OVERRIDE=FQ","FILING_STATUS=MR","FA_ADJUSTED=GAAP","Sort=A","Dates=H","DateFormat=P","Fill=—","Direction=H","UseDPDF=Y")</f>
        <v>27.6907</v>
      </c>
      <c r="AH19" s="21">
        <f>_xll.BDH("AAPL US Equity","OPER_MARGIN","FQ2 2019","FQ2 2019","Currency=USD","Period=FQ","BEST_FPERIOD_OVERRIDE=FQ","FILING_STATUS=MR","FA_ADJUSTED=GAAP","Sort=A","Dates=H","DateFormat=P","Fill=—","Direction=H","UseDPDF=Y")</f>
        <v>23.1233</v>
      </c>
      <c r="AI19" s="21">
        <f>_xll.BDH("AAPL US Equity","OPER_MARGIN","FQ3 2019","FQ3 2019","Currency=USD","Period=FQ","BEST_FPERIOD_OVERRIDE=FQ","FILING_STATUS=MR","FA_ADJUSTED=GAAP","Sort=A","Dates=H","DateFormat=P","Fill=—","Direction=H","UseDPDF=Y")</f>
        <v>21.453700000000001</v>
      </c>
      <c r="AJ19" s="21">
        <f>_xll.BDH("AAPL US Equity","OPER_MARGIN","FQ4 2019","FQ4 2019","Currency=USD","Period=FQ","BEST_FPERIOD_OVERRIDE=FQ","FILING_STATUS=MR","FA_ADJUSTED=GAAP","Sort=A","Dates=H","DateFormat=P","Fill=—","Direction=H","UseDPDF=Y")</f>
        <v>24.398800000000001</v>
      </c>
      <c r="AK19" s="21">
        <f>_xll.BDH("AAPL US Equity","OPER_MARGIN","FQ1 2020","FQ1 2020","Currency=USD","Period=FQ","BEST_FPERIOD_OVERRIDE=FQ","FILING_STATUS=MR","FA_ADJUSTED=GAAP","Sort=A","Dates=H","DateFormat=P","Fill=—","Direction=H","UseDPDF=Y")</f>
        <v>27.847200000000001</v>
      </c>
      <c r="AL19" s="21">
        <f>_xll.BDH("AAPL US Equity","OPER_MARGIN","FQ2 2020","FQ2 2020","Currency=USD","Period=FQ","BEST_FPERIOD_OVERRIDE=FQ","FILING_STATUS=MR","FA_ADJUSTED=GAAP","Sort=A","Dates=H","DateFormat=P","Fill=—","Direction=H","UseDPDF=Y")</f>
        <v>22.041399999999999</v>
      </c>
      <c r="AM19" s="21">
        <f>_xll.BDH("AAPL US Equity","OPER_MARGIN","FQ3 2020","FQ3 2020","Currency=USD","Period=FQ","BEST_FPERIOD_OVERRIDE=FQ","FILING_STATUS=MR","FA_ADJUSTED=GAAP","Sort=A","Dates=H","DateFormat=P","Fill=—","Direction=H","UseDPDF=Y")</f>
        <v>21.933499999999999</v>
      </c>
      <c r="AN19" s="21">
        <f>_xll.BDH("AAPL US Equity","OPER_MARGIN","FQ4 2020","FQ4 2020","Currency=USD","Period=FQ","BEST_FPERIOD_OVERRIDE=FQ","FILING_STATUS=MR","FA_ADJUSTED=GAAP","Sort=A","Dates=H","DateFormat=P","Fill=—","Direction=H","UseDPDF=Y")</f>
        <v>22.8369</v>
      </c>
      <c r="AO19" s="21">
        <f>_xll.BDH("AAPL US Equity","OPER_MARGIN","FQ1 2021","FQ1 2021","Currency=USD","Period=FQ","BEST_FPERIOD_OVERRIDE=FQ","FILING_STATUS=MR","FA_ADJUSTED=GAAP","Sort=A","Dates=H","DateFormat=P","Fill=—","Direction=H","UseDPDF=Y")</f>
        <v>30.091799999999999</v>
      </c>
      <c r="AP19" s="21">
        <f>_xll.BDH("AAPL US Equity","OPER_MARGIN","FQ2 2021","FQ2 2021","Currency=USD","Period=FQ","BEST_FPERIOD_OVERRIDE=FQ","FILING_STATUS=MR","FA_ADJUSTED=GAAP","Sort=A","Dates=H","DateFormat=P","Fill=—","Direction=H","UseDPDF=Y")</f>
        <v>30.700800000000001</v>
      </c>
    </row>
    <row r="20" spans="1:42" x14ac:dyDescent="0.25">
      <c r="A20" s="18" t="s">
        <v>105</v>
      </c>
      <c r="B20" s="18" t="s">
        <v>106</v>
      </c>
      <c r="C20" s="21">
        <f>_xll.BDH("AAPL US Equity","INCREMENTAL_OPERATING_MARGIN","FQ3 2011","FQ3 2011","Currency=USD","Period=FQ","BEST_FPERIOD_OVERRIDE=FQ","FILING_STATUS=MR","FA_ADJUSTED=GAAP","Sort=A","Dates=H","DateFormat=P","Fill=—","Direction=H","UseDPDF=Y")</f>
        <v>39.973599999999998</v>
      </c>
      <c r="D20" s="21">
        <f>_xll.BDH("AAPL US Equity","INCREMENTAL_OPERATING_MARGIN","FQ4 2011","FQ4 2011","Currency=USD","Period=FQ","BEST_FPERIOD_OVERRIDE=FQ","FILING_STATUS=MR","FA_ADJUSTED=GAAP","Sort=A","Dates=H","DateFormat=P","Fill=—","Direction=H","UseDPDF=Y")</f>
        <v>41.1631</v>
      </c>
      <c r="E20" s="21">
        <f>_xll.BDH("AAPL US Equity","INCREMENTAL_OPERATING_MARGIN","FQ1 2012","FQ1 2012","Currency=USD","Period=FQ","BEST_FPERIOD_OVERRIDE=FQ","FILING_STATUS=MR","FA_ADJUSTED=GAAP","Sort=A","Dates=H","DateFormat=P","Fill=—","Direction=H","UseDPDF=Y")</f>
        <v>48.555500000000002</v>
      </c>
      <c r="F20" s="21">
        <f>_xll.BDH("AAPL US Equity","INCREMENTAL_OPERATING_MARGIN","FQ2 2012","FQ2 2012","Currency=USD","Period=FQ","BEST_FPERIOD_OVERRIDE=FQ","FILING_STATUS=MR","FA_ADJUSTED=GAAP","Sort=A","Dates=H","DateFormat=P","Fill=—","Direction=H","UseDPDF=Y")</f>
        <v>51.725299999999997</v>
      </c>
      <c r="G20" s="21">
        <f>_xll.BDH("AAPL US Equity","INCREMENTAL_OPERATING_MARGIN","FQ3 2012","FQ3 2012","Currency=USD","Period=FQ","BEST_FPERIOD_OVERRIDE=FQ","FILING_STATUS=MR","FA_ADJUSTED=GAAP","Sort=A","Dates=H","DateFormat=P","Fill=—","Direction=H","UseDPDF=Y")</f>
        <v>34.005000000000003</v>
      </c>
      <c r="H20" s="21">
        <f>_xll.BDH("AAPL US Equity","INCREMENTAL_OPERATING_MARGIN","FQ4 2012","FQ4 2012","Currency=USD","Period=FQ","BEST_FPERIOD_OVERRIDE=FQ","FILING_STATUS=MR","FA_ADJUSTED=GAAP","Sort=A","Dates=H","DateFormat=P","Fill=—","Direction=H","UseDPDF=Y")</f>
        <v>29.028099999999998</v>
      </c>
      <c r="I20" s="21" t="str">
        <f>_xll.BDH("AAPL US Equity","INCREMENTAL_OPERATING_MARGIN","FQ1 2013","FQ1 2013","Currency=USD","Period=FQ","BEST_FPERIOD_OVERRIDE=FQ","FILING_STATUS=MR","FA_ADJUSTED=GAAP","Sort=A","Dates=H","DateFormat=P","Fill=—","Direction=H","UseDPDF=Y")</f>
        <v>—</v>
      </c>
      <c r="J20" s="21" t="str">
        <f>_xll.BDH("AAPL US Equity","INCREMENTAL_OPERATING_MARGIN","FQ2 2013","FQ2 2013","Currency=USD","Period=FQ","BEST_FPERIOD_OVERRIDE=FQ","FILING_STATUS=MR","FA_ADJUSTED=GAAP","Sort=A","Dates=H","DateFormat=P","Fill=—","Direction=H","UseDPDF=Y")</f>
        <v>—</v>
      </c>
      <c r="K20" s="21" t="str">
        <f>_xll.BDH("AAPL US Equity","INCREMENTAL_OPERATING_MARGIN","FQ3 2013","FQ3 2013","Currency=USD","Period=FQ","BEST_FPERIOD_OVERRIDE=FQ","FILING_STATUS=MR","FA_ADJUSTED=GAAP","Sort=A","Dates=H","DateFormat=P","Fill=—","Direction=H","UseDPDF=Y")</f>
        <v>—</v>
      </c>
      <c r="L20" s="21" t="str">
        <f>_xll.BDH("AAPL US Equity","INCREMENTAL_OPERATING_MARGIN","FQ4 2013","FQ4 2013","Currency=USD","Period=FQ","BEST_FPERIOD_OVERRIDE=FQ","FILING_STATUS=MR","FA_ADJUSTED=GAAP","Sort=A","Dates=H","DateFormat=P","Fill=—","Direction=H","UseDPDF=Y")</f>
        <v>—</v>
      </c>
      <c r="M20" s="21">
        <f>_xll.BDH("AAPL US Equity","INCREMENTAL_OPERATING_MARGIN","FQ1 2014","FQ1 2014","Currency=USD","Period=FQ","BEST_FPERIOD_OVERRIDE=FQ","FILING_STATUS=MR","FA_ADJUSTED=GAAP","Sort=A","Dates=H","DateFormat=P","Fill=—","Direction=H","UseDPDF=Y")</f>
        <v>8.2089999999999996</v>
      </c>
      <c r="N20" s="21">
        <f>_xll.BDH("AAPL US Equity","INCREMENTAL_OPERATING_MARGIN","FQ2 2014","FQ2 2014","Currency=USD","Period=FQ","BEST_FPERIOD_OVERRIDE=FQ","FILING_STATUS=MR","FA_ADJUSTED=GAAP","Sort=A","Dates=H","DateFormat=P","Fill=—","Direction=H","UseDPDF=Y")</f>
        <v>50.660800000000002</v>
      </c>
      <c r="O20" s="21">
        <f>_xll.BDH("AAPL US Equity","INCREMENTAL_OPERATING_MARGIN","FQ3 2014","FQ3 2014","Currency=USD","Period=FQ","BEST_FPERIOD_OVERRIDE=FQ","FILING_STATUS=MR","FA_ADJUSTED=GAAP","Sort=A","Dates=H","DateFormat=P","Fill=—","Direction=H","UseDPDF=Y")</f>
        <v>51.256500000000003</v>
      </c>
      <c r="P20" s="21">
        <f>_xll.BDH("AAPL US Equity","INCREMENTAL_OPERATING_MARGIN","FQ4 2014","FQ4 2014","Currency=USD","Period=FQ","BEST_FPERIOD_OVERRIDE=FQ","FILING_STATUS=MR","FA_ADJUSTED=GAAP","Sort=A","Dates=H","DateFormat=P","Fill=—","Direction=H","UseDPDF=Y")</f>
        <v>24.403400000000001</v>
      </c>
      <c r="Q20" s="21">
        <f>_xll.BDH("AAPL US Equity","INCREMENTAL_OPERATING_MARGIN","FQ1 2015","FQ1 2015","Currency=USD","Period=FQ","BEST_FPERIOD_OVERRIDE=FQ","FILING_STATUS=MR","FA_ADJUSTED=GAAP","Sort=A","Dates=H","DateFormat=P","Fill=—","Direction=H","UseDPDF=Y")</f>
        <v>39.888300000000001</v>
      </c>
      <c r="R20" s="21">
        <f>_xll.BDH("AAPL US Equity","INCREMENTAL_OPERATING_MARGIN","FQ2 2015","FQ2 2015","Currency=USD","Period=FQ","BEST_FPERIOD_OVERRIDE=FQ","FILING_STATUS=MR","FA_ADJUSTED=GAAP","Sort=A","Dates=H","DateFormat=P","Fill=—","Direction=H","UseDPDF=Y")</f>
        <v>37.892299999999999</v>
      </c>
      <c r="S20" s="21">
        <f>_xll.BDH("AAPL US Equity","INCREMENTAL_OPERATING_MARGIN","FQ3 2015","FQ3 2015","Currency=USD","Period=FQ","BEST_FPERIOD_OVERRIDE=FQ","FILING_STATUS=MR","FA_ADJUSTED=GAAP","Sort=A","Dates=H","DateFormat=P","Fill=—","Direction=H","UseDPDF=Y")</f>
        <v>31.224799999999998</v>
      </c>
      <c r="T20" s="21">
        <f>_xll.BDH("AAPL US Equity","INCREMENTAL_OPERATING_MARGIN","FQ4 2015","FQ4 2015","Currency=USD","Period=FQ","BEST_FPERIOD_OVERRIDE=FQ","FILING_STATUS=MR","FA_ADJUSTED=GAAP","Sort=A","Dates=H","DateFormat=P","Fill=—","Direction=H","UseDPDF=Y")</f>
        <v>36.8735</v>
      </c>
      <c r="U20" s="21" t="str">
        <f>_xll.BDH("AAPL US Equity","INCREMENTAL_OPERATING_MARGIN","FQ1 2016","FQ1 2016","Currency=USD","Period=FQ","BEST_FPERIOD_OVERRIDE=FQ","FILING_STATUS=MR","FA_ADJUSTED=GAAP","Sort=A","Dates=H","DateFormat=P","Fill=—","Direction=H","UseDPDF=Y")</f>
        <v>—</v>
      </c>
      <c r="V20" s="21">
        <f>_xll.BDH("AAPL US Equity","INCREMENTAL_OPERATING_MARGIN","FQ2 2016","FQ2 2016","Currency=USD","Period=FQ","BEST_FPERIOD_OVERRIDE=FQ","FILING_STATUS=MR","FA_ADJUSTED=GAAP","Sort=A","Dates=H","DateFormat=P","Fill=—","Direction=H","UseDPDF=Y")</f>
        <v>-57.574100000000001</v>
      </c>
      <c r="W20" s="21">
        <f>_xll.BDH("AAPL US Equity","INCREMENTAL_OPERATING_MARGIN","FQ3 2016","FQ3 2016","Currency=USD","Period=FQ","BEST_FPERIOD_OVERRIDE=FQ","FILING_STATUS=MR","FA_ADJUSTED=GAAP","Sort=A","Dates=H","DateFormat=P","Fill=—","Direction=H","UseDPDF=Y")</f>
        <v>-54.8917</v>
      </c>
      <c r="X20" s="21">
        <f>_xll.BDH("AAPL US Equity","INCREMENTAL_OPERATING_MARGIN","FQ4 2016","FQ4 2016","Currency=USD","Period=FQ","BEST_FPERIOD_OVERRIDE=FQ","FILING_STATUS=MR","FA_ADJUSTED=GAAP","Sort=A","Dates=H","DateFormat=P","Fill=—","Direction=H","UseDPDF=Y")</f>
        <v>-61.561599999999999</v>
      </c>
      <c r="Y20" s="21" t="str">
        <f>_xll.BDH("AAPL US Equity","INCREMENTAL_OPERATING_MARGIN","FQ1 2017","FQ1 2017","Currency=USD","Period=FQ","BEST_FPERIOD_OVERRIDE=FQ","FILING_STATUS=MR","FA_ADJUSTED=GAAP","Sort=A","Dates=H","DateFormat=P","Fill=—","Direction=H","UseDPDF=Y")</f>
        <v>—</v>
      </c>
      <c r="Z20" s="21">
        <f>_xll.BDH("AAPL US Equity","INCREMENTAL_OPERATING_MARGIN","FQ2 2017","FQ2 2017","Currency=USD","Period=FQ","BEST_FPERIOD_OVERRIDE=FQ","FILING_STATUS=MR","FA_ADJUSTED=GAAP","Sort=A","Dates=H","DateFormat=P","Fill=—","Direction=H","UseDPDF=Y")</f>
        <v>4.7028999999999996</v>
      </c>
      <c r="AA20" s="21">
        <f>_xll.BDH("AAPL US Equity","INCREMENTAL_OPERATING_MARGIN","FQ3 2017","FQ3 2017","Currency=USD","Period=FQ","BEST_FPERIOD_OVERRIDE=FQ","FILING_STATUS=MR","FA_ADJUSTED=GAAP","Sort=A","Dates=H","DateFormat=P","Fill=—","Direction=H","UseDPDF=Y")</f>
        <v>21.7377</v>
      </c>
      <c r="AB20" s="21">
        <f>_xll.BDH("AAPL US Equity","INCREMENTAL_OPERATING_MARGIN","FQ4 2017","FQ4 2017","Currency=USD","Period=FQ","BEST_FPERIOD_OVERRIDE=FQ","FILING_STATUS=MR","FA_ADJUSTED=GAAP","Sort=A","Dates=H","DateFormat=P","Fill=—","Direction=H","UseDPDF=Y")</f>
        <v>23.729700000000001</v>
      </c>
      <c r="AC20" s="21">
        <f>_xll.BDH("AAPL US Equity","INCREMENTAL_OPERATING_MARGIN","FQ1 2018","FQ1 2018","Currency=USD","Period=FQ","BEST_FPERIOD_OVERRIDE=FQ","FILING_STATUS=MR","FA_ADJUSTED=GAAP","Sort=A","Dates=H","DateFormat=P","Fill=—","Direction=H","UseDPDF=Y")</f>
        <v>29.3201</v>
      </c>
      <c r="AD20" s="21">
        <f>_xll.BDH("AAPL US Equity","INCREMENTAL_OPERATING_MARGIN","FQ2 2018","FQ2 2018","Currency=USD","Period=FQ","BEST_FPERIOD_OVERRIDE=FQ","FILING_STATUS=MR","FA_ADJUSTED=GAAP","Sort=A","Dates=H","DateFormat=P","Fill=—","Direction=H","UseDPDF=Y")</f>
        <v>21.805599999999998</v>
      </c>
      <c r="AE20" s="21">
        <f>_xll.BDH("AAPL US Equity","INCREMENTAL_OPERATING_MARGIN","FQ3 2018","FQ3 2018","Currency=USD","Period=FQ","BEST_FPERIOD_OVERRIDE=FQ","FILING_STATUS=MR","FA_ADJUSTED=GAAP","Sort=A","Dates=H","DateFormat=P","Fill=—","Direction=H","UseDPDF=Y")</f>
        <v>23.4695</v>
      </c>
      <c r="AF20" s="21">
        <f>_xll.BDH("AAPL US Equity","INCREMENTAL_OPERATING_MARGIN","FQ4 2018","FQ4 2018","Currency=USD","Period=FQ","BEST_FPERIOD_OVERRIDE=FQ","FILING_STATUS=MR","FA_ADJUSTED=GAAP","Sort=A","Dates=H","DateFormat=P","Fill=—","Direction=H","UseDPDF=Y")</f>
        <v>29.047599999999999</v>
      </c>
      <c r="AG20" s="21">
        <f>_xll.BDH("AAPL US Equity","INCREMENTAL_OPERATING_MARGIN","FQ1 2019","FQ1 2019","Currency=USD","Period=FQ","BEST_FPERIOD_OVERRIDE=FQ","FILING_STATUS=MR","FA_ADJUSTED=GAAP","Sort=A","Dates=H","DateFormat=P","Fill=—","Direction=H","UseDPDF=Y")</f>
        <v>-73.5124</v>
      </c>
      <c r="AH20" s="21">
        <f>_xll.BDH("AAPL US Equity","INCREMENTAL_OPERATING_MARGIN","FQ2 2019","FQ2 2019","Currency=USD","Period=FQ","BEST_FPERIOD_OVERRIDE=FQ","FILING_STATUS=MR","FA_ADJUSTED=GAAP","Sort=A","Dates=H","DateFormat=P","Fill=—","Direction=H","UseDPDF=Y")</f>
        <v>-79.404200000000003</v>
      </c>
      <c r="AI20" s="21" t="str">
        <f>_xll.BDH("AAPL US Equity","INCREMENTAL_OPERATING_MARGIN","FQ3 2019","FQ3 2019","Currency=USD","Period=FQ","BEST_FPERIOD_OVERRIDE=FQ","FILING_STATUS=MR","FA_ADJUSTED=GAAP","Sort=A","Dates=H","DateFormat=P","Fill=—","Direction=H","UseDPDF=Y")</f>
        <v>—</v>
      </c>
      <c r="AJ20" s="21" t="str">
        <f>_xll.BDH("AAPL US Equity","INCREMENTAL_OPERATING_MARGIN","FQ4 2019","FQ4 2019","Currency=USD","Period=FQ","BEST_FPERIOD_OVERRIDE=FQ","FILING_STATUS=MR","FA_ADJUSTED=GAAP","Sort=A","Dates=H","DateFormat=P","Fill=—","Direction=H","UseDPDF=Y")</f>
        <v>—</v>
      </c>
      <c r="AK20" s="21">
        <f>_xll.BDH("AAPL US Equity","INCREMENTAL_OPERATING_MARGIN","FQ1 2020","FQ1 2020","Currency=USD","Period=FQ","BEST_FPERIOD_OVERRIDE=FQ","FILING_STATUS=MR","FA_ADJUSTED=GAAP","Sort=A","Dates=H","DateFormat=P","Fill=—","Direction=H","UseDPDF=Y")</f>
        <v>29.604500000000002</v>
      </c>
      <c r="AL20" s="21" t="str">
        <f>_xll.BDH("AAPL US Equity","INCREMENTAL_OPERATING_MARGIN","FQ2 2020","FQ2 2020","Currency=USD","Period=FQ","BEST_FPERIOD_OVERRIDE=FQ","FILING_STATUS=MR","FA_ADJUSTED=GAAP","Sort=A","Dates=H","DateFormat=P","Fill=—","Direction=H","UseDPDF=Y")</f>
        <v>—</v>
      </c>
      <c r="AM20" s="21">
        <f>_xll.BDH("AAPL US Equity","INCREMENTAL_OPERATING_MARGIN","FQ3 2020","FQ3 2020","Currency=USD","Period=FQ","BEST_FPERIOD_OVERRIDE=FQ","FILING_STATUS=MR","FA_ADJUSTED=GAAP","Sort=A","Dates=H","DateFormat=P","Fill=—","Direction=H","UseDPDF=Y")</f>
        <v>26.327400000000001</v>
      </c>
      <c r="AN20" s="21" t="str">
        <f>_xll.BDH("AAPL US Equity","INCREMENTAL_OPERATING_MARGIN","FQ4 2020","FQ4 2020","Currency=USD","Period=FQ","BEST_FPERIOD_OVERRIDE=FQ","FILING_STATUS=MR","FA_ADJUSTED=GAAP","Sort=A","Dates=H","DateFormat=P","Fill=—","Direction=H","UseDPDF=Y")</f>
        <v>—</v>
      </c>
      <c r="AO20" s="21">
        <f>_xll.BDH("AAPL US Equity","INCREMENTAL_OPERATING_MARGIN","FQ1 2021","FQ1 2021","Currency=USD","Period=FQ","BEST_FPERIOD_OVERRIDE=FQ","FILING_STATUS=MR","FA_ADJUSTED=GAAP","Sort=A","Dates=H","DateFormat=P","Fill=—","Direction=H","UseDPDF=Y")</f>
        <v>40.596299999999999</v>
      </c>
      <c r="AP20" s="21">
        <f>_xll.BDH("AAPL US Equity","INCREMENTAL_OPERATING_MARGIN","FQ2 2021","FQ2 2021","Currency=USD","Period=FQ","BEST_FPERIOD_OVERRIDE=FQ","FILING_STATUS=MR","FA_ADJUSTED=GAAP","Sort=A","Dates=H","DateFormat=P","Fill=—","Direction=H","UseDPDF=Y")</f>
        <v>46.848500000000001</v>
      </c>
    </row>
    <row r="21" spans="1:42" x14ac:dyDescent="0.25">
      <c r="A21" s="18" t="s">
        <v>107</v>
      </c>
      <c r="B21" s="18" t="s">
        <v>108</v>
      </c>
      <c r="C21" s="21">
        <f>_xll.BDH("AAPL US Equity","PRETAX_INC_TO_NET_SALES","FQ3 2011","FQ3 2011","Currency=USD","Period=FQ","BEST_FPERIOD_OVERRIDE=FQ","FILING_STATUS=MR","FA_ADJUSTED=GAAP","Sort=A","Dates=H","DateFormat=P","Fill=—","Direction=H","UseDPDF=Y")</f>
        <v>33.429000000000002</v>
      </c>
      <c r="D21" s="21">
        <f>_xll.BDH("AAPL US Equity","PRETAX_INC_TO_NET_SALES","FQ4 2011","FQ4 2011","Currency=USD","Period=FQ","BEST_FPERIOD_OVERRIDE=FQ","FILING_STATUS=MR","FA_ADJUSTED=GAAP","Sort=A","Dates=H","DateFormat=P","Fill=—","Direction=H","UseDPDF=Y")</f>
        <v>31.096599999999999</v>
      </c>
      <c r="E21" s="21">
        <f>_xll.BDH("AAPL US Equity","PRETAX_INC_TO_NET_SALES","FQ1 2012","FQ1 2012","Currency=USD","Period=FQ","BEST_FPERIOD_OVERRIDE=FQ","FILING_STATUS=MR","FA_ADJUSTED=GAAP","Sort=A","Dates=H","DateFormat=P","Fill=—","Direction=H","UseDPDF=Y")</f>
        <v>37.720399999999998</v>
      </c>
      <c r="F21" s="21">
        <f>_xll.BDH("AAPL US Equity","PRETAX_INC_TO_NET_SALES","FQ2 2012","FQ2 2012","Currency=USD","Period=FQ","BEST_FPERIOD_OVERRIDE=FQ","FILING_STATUS=MR","FA_ADJUSTED=GAAP","Sort=A","Dates=H","DateFormat=P","Fill=—","Direction=H","UseDPDF=Y")</f>
        <v>39.636600000000001</v>
      </c>
      <c r="G21" s="21">
        <f>_xll.BDH("AAPL US Equity","PRETAX_INC_TO_NET_SALES","FQ3 2012","FQ3 2012","Currency=USD","Period=FQ","BEST_FPERIOD_OVERRIDE=FQ","FILING_STATUS=MR","FA_ADJUSTED=GAAP","Sort=A","Dates=H","DateFormat=P","Fill=—","Direction=H","UseDPDF=Y")</f>
        <v>33.866300000000003</v>
      </c>
      <c r="H21" s="21">
        <f>_xll.BDH("AAPL US Equity","PRETAX_INC_TO_NET_SALES","FQ4 2012","FQ4 2012","Currency=USD","Period=FQ","BEST_FPERIOD_OVERRIDE=FQ","FILING_STATUS=MR","FA_ADJUSTED=GAAP","Sort=A","Dates=H","DateFormat=P","Fill=—","Direction=H","UseDPDF=Y")</f>
        <v>30.286899999999999</v>
      </c>
      <c r="I21" s="21">
        <f>_xll.BDH("AAPL US Equity","PRETAX_INC_TO_NET_SALES","FQ1 2013","FQ1 2013","Currency=USD","Period=FQ","BEST_FPERIOD_OVERRIDE=FQ","FILING_STATUS=MR","FA_ADJUSTED=GAAP","Sort=A","Dates=H","DateFormat=P","Fill=—","Direction=H","UseDPDF=Y")</f>
        <v>32.418599999999998</v>
      </c>
      <c r="J21" s="21">
        <f>_xll.BDH("AAPL US Equity","PRETAX_INC_TO_NET_SALES","FQ2 2013","FQ2 2013","Currency=USD","Period=FQ","BEST_FPERIOD_OVERRIDE=FQ","FILING_STATUS=MR","FA_ADJUSTED=GAAP","Sort=A","Dates=H","DateFormat=P","Fill=—","Direction=H","UseDPDF=Y")</f>
        <v>29.596599999999999</v>
      </c>
      <c r="K21" s="21">
        <f>_xll.BDH("AAPL US Equity","PRETAX_INC_TO_NET_SALES","FQ3 2013","FQ3 2013","Currency=USD","Period=FQ","BEST_FPERIOD_OVERRIDE=FQ","FILING_STATUS=MR","FA_ADJUSTED=GAAP","Sort=A","Dates=H","DateFormat=P","Fill=—","Direction=H","UseDPDF=Y")</f>
        <v>26.710599999999999</v>
      </c>
      <c r="L21" s="21">
        <f>_xll.BDH("AAPL US Equity","PRETAX_INC_TO_NET_SALES","FQ4 2013","FQ4 2013","Currency=USD","Period=FQ","BEST_FPERIOD_OVERRIDE=FQ","FILING_STATUS=MR","FA_ADJUSTED=GAAP","Sort=A","Dates=H","DateFormat=P","Fill=—","Direction=H","UseDPDF=Y")</f>
        <v>27.068200000000001</v>
      </c>
      <c r="M21" s="21">
        <f>_xll.BDH("AAPL US Equity","PRETAX_INC_TO_NET_SALES","FQ1 2014","FQ1 2014","Currency=USD","Period=FQ","BEST_FPERIOD_OVERRIDE=FQ","FILING_STATUS=MR","FA_ADJUSTED=GAAP","Sort=A","Dates=H","DateFormat=P","Fill=—","Direction=H","UseDPDF=Y")</f>
        <v>30.748000000000001</v>
      </c>
      <c r="N21" s="21">
        <f>_xll.BDH("AAPL US Equity","PRETAX_INC_TO_NET_SALES","FQ2 2014","FQ2 2014","Currency=USD","Period=FQ","BEST_FPERIOD_OVERRIDE=FQ","FILING_STATUS=MR","FA_ADJUSTED=GAAP","Sort=A","Dates=H","DateFormat=P","Fill=—","Direction=H","UseDPDF=Y")</f>
        <v>30.272100000000002</v>
      </c>
      <c r="O21" s="21">
        <f>_xll.BDH("AAPL US Equity","PRETAX_INC_TO_NET_SALES","FQ3 2014","FQ3 2014","Currency=USD","Period=FQ","BEST_FPERIOD_OVERRIDE=FQ","FILING_STATUS=MR","FA_ADJUSTED=GAAP","Sort=A","Dates=H","DateFormat=P","Fill=—","Direction=H","UseDPDF=Y")</f>
        <v>28.008099999999999</v>
      </c>
      <c r="P21" s="21">
        <f>_xll.BDH("AAPL US Equity","PRETAX_INC_TO_NET_SALES","FQ4 2014","FQ4 2014","Currency=USD","Period=FQ","BEST_FPERIOD_OVERRIDE=FQ","FILING_STATUS=MR","FA_ADJUSTED=GAAP","Sort=A","Dates=H","DateFormat=P","Fill=—","Direction=H","UseDPDF=Y")</f>
        <v>27.234500000000001</v>
      </c>
      <c r="Q21" s="21">
        <f>_xll.BDH("AAPL US Equity","PRETAX_INC_TO_NET_SALES","FQ1 2015","FQ1 2015","Currency=USD","Period=FQ","BEST_FPERIOD_OVERRIDE=FQ","FILING_STATUS=MR","FA_ADJUSTED=GAAP","Sort=A","Dates=H","DateFormat=P","Fill=—","Direction=H","UseDPDF=Y")</f>
        <v>32.729700000000001</v>
      </c>
      <c r="R21" s="21">
        <f>_xll.BDH("AAPL US Equity","PRETAX_INC_TO_NET_SALES","FQ2 2015","FQ2 2015","Currency=USD","Period=FQ","BEST_FPERIOD_OVERRIDE=FQ","FILING_STATUS=MR","FA_ADJUSTED=GAAP","Sort=A","Dates=H","DateFormat=P","Fill=—","Direction=H","UseDPDF=Y")</f>
        <v>32.001399999999997</v>
      </c>
      <c r="S21" s="21">
        <f>_xll.BDH("AAPL US Equity","PRETAX_INC_TO_NET_SALES","FQ3 2015","FQ3 2015","Currency=USD","Period=FQ","BEST_FPERIOD_OVERRIDE=FQ","FILING_STATUS=MR","FA_ADJUSTED=GAAP","Sort=A","Dates=H","DateFormat=P","Fill=—","Direction=H","UseDPDF=Y")</f>
        <v>29.176500000000001</v>
      </c>
      <c r="T21" s="21">
        <f>_xll.BDH("AAPL US Equity","PRETAX_INC_TO_NET_SALES","FQ4 2015","FQ4 2015","Currency=USD","Period=FQ","BEST_FPERIOD_OVERRIDE=FQ","FILING_STATUS=MR","FA_ADJUSTED=GAAP","Sort=A","Dates=H","DateFormat=P","Fill=—","Direction=H","UseDPDF=Y")</f>
        <v>29.245999999999999</v>
      </c>
      <c r="U21" s="21">
        <f>_xll.BDH("AAPL US Equity","PRETAX_INC_TO_NET_SALES","FQ1 2016","FQ1 2016","Currency=USD","Period=FQ","BEST_FPERIOD_OVERRIDE=FQ","FILING_STATUS=MR","FA_ADJUSTED=GAAP","Sort=A","Dates=H","DateFormat=P","Fill=—","Direction=H","UseDPDF=Y")</f>
        <v>32.3874</v>
      </c>
      <c r="V21" s="21">
        <f>_xll.BDH("AAPL US Equity","PRETAX_INC_TO_NET_SALES","FQ2 2016","FQ2 2016","Currency=USD","Period=FQ","BEST_FPERIOD_OVERRIDE=FQ","FILING_STATUS=MR","FA_ADJUSTED=GAAP","Sort=A","Dates=H","DateFormat=P","Fill=—","Direction=H","UseDPDF=Y")</f>
        <v>27.9724</v>
      </c>
      <c r="W21" s="21">
        <f>_xll.BDH("AAPL US Equity","PRETAX_INC_TO_NET_SALES","FQ3 2016","FQ3 2016","Currency=USD","Period=FQ","BEST_FPERIOD_OVERRIDE=FQ","FILING_STATUS=MR","FA_ADJUSTED=GAAP","Sort=A","Dates=H","DateFormat=P","Fill=—","Direction=H","UseDPDF=Y")</f>
        <v>24.715499999999999</v>
      </c>
      <c r="X21" s="21">
        <f>_xll.BDH("AAPL US Equity","PRETAX_INC_TO_NET_SALES","FQ4 2016","FQ4 2016","Currency=USD","Period=FQ","BEST_FPERIOD_OVERRIDE=FQ","FILING_STATUS=MR","FA_ADJUSTED=GAAP","Sort=A","Dates=H","DateFormat=P","Fill=—","Direction=H","UseDPDF=Y")</f>
        <v>26.0138</v>
      </c>
      <c r="Y21" s="21">
        <f>_xll.BDH("AAPL US Equity","PRETAX_INC_TO_NET_SALES","FQ1 2017","FQ1 2017","Currency=USD","Period=FQ","BEST_FPERIOD_OVERRIDE=FQ","FILING_STATUS=MR","FA_ADJUSTED=GAAP","Sort=A","Dates=H","DateFormat=P","Fill=—","Direction=H","UseDPDF=Y")</f>
        <v>30.8611</v>
      </c>
      <c r="Z21" s="21">
        <f>_xll.BDH("AAPL US Equity","PRETAX_INC_TO_NET_SALES","FQ2 2017","FQ2 2017","Currency=USD","Period=FQ","BEST_FPERIOD_OVERRIDE=FQ","FILING_STATUS=MR","FA_ADJUSTED=GAAP","Sort=A","Dates=H","DateFormat=P","Fill=—","Direction=H","UseDPDF=Y")</f>
        <v>27.760100000000001</v>
      </c>
      <c r="AA21" s="21">
        <f>_xll.BDH("AAPL US Equity","PRETAX_INC_TO_NET_SALES","FQ3 2017","FQ3 2017","Currency=USD","Period=FQ","BEST_FPERIOD_OVERRIDE=FQ","FILING_STATUS=MR","FA_ADJUSTED=GAAP","Sort=A","Dates=H","DateFormat=P","Fill=—","Direction=H","UseDPDF=Y")</f>
        <v>24.903099999999998</v>
      </c>
      <c r="AB21" s="21">
        <f>_xll.BDH("AAPL US Equity","PRETAX_INC_TO_NET_SALES","FQ4 2017","FQ4 2017","Currency=USD","Period=FQ","BEST_FPERIOD_OVERRIDE=FQ","FILING_STATUS=MR","FA_ADJUSTED=GAAP","Sort=A","Dates=H","DateFormat=P","Fill=—","Direction=H","UseDPDF=Y")</f>
        <v>26.468699999999998</v>
      </c>
      <c r="AC21" s="21">
        <f>_xll.BDH("AAPL US Equity","PRETAX_INC_TO_NET_SALES","FQ1 2018","FQ1 2018","Currency=USD","Period=FQ","BEST_FPERIOD_OVERRIDE=FQ","FILING_STATUS=MR","FA_ADJUSTED=GAAP","Sort=A","Dates=H","DateFormat=P","Fill=—","Direction=H","UseDPDF=Y")</f>
        <v>30.614000000000001</v>
      </c>
      <c r="AD21" s="21">
        <f>_xll.BDH("AAPL US Equity","PRETAX_INC_TO_NET_SALES","FQ2 2018","FQ2 2018","Currency=USD","Period=FQ","BEST_FPERIOD_OVERRIDE=FQ","FILING_STATUS=MR","FA_ADJUSTED=GAAP","Sort=A","Dates=H","DateFormat=P","Fill=—","Direction=H","UseDPDF=Y")</f>
        <v>26.445499999999999</v>
      </c>
      <c r="AE21" s="21">
        <f>_xll.BDH("AAPL US Equity","PRETAX_INC_TO_NET_SALES","FQ3 2018","FQ3 2018","Currency=USD","Period=FQ","BEST_FPERIOD_OVERRIDE=FQ","FILING_STATUS=MR","FA_ADJUSTED=GAAP","Sort=A","Dates=H","DateFormat=P","Fill=—","Direction=H","UseDPDF=Y")</f>
        <v>24.939499999999999</v>
      </c>
      <c r="AF21" s="21">
        <f>_xll.BDH("AAPL US Equity","PRETAX_INC_TO_NET_SALES","FQ4 2018","FQ4 2018","Currency=USD","Period=FQ","BEST_FPERIOD_OVERRIDE=FQ","FILING_STATUS=MR","FA_ADJUSTED=GAAP","Sort=A","Dates=H","DateFormat=P","Fill=—","Direction=H","UseDPDF=Y")</f>
        <v>26.1065</v>
      </c>
      <c r="AG21" s="21">
        <f>_xll.BDH("AAPL US Equity","PRETAX_INC_TO_NET_SALES","FQ1 2019","FQ1 2019","Currency=USD","Period=FQ","BEST_FPERIOD_OVERRIDE=FQ","FILING_STATUS=MR","FA_ADJUSTED=GAAP","Sort=A","Dates=H","DateFormat=P","Fill=—","Direction=H","UseDPDF=Y")</f>
        <v>28.354900000000001</v>
      </c>
      <c r="AH21" s="21">
        <f>_xll.BDH("AAPL US Equity","PRETAX_INC_TO_NET_SALES","FQ2 2019","FQ2 2019","Currency=USD","Period=FQ","BEST_FPERIOD_OVERRIDE=FQ","FILING_STATUS=MR","FA_ADJUSTED=GAAP","Sort=A","Dates=H","DateFormat=P","Fill=—","Direction=H","UseDPDF=Y")</f>
        <v>23.774899999999999</v>
      </c>
      <c r="AI21" s="21">
        <f>_xll.BDH("AAPL US Equity","PRETAX_INC_TO_NET_SALES","FQ3 2019","FQ3 2019","Currency=USD","Period=FQ","BEST_FPERIOD_OVERRIDE=FQ","FILING_STATUS=MR","FA_ADJUSTED=GAAP","Sort=A","Dates=H","DateFormat=P","Fill=—","Direction=H","UseDPDF=Y")</f>
        <v>22.1357</v>
      </c>
      <c r="AJ21" s="21">
        <f>_xll.BDH("AAPL US Equity","PRETAX_INC_TO_NET_SALES","FQ4 2019","FQ4 2019","Currency=USD","Period=FQ","BEST_FPERIOD_OVERRIDE=FQ","FILING_STATUS=MR","FA_ADJUSTED=GAAP","Sort=A","Dates=H","DateFormat=P","Fill=—","Direction=H","UseDPDF=Y")</f>
        <v>25.182700000000001</v>
      </c>
      <c r="AK21" s="21">
        <f>_xll.BDH("AAPL US Equity","PRETAX_INC_TO_NET_SALES","FQ1 2020","FQ1 2020","Currency=USD","Period=FQ","BEST_FPERIOD_OVERRIDE=FQ","FILING_STATUS=MR","FA_ADJUSTED=GAAP","Sort=A","Dates=H","DateFormat=P","Fill=—","Direction=H","UseDPDF=Y")</f>
        <v>28.2273</v>
      </c>
      <c r="AL21" s="21">
        <f>_xll.BDH("AAPL US Equity","PRETAX_INC_TO_NET_SALES","FQ2 2020","FQ2 2020","Currency=USD","Period=FQ","BEST_FPERIOD_OVERRIDE=FQ","FILING_STATUS=MR","FA_ADJUSTED=GAAP","Sort=A","Dates=H","DateFormat=P","Fill=—","Direction=H","UseDPDF=Y")</f>
        <v>22.524999999999999</v>
      </c>
      <c r="AM21" s="21">
        <f>_xll.BDH("AAPL US Equity","PRETAX_INC_TO_NET_SALES","FQ3 2020","FQ3 2020","Currency=USD","Period=FQ","BEST_FPERIOD_OVERRIDE=FQ","FILING_STATUS=MR","FA_ADJUSTED=GAAP","Sort=A","Dates=H","DateFormat=P","Fill=—","Direction=H","UseDPDF=Y")</f>
        <v>22.0106</v>
      </c>
      <c r="AN21" s="21">
        <f>_xll.BDH("AAPL US Equity","PRETAX_INC_TO_NET_SALES","FQ4 2020","FQ4 2020","Currency=USD","Period=FQ","BEST_FPERIOD_OVERRIDE=FQ","FILING_STATUS=MR","FA_ADJUSTED=GAAP","Sort=A","Dates=H","DateFormat=P","Fill=—","Direction=H","UseDPDF=Y")</f>
        <v>23.031600000000001</v>
      </c>
      <c r="AO21" s="21">
        <f>_xll.BDH("AAPL US Equity","PRETAX_INC_TO_NET_SALES","FQ1 2021","FQ1 2021","Currency=USD","Period=FQ","BEST_FPERIOD_OVERRIDE=FQ","FILING_STATUS=MR","FA_ADJUSTED=GAAP","Sort=A","Dates=H","DateFormat=P","Fill=—","Direction=H","UseDPDF=Y")</f>
        <v>30.132200000000001</v>
      </c>
      <c r="AP21" s="21">
        <f>_xll.BDH("AAPL US Equity","PRETAX_INC_TO_NET_SALES","FQ2 2021","FQ2 2021","Currency=USD","Period=FQ","BEST_FPERIOD_OVERRIDE=FQ","FILING_STATUS=MR","FA_ADJUSTED=GAAP","Sort=A","Dates=H","DateFormat=P","Fill=—","Direction=H","UseDPDF=Y")</f>
        <v>31.267900000000001</v>
      </c>
    </row>
    <row r="22" spans="1:42" x14ac:dyDescent="0.25">
      <c r="A22" s="18" t="s">
        <v>109</v>
      </c>
      <c r="B22" s="18" t="s">
        <v>110</v>
      </c>
      <c r="C22" s="21">
        <f>_xll.BDH("AAPL US Equity","INC_BEF_XO_ITEMS_TO_NET_SALES","FQ3 2011","FQ3 2011","Currency=USD","Period=FQ","BEST_FPERIOD_OVERRIDE=FQ","FILING_STATUS=MR","FA_ADJUSTED=GAAP","Sort=A","Dates=H","DateFormat=P","Fill=—","Direction=H","UseDPDF=Y")</f>
        <v>25.578399999999998</v>
      </c>
      <c r="D22" s="21">
        <f>_xll.BDH("AAPL US Equity","INC_BEF_XO_ITEMS_TO_NET_SALES","FQ4 2011","FQ4 2011","Currency=USD","Period=FQ","BEST_FPERIOD_OVERRIDE=FQ","FILING_STATUS=MR","FA_ADJUSTED=GAAP","Sort=A","Dates=H","DateFormat=P","Fill=—","Direction=H","UseDPDF=Y")</f>
        <v>23.427700000000002</v>
      </c>
      <c r="E22" s="21">
        <f>_xll.BDH("AAPL US Equity","INC_BEF_XO_ITEMS_TO_NET_SALES","FQ1 2012","FQ1 2012","Currency=USD","Period=FQ","BEST_FPERIOD_OVERRIDE=FQ","FILING_STATUS=MR","FA_ADJUSTED=GAAP","Sort=A","Dates=H","DateFormat=P","Fill=—","Direction=H","UseDPDF=Y")</f>
        <v>28.195900000000002</v>
      </c>
      <c r="F22" s="21">
        <f>_xll.BDH("AAPL US Equity","INC_BEF_XO_ITEMS_TO_NET_SALES","FQ2 2012","FQ2 2012","Currency=USD","Period=FQ","BEST_FPERIOD_OVERRIDE=FQ","FILING_STATUS=MR","FA_ADJUSTED=GAAP","Sort=A","Dates=H","DateFormat=P","Fill=—","Direction=H","UseDPDF=Y")</f>
        <v>29.6586</v>
      </c>
      <c r="G22" s="21">
        <f>_xll.BDH("AAPL US Equity","INC_BEF_XO_ITEMS_TO_NET_SALES","FQ3 2012","FQ3 2012","Currency=USD","Period=FQ","BEST_FPERIOD_OVERRIDE=FQ","FILING_STATUS=MR","FA_ADJUSTED=GAAP","Sort=A","Dates=H","DateFormat=P","Fill=—","Direction=H","UseDPDF=Y")</f>
        <v>25.194900000000001</v>
      </c>
      <c r="H22" s="21">
        <f>_xll.BDH("AAPL US Equity","INC_BEF_XO_ITEMS_TO_NET_SALES","FQ4 2012","FQ4 2012","Currency=USD","Period=FQ","BEST_FPERIOD_OVERRIDE=FQ","FILING_STATUS=MR","FA_ADJUSTED=GAAP","Sort=A","Dates=H","DateFormat=P","Fill=—","Direction=H","UseDPDF=Y")</f>
        <v>22.863299999999999</v>
      </c>
      <c r="I22" s="21">
        <f>_xll.BDH("AAPL US Equity","INC_BEF_XO_ITEMS_TO_NET_SALES","FQ1 2013","FQ1 2013","Currency=USD","Period=FQ","BEST_FPERIOD_OVERRIDE=FQ","FILING_STATUS=MR","FA_ADJUSTED=GAAP","Sort=A","Dates=H","DateFormat=P","Fill=—","Direction=H","UseDPDF=Y")</f>
        <v>23.991</v>
      </c>
      <c r="J22" s="21">
        <f>_xll.BDH("AAPL US Equity","INC_BEF_XO_ITEMS_TO_NET_SALES","FQ2 2013","FQ2 2013","Currency=USD","Period=FQ","BEST_FPERIOD_OVERRIDE=FQ","FILING_STATUS=MR","FA_ADJUSTED=GAAP","Sort=A","Dates=H","DateFormat=P","Fill=—","Direction=H","UseDPDF=Y")</f>
        <v>21.895299999999999</v>
      </c>
      <c r="K22" s="21">
        <f>_xll.BDH("AAPL US Equity","INC_BEF_XO_ITEMS_TO_NET_SALES","FQ3 2013","FQ3 2013","Currency=USD","Period=FQ","BEST_FPERIOD_OVERRIDE=FQ","FILING_STATUS=MR","FA_ADJUSTED=GAAP","Sort=A","Dates=H","DateFormat=P","Fill=—","Direction=H","UseDPDF=Y")</f>
        <v>19.533999999999999</v>
      </c>
      <c r="L22" s="21">
        <f>_xll.BDH("AAPL US Equity","INC_BEF_XO_ITEMS_TO_NET_SALES","FQ4 2013","FQ4 2013","Currency=USD","Period=FQ","BEST_FPERIOD_OVERRIDE=FQ","FILING_STATUS=MR","FA_ADJUSTED=GAAP","Sort=A","Dates=H","DateFormat=P","Fill=—","Direction=H","UseDPDF=Y")</f>
        <v>20.047000000000001</v>
      </c>
      <c r="M22" s="21">
        <f>_xll.BDH("AAPL US Equity","INC_BEF_XO_ITEMS_TO_NET_SALES","FQ1 2014","FQ1 2014","Currency=USD","Period=FQ","BEST_FPERIOD_OVERRIDE=FQ","FILING_STATUS=MR","FA_ADJUSTED=GAAP","Sort=A","Dates=H","DateFormat=P","Fill=—","Direction=H","UseDPDF=Y")</f>
        <v>22.6968</v>
      </c>
      <c r="N22" s="21">
        <f>_xll.BDH("AAPL US Equity","INC_BEF_XO_ITEMS_TO_NET_SALES","FQ2 2014","FQ2 2014","Currency=USD","Period=FQ","BEST_FPERIOD_OVERRIDE=FQ","FILING_STATUS=MR","FA_ADJUSTED=GAAP","Sort=A","Dates=H","DateFormat=P","Fill=—","Direction=H","UseDPDF=Y")</f>
        <v>22.3963</v>
      </c>
      <c r="O22" s="21">
        <f>_xll.BDH("AAPL US Equity","INC_BEF_XO_ITEMS_TO_NET_SALES","FQ3 2014","FQ3 2014","Currency=USD","Period=FQ","BEST_FPERIOD_OVERRIDE=FQ","FILING_STATUS=MR","FA_ADJUSTED=GAAP","Sort=A","Dates=H","DateFormat=P","Fill=—","Direction=H","UseDPDF=Y")</f>
        <v>20.698899999999998</v>
      </c>
      <c r="P22" s="21">
        <f>_xll.BDH("AAPL US Equity","INC_BEF_XO_ITEMS_TO_NET_SALES","FQ4 2014","FQ4 2014","Currency=USD","Period=FQ","BEST_FPERIOD_OVERRIDE=FQ","FILING_STATUS=MR","FA_ADJUSTED=GAAP","Sort=A","Dates=H","DateFormat=P","Fill=—","Direction=H","UseDPDF=Y")</f>
        <v>20.1007</v>
      </c>
      <c r="Q22" s="21">
        <f>_xll.BDH("AAPL US Equity","INC_BEF_XO_ITEMS_TO_NET_SALES","FQ1 2015","FQ1 2015","Currency=USD","Period=FQ","BEST_FPERIOD_OVERRIDE=FQ","FILING_STATUS=MR","FA_ADJUSTED=GAAP","Sort=A","Dates=H","DateFormat=P","Fill=—","Direction=H","UseDPDF=Y")</f>
        <v>24.161200000000001</v>
      </c>
      <c r="R22" s="21">
        <f>_xll.BDH("AAPL US Equity","INC_BEF_XO_ITEMS_TO_NET_SALES","FQ2 2015","FQ2 2015","Currency=USD","Period=FQ","BEST_FPERIOD_OVERRIDE=FQ","FILING_STATUS=MR","FA_ADJUSTED=GAAP","Sort=A","Dates=H","DateFormat=P","Fill=—","Direction=H","UseDPDF=Y")</f>
        <v>23.390799999999999</v>
      </c>
      <c r="S22" s="21">
        <f>_xll.BDH("AAPL US Equity","INC_BEF_XO_ITEMS_TO_NET_SALES","FQ3 2015","FQ3 2015","Currency=USD","Period=FQ","BEST_FPERIOD_OVERRIDE=FQ","FILING_STATUS=MR","FA_ADJUSTED=GAAP","Sort=A","Dates=H","DateFormat=P","Fill=—","Direction=H","UseDPDF=Y")</f>
        <v>21.524000000000001</v>
      </c>
      <c r="T22" s="21">
        <f>_xll.BDH("AAPL US Equity","INC_BEF_XO_ITEMS_TO_NET_SALES","FQ4 2015","FQ4 2015","Currency=USD","Period=FQ","BEST_FPERIOD_OVERRIDE=FQ","FILING_STATUS=MR","FA_ADJUSTED=GAAP","Sort=A","Dates=H","DateFormat=P","Fill=—","Direction=H","UseDPDF=Y")</f>
        <v>21.599599999999999</v>
      </c>
      <c r="U22" s="21">
        <f>_xll.BDH("AAPL US Equity","INC_BEF_XO_ITEMS_TO_NET_SALES","FQ1 2016","FQ1 2016","Currency=USD","Period=FQ","BEST_FPERIOD_OVERRIDE=FQ","FILING_STATUS=MR","FA_ADJUSTED=GAAP","Sort=A","Dates=H","DateFormat=P","Fill=—","Direction=H","UseDPDF=Y")</f>
        <v>24.2</v>
      </c>
      <c r="V22" s="21">
        <f>_xll.BDH("AAPL US Equity","INC_BEF_XO_ITEMS_TO_NET_SALES","FQ2 2016","FQ2 2016","Currency=USD","Period=FQ","BEST_FPERIOD_OVERRIDE=FQ","FILING_STATUS=MR","FA_ADJUSTED=GAAP","Sort=A","Dates=H","DateFormat=P","Fill=—","Direction=H","UseDPDF=Y")</f>
        <v>20.8003</v>
      </c>
      <c r="W22" s="21">
        <f>_xll.BDH("AAPL US Equity","INC_BEF_XO_ITEMS_TO_NET_SALES","FQ3 2016","FQ3 2016","Currency=USD","Period=FQ","BEST_FPERIOD_OVERRIDE=FQ","FILING_STATUS=MR","FA_ADJUSTED=GAAP","Sort=A","Dates=H","DateFormat=P","Fill=—","Direction=H","UseDPDF=Y")</f>
        <v>18.405000000000001</v>
      </c>
      <c r="X22" s="21">
        <f>_xll.BDH("AAPL US Equity","INC_BEF_XO_ITEMS_TO_NET_SALES","FQ4 2016","FQ4 2016","Currency=USD","Period=FQ","BEST_FPERIOD_OVERRIDE=FQ","FILING_STATUS=MR","FA_ADJUSTED=GAAP","Sort=A","Dates=H","DateFormat=P","Fill=—","Direction=H","UseDPDF=Y")</f>
        <v>19.2393</v>
      </c>
      <c r="Y22" s="21">
        <f>_xll.BDH("AAPL US Equity","INC_BEF_XO_ITEMS_TO_NET_SALES","FQ1 2017","FQ1 2017","Currency=USD","Period=FQ","BEST_FPERIOD_OVERRIDE=FQ","FILING_STATUS=MR","FA_ADJUSTED=GAAP","Sort=A","Dates=H","DateFormat=P","Fill=—","Direction=H","UseDPDF=Y")</f>
        <v>22.834399999999999</v>
      </c>
      <c r="Z22" s="21">
        <f>_xll.BDH("AAPL US Equity","INC_BEF_XO_ITEMS_TO_NET_SALES","FQ2 2017","FQ2 2017","Currency=USD","Period=FQ","BEST_FPERIOD_OVERRIDE=FQ","FILING_STATUS=MR","FA_ADJUSTED=GAAP","Sort=A","Dates=H","DateFormat=P","Fill=—","Direction=H","UseDPDF=Y")</f>
        <v>20.850300000000001</v>
      </c>
      <c r="AA22" s="21">
        <f>_xll.BDH("AAPL US Equity","INC_BEF_XO_ITEMS_TO_NET_SALES","FQ3 2017","FQ3 2017","Currency=USD","Period=FQ","BEST_FPERIOD_OVERRIDE=FQ","FILING_STATUS=MR","FA_ADJUSTED=GAAP","Sort=A","Dates=H","DateFormat=P","Fill=—","Direction=H","UseDPDF=Y")</f>
        <v>19.197099999999999</v>
      </c>
      <c r="AB22" s="21">
        <f>_xll.BDH("AAPL US Equity","INC_BEF_XO_ITEMS_TO_NET_SALES","FQ4 2017","FQ4 2017","Currency=USD","Period=FQ","BEST_FPERIOD_OVERRIDE=FQ","FILING_STATUS=MR","FA_ADJUSTED=GAAP","Sort=A","Dates=H","DateFormat=P","Fill=—","Direction=H","UseDPDF=Y")</f>
        <v>20.376999999999999</v>
      </c>
      <c r="AC22" s="21">
        <f>_xll.BDH("AAPL US Equity","INC_BEF_XO_ITEMS_TO_NET_SALES","FQ1 2018","FQ1 2018","Currency=USD","Period=FQ","BEST_FPERIOD_OVERRIDE=FQ","FILING_STATUS=MR","FA_ADJUSTED=GAAP","Sort=A","Dates=H","DateFormat=P","Fill=—","Direction=H","UseDPDF=Y")</f>
        <v>22.7255</v>
      </c>
      <c r="AD22" s="21">
        <f>_xll.BDH("AAPL US Equity","INC_BEF_XO_ITEMS_TO_NET_SALES","FQ2 2018","FQ2 2018","Currency=USD","Period=FQ","BEST_FPERIOD_OVERRIDE=FQ","FILING_STATUS=MR","FA_ADJUSTED=GAAP","Sort=A","Dates=H","DateFormat=P","Fill=—","Direction=H","UseDPDF=Y")</f>
        <v>22.6082</v>
      </c>
      <c r="AE22" s="21">
        <f>_xll.BDH("AAPL US Equity","INC_BEF_XO_ITEMS_TO_NET_SALES","FQ3 2018","FQ3 2018","Currency=USD","Period=FQ","BEST_FPERIOD_OVERRIDE=FQ","FILING_STATUS=MR","FA_ADJUSTED=GAAP","Sort=A","Dates=H","DateFormat=P","Fill=—","Direction=H","UseDPDF=Y")</f>
        <v>21.625800000000002</v>
      </c>
      <c r="AF22" s="21">
        <f>_xll.BDH("AAPL US Equity","INC_BEF_XO_ITEMS_TO_NET_SALES","FQ4 2018","FQ4 2018","Currency=USD","Period=FQ","BEST_FPERIOD_OVERRIDE=FQ","FILING_STATUS=MR","FA_ADJUSTED=GAAP","Sort=A","Dates=H","DateFormat=P","Fill=—","Direction=H","UseDPDF=Y")</f>
        <v>22.456299999999999</v>
      </c>
      <c r="AG22" s="21">
        <f>_xll.BDH("AAPL US Equity","INC_BEF_XO_ITEMS_TO_NET_SALES","FQ1 2019","FQ1 2019","Currency=USD","Period=FQ","BEST_FPERIOD_OVERRIDE=FQ","FILING_STATUS=MR","FA_ADJUSTED=GAAP","Sort=A","Dates=H","DateFormat=P","Fill=—","Direction=H","UseDPDF=Y")</f>
        <v>23.680499999999999</v>
      </c>
      <c r="AH22" s="21">
        <f>_xll.BDH("AAPL US Equity","INC_BEF_XO_ITEMS_TO_NET_SALES","FQ2 2019","FQ2 2019","Currency=USD","Period=FQ","BEST_FPERIOD_OVERRIDE=FQ","FILING_STATUS=MR","FA_ADJUSTED=GAAP","Sort=A","Dates=H","DateFormat=P","Fill=—","Direction=H","UseDPDF=Y")</f>
        <v>19.927599999999998</v>
      </c>
      <c r="AI22" s="21">
        <f>_xll.BDH("AAPL US Equity","INC_BEF_XO_ITEMS_TO_NET_SALES","FQ3 2019","FQ3 2019","Currency=USD","Period=FQ","BEST_FPERIOD_OVERRIDE=FQ","FILING_STATUS=MR","FA_ADJUSTED=GAAP","Sort=A","Dates=H","DateFormat=P","Fill=—","Direction=H","UseDPDF=Y")</f>
        <v>18.666</v>
      </c>
      <c r="AJ22" s="21">
        <f>_xll.BDH("AAPL US Equity","INC_BEF_XO_ITEMS_TO_NET_SALES","FQ4 2019","FQ4 2019","Currency=USD","Period=FQ","BEST_FPERIOD_OVERRIDE=FQ","FILING_STATUS=MR","FA_ADJUSTED=GAAP","Sort=A","Dates=H","DateFormat=P","Fill=—","Direction=H","UseDPDF=Y")</f>
        <v>21.370999999999999</v>
      </c>
      <c r="AK22" s="21">
        <f>_xll.BDH("AAPL US Equity","INC_BEF_XO_ITEMS_TO_NET_SALES","FQ1 2020","FQ1 2020","Currency=USD","Period=FQ","BEST_FPERIOD_OVERRIDE=FQ","FILING_STATUS=MR","FA_ADJUSTED=GAAP","Sort=A","Dates=H","DateFormat=P","Fill=—","Direction=H","UseDPDF=Y")</f>
        <v>24.217199999999998</v>
      </c>
      <c r="AL22" s="21">
        <f>_xll.BDH("AAPL US Equity","INC_BEF_XO_ITEMS_TO_NET_SALES","FQ2 2020","FQ2 2020","Currency=USD","Period=FQ","BEST_FPERIOD_OVERRIDE=FQ","FILING_STATUS=MR","FA_ADJUSTED=GAAP","Sort=A","Dates=H","DateFormat=P","Fill=—","Direction=H","UseDPDF=Y")</f>
        <v>19.290700000000001</v>
      </c>
      <c r="AM22" s="21">
        <f>_xll.BDH("AAPL US Equity","INC_BEF_XO_ITEMS_TO_NET_SALES","FQ3 2020","FQ3 2020","Currency=USD","Period=FQ","BEST_FPERIOD_OVERRIDE=FQ","FILING_STATUS=MR","FA_ADJUSTED=GAAP","Sort=A","Dates=H","DateFormat=P","Fill=—","Direction=H","UseDPDF=Y")</f>
        <v>18.853999999999999</v>
      </c>
      <c r="AN22" s="21">
        <f>_xll.BDH("AAPL US Equity","INC_BEF_XO_ITEMS_TO_NET_SALES","FQ4 2020","FQ4 2020","Currency=USD","Period=FQ","BEST_FPERIOD_OVERRIDE=FQ","FILING_STATUS=MR","FA_ADJUSTED=GAAP","Sort=A","Dates=H","DateFormat=P","Fill=—","Direction=H","UseDPDF=Y")</f>
        <v>19.587900000000001</v>
      </c>
      <c r="AO22" s="21">
        <f>_xll.BDH("AAPL US Equity","INC_BEF_XO_ITEMS_TO_NET_SALES","FQ1 2021","FQ1 2021","Currency=USD","Period=FQ","BEST_FPERIOD_OVERRIDE=FQ","FILING_STATUS=MR","FA_ADJUSTED=GAAP","Sort=A","Dates=H","DateFormat=P","Fill=—","Direction=H","UseDPDF=Y")</f>
        <v>25.8034</v>
      </c>
      <c r="AP22" s="21">
        <f>_xll.BDH("AAPL US Equity","INC_BEF_XO_ITEMS_TO_NET_SALES","FQ2 2021","FQ2 2021","Currency=USD","Period=FQ","BEST_FPERIOD_OVERRIDE=FQ","FILING_STATUS=MR","FA_ADJUSTED=GAAP","Sort=A","Dates=H","DateFormat=P","Fill=—","Direction=H","UseDPDF=Y")</f>
        <v>26.377500000000001</v>
      </c>
    </row>
    <row r="23" spans="1:42" x14ac:dyDescent="0.25">
      <c r="A23" s="18" t="s">
        <v>111</v>
      </c>
      <c r="B23" s="18" t="s">
        <v>112</v>
      </c>
      <c r="C23" s="21">
        <f>_xll.BDH("AAPL US Equity","PROF_MARGIN","FQ3 2011","FQ3 2011","Currency=USD","Period=FQ","BEST_FPERIOD_OVERRIDE=FQ","FILING_STATUS=MR","FA_ADJUSTED=GAAP","Sort=A","Dates=H","DateFormat=P","Fill=—","Direction=H","UseDPDF=Y")</f>
        <v>25.578399999999998</v>
      </c>
      <c r="D23" s="21">
        <f>_xll.BDH("AAPL US Equity","PROF_MARGIN","FQ4 2011","FQ4 2011","Currency=USD","Period=FQ","BEST_FPERIOD_OVERRIDE=FQ","FILING_STATUS=MR","FA_ADJUSTED=GAAP","Sort=A","Dates=H","DateFormat=P","Fill=—","Direction=H","UseDPDF=Y")</f>
        <v>23.427700000000002</v>
      </c>
      <c r="E23" s="21">
        <f>_xll.BDH("AAPL US Equity","PROF_MARGIN","FQ1 2012","FQ1 2012","Currency=USD","Period=FQ","BEST_FPERIOD_OVERRIDE=FQ","FILING_STATUS=MR","FA_ADJUSTED=GAAP","Sort=A","Dates=H","DateFormat=P","Fill=—","Direction=H","UseDPDF=Y")</f>
        <v>28.195900000000002</v>
      </c>
      <c r="F23" s="21">
        <f>_xll.BDH("AAPL US Equity","PROF_MARGIN","FQ2 2012","FQ2 2012","Currency=USD","Period=FQ","BEST_FPERIOD_OVERRIDE=FQ","FILING_STATUS=MR","FA_ADJUSTED=GAAP","Sort=A","Dates=H","DateFormat=P","Fill=—","Direction=H","UseDPDF=Y")</f>
        <v>29.6586</v>
      </c>
      <c r="G23" s="21">
        <f>_xll.BDH("AAPL US Equity","PROF_MARGIN","FQ3 2012","FQ3 2012","Currency=USD","Period=FQ","BEST_FPERIOD_OVERRIDE=FQ","FILING_STATUS=MR","FA_ADJUSTED=GAAP","Sort=A","Dates=H","DateFormat=P","Fill=—","Direction=H","UseDPDF=Y")</f>
        <v>25.194900000000001</v>
      </c>
      <c r="H23" s="21">
        <f>_xll.BDH("AAPL US Equity","PROF_MARGIN","FQ4 2012","FQ4 2012","Currency=USD","Period=FQ","BEST_FPERIOD_OVERRIDE=FQ","FILING_STATUS=MR","FA_ADJUSTED=GAAP","Sort=A","Dates=H","DateFormat=P","Fill=—","Direction=H","UseDPDF=Y")</f>
        <v>22.863299999999999</v>
      </c>
      <c r="I23" s="21">
        <f>_xll.BDH("AAPL US Equity","PROF_MARGIN","FQ1 2013","FQ1 2013","Currency=USD","Period=FQ","BEST_FPERIOD_OVERRIDE=FQ","FILING_STATUS=MR","FA_ADJUSTED=GAAP","Sort=A","Dates=H","DateFormat=P","Fill=—","Direction=H","UseDPDF=Y")</f>
        <v>23.991</v>
      </c>
      <c r="J23" s="21">
        <f>_xll.BDH("AAPL US Equity","PROF_MARGIN","FQ2 2013","FQ2 2013","Currency=USD","Period=FQ","BEST_FPERIOD_OVERRIDE=FQ","FILING_STATUS=MR","FA_ADJUSTED=GAAP","Sort=A","Dates=H","DateFormat=P","Fill=—","Direction=H","UseDPDF=Y")</f>
        <v>21.895299999999999</v>
      </c>
      <c r="K23" s="21">
        <f>_xll.BDH("AAPL US Equity","PROF_MARGIN","FQ3 2013","FQ3 2013","Currency=USD","Period=FQ","BEST_FPERIOD_OVERRIDE=FQ","FILING_STATUS=MR","FA_ADJUSTED=GAAP","Sort=A","Dates=H","DateFormat=P","Fill=—","Direction=H","UseDPDF=Y")</f>
        <v>19.533999999999999</v>
      </c>
      <c r="L23" s="21">
        <f>_xll.BDH("AAPL US Equity","PROF_MARGIN","FQ4 2013","FQ4 2013","Currency=USD","Period=FQ","BEST_FPERIOD_OVERRIDE=FQ","FILING_STATUS=MR","FA_ADJUSTED=GAAP","Sort=A","Dates=H","DateFormat=P","Fill=—","Direction=H","UseDPDF=Y")</f>
        <v>20.047000000000001</v>
      </c>
      <c r="M23" s="21">
        <f>_xll.BDH("AAPL US Equity","PROF_MARGIN","FQ1 2014","FQ1 2014","Currency=USD","Period=FQ","BEST_FPERIOD_OVERRIDE=FQ","FILING_STATUS=MR","FA_ADJUSTED=GAAP","Sort=A","Dates=H","DateFormat=P","Fill=—","Direction=H","UseDPDF=Y")</f>
        <v>22.6968</v>
      </c>
      <c r="N23" s="21">
        <f>_xll.BDH("AAPL US Equity","PROF_MARGIN","FQ2 2014","FQ2 2014","Currency=USD","Period=FQ","BEST_FPERIOD_OVERRIDE=FQ","FILING_STATUS=MR","FA_ADJUSTED=GAAP","Sort=A","Dates=H","DateFormat=P","Fill=—","Direction=H","UseDPDF=Y")</f>
        <v>22.3963</v>
      </c>
      <c r="O23" s="21">
        <f>_xll.BDH("AAPL US Equity","PROF_MARGIN","FQ3 2014","FQ3 2014","Currency=USD","Period=FQ","BEST_FPERIOD_OVERRIDE=FQ","FILING_STATUS=MR","FA_ADJUSTED=GAAP","Sort=A","Dates=H","DateFormat=P","Fill=—","Direction=H","UseDPDF=Y")</f>
        <v>20.698899999999998</v>
      </c>
      <c r="P23" s="21">
        <f>_xll.BDH("AAPL US Equity","PROF_MARGIN","FQ4 2014","FQ4 2014","Currency=USD","Period=FQ","BEST_FPERIOD_OVERRIDE=FQ","FILING_STATUS=MR","FA_ADJUSTED=GAAP","Sort=A","Dates=H","DateFormat=P","Fill=—","Direction=H","UseDPDF=Y")</f>
        <v>20.1007</v>
      </c>
      <c r="Q23" s="21">
        <f>_xll.BDH("AAPL US Equity","PROF_MARGIN","FQ1 2015","FQ1 2015","Currency=USD","Period=FQ","BEST_FPERIOD_OVERRIDE=FQ","FILING_STATUS=MR","FA_ADJUSTED=GAAP","Sort=A","Dates=H","DateFormat=P","Fill=—","Direction=H","UseDPDF=Y")</f>
        <v>24.161200000000001</v>
      </c>
      <c r="R23" s="21">
        <f>_xll.BDH("AAPL US Equity","PROF_MARGIN","FQ2 2015","FQ2 2015","Currency=USD","Period=FQ","BEST_FPERIOD_OVERRIDE=FQ","FILING_STATUS=MR","FA_ADJUSTED=GAAP","Sort=A","Dates=H","DateFormat=P","Fill=—","Direction=H","UseDPDF=Y")</f>
        <v>23.390799999999999</v>
      </c>
      <c r="S23" s="21">
        <f>_xll.BDH("AAPL US Equity","PROF_MARGIN","FQ3 2015","FQ3 2015","Currency=USD","Period=FQ","BEST_FPERIOD_OVERRIDE=FQ","FILING_STATUS=MR","FA_ADJUSTED=GAAP","Sort=A","Dates=H","DateFormat=P","Fill=—","Direction=H","UseDPDF=Y")</f>
        <v>21.524000000000001</v>
      </c>
      <c r="T23" s="21">
        <f>_xll.BDH("AAPL US Equity","PROF_MARGIN","FQ4 2015","FQ4 2015","Currency=USD","Period=FQ","BEST_FPERIOD_OVERRIDE=FQ","FILING_STATUS=MR","FA_ADJUSTED=GAAP","Sort=A","Dates=H","DateFormat=P","Fill=—","Direction=H","UseDPDF=Y")</f>
        <v>21.599599999999999</v>
      </c>
      <c r="U23" s="21">
        <f>_xll.BDH("AAPL US Equity","PROF_MARGIN","FQ1 2016","FQ1 2016","Currency=USD","Period=FQ","BEST_FPERIOD_OVERRIDE=FQ","FILING_STATUS=MR","FA_ADJUSTED=GAAP","Sort=A","Dates=H","DateFormat=P","Fill=—","Direction=H","UseDPDF=Y")</f>
        <v>24.2</v>
      </c>
      <c r="V23" s="21">
        <f>_xll.BDH("AAPL US Equity","PROF_MARGIN","FQ2 2016","FQ2 2016","Currency=USD","Period=FQ","BEST_FPERIOD_OVERRIDE=FQ","FILING_STATUS=MR","FA_ADJUSTED=GAAP","Sort=A","Dates=H","DateFormat=P","Fill=—","Direction=H","UseDPDF=Y")</f>
        <v>20.8003</v>
      </c>
      <c r="W23" s="21">
        <f>_xll.BDH("AAPL US Equity","PROF_MARGIN","FQ3 2016","FQ3 2016","Currency=USD","Period=FQ","BEST_FPERIOD_OVERRIDE=FQ","FILING_STATUS=MR","FA_ADJUSTED=GAAP","Sort=A","Dates=H","DateFormat=P","Fill=—","Direction=H","UseDPDF=Y")</f>
        <v>18.405000000000001</v>
      </c>
      <c r="X23" s="21">
        <f>_xll.BDH("AAPL US Equity","PROF_MARGIN","FQ4 2016","FQ4 2016","Currency=USD","Period=FQ","BEST_FPERIOD_OVERRIDE=FQ","FILING_STATUS=MR","FA_ADJUSTED=GAAP","Sort=A","Dates=H","DateFormat=P","Fill=—","Direction=H","UseDPDF=Y")</f>
        <v>19.2393</v>
      </c>
      <c r="Y23" s="21">
        <f>_xll.BDH("AAPL US Equity","PROF_MARGIN","FQ1 2017","FQ1 2017","Currency=USD","Period=FQ","BEST_FPERIOD_OVERRIDE=FQ","FILING_STATUS=MR","FA_ADJUSTED=GAAP","Sort=A","Dates=H","DateFormat=P","Fill=—","Direction=H","UseDPDF=Y")</f>
        <v>22.834399999999999</v>
      </c>
      <c r="Z23" s="21">
        <f>_xll.BDH("AAPL US Equity","PROF_MARGIN","FQ2 2017","FQ2 2017","Currency=USD","Period=FQ","BEST_FPERIOD_OVERRIDE=FQ","FILING_STATUS=MR","FA_ADJUSTED=GAAP","Sort=A","Dates=H","DateFormat=P","Fill=—","Direction=H","UseDPDF=Y")</f>
        <v>20.850300000000001</v>
      </c>
      <c r="AA23" s="21">
        <f>_xll.BDH("AAPL US Equity","PROF_MARGIN","FQ3 2017","FQ3 2017","Currency=USD","Period=FQ","BEST_FPERIOD_OVERRIDE=FQ","FILING_STATUS=MR","FA_ADJUSTED=GAAP","Sort=A","Dates=H","DateFormat=P","Fill=—","Direction=H","UseDPDF=Y")</f>
        <v>19.197099999999999</v>
      </c>
      <c r="AB23" s="21">
        <f>_xll.BDH("AAPL US Equity","PROF_MARGIN","FQ4 2017","FQ4 2017","Currency=USD","Period=FQ","BEST_FPERIOD_OVERRIDE=FQ","FILING_STATUS=MR","FA_ADJUSTED=GAAP","Sort=A","Dates=H","DateFormat=P","Fill=—","Direction=H","UseDPDF=Y")</f>
        <v>20.376999999999999</v>
      </c>
      <c r="AC23" s="21">
        <f>_xll.BDH("AAPL US Equity","PROF_MARGIN","FQ1 2018","FQ1 2018","Currency=USD","Period=FQ","BEST_FPERIOD_OVERRIDE=FQ","FILING_STATUS=MR","FA_ADJUSTED=GAAP","Sort=A","Dates=H","DateFormat=P","Fill=—","Direction=H","UseDPDF=Y")</f>
        <v>22.7255</v>
      </c>
      <c r="AD23" s="21">
        <f>_xll.BDH("AAPL US Equity","PROF_MARGIN","FQ2 2018","FQ2 2018","Currency=USD","Period=FQ","BEST_FPERIOD_OVERRIDE=FQ","FILING_STATUS=MR","FA_ADJUSTED=GAAP","Sort=A","Dates=H","DateFormat=P","Fill=—","Direction=H","UseDPDF=Y")</f>
        <v>22.6082</v>
      </c>
      <c r="AE23" s="21">
        <f>_xll.BDH("AAPL US Equity","PROF_MARGIN","FQ3 2018","FQ3 2018","Currency=USD","Period=FQ","BEST_FPERIOD_OVERRIDE=FQ","FILING_STATUS=MR","FA_ADJUSTED=GAAP","Sort=A","Dates=H","DateFormat=P","Fill=—","Direction=H","UseDPDF=Y")</f>
        <v>21.625800000000002</v>
      </c>
      <c r="AF23" s="21">
        <f>_xll.BDH("AAPL US Equity","PROF_MARGIN","FQ4 2018","FQ4 2018","Currency=USD","Period=FQ","BEST_FPERIOD_OVERRIDE=FQ","FILING_STATUS=MR","FA_ADJUSTED=GAAP","Sort=A","Dates=H","DateFormat=P","Fill=—","Direction=H","UseDPDF=Y")</f>
        <v>22.456299999999999</v>
      </c>
      <c r="AG23" s="21">
        <f>_xll.BDH("AAPL US Equity","PROF_MARGIN","FQ1 2019","FQ1 2019","Currency=USD","Period=FQ","BEST_FPERIOD_OVERRIDE=FQ","FILING_STATUS=MR","FA_ADJUSTED=GAAP","Sort=A","Dates=H","DateFormat=P","Fill=—","Direction=H","UseDPDF=Y")</f>
        <v>23.680499999999999</v>
      </c>
      <c r="AH23" s="21">
        <f>_xll.BDH("AAPL US Equity","PROF_MARGIN","FQ2 2019","FQ2 2019","Currency=USD","Period=FQ","BEST_FPERIOD_OVERRIDE=FQ","FILING_STATUS=MR","FA_ADJUSTED=GAAP","Sort=A","Dates=H","DateFormat=P","Fill=—","Direction=H","UseDPDF=Y")</f>
        <v>19.927599999999998</v>
      </c>
      <c r="AI23" s="21">
        <f>_xll.BDH("AAPL US Equity","PROF_MARGIN","FQ3 2019","FQ3 2019","Currency=USD","Period=FQ","BEST_FPERIOD_OVERRIDE=FQ","FILING_STATUS=MR","FA_ADJUSTED=GAAP","Sort=A","Dates=H","DateFormat=P","Fill=—","Direction=H","UseDPDF=Y")</f>
        <v>18.666</v>
      </c>
      <c r="AJ23" s="21">
        <f>_xll.BDH("AAPL US Equity","PROF_MARGIN","FQ4 2019","FQ4 2019","Currency=USD","Period=FQ","BEST_FPERIOD_OVERRIDE=FQ","FILING_STATUS=MR","FA_ADJUSTED=GAAP","Sort=A","Dates=H","DateFormat=P","Fill=—","Direction=H","UseDPDF=Y")</f>
        <v>21.370999999999999</v>
      </c>
      <c r="AK23" s="21">
        <f>_xll.BDH("AAPL US Equity","PROF_MARGIN","FQ1 2020","FQ1 2020","Currency=USD","Period=FQ","BEST_FPERIOD_OVERRIDE=FQ","FILING_STATUS=MR","FA_ADJUSTED=GAAP","Sort=A","Dates=H","DateFormat=P","Fill=—","Direction=H","UseDPDF=Y")</f>
        <v>24.217199999999998</v>
      </c>
      <c r="AL23" s="21">
        <f>_xll.BDH("AAPL US Equity","PROF_MARGIN","FQ2 2020","FQ2 2020","Currency=USD","Period=FQ","BEST_FPERIOD_OVERRIDE=FQ","FILING_STATUS=MR","FA_ADJUSTED=GAAP","Sort=A","Dates=H","DateFormat=P","Fill=—","Direction=H","UseDPDF=Y")</f>
        <v>19.290700000000001</v>
      </c>
      <c r="AM23" s="21">
        <f>_xll.BDH("AAPL US Equity","PROF_MARGIN","FQ3 2020","FQ3 2020","Currency=USD","Period=FQ","BEST_FPERIOD_OVERRIDE=FQ","FILING_STATUS=MR","FA_ADJUSTED=GAAP","Sort=A","Dates=H","DateFormat=P","Fill=—","Direction=H","UseDPDF=Y")</f>
        <v>18.853999999999999</v>
      </c>
      <c r="AN23" s="21">
        <f>_xll.BDH("AAPL US Equity","PROF_MARGIN","FQ4 2020","FQ4 2020","Currency=USD","Period=FQ","BEST_FPERIOD_OVERRIDE=FQ","FILING_STATUS=MR","FA_ADJUSTED=GAAP","Sort=A","Dates=H","DateFormat=P","Fill=—","Direction=H","UseDPDF=Y")</f>
        <v>19.587900000000001</v>
      </c>
      <c r="AO23" s="21">
        <f>_xll.BDH("AAPL US Equity","PROF_MARGIN","FQ1 2021","FQ1 2021","Currency=USD","Period=FQ","BEST_FPERIOD_OVERRIDE=FQ","FILING_STATUS=MR","FA_ADJUSTED=GAAP","Sort=A","Dates=H","DateFormat=P","Fill=—","Direction=H","UseDPDF=Y")</f>
        <v>25.8034</v>
      </c>
      <c r="AP23" s="21">
        <f>_xll.BDH("AAPL US Equity","PROF_MARGIN","FQ2 2021","FQ2 2021","Currency=USD","Period=FQ","BEST_FPERIOD_OVERRIDE=FQ","FILING_STATUS=MR","FA_ADJUSTED=GAAP","Sort=A","Dates=H","DateFormat=P","Fill=—","Direction=H","UseDPDF=Y")</f>
        <v>26.377500000000001</v>
      </c>
    </row>
    <row r="24" spans="1:42" x14ac:dyDescent="0.25">
      <c r="A24" s="18" t="s">
        <v>113</v>
      </c>
      <c r="B24" s="18" t="s">
        <v>114</v>
      </c>
      <c r="C24" s="21">
        <f>_xll.BDH("AAPL US Equity","NET_INCOME_TO_COMMON_MARGIN","FQ3 2011","FQ3 2011","Currency=USD","Period=FQ","BEST_FPERIOD_OVERRIDE=FQ","FILING_STATUS=MR","FA_ADJUSTED=GAAP","Sort=A","Dates=H","DateFormat=P","Fill=—","Direction=H","UseDPDF=Y")</f>
        <v>25.578399999999998</v>
      </c>
      <c r="D24" s="21">
        <f>_xll.BDH("AAPL US Equity","NET_INCOME_TO_COMMON_MARGIN","FQ4 2011","FQ4 2011","Currency=USD","Period=FQ","BEST_FPERIOD_OVERRIDE=FQ","FILING_STATUS=MR","FA_ADJUSTED=GAAP","Sort=A","Dates=H","DateFormat=P","Fill=—","Direction=H","UseDPDF=Y")</f>
        <v>23.427700000000002</v>
      </c>
      <c r="E24" s="21">
        <f>_xll.BDH("AAPL US Equity","NET_INCOME_TO_COMMON_MARGIN","FQ1 2012","FQ1 2012","Currency=USD","Period=FQ","BEST_FPERIOD_OVERRIDE=FQ","FILING_STATUS=MR","FA_ADJUSTED=GAAP","Sort=A","Dates=H","DateFormat=P","Fill=—","Direction=H","UseDPDF=Y")</f>
        <v>28.195900000000002</v>
      </c>
      <c r="F24" s="21">
        <f>_xll.BDH("AAPL US Equity","NET_INCOME_TO_COMMON_MARGIN","FQ2 2012","FQ2 2012","Currency=USD","Period=FQ","BEST_FPERIOD_OVERRIDE=FQ","FILING_STATUS=MR","FA_ADJUSTED=GAAP","Sort=A","Dates=H","DateFormat=P","Fill=—","Direction=H","UseDPDF=Y")</f>
        <v>29.6586</v>
      </c>
      <c r="G24" s="21">
        <f>_xll.BDH("AAPL US Equity","NET_INCOME_TO_COMMON_MARGIN","FQ3 2012","FQ3 2012","Currency=USD","Period=FQ","BEST_FPERIOD_OVERRIDE=FQ","FILING_STATUS=MR","FA_ADJUSTED=GAAP","Sort=A","Dates=H","DateFormat=P","Fill=—","Direction=H","UseDPDF=Y")</f>
        <v>25.194900000000001</v>
      </c>
      <c r="H24" s="21">
        <f>_xll.BDH("AAPL US Equity","NET_INCOME_TO_COMMON_MARGIN","FQ4 2012","FQ4 2012","Currency=USD","Period=FQ","BEST_FPERIOD_OVERRIDE=FQ","FILING_STATUS=MR","FA_ADJUSTED=GAAP","Sort=A","Dates=H","DateFormat=P","Fill=—","Direction=H","UseDPDF=Y")</f>
        <v>22.863299999999999</v>
      </c>
      <c r="I24" s="21">
        <f>_xll.BDH("AAPL US Equity","NET_INCOME_TO_COMMON_MARGIN","FQ1 2013","FQ1 2013","Currency=USD","Period=FQ","BEST_FPERIOD_OVERRIDE=FQ","FILING_STATUS=MR","FA_ADJUSTED=GAAP","Sort=A","Dates=H","DateFormat=P","Fill=—","Direction=H","UseDPDF=Y")</f>
        <v>23.991</v>
      </c>
      <c r="J24" s="21">
        <f>_xll.BDH("AAPL US Equity","NET_INCOME_TO_COMMON_MARGIN","FQ2 2013","FQ2 2013","Currency=USD","Period=FQ","BEST_FPERIOD_OVERRIDE=FQ","FILING_STATUS=MR","FA_ADJUSTED=GAAP","Sort=A","Dates=H","DateFormat=P","Fill=—","Direction=H","UseDPDF=Y")</f>
        <v>21.895299999999999</v>
      </c>
      <c r="K24" s="21">
        <f>_xll.BDH("AAPL US Equity","NET_INCOME_TO_COMMON_MARGIN","FQ3 2013","FQ3 2013","Currency=USD","Period=FQ","BEST_FPERIOD_OVERRIDE=FQ","FILING_STATUS=MR","FA_ADJUSTED=GAAP","Sort=A","Dates=H","DateFormat=P","Fill=—","Direction=H","UseDPDF=Y")</f>
        <v>19.533999999999999</v>
      </c>
      <c r="L24" s="21">
        <f>_xll.BDH("AAPL US Equity","NET_INCOME_TO_COMMON_MARGIN","FQ4 2013","FQ4 2013","Currency=USD","Period=FQ","BEST_FPERIOD_OVERRIDE=FQ","FILING_STATUS=MR","FA_ADJUSTED=GAAP","Sort=A","Dates=H","DateFormat=P","Fill=—","Direction=H","UseDPDF=Y")</f>
        <v>20.047000000000001</v>
      </c>
      <c r="M24" s="21">
        <f>_xll.BDH("AAPL US Equity","NET_INCOME_TO_COMMON_MARGIN","FQ1 2014","FQ1 2014","Currency=USD","Period=FQ","BEST_FPERIOD_OVERRIDE=FQ","FILING_STATUS=MR","FA_ADJUSTED=GAAP","Sort=A","Dates=H","DateFormat=P","Fill=—","Direction=H","UseDPDF=Y")</f>
        <v>22.6968</v>
      </c>
      <c r="N24" s="21">
        <f>_xll.BDH("AAPL US Equity","NET_INCOME_TO_COMMON_MARGIN","FQ2 2014","FQ2 2014","Currency=USD","Period=FQ","BEST_FPERIOD_OVERRIDE=FQ","FILING_STATUS=MR","FA_ADJUSTED=GAAP","Sort=A","Dates=H","DateFormat=P","Fill=—","Direction=H","UseDPDF=Y")</f>
        <v>22.3963</v>
      </c>
      <c r="O24" s="21">
        <f>_xll.BDH("AAPL US Equity","NET_INCOME_TO_COMMON_MARGIN","FQ3 2014","FQ3 2014","Currency=USD","Period=FQ","BEST_FPERIOD_OVERRIDE=FQ","FILING_STATUS=MR","FA_ADJUSTED=GAAP","Sort=A","Dates=H","DateFormat=P","Fill=—","Direction=H","UseDPDF=Y")</f>
        <v>20.698899999999998</v>
      </c>
      <c r="P24" s="21">
        <f>_xll.BDH("AAPL US Equity","NET_INCOME_TO_COMMON_MARGIN","FQ4 2014","FQ4 2014","Currency=USD","Period=FQ","BEST_FPERIOD_OVERRIDE=FQ","FILING_STATUS=MR","FA_ADJUSTED=GAAP","Sort=A","Dates=H","DateFormat=P","Fill=—","Direction=H","UseDPDF=Y")</f>
        <v>20.1007</v>
      </c>
      <c r="Q24" s="21">
        <f>_xll.BDH("AAPL US Equity","NET_INCOME_TO_COMMON_MARGIN","FQ1 2015","FQ1 2015","Currency=USD","Period=FQ","BEST_FPERIOD_OVERRIDE=FQ","FILING_STATUS=MR","FA_ADJUSTED=GAAP","Sort=A","Dates=H","DateFormat=P","Fill=—","Direction=H","UseDPDF=Y")</f>
        <v>24.161200000000001</v>
      </c>
      <c r="R24" s="21">
        <f>_xll.BDH("AAPL US Equity","NET_INCOME_TO_COMMON_MARGIN","FQ2 2015","FQ2 2015","Currency=USD","Period=FQ","BEST_FPERIOD_OVERRIDE=FQ","FILING_STATUS=MR","FA_ADJUSTED=GAAP","Sort=A","Dates=H","DateFormat=P","Fill=—","Direction=H","UseDPDF=Y")</f>
        <v>23.390799999999999</v>
      </c>
      <c r="S24" s="21">
        <f>_xll.BDH("AAPL US Equity","NET_INCOME_TO_COMMON_MARGIN","FQ3 2015","FQ3 2015","Currency=USD","Period=FQ","BEST_FPERIOD_OVERRIDE=FQ","FILING_STATUS=MR","FA_ADJUSTED=GAAP","Sort=A","Dates=H","DateFormat=P","Fill=—","Direction=H","UseDPDF=Y")</f>
        <v>21.524000000000001</v>
      </c>
      <c r="T24" s="21">
        <f>_xll.BDH("AAPL US Equity","NET_INCOME_TO_COMMON_MARGIN","FQ4 2015","FQ4 2015","Currency=USD","Period=FQ","BEST_FPERIOD_OVERRIDE=FQ","FILING_STATUS=MR","FA_ADJUSTED=GAAP","Sort=A","Dates=H","DateFormat=P","Fill=—","Direction=H","UseDPDF=Y")</f>
        <v>21.599599999999999</v>
      </c>
      <c r="U24" s="21">
        <f>_xll.BDH("AAPL US Equity","NET_INCOME_TO_COMMON_MARGIN","FQ1 2016","FQ1 2016","Currency=USD","Period=FQ","BEST_FPERIOD_OVERRIDE=FQ","FILING_STATUS=MR","FA_ADJUSTED=GAAP","Sort=A","Dates=H","DateFormat=P","Fill=—","Direction=H","UseDPDF=Y")</f>
        <v>24.2</v>
      </c>
      <c r="V24" s="21">
        <f>_xll.BDH("AAPL US Equity","NET_INCOME_TO_COMMON_MARGIN","FQ2 2016","FQ2 2016","Currency=USD","Period=FQ","BEST_FPERIOD_OVERRIDE=FQ","FILING_STATUS=MR","FA_ADJUSTED=GAAP","Sort=A","Dates=H","DateFormat=P","Fill=—","Direction=H","UseDPDF=Y")</f>
        <v>20.8003</v>
      </c>
      <c r="W24" s="21">
        <f>_xll.BDH("AAPL US Equity","NET_INCOME_TO_COMMON_MARGIN","FQ3 2016","FQ3 2016","Currency=USD","Period=FQ","BEST_FPERIOD_OVERRIDE=FQ","FILING_STATUS=MR","FA_ADJUSTED=GAAP","Sort=A","Dates=H","DateFormat=P","Fill=—","Direction=H","UseDPDF=Y")</f>
        <v>18.405000000000001</v>
      </c>
      <c r="X24" s="21">
        <f>_xll.BDH("AAPL US Equity","NET_INCOME_TO_COMMON_MARGIN","FQ4 2016","FQ4 2016","Currency=USD","Period=FQ","BEST_FPERIOD_OVERRIDE=FQ","FILING_STATUS=MR","FA_ADJUSTED=GAAP","Sort=A","Dates=H","DateFormat=P","Fill=—","Direction=H","UseDPDF=Y")</f>
        <v>19.2393</v>
      </c>
      <c r="Y24" s="21">
        <f>_xll.BDH("AAPL US Equity","NET_INCOME_TO_COMMON_MARGIN","FQ1 2017","FQ1 2017","Currency=USD","Period=FQ","BEST_FPERIOD_OVERRIDE=FQ","FILING_STATUS=MR","FA_ADJUSTED=GAAP","Sort=A","Dates=H","DateFormat=P","Fill=—","Direction=H","UseDPDF=Y")</f>
        <v>22.834399999999999</v>
      </c>
      <c r="Z24" s="21">
        <f>_xll.BDH("AAPL US Equity","NET_INCOME_TO_COMMON_MARGIN","FQ2 2017","FQ2 2017","Currency=USD","Period=FQ","BEST_FPERIOD_OVERRIDE=FQ","FILING_STATUS=MR","FA_ADJUSTED=GAAP","Sort=A","Dates=H","DateFormat=P","Fill=—","Direction=H","UseDPDF=Y")</f>
        <v>20.850300000000001</v>
      </c>
      <c r="AA24" s="21">
        <f>_xll.BDH("AAPL US Equity","NET_INCOME_TO_COMMON_MARGIN","FQ3 2017","FQ3 2017","Currency=USD","Period=FQ","BEST_FPERIOD_OVERRIDE=FQ","FILING_STATUS=MR","FA_ADJUSTED=GAAP","Sort=A","Dates=H","DateFormat=P","Fill=—","Direction=H","UseDPDF=Y")</f>
        <v>19.197099999999999</v>
      </c>
      <c r="AB24" s="21">
        <f>_xll.BDH("AAPL US Equity","NET_INCOME_TO_COMMON_MARGIN","FQ4 2017","FQ4 2017","Currency=USD","Period=FQ","BEST_FPERIOD_OVERRIDE=FQ","FILING_STATUS=MR","FA_ADJUSTED=GAAP","Sort=A","Dates=H","DateFormat=P","Fill=—","Direction=H","UseDPDF=Y")</f>
        <v>20.376999999999999</v>
      </c>
      <c r="AC24" s="21">
        <f>_xll.BDH("AAPL US Equity","NET_INCOME_TO_COMMON_MARGIN","FQ1 2018","FQ1 2018","Currency=USD","Period=FQ","BEST_FPERIOD_OVERRIDE=FQ","FILING_STATUS=MR","FA_ADJUSTED=GAAP","Sort=A","Dates=H","DateFormat=P","Fill=—","Direction=H","UseDPDF=Y")</f>
        <v>22.7255</v>
      </c>
      <c r="AD24" s="21">
        <f>_xll.BDH("AAPL US Equity","NET_INCOME_TO_COMMON_MARGIN","FQ2 2018","FQ2 2018","Currency=USD","Period=FQ","BEST_FPERIOD_OVERRIDE=FQ","FILING_STATUS=MR","FA_ADJUSTED=GAAP","Sort=A","Dates=H","DateFormat=P","Fill=—","Direction=H","UseDPDF=Y")</f>
        <v>22.6082</v>
      </c>
      <c r="AE24" s="21">
        <f>_xll.BDH("AAPL US Equity","NET_INCOME_TO_COMMON_MARGIN","FQ3 2018","FQ3 2018","Currency=USD","Period=FQ","BEST_FPERIOD_OVERRIDE=FQ","FILING_STATUS=MR","FA_ADJUSTED=GAAP","Sort=A","Dates=H","DateFormat=P","Fill=—","Direction=H","UseDPDF=Y")</f>
        <v>21.625800000000002</v>
      </c>
      <c r="AF24" s="21">
        <f>_xll.BDH("AAPL US Equity","NET_INCOME_TO_COMMON_MARGIN","FQ4 2018","FQ4 2018","Currency=USD","Period=FQ","BEST_FPERIOD_OVERRIDE=FQ","FILING_STATUS=MR","FA_ADJUSTED=GAAP","Sort=A","Dates=H","DateFormat=P","Fill=—","Direction=H","UseDPDF=Y")</f>
        <v>22.456299999999999</v>
      </c>
      <c r="AG24" s="21">
        <f>_xll.BDH("AAPL US Equity","NET_INCOME_TO_COMMON_MARGIN","FQ1 2019","FQ1 2019","Currency=USD","Period=FQ","BEST_FPERIOD_OVERRIDE=FQ","FILING_STATUS=MR","FA_ADJUSTED=GAAP","Sort=A","Dates=H","DateFormat=P","Fill=—","Direction=H","UseDPDF=Y")</f>
        <v>23.680499999999999</v>
      </c>
      <c r="AH24" s="21">
        <f>_xll.BDH("AAPL US Equity","NET_INCOME_TO_COMMON_MARGIN","FQ2 2019","FQ2 2019","Currency=USD","Period=FQ","BEST_FPERIOD_OVERRIDE=FQ","FILING_STATUS=MR","FA_ADJUSTED=GAAP","Sort=A","Dates=H","DateFormat=P","Fill=—","Direction=H","UseDPDF=Y")</f>
        <v>19.927599999999998</v>
      </c>
      <c r="AI24" s="21">
        <f>_xll.BDH("AAPL US Equity","NET_INCOME_TO_COMMON_MARGIN","FQ3 2019","FQ3 2019","Currency=USD","Period=FQ","BEST_FPERIOD_OVERRIDE=FQ","FILING_STATUS=MR","FA_ADJUSTED=GAAP","Sort=A","Dates=H","DateFormat=P","Fill=—","Direction=H","UseDPDF=Y")</f>
        <v>18.666</v>
      </c>
      <c r="AJ24" s="21">
        <f>_xll.BDH("AAPL US Equity","NET_INCOME_TO_COMMON_MARGIN","FQ4 2019","FQ4 2019","Currency=USD","Period=FQ","BEST_FPERIOD_OVERRIDE=FQ","FILING_STATUS=MR","FA_ADJUSTED=GAAP","Sort=A","Dates=H","DateFormat=P","Fill=—","Direction=H","UseDPDF=Y")</f>
        <v>21.370999999999999</v>
      </c>
      <c r="AK24" s="21">
        <f>_xll.BDH("AAPL US Equity","NET_INCOME_TO_COMMON_MARGIN","FQ1 2020","FQ1 2020","Currency=USD","Period=FQ","BEST_FPERIOD_OVERRIDE=FQ","FILING_STATUS=MR","FA_ADJUSTED=GAAP","Sort=A","Dates=H","DateFormat=P","Fill=—","Direction=H","UseDPDF=Y")</f>
        <v>24.217199999999998</v>
      </c>
      <c r="AL24" s="21">
        <f>_xll.BDH("AAPL US Equity","NET_INCOME_TO_COMMON_MARGIN","FQ2 2020","FQ2 2020","Currency=USD","Period=FQ","BEST_FPERIOD_OVERRIDE=FQ","FILING_STATUS=MR","FA_ADJUSTED=GAAP","Sort=A","Dates=H","DateFormat=P","Fill=—","Direction=H","UseDPDF=Y")</f>
        <v>19.290700000000001</v>
      </c>
      <c r="AM24" s="21">
        <f>_xll.BDH("AAPL US Equity","NET_INCOME_TO_COMMON_MARGIN","FQ3 2020","FQ3 2020","Currency=USD","Period=FQ","BEST_FPERIOD_OVERRIDE=FQ","FILING_STATUS=MR","FA_ADJUSTED=GAAP","Sort=A","Dates=H","DateFormat=P","Fill=—","Direction=H","UseDPDF=Y")</f>
        <v>18.853999999999999</v>
      </c>
      <c r="AN24" s="21">
        <f>_xll.BDH("AAPL US Equity","NET_INCOME_TO_COMMON_MARGIN","FQ4 2020","FQ4 2020","Currency=USD","Period=FQ","BEST_FPERIOD_OVERRIDE=FQ","FILING_STATUS=MR","FA_ADJUSTED=GAAP","Sort=A","Dates=H","DateFormat=P","Fill=—","Direction=H","UseDPDF=Y")</f>
        <v>19.587900000000001</v>
      </c>
      <c r="AO24" s="21">
        <f>_xll.BDH("AAPL US Equity","NET_INCOME_TO_COMMON_MARGIN","FQ1 2021","FQ1 2021","Currency=USD","Period=FQ","BEST_FPERIOD_OVERRIDE=FQ","FILING_STATUS=MR","FA_ADJUSTED=GAAP","Sort=A","Dates=H","DateFormat=P","Fill=—","Direction=H","UseDPDF=Y")</f>
        <v>25.8034</v>
      </c>
      <c r="AP24" s="21">
        <f>_xll.BDH("AAPL US Equity","NET_INCOME_TO_COMMON_MARGIN","FQ2 2021","FQ2 2021","Currency=USD","Period=FQ","BEST_FPERIOD_OVERRIDE=FQ","FILING_STATUS=MR","FA_ADJUSTED=GAAP","Sort=A","Dates=H","DateFormat=P","Fill=—","Direction=H","UseDPDF=Y")</f>
        <v>26.377500000000001</v>
      </c>
    </row>
    <row r="25" spans="1:42" x14ac:dyDescent="0.25">
      <c r="A25" s="18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</row>
    <row r="26" spans="1:42" x14ac:dyDescent="0.25">
      <c r="A26" s="14" t="s">
        <v>115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</row>
    <row r="27" spans="1:42" x14ac:dyDescent="0.25">
      <c r="A27" s="18" t="s">
        <v>116</v>
      </c>
      <c r="B27" s="18" t="s">
        <v>117</v>
      </c>
      <c r="C27" s="21">
        <f>_xll.BDH("AAPL US Equity","EFF_TAX_RATE","FQ3 2011","FQ3 2011","Currency=USD","Period=FQ","BEST_FPERIOD_OVERRIDE=FQ","FILING_STATUS=MR","FA_ADJUSTED=GAAP","Sort=A","Dates=H","DateFormat=P","Fill=—","Direction=H","UseDPDF=Y")</f>
        <v>23.484500000000001</v>
      </c>
      <c r="D27" s="21">
        <f>_xll.BDH("AAPL US Equity","EFF_TAX_RATE","FQ4 2011","FQ4 2011","Currency=USD","Period=FQ","BEST_FPERIOD_OVERRIDE=FQ","FILING_STATUS=MR","FA_ADJUSTED=GAAP","Sort=A","Dates=H","DateFormat=P","Fill=—","Direction=H","UseDPDF=Y")</f>
        <v>24.6616</v>
      </c>
      <c r="E27" s="21">
        <f>_xll.BDH("AAPL US Equity","EFF_TAX_RATE","FQ1 2012","FQ1 2012","Currency=USD","Period=FQ","BEST_FPERIOD_OVERRIDE=FQ","FILING_STATUS=MR","FA_ADJUSTED=GAAP","Sort=A","Dates=H","DateFormat=P","Fill=—","Direction=H","UseDPDF=Y")</f>
        <v>25.250299999999999</v>
      </c>
      <c r="F27" s="21">
        <f>_xll.BDH("AAPL US Equity","EFF_TAX_RATE","FQ2 2012","FQ2 2012","Currency=USD","Period=FQ","BEST_FPERIOD_OVERRIDE=FQ","FILING_STATUS=MR","FA_ADJUSTED=GAAP","Sort=A","Dates=H","DateFormat=P","Fill=—","Direction=H","UseDPDF=Y")</f>
        <v>25.1738</v>
      </c>
      <c r="G27" s="21">
        <f>_xll.BDH("AAPL US Equity","EFF_TAX_RATE","FQ3 2012","FQ3 2012","Currency=USD","Period=FQ","BEST_FPERIOD_OVERRIDE=FQ","FILING_STATUS=MR","FA_ADJUSTED=GAAP","Sort=A","Dates=H","DateFormat=P","Fill=—","Direction=H","UseDPDF=Y")</f>
        <v>25.604900000000001</v>
      </c>
      <c r="H27" s="21">
        <f>_xll.BDH("AAPL US Equity","EFF_TAX_RATE","FQ4 2012","FQ4 2012","Currency=USD","Period=FQ","BEST_FPERIOD_OVERRIDE=FQ","FILING_STATUS=MR","FA_ADJUSTED=GAAP","Sort=A","Dates=H","DateFormat=P","Fill=—","Direction=H","UseDPDF=Y")</f>
        <v>24.511199999999999</v>
      </c>
      <c r="I27" s="21">
        <f>_xll.BDH("AAPL US Equity","EFF_TAX_RATE","FQ1 2013","FQ1 2013","Currency=USD","Period=FQ","BEST_FPERIOD_OVERRIDE=FQ","FILING_STATUS=MR","FA_ADJUSTED=GAAP","Sort=A","Dates=H","DateFormat=P","Fill=—","Direction=H","UseDPDF=Y")</f>
        <v>25.995899999999999</v>
      </c>
      <c r="J27" s="21">
        <f>_xll.BDH("AAPL US Equity","EFF_TAX_RATE","FQ2 2013","FQ2 2013","Currency=USD","Period=FQ","BEST_FPERIOD_OVERRIDE=FQ","FILING_STATUS=MR","FA_ADJUSTED=GAAP","Sort=A","Dates=H","DateFormat=P","Fill=—","Direction=H","UseDPDF=Y")</f>
        <v>26.020900000000001</v>
      </c>
      <c r="K27" s="21">
        <f>_xll.BDH("AAPL US Equity","EFF_TAX_RATE","FQ3 2013","FQ3 2013","Currency=USD","Period=FQ","BEST_FPERIOD_OVERRIDE=FQ","FILING_STATUS=MR","FA_ADJUSTED=GAAP","Sort=A","Dates=H","DateFormat=P","Fill=—","Direction=H","UseDPDF=Y")</f>
        <v>26.867999999999999</v>
      </c>
      <c r="L27" s="21">
        <f>_xll.BDH("AAPL US Equity","EFF_TAX_RATE","FQ4 2013","FQ4 2013","Currency=USD","Period=FQ","BEST_FPERIOD_OVERRIDE=FQ","FILING_STATUS=MR","FA_ADJUSTED=GAAP","Sort=A","Dates=H","DateFormat=P","Fill=—","Direction=H","UseDPDF=Y")</f>
        <v>25.9391</v>
      </c>
      <c r="M27" s="21">
        <f>_xll.BDH("AAPL US Equity","EFF_TAX_RATE","FQ1 2014","FQ1 2014","Currency=USD","Period=FQ","BEST_FPERIOD_OVERRIDE=FQ","FILING_STATUS=MR","FA_ADJUSTED=GAAP","Sort=A","Dates=H","DateFormat=P","Fill=—","Direction=H","UseDPDF=Y")</f>
        <v>26.1844</v>
      </c>
      <c r="N27" s="21">
        <f>_xll.BDH("AAPL US Equity","EFF_TAX_RATE","FQ2 2014","FQ2 2014","Currency=USD","Period=FQ","BEST_FPERIOD_OVERRIDE=FQ","FILING_STATUS=MR","FA_ADJUSTED=GAAP","Sort=A","Dates=H","DateFormat=P","Fill=—","Direction=H","UseDPDF=Y")</f>
        <v>26.0168</v>
      </c>
      <c r="O27" s="21">
        <f>_xll.BDH("AAPL US Equity","EFF_TAX_RATE","FQ3 2014","FQ3 2014","Currency=USD","Period=FQ","BEST_FPERIOD_OVERRIDE=FQ","FILING_STATUS=MR","FA_ADJUSTED=GAAP","Sort=A","Dates=H","DateFormat=P","Fill=—","Direction=H","UseDPDF=Y")</f>
        <v>26.096900000000002</v>
      </c>
      <c r="P27" s="21">
        <f>_xll.BDH("AAPL US Equity","EFF_TAX_RATE","FQ4 2014","FQ4 2014","Currency=USD","Period=FQ","BEST_FPERIOD_OVERRIDE=FQ","FILING_STATUS=MR","FA_ADJUSTED=GAAP","Sort=A","Dates=H","DateFormat=P","Fill=—","Direction=H","UseDPDF=Y")</f>
        <v>26.194199999999999</v>
      </c>
      <c r="Q27" s="21">
        <f>_xll.BDH("AAPL US Equity","EFF_TAX_RATE","FQ1 2015","FQ1 2015","Currency=USD","Period=FQ","BEST_FPERIOD_OVERRIDE=FQ","FILING_STATUS=MR","FA_ADJUSTED=GAAP","Sort=A","Dates=H","DateFormat=P","Fill=—","Direction=H","UseDPDF=Y")</f>
        <v>26.179600000000001</v>
      </c>
      <c r="R27" s="21">
        <f>_xll.BDH("AAPL US Equity","EFF_TAX_RATE","FQ2 2015","FQ2 2015","Currency=USD","Period=FQ","BEST_FPERIOD_OVERRIDE=FQ","FILING_STATUS=MR","FA_ADJUSTED=GAAP","Sort=A","Dates=H","DateFormat=P","Fill=—","Direction=H","UseDPDF=Y")</f>
        <v>26.9069</v>
      </c>
      <c r="S27" s="21">
        <f>_xll.BDH("AAPL US Equity","EFF_TAX_RATE","FQ3 2015","FQ3 2015","Currency=USD","Period=FQ","BEST_FPERIOD_OVERRIDE=FQ","FILING_STATUS=MR","FA_ADJUSTED=GAAP","Sort=A","Dates=H","DateFormat=P","Fill=—","Direction=H","UseDPDF=Y")</f>
        <v>26.228100000000001</v>
      </c>
      <c r="T27" s="21">
        <f>_xll.BDH("AAPL US Equity","EFF_TAX_RATE","FQ4 2015","FQ4 2015","Currency=USD","Period=FQ","BEST_FPERIOD_OVERRIDE=FQ","FILING_STATUS=MR","FA_ADJUSTED=GAAP","Sort=A","Dates=H","DateFormat=P","Fill=—","Direction=H","UseDPDF=Y")</f>
        <v>26.145299999999999</v>
      </c>
      <c r="U27" s="21">
        <f>_xll.BDH("AAPL US Equity","EFF_TAX_RATE","FQ1 2016","FQ1 2016","Currency=USD","Period=FQ","BEST_FPERIOD_OVERRIDE=FQ","FILING_STATUS=MR","FA_ADJUSTED=GAAP","Sort=A","Dates=H","DateFormat=P","Fill=—","Direction=H","UseDPDF=Y")</f>
        <v>25.279800000000002</v>
      </c>
      <c r="V27" s="21">
        <f>_xll.BDH("AAPL US Equity","EFF_TAX_RATE","FQ2 2016","FQ2 2016","Currency=USD","Period=FQ","BEST_FPERIOD_OVERRIDE=FQ","FILING_STATUS=MR","FA_ADJUSTED=GAAP","Sort=A","Dates=H","DateFormat=P","Fill=—","Direction=H","UseDPDF=Y")</f>
        <v>25.639900000000001</v>
      </c>
      <c r="W27" s="21">
        <f>_xll.BDH("AAPL US Equity","EFF_TAX_RATE","FQ3 2016","FQ3 2016","Currency=USD","Period=FQ","BEST_FPERIOD_OVERRIDE=FQ","FILING_STATUS=MR","FA_ADJUSTED=GAAP","Sort=A","Dates=H","DateFormat=P","Fill=—","Direction=H","UseDPDF=Y")</f>
        <v>25.532499999999999</v>
      </c>
      <c r="X27" s="21">
        <f>_xll.BDH("AAPL US Equity","EFF_TAX_RATE","FQ4 2016","FQ4 2016","Currency=USD","Period=FQ","BEST_FPERIOD_OVERRIDE=FQ","FILING_STATUS=MR","FA_ADJUSTED=GAAP","Sort=A","Dates=H","DateFormat=P","Fill=—","Direction=H","UseDPDF=Y")</f>
        <v>26.042000000000002</v>
      </c>
      <c r="Y27" s="21">
        <f>_xll.BDH("AAPL US Equity","EFF_TAX_RATE","FQ1 2017","FQ1 2017","Currency=USD","Period=FQ","BEST_FPERIOD_OVERRIDE=FQ","FILING_STATUS=MR","FA_ADJUSTED=GAAP","Sort=A","Dates=H","DateFormat=P","Fill=—","Direction=H","UseDPDF=Y")</f>
        <v>26.0091</v>
      </c>
      <c r="Z27" s="21">
        <f>_xll.BDH("AAPL US Equity","EFF_TAX_RATE","FQ2 2017","FQ2 2017","Currency=USD","Period=FQ","BEST_FPERIOD_OVERRIDE=FQ","FILING_STATUS=MR","FA_ADJUSTED=GAAP","Sort=A","Dates=H","DateFormat=P","Fill=—","Direction=H","UseDPDF=Y")</f>
        <v>24.890999999999998</v>
      </c>
      <c r="AA27" s="21">
        <f>_xll.BDH("AAPL US Equity","EFF_TAX_RATE","FQ3 2017","FQ3 2017","Currency=USD","Period=FQ","BEST_FPERIOD_OVERRIDE=FQ","FILING_STATUS=MR","FA_ADJUSTED=GAAP","Sort=A","Dates=H","DateFormat=P","Fill=—","Direction=H","UseDPDF=Y")</f>
        <v>22.913</v>
      </c>
      <c r="AB27" s="21">
        <f>_xll.BDH("AAPL US Equity","EFF_TAX_RATE","FQ4 2017","FQ4 2017","Currency=USD","Period=FQ","BEST_FPERIOD_OVERRIDE=FQ","FILING_STATUS=MR","FA_ADJUSTED=GAAP","Sort=A","Dates=H","DateFormat=P","Fill=—","Direction=H","UseDPDF=Y")</f>
        <v>23.015000000000001</v>
      </c>
      <c r="AC27" s="21">
        <f>_xll.BDH("AAPL US Equity","EFF_TAX_RATE","FQ1 2018","FQ1 2018","Currency=USD","Period=FQ","BEST_FPERIOD_OVERRIDE=FQ","FILING_STATUS=MR","FA_ADJUSTED=GAAP","Sort=A","Dates=H","DateFormat=P","Fill=—","Direction=H","UseDPDF=Y")</f>
        <v>25.767700000000001</v>
      </c>
      <c r="AD27" s="21">
        <f>_xll.BDH("AAPL US Equity","EFF_TAX_RATE","FQ2 2018","FQ2 2018","Currency=USD","Period=FQ","BEST_FPERIOD_OVERRIDE=FQ","FILING_STATUS=MR","FA_ADJUSTED=GAAP","Sort=A","Dates=H","DateFormat=P","Fill=—","Direction=H","UseDPDF=Y")</f>
        <v>14.5101</v>
      </c>
      <c r="AE27" s="21">
        <f>_xll.BDH("AAPL US Equity","EFF_TAX_RATE","FQ3 2018","FQ3 2018","Currency=USD","Period=FQ","BEST_FPERIOD_OVERRIDE=FQ","FILING_STATUS=MR","FA_ADJUSTED=GAAP","Sort=A","Dates=H","DateFormat=P","Fill=—","Direction=H","UseDPDF=Y")</f>
        <v>13.2867</v>
      </c>
      <c r="AF27" s="21">
        <f>_xll.BDH("AAPL US Equity","EFF_TAX_RATE","FQ4 2018","FQ4 2018","Currency=USD","Period=FQ","BEST_FPERIOD_OVERRIDE=FQ","FILING_STATUS=MR","FA_ADJUSTED=GAAP","Sort=A","Dates=H","DateFormat=P","Fill=—","Direction=H","UseDPDF=Y")</f>
        <v>13.982099999999999</v>
      </c>
      <c r="AG27" s="21">
        <f>_xll.BDH("AAPL US Equity","EFF_TAX_RATE","FQ1 2019","FQ1 2019","Currency=USD","Period=FQ","BEST_FPERIOD_OVERRIDE=FQ","FILING_STATUS=MR","FA_ADJUSTED=GAAP","Sort=A","Dates=H","DateFormat=P","Fill=—","Direction=H","UseDPDF=Y")</f>
        <v>16.485399999999998</v>
      </c>
      <c r="AH27" s="21">
        <f>_xll.BDH("AAPL US Equity","EFF_TAX_RATE","FQ2 2019","FQ2 2019","Currency=USD","Period=FQ","BEST_FPERIOD_OVERRIDE=FQ","FILING_STATUS=MR","FA_ADJUSTED=GAAP","Sort=A","Dates=H","DateFormat=P","Fill=—","Direction=H","UseDPDF=Y")</f>
        <v>16.182099999999998</v>
      </c>
      <c r="AI27" s="21">
        <f>_xll.BDH("AAPL US Equity","EFF_TAX_RATE","FQ3 2019","FQ3 2019","Currency=USD","Period=FQ","BEST_FPERIOD_OVERRIDE=FQ","FILING_STATUS=MR","FA_ADJUSTED=GAAP","Sort=A","Dates=H","DateFormat=P","Fill=—","Direction=H","UseDPDF=Y")</f>
        <v>15.6746</v>
      </c>
      <c r="AJ27" s="21">
        <f>_xll.BDH("AAPL US Equity","EFF_TAX_RATE","FQ4 2019","FQ4 2019","Currency=USD","Period=FQ","BEST_FPERIOD_OVERRIDE=FQ","FILING_STATUS=MR","FA_ADJUSTED=GAAP","Sort=A","Dates=H","DateFormat=P","Fill=—","Direction=H","UseDPDF=Y")</f>
        <v>15.136100000000001</v>
      </c>
      <c r="AK27" s="21">
        <f>_xll.BDH("AAPL US Equity","EFF_TAX_RATE","FQ1 2020","FQ1 2020","Currency=USD","Period=FQ","BEST_FPERIOD_OVERRIDE=FQ","FILING_STATUS=MR","FA_ADJUSTED=GAAP","Sort=A","Dates=H","DateFormat=P","Fill=—","Direction=H","UseDPDF=Y")</f>
        <v>14.206300000000001</v>
      </c>
      <c r="AL27" s="21">
        <f>_xll.BDH("AAPL US Equity","EFF_TAX_RATE","FQ2 2020","FQ2 2020","Currency=USD","Period=FQ","BEST_FPERIOD_OVERRIDE=FQ","FILING_STATUS=MR","FA_ADJUSTED=GAAP","Sort=A","Dates=H","DateFormat=P","Fill=—","Direction=H","UseDPDF=Y")</f>
        <v>14.358599999999999</v>
      </c>
      <c r="AM27" s="21">
        <f>_xll.BDH("AAPL US Equity","EFF_TAX_RATE","FQ3 2020","FQ3 2020","Currency=USD","Period=FQ","BEST_FPERIOD_OVERRIDE=FQ","FILING_STATUS=MR","FA_ADJUSTED=GAAP","Sort=A","Dates=H","DateFormat=P","Fill=—","Direction=H","UseDPDF=Y")</f>
        <v>14.341200000000001</v>
      </c>
      <c r="AN27" s="21">
        <f>_xll.BDH("AAPL US Equity","EFF_TAX_RATE","FQ4 2020","FQ4 2020","Currency=USD","Period=FQ","BEST_FPERIOD_OVERRIDE=FQ","FILING_STATUS=MR","FA_ADJUSTED=GAAP","Sort=A","Dates=H","DateFormat=P","Fill=—","Direction=H","UseDPDF=Y")</f>
        <v>14.952</v>
      </c>
      <c r="AO27" s="21">
        <f>_xll.BDH("AAPL US Equity","EFF_TAX_RATE","FQ1 2021","FQ1 2021","Currency=USD","Period=FQ","BEST_FPERIOD_OVERRIDE=FQ","FILING_STATUS=MR","FA_ADJUSTED=GAAP","Sort=A","Dates=H","DateFormat=P","Fill=—","Direction=H","UseDPDF=Y")</f>
        <v>14.366099999999999</v>
      </c>
      <c r="AP27" s="21">
        <f>_xll.BDH("AAPL US Equity","EFF_TAX_RATE","FQ2 2021","FQ2 2021","Currency=USD","Period=FQ","BEST_FPERIOD_OVERRIDE=FQ","FILING_STATUS=MR","FA_ADJUSTED=GAAP","Sort=A","Dates=H","DateFormat=P","Fill=—","Direction=H","UseDPDF=Y")</f>
        <v>15.6403</v>
      </c>
    </row>
    <row r="28" spans="1:42" x14ac:dyDescent="0.25">
      <c r="A28" s="18" t="s">
        <v>118</v>
      </c>
      <c r="B28" s="18" t="s">
        <v>119</v>
      </c>
      <c r="C28" s="21">
        <f>_xll.BDH("AAPL US Equity","DVD_PAYOUT_RATIO","FQ3 2011","FQ3 2011","Currency=USD","Period=FQ","BEST_FPERIOD_OVERRIDE=FQ","FILING_STATUS=MR","FA_ADJUSTED=GAAP","Sort=A","Dates=H","DateFormat=P","Fill=—","Direction=H","UseDPDF=Y")</f>
        <v>0</v>
      </c>
      <c r="D28" s="21">
        <f>_xll.BDH("AAPL US Equity","DVD_PAYOUT_RATIO","FQ4 2011","FQ4 2011","Currency=USD","Period=FQ","BEST_FPERIOD_OVERRIDE=FQ","FILING_STATUS=MR","FA_ADJUSTED=GAAP","Sort=A","Dates=H","DateFormat=P","Fill=—","Direction=H","UseDPDF=Y")</f>
        <v>0</v>
      </c>
      <c r="E28" s="21">
        <f>_xll.BDH("AAPL US Equity","DVD_PAYOUT_RATIO","FQ1 2012","FQ1 2012","Currency=USD","Period=FQ","BEST_FPERIOD_OVERRIDE=FQ","FILING_STATUS=MR","FA_ADJUSTED=GAAP","Sort=A","Dates=H","DateFormat=P","Fill=—","Direction=H","UseDPDF=Y")</f>
        <v>0</v>
      </c>
      <c r="F28" s="21">
        <f>_xll.BDH("AAPL US Equity","DVD_PAYOUT_RATIO","FQ2 2012","FQ2 2012","Currency=USD","Period=FQ","BEST_FPERIOD_OVERRIDE=FQ","FILING_STATUS=MR","FA_ADJUSTED=GAAP","Sort=A","Dates=H","DateFormat=P","Fill=—","Direction=H","UseDPDF=Y")</f>
        <v>0</v>
      </c>
      <c r="G28" s="21">
        <f>_xll.BDH("AAPL US Equity","DVD_PAYOUT_RATIO","FQ3 2012","FQ3 2012","Currency=USD","Period=FQ","BEST_FPERIOD_OVERRIDE=FQ","FILING_STATUS=MR","FA_ADJUSTED=GAAP","Sort=A","Dates=H","DateFormat=P","Fill=—","Direction=H","UseDPDF=Y")</f>
        <v>0</v>
      </c>
      <c r="H28" s="21">
        <f>_xll.BDH("AAPL US Equity","DVD_PAYOUT_RATIO","FQ4 2012","FQ4 2012","Currency=USD","Period=FQ","BEST_FPERIOD_OVERRIDE=FQ","FILING_STATUS=MR","FA_ADJUSTED=GAAP","Sort=A","Dates=H","DateFormat=P","Fill=—","Direction=H","UseDPDF=Y")</f>
        <v>30.239699999999999</v>
      </c>
      <c r="I28" s="21">
        <f>_xll.BDH("AAPL US Equity","DVD_PAYOUT_RATIO","FQ1 2013","FQ1 2013","Currency=USD","Period=FQ","BEST_FPERIOD_OVERRIDE=FQ","FILING_STATUS=MR","FA_ADJUSTED=GAAP","Sort=A","Dates=H","DateFormat=P","Fill=—","Direction=H","UseDPDF=Y")</f>
        <v>19.025300000000001</v>
      </c>
      <c r="J28" s="21">
        <f>_xll.BDH("AAPL US Equity","DVD_PAYOUT_RATIO","FQ2 2013","FQ2 2013","Currency=USD","Period=FQ","BEST_FPERIOD_OVERRIDE=FQ","FILING_STATUS=MR","FA_ADJUSTED=GAAP","Sort=A","Dates=H","DateFormat=P","Fill=—","Direction=H","UseDPDF=Y")</f>
        <v>26.081700000000001</v>
      </c>
      <c r="K28" s="21">
        <f>_xll.BDH("AAPL US Equity","DVD_PAYOUT_RATIO","FQ3 2013","FQ3 2013","Currency=USD","Period=FQ","BEST_FPERIOD_OVERRIDE=FQ","FILING_STATUS=MR","FA_ADJUSTED=GAAP","Sort=A","Dates=H","DateFormat=P","Fill=—","Direction=H","UseDPDF=Y")</f>
        <v>40.605600000000003</v>
      </c>
      <c r="L28" s="21">
        <f>_xll.BDH("AAPL US Equity","DVD_PAYOUT_RATIO","FQ4 2013","FQ4 2013","Currency=USD","Period=FQ","BEST_FPERIOD_OVERRIDE=FQ","FILING_STATUS=MR","FA_ADJUSTED=GAAP","Sort=A","Dates=H","DateFormat=P","Fill=—","Direction=H","UseDPDF=Y")</f>
        <v>36.710599999999999</v>
      </c>
      <c r="M28" s="21">
        <f>_xll.BDH("AAPL US Equity","DVD_PAYOUT_RATIO","FQ1 2014","FQ1 2014","Currency=USD","Period=FQ","BEST_FPERIOD_OVERRIDE=FQ","FILING_STATUS=MR","FA_ADJUSTED=GAAP","Sort=A","Dates=H","DateFormat=P","Fill=—","Direction=H","UseDPDF=Y")</f>
        <v>20.907399999999999</v>
      </c>
      <c r="N28" s="21">
        <f>_xll.BDH("AAPL US Equity","DVD_PAYOUT_RATIO","FQ2 2014","FQ2 2014","Currency=USD","Period=FQ","BEST_FPERIOD_OVERRIDE=FQ","FILING_STATUS=MR","FA_ADJUSTED=GAAP","Sort=A","Dates=H","DateFormat=P","Fill=—","Direction=H","UseDPDF=Y")</f>
        <v>26.098099999999999</v>
      </c>
      <c r="O28" s="21">
        <f>_xll.BDH("AAPL US Equity","DVD_PAYOUT_RATIO","FQ3 2014","FQ3 2014","Currency=USD","Period=FQ","BEST_FPERIOD_OVERRIDE=FQ","FILING_STATUS=MR","FA_ADJUSTED=GAAP","Sort=A","Dates=H","DateFormat=P","Fill=—","Direction=H","UseDPDF=Y")</f>
        <v>36.473100000000002</v>
      </c>
      <c r="P28" s="21">
        <f>_xll.BDH("AAPL US Equity","DVD_PAYOUT_RATIO","FQ4 2014","FQ4 2014","Currency=USD","Period=FQ","BEST_FPERIOD_OVERRIDE=FQ","FILING_STATUS=MR","FA_ADJUSTED=GAAP","Sort=A","Dates=H","DateFormat=P","Fill=—","Direction=H","UseDPDF=Y")</f>
        <v>32.3491</v>
      </c>
      <c r="Q28" s="21">
        <f>_xll.BDH("AAPL US Equity","DVD_PAYOUT_RATIO","FQ1 2015","FQ1 2015","Currency=USD","Period=FQ","BEST_FPERIOD_OVERRIDE=FQ","FILING_STATUS=MR","FA_ADJUSTED=GAAP","Sort=A","Dates=H","DateFormat=P","Fill=—","Direction=H","UseDPDF=Y")</f>
        <v>15.257400000000001</v>
      </c>
      <c r="R28" s="21">
        <f>_xll.BDH("AAPL US Equity","DVD_PAYOUT_RATIO","FQ2 2015","FQ2 2015","Currency=USD","Period=FQ","BEST_FPERIOD_OVERRIDE=FQ","FILING_STATUS=MR","FA_ADJUSTED=GAAP","Sort=A","Dates=H","DateFormat=P","Fill=—","Direction=H","UseDPDF=Y")</f>
        <v>20.148900000000001</v>
      </c>
      <c r="S28" s="21">
        <f>_xll.BDH("AAPL US Equity","DVD_PAYOUT_RATIO","FQ3 2015","FQ3 2015","Currency=USD","Period=FQ","BEST_FPERIOD_OVERRIDE=FQ","FILING_STATUS=MR","FA_ADJUSTED=GAAP","Sort=A","Dates=H","DateFormat=P","Fill=—","Direction=H","UseDPDF=Y")</f>
        <v>28.069700000000001</v>
      </c>
      <c r="T28" s="21">
        <f>_xll.BDH("AAPL US Equity","DVD_PAYOUT_RATIO","FQ4 2015","FQ4 2015","Currency=USD","Period=FQ","BEST_FPERIOD_OVERRIDE=FQ","FILING_STATUS=MR","FA_ADJUSTED=GAAP","Sort=A","Dates=H","DateFormat=P","Fill=—","Direction=H","UseDPDF=Y")</f>
        <v>26.519200000000001</v>
      </c>
      <c r="U28" s="21">
        <f>_xll.BDH("AAPL US Equity","DVD_PAYOUT_RATIO","FQ1 2016","FQ1 2016","Currency=USD","Period=FQ","BEST_FPERIOD_OVERRIDE=FQ","FILING_STATUS=MR","FA_ADJUSTED=GAAP","Sort=A","Dates=H","DateFormat=P","Fill=—","Direction=H","UseDPDF=Y")</f>
        <v>15.7835</v>
      </c>
      <c r="V28" s="21">
        <f>_xll.BDH("AAPL US Equity","DVD_PAYOUT_RATIO","FQ2 2016","FQ2 2016","Currency=USD","Period=FQ","BEST_FPERIOD_OVERRIDE=FQ","FILING_STATUS=MR","FA_ADJUSTED=GAAP","Sort=A","Dates=H","DateFormat=P","Fill=—","Direction=H","UseDPDF=Y")</f>
        <v>27.377300000000002</v>
      </c>
      <c r="W28" s="21">
        <f>_xll.BDH("AAPL US Equity","DVD_PAYOUT_RATIO","FQ3 2016","FQ3 2016","Currency=USD","Period=FQ","BEST_FPERIOD_OVERRIDE=FQ","FILING_STATUS=MR","FA_ADJUSTED=GAAP","Sort=A","Dates=H","DateFormat=P","Fill=—","Direction=H","UseDPDF=Y")</f>
        <v>39.981999999999999</v>
      </c>
      <c r="X28" s="21">
        <f>_xll.BDH("AAPL US Equity","DVD_PAYOUT_RATIO","FQ4 2016","FQ4 2016","Currency=USD","Period=FQ","BEST_FPERIOD_OVERRIDE=FQ","FILING_STATUS=MR","FA_ADJUSTED=GAAP","Sort=A","Dates=H","DateFormat=P","Fill=—","Direction=H","UseDPDF=Y")</f>
        <v>34.069200000000002</v>
      </c>
      <c r="Y28" s="21">
        <f>_xll.BDH("AAPL US Equity","DVD_PAYOUT_RATIO","FQ1 2017","FQ1 2017","Currency=USD","Period=FQ","BEST_FPERIOD_OVERRIDE=FQ","FILING_STATUS=MR","FA_ADJUSTED=GAAP","Sort=A","Dates=H","DateFormat=P","Fill=—","Direction=H","UseDPDF=Y")</f>
        <v>17.003</v>
      </c>
      <c r="Z28" s="21">
        <f>_xll.BDH("AAPL US Equity","DVD_PAYOUT_RATIO","FQ2 2017","FQ2 2017","Currency=USD","Period=FQ","BEST_FPERIOD_OVERRIDE=FQ","FILING_STATUS=MR","FA_ADJUSTED=GAAP","Sort=A","Dates=H","DateFormat=P","Fill=—","Direction=H","UseDPDF=Y")</f>
        <v>27.092199999999998</v>
      </c>
      <c r="AA28" s="21">
        <f>_xll.BDH("AAPL US Equity","DVD_PAYOUT_RATIO","FQ3 2017","FQ3 2017","Currency=USD","Period=FQ","BEST_FPERIOD_OVERRIDE=FQ","FILING_STATUS=MR","FA_ADJUSTED=GAAP","Sort=A","Dates=H","DateFormat=P","Fill=—","Direction=H","UseDPDF=Y")</f>
        <v>37.546199999999999</v>
      </c>
      <c r="AB28" s="21">
        <f>_xll.BDH("AAPL US Equity","DVD_PAYOUT_RATIO","FQ4 2017","FQ4 2017","Currency=USD","Period=FQ","BEST_FPERIOD_OVERRIDE=FQ","FILING_STATUS=MR","FA_ADJUSTED=GAAP","Sort=A","Dates=H","DateFormat=P","Fill=—","Direction=H","UseDPDF=Y")</f>
        <v>30.352799999999998</v>
      </c>
      <c r="AC28" s="21">
        <f>_xll.BDH("AAPL US Equity","DVD_PAYOUT_RATIO","FQ1 2018","FQ1 2018","Currency=USD","Period=FQ","BEST_FPERIOD_OVERRIDE=FQ","FILING_STATUS=MR","FA_ADJUSTED=GAAP","Sort=A","Dates=H","DateFormat=P","Fill=—","Direction=H","UseDPDF=Y")</f>
        <v>16.107700000000001</v>
      </c>
      <c r="AD28" s="21">
        <f>_xll.BDH("AAPL US Equity","DVD_PAYOUT_RATIO","FQ2 2018","FQ2 2018","Currency=USD","Period=FQ","BEST_FPERIOD_OVERRIDE=FQ","FILING_STATUS=MR","FA_ADJUSTED=GAAP","Sort=A","Dates=H","DateFormat=P","Fill=—","Direction=H","UseDPDF=Y")</f>
        <v>22.903099999999998</v>
      </c>
      <c r="AE28" s="21">
        <f>_xll.BDH("AAPL US Equity","DVD_PAYOUT_RATIO","FQ3 2018","FQ3 2018","Currency=USD","Period=FQ","BEST_FPERIOD_OVERRIDE=FQ","FILING_STATUS=MR","FA_ADJUSTED=GAAP","Sort=A","Dates=H","DateFormat=P","Fill=—","Direction=H","UseDPDF=Y")</f>
        <v>30.94</v>
      </c>
      <c r="AF28" s="21">
        <f>_xll.BDH("AAPL US Equity","DVD_PAYOUT_RATIO","FQ4 2018","FQ4 2018","Currency=USD","Period=FQ","BEST_FPERIOD_OVERRIDE=FQ","FILING_STATUS=MR","FA_ADJUSTED=GAAP","Sort=A","Dates=H","DateFormat=P","Fill=—","Direction=H","UseDPDF=Y")</f>
        <v>24.815300000000001</v>
      </c>
      <c r="AG28" s="21">
        <f>_xll.BDH("AAPL US Equity","DVD_PAYOUT_RATIO","FQ1 2019","FQ1 2019","Currency=USD","Period=FQ","BEST_FPERIOD_OVERRIDE=FQ","FILING_STATUS=MR","FA_ADJUSTED=GAAP","Sort=A","Dates=H","DateFormat=P","Fill=—","Direction=H","UseDPDF=Y")</f>
        <v>17.315999999999999</v>
      </c>
      <c r="AH28" s="21">
        <f>_xll.BDH("AAPL US Equity","DVD_PAYOUT_RATIO","FQ2 2019","FQ2 2019","Currency=USD","Period=FQ","BEST_FPERIOD_OVERRIDE=FQ","FILING_STATUS=MR","FA_ADJUSTED=GAAP","Sort=A","Dates=H","DateFormat=P","Fill=—","Direction=H","UseDPDF=Y")</f>
        <v>29.5136</v>
      </c>
      <c r="AI28" s="21">
        <f>_xll.BDH("AAPL US Equity","DVD_PAYOUT_RATIO","FQ3 2019","FQ3 2019","Currency=USD","Period=FQ","BEST_FPERIOD_OVERRIDE=FQ","FILING_STATUS=MR","FA_ADJUSTED=GAAP","Sort=A","Dates=H","DateFormat=P","Fill=—","Direction=H","UseDPDF=Y")</f>
        <v>35.039700000000003</v>
      </c>
      <c r="AJ28" s="21">
        <f>_xll.BDH("AAPL US Equity","DVD_PAYOUT_RATIO","FQ4 2019","FQ4 2019","Currency=USD","Period=FQ","BEST_FPERIOD_OVERRIDE=FQ","FILING_STATUS=MR","FA_ADJUSTED=GAAP","Sort=A","Dates=H","DateFormat=P","Fill=—","Direction=H","UseDPDF=Y")</f>
        <v>25.266100000000002</v>
      </c>
      <c r="AK28" s="21">
        <f>_xll.BDH("AAPL US Equity","DVD_PAYOUT_RATIO","FQ1 2020","FQ1 2020","Currency=USD","Period=FQ","BEST_FPERIOD_OVERRIDE=FQ","FILING_STATUS=MR","FA_ADJUSTED=GAAP","Sort=A","Dates=H","DateFormat=P","Fill=—","Direction=H","UseDPDF=Y")</f>
        <v>15.288600000000001</v>
      </c>
      <c r="AL28" s="21">
        <f>_xll.BDH("AAPL US Equity","DVD_PAYOUT_RATIO","FQ2 2020","FQ2 2020","Currency=USD","Period=FQ","BEST_FPERIOD_OVERRIDE=FQ","FILING_STATUS=MR","FA_ADJUSTED=GAAP","Sort=A","Dates=H","DateFormat=P","Fill=—","Direction=H","UseDPDF=Y")</f>
        <v>29.845099999999999</v>
      </c>
      <c r="AM28" s="21">
        <f>_xll.BDH("AAPL US Equity","DVD_PAYOUT_RATIO","FQ3 2020","FQ3 2020","Currency=USD","Period=FQ","BEST_FPERIOD_OVERRIDE=FQ","FILING_STATUS=MR","FA_ADJUSTED=GAAP","Sort=A","Dates=H","DateFormat=P","Fill=—","Direction=H","UseDPDF=Y")</f>
        <v>31.4255</v>
      </c>
      <c r="AN28" s="21">
        <f>_xll.BDH("AAPL US Equity","DVD_PAYOUT_RATIO","FQ4 2020","FQ4 2020","Currency=USD","Period=FQ","BEST_FPERIOD_OVERRIDE=FQ","FILING_STATUS=MR","FA_ADJUSTED=GAAP","Sort=A","Dates=H","DateFormat=P","Fill=—","Direction=H","UseDPDF=Y")</f>
        <v>27.592600000000001</v>
      </c>
      <c r="AO28" s="21">
        <f>_xll.BDH("AAPL US Equity","DVD_PAYOUT_RATIO","FQ1 2021","FQ1 2021","Currency=USD","Period=FQ","BEST_FPERIOD_OVERRIDE=FQ","FILING_STATUS=MR","FA_ADJUSTED=GAAP","Sort=A","Dates=H","DateFormat=P","Fill=—","Direction=H","UseDPDF=Y")</f>
        <v>12.073399999999999</v>
      </c>
      <c r="AP28" s="21">
        <f>_xll.BDH("AAPL US Equity","DVD_PAYOUT_RATIO","FQ2 2021","FQ2 2021","Currency=USD","Period=FQ","BEST_FPERIOD_OVERRIDE=FQ","FILING_STATUS=MR","FA_ADJUSTED=GAAP","Sort=A","Dates=H","DateFormat=P","Fill=—","Direction=H","UseDPDF=Y")</f>
        <v>14.5343</v>
      </c>
    </row>
    <row r="29" spans="1:42" x14ac:dyDescent="0.25">
      <c r="A29" s="18" t="s">
        <v>120</v>
      </c>
      <c r="B29" s="18" t="s">
        <v>121</v>
      </c>
      <c r="C29" s="21">
        <f>_xll.BDH("AAPL US Equity","SUSTAIN_GROWTH_RT","FQ3 2011","FQ3 2011","Currency=USD","Period=FQ","BEST_FPERIOD_OVERRIDE=FQ","FILING_STATUS=MR","FA_ADJUSTED=GAAP","Sort=A","Dates=H","DateFormat=P","Fill=—","Direction=H","UseDPDF=Y")</f>
        <v>41.985199999999999</v>
      </c>
      <c r="D29" s="21">
        <f>_xll.BDH("AAPL US Equity","SUSTAIN_GROWTH_RT","FQ4 2011","FQ4 2011","Currency=USD","Period=FQ","BEST_FPERIOD_OVERRIDE=FQ","FILING_STATUS=MR","FA_ADJUSTED=GAAP","Sort=A","Dates=H","DateFormat=P","Fill=—","Direction=H","UseDPDF=Y")</f>
        <v>41.673200000000001</v>
      </c>
      <c r="E29" s="21">
        <f>_xll.BDH("AAPL US Equity","SUSTAIN_GROWTH_RT","FQ1 2012","FQ1 2012","Currency=USD","Period=FQ","BEST_FPERIOD_OVERRIDE=FQ","FILING_STATUS=MR","FA_ADJUSTED=GAAP","Sort=A","Dates=H","DateFormat=P","Fill=—","Direction=H","UseDPDF=Y")</f>
        <v>45.580399999999997</v>
      </c>
      <c r="F29" s="21">
        <f>_xll.BDH("AAPL US Equity","SUSTAIN_GROWTH_RT","FQ2 2012","FQ2 2012","Currency=USD","Period=FQ","BEST_FPERIOD_OVERRIDE=FQ","FILING_STATUS=MR","FA_ADJUSTED=GAAP","Sort=A","Dates=H","DateFormat=P","Fill=—","Direction=H","UseDPDF=Y")</f>
        <v>47.101100000000002</v>
      </c>
      <c r="G29" s="21">
        <f>_xll.BDH("AAPL US Equity","SUSTAIN_GROWTH_RT","FQ3 2012","FQ3 2012","Currency=USD","Period=FQ","BEST_FPERIOD_OVERRIDE=FQ","FILING_STATUS=MR","FA_ADJUSTED=GAAP","Sort=A","Dates=H","DateFormat=P","Fill=—","Direction=H","UseDPDF=Y")</f>
        <v>44.324100000000001</v>
      </c>
      <c r="H29" s="21">
        <f>_xll.BDH("AAPL US Equity","SUSTAIN_GROWTH_RT","FQ4 2012","FQ4 2012","Currency=USD","Period=FQ","BEST_FPERIOD_OVERRIDE=FQ","FILING_STATUS=MR","FA_ADJUSTED=GAAP","Sort=A","Dates=H","DateFormat=P","Fill=—","Direction=H","UseDPDF=Y")</f>
        <v>29.886399999999998</v>
      </c>
      <c r="I29" s="21">
        <f>_xll.BDH("AAPL US Equity","SUSTAIN_GROWTH_RT","FQ1 2013","FQ1 2013","Currency=USD","Period=FQ","BEST_FPERIOD_OVERRIDE=FQ","FILING_STATUS=MR","FA_ADJUSTED=GAAP","Sort=A","Dates=H","DateFormat=P","Fill=—","Direction=H","UseDPDF=Y")</f>
        <v>31.0989</v>
      </c>
      <c r="J29" s="21">
        <f>_xll.BDH("AAPL US Equity","SUSTAIN_GROWTH_RT","FQ2 2013","FQ2 2013","Currency=USD","Period=FQ","BEST_FPERIOD_OVERRIDE=FQ","FILING_STATUS=MR","FA_ADJUSTED=GAAP","Sort=A","Dates=H","DateFormat=P","Fill=—","Direction=H","UseDPDF=Y")</f>
        <v>24.643999999999998</v>
      </c>
      <c r="K29" s="21">
        <f>_xll.BDH("AAPL US Equity","SUSTAIN_GROWTH_RT","FQ3 2013","FQ3 2013","Currency=USD","Period=FQ","BEST_FPERIOD_OVERRIDE=FQ","FILING_STATUS=MR","FA_ADJUSTED=GAAP","Sort=A","Dates=H","DateFormat=P","Fill=—","Direction=H","UseDPDF=Y")</f>
        <v>19.072900000000001</v>
      </c>
      <c r="L29" s="21">
        <f>_xll.BDH("AAPL US Equity","SUSTAIN_GROWTH_RT","FQ4 2013","FQ4 2013","Currency=USD","Period=FQ","BEST_FPERIOD_OVERRIDE=FQ","FILING_STATUS=MR","FA_ADJUSTED=GAAP","Sort=A","Dates=H","DateFormat=P","Fill=—","Direction=H","UseDPDF=Y")</f>
        <v>19.3916</v>
      </c>
      <c r="M29" s="21">
        <f>_xll.BDH("AAPL US Equity","SUSTAIN_GROWTH_RT","FQ1 2014","FQ1 2014","Currency=USD","Period=FQ","BEST_FPERIOD_OVERRIDE=FQ","FILING_STATUS=MR","FA_ADJUSTED=GAAP","Sort=A","Dates=H","DateFormat=P","Fill=—","Direction=H","UseDPDF=Y")</f>
        <v>22.790199999999999</v>
      </c>
      <c r="N29" s="21">
        <f>_xll.BDH("AAPL US Equity","SUSTAIN_GROWTH_RT","FQ2 2014","FQ2 2014","Currency=USD","Period=FQ","BEST_FPERIOD_OVERRIDE=FQ","FILING_STATUS=MR","FA_ADJUSTED=GAAP","Sort=A","Dates=H","DateFormat=P","Fill=—","Direction=H","UseDPDF=Y")</f>
        <v>21.7986</v>
      </c>
      <c r="O29" s="21">
        <f>_xll.BDH("AAPL US Equity","SUSTAIN_GROWTH_RT","FQ3 2014","FQ3 2014","Currency=USD","Period=FQ","BEST_FPERIOD_OVERRIDE=FQ","FILING_STATUS=MR","FA_ADJUSTED=GAAP","Sort=A","Dates=H","DateFormat=P","Fill=—","Direction=H","UseDPDF=Y")</f>
        <v>20.0519</v>
      </c>
      <c r="P29" s="21">
        <f>_xll.BDH("AAPL US Equity","SUSTAIN_GROWTH_RT","FQ4 2014","FQ4 2014","Currency=USD","Period=FQ","BEST_FPERIOD_OVERRIDE=FQ","FILING_STATUS=MR","FA_ADJUSTED=GAAP","Sort=A","Dates=H","DateFormat=P","Fill=—","Direction=H","UseDPDF=Y")</f>
        <v>22.738700000000001</v>
      </c>
      <c r="Q29" s="21">
        <f>_xll.BDH("AAPL US Equity","SUSTAIN_GROWTH_RT","FQ1 2015","FQ1 2015","Currency=USD","Period=FQ","BEST_FPERIOD_OVERRIDE=FQ","FILING_STATUS=MR","FA_ADJUSTED=GAAP","Sort=A","Dates=H","DateFormat=P","Fill=—","Direction=H","UseDPDF=Y")</f>
        <v>29.783799999999999</v>
      </c>
      <c r="R29" s="21">
        <f>_xll.BDH("AAPL US Equity","SUSTAIN_GROWTH_RT","FQ2 2015","FQ2 2015","Currency=USD","Period=FQ","BEST_FPERIOD_OVERRIDE=FQ","FILING_STATUS=MR","FA_ADJUSTED=GAAP","Sort=A","Dates=H","DateFormat=P","Fill=—","Direction=H","UseDPDF=Y")</f>
        <v>30.6401</v>
      </c>
      <c r="S29" s="21">
        <f>_xll.BDH("AAPL US Equity","SUSTAIN_GROWTH_RT","FQ3 2015","FQ3 2015","Currency=USD","Period=FQ","BEST_FPERIOD_OVERRIDE=FQ","FILING_STATUS=MR","FA_ADJUSTED=GAAP","Sort=A","Dates=H","DateFormat=P","Fill=—","Direction=H","UseDPDF=Y")</f>
        <v>29.596699999999998</v>
      </c>
      <c r="T29" s="21">
        <f>_xll.BDH("AAPL US Equity","SUSTAIN_GROWTH_RT","FQ4 2015","FQ4 2015","Currency=USD","Period=FQ","BEST_FPERIOD_OVERRIDE=FQ","FILING_STATUS=MR","FA_ADJUSTED=GAAP","Sort=A","Dates=H","DateFormat=P","Fill=—","Direction=H","UseDPDF=Y")</f>
        <v>33.983499999999999</v>
      </c>
      <c r="U29" s="21">
        <f>_xll.BDH("AAPL US Equity","SUSTAIN_GROWTH_RT","FQ1 2016","FQ1 2016","Currency=USD","Period=FQ","BEST_FPERIOD_OVERRIDE=FQ","FILING_STATUS=MR","FA_ADJUSTED=GAAP","Sort=A","Dates=H","DateFormat=P","Fill=—","Direction=H","UseDPDF=Y")</f>
        <v>35.970799999999997</v>
      </c>
      <c r="V29" s="21">
        <f>_xll.BDH("AAPL US Equity","SUSTAIN_GROWTH_RT","FQ2 2016","FQ2 2016","Currency=USD","Period=FQ","BEST_FPERIOD_OVERRIDE=FQ","FILING_STATUS=MR","FA_ADJUSTED=GAAP","Sort=A","Dates=H","DateFormat=P","Fill=—","Direction=H","UseDPDF=Y")</f>
        <v>28.3691</v>
      </c>
      <c r="W29" s="21">
        <f>_xll.BDH("AAPL US Equity","SUSTAIN_GROWTH_RT","FQ3 2016","FQ3 2016","Currency=USD","Period=FQ","BEST_FPERIOD_OVERRIDE=FQ","FILING_STATUS=MR","FA_ADJUSTED=GAAP","Sort=A","Dates=H","DateFormat=P","Fill=—","Direction=H","UseDPDF=Y")</f>
        <v>22.747599999999998</v>
      </c>
      <c r="X29" s="21">
        <f>_xll.BDH("AAPL US Equity","SUSTAIN_GROWTH_RT","FQ4 2016","FQ4 2016","Currency=USD","Period=FQ","BEST_FPERIOD_OVERRIDE=FQ","FILING_STATUS=MR","FA_ADJUSTED=GAAP","Sort=A","Dates=H","DateFormat=P","Fill=—","Direction=H","UseDPDF=Y")</f>
        <v>24.3306</v>
      </c>
      <c r="Y29" s="21">
        <f>_xll.BDH("AAPL US Equity","SUSTAIN_GROWTH_RT","FQ1 2017","FQ1 2017","Currency=USD","Period=FQ","BEST_FPERIOD_OVERRIDE=FQ","FILING_STATUS=MR","FA_ADJUSTED=GAAP","Sort=A","Dates=H","DateFormat=P","Fill=—","Direction=H","UseDPDF=Y")</f>
        <v>28.795500000000001</v>
      </c>
      <c r="Z29" s="21">
        <f>_xll.BDH("AAPL US Equity","SUSTAIN_GROWTH_RT","FQ2 2017","FQ2 2017","Currency=USD","Period=FQ","BEST_FPERIOD_OVERRIDE=FQ","FILING_STATUS=MR","FA_ADJUSTED=GAAP","Sort=A","Dates=H","DateFormat=P","Fill=—","Direction=H","UseDPDF=Y")</f>
        <v>25.206700000000001</v>
      </c>
      <c r="AA29" s="21">
        <f>_xll.BDH("AAPL US Equity","SUSTAIN_GROWTH_RT","FQ3 2017","FQ3 2017","Currency=USD","Period=FQ","BEST_FPERIOD_OVERRIDE=FQ","FILING_STATUS=MR","FA_ADJUSTED=GAAP","Sort=A","Dates=H","DateFormat=P","Fill=—","Direction=H","UseDPDF=Y")</f>
        <v>22.501300000000001</v>
      </c>
      <c r="AB29" s="21">
        <f>_xll.BDH("AAPL US Equity","SUSTAIN_GROWTH_RT","FQ4 2017","FQ4 2017","Currency=USD","Period=FQ","BEST_FPERIOD_OVERRIDE=FQ","FILING_STATUS=MR","FA_ADJUSTED=GAAP","Sort=A","Dates=H","DateFormat=P","Fill=—","Direction=H","UseDPDF=Y")</f>
        <v>25.677199999999999</v>
      </c>
      <c r="AC29" s="21">
        <f>_xll.BDH("AAPL US Equity","SUSTAIN_GROWTH_RT","FQ1 2018","FQ1 2018","Currency=USD","Period=FQ","BEST_FPERIOD_OVERRIDE=FQ","FILING_STATUS=MR","FA_ADJUSTED=GAAP","Sort=A","Dates=H","DateFormat=P","Fill=—","Direction=H","UseDPDF=Y")</f>
        <v>31.099299999999999</v>
      </c>
      <c r="AD29" s="21">
        <f>_xll.BDH("AAPL US Equity","SUSTAIN_GROWTH_RT","FQ2 2018","FQ2 2018","Currency=USD","Period=FQ","BEST_FPERIOD_OVERRIDE=FQ","FILING_STATUS=MR","FA_ADJUSTED=GAAP","Sort=A","Dates=H","DateFormat=P","Fill=—","Direction=H","UseDPDF=Y")</f>
        <v>31.504100000000001</v>
      </c>
      <c r="AE29" s="21">
        <f>_xll.BDH("AAPL US Equity","SUSTAIN_GROWTH_RT","FQ3 2018","FQ3 2018","Currency=USD","Period=FQ","BEST_FPERIOD_OVERRIDE=FQ","FILING_STATUS=MR","FA_ADJUSTED=GAAP","Sort=A","Dates=H","DateFormat=P","Fill=—","Direction=H","UseDPDF=Y")</f>
        <v>31.334299999999999</v>
      </c>
      <c r="AF29" s="21">
        <f>_xll.BDH("AAPL US Equity","SUSTAIN_GROWTH_RT","FQ4 2018","FQ4 2018","Currency=USD","Period=FQ","BEST_FPERIOD_OVERRIDE=FQ","FILING_STATUS=MR","FA_ADJUSTED=GAAP","Sort=A","Dates=H","DateFormat=P","Fill=—","Direction=H","UseDPDF=Y")</f>
        <v>37.113900000000001</v>
      </c>
      <c r="AG29" s="21">
        <f>_xll.BDH("AAPL US Equity","SUSTAIN_GROWTH_RT","FQ1 2019","FQ1 2019","Currency=USD","Period=FQ","BEST_FPERIOD_OVERRIDE=FQ","FILING_STATUS=MR","FA_ADJUSTED=GAAP","Sort=A","Dates=H","DateFormat=P","Fill=—","Direction=H","UseDPDF=Y")</f>
        <v>38.079500000000003</v>
      </c>
      <c r="AH29" s="21">
        <f>_xll.BDH("AAPL US Equity","SUSTAIN_GROWTH_RT","FQ2 2019","FQ2 2019","Currency=USD","Period=FQ","BEST_FPERIOD_OVERRIDE=FQ","FILING_STATUS=MR","FA_ADJUSTED=GAAP","Sort=A","Dates=H","DateFormat=P","Fill=—","Direction=H","UseDPDF=Y")</f>
        <v>34.628700000000002</v>
      </c>
      <c r="AI29" s="21">
        <f>_xll.BDH("AAPL US Equity","SUSTAIN_GROWTH_RT","FQ3 2019","FQ3 2019","Currency=USD","Period=FQ","BEST_FPERIOD_OVERRIDE=FQ","FILING_STATUS=MR","FA_ADJUSTED=GAAP","Sort=A","Dates=H","DateFormat=P","Fill=—","Direction=H","UseDPDF=Y")</f>
        <v>34.227800000000002</v>
      </c>
      <c r="AJ29" s="21">
        <f>_xll.BDH("AAPL US Equity","SUSTAIN_GROWTH_RT","FQ4 2019","FQ4 2019","Currency=USD","Period=FQ","BEST_FPERIOD_OVERRIDE=FQ","FILING_STATUS=MR","FA_ADJUSTED=GAAP","Sort=A","Dates=H","DateFormat=P","Fill=—","Direction=H","UseDPDF=Y")</f>
        <v>41.789099999999998</v>
      </c>
      <c r="AK29" s="21">
        <f>_xll.BDH("AAPL US Equity","SUSTAIN_GROWTH_RT","FQ1 2020","FQ1 2020","Currency=USD","Period=FQ","BEST_FPERIOD_OVERRIDE=FQ","FILING_STATUS=MR","FA_ADJUSTED=GAAP","Sort=A","Dates=H","DateFormat=P","Fill=—","Direction=H","UseDPDF=Y")</f>
        <v>46.987900000000003</v>
      </c>
      <c r="AL29" s="21">
        <f>_xll.BDH("AAPL US Equity","SUSTAIN_GROWTH_RT","FQ2 2020","FQ2 2020","Currency=USD","Period=FQ","BEST_FPERIOD_OVERRIDE=FQ","FILING_STATUS=MR","FA_ADJUSTED=GAAP","Sort=A","Dates=H","DateFormat=P","Fill=—","Direction=H","UseDPDF=Y")</f>
        <v>43.561999999999998</v>
      </c>
      <c r="AM29" s="21">
        <f>_xll.BDH("AAPL US Equity","SUSTAIN_GROWTH_RT","FQ3 2020","FQ3 2020","Currency=USD","Period=FQ","BEST_FPERIOD_OVERRIDE=FQ","FILING_STATUS=MR","FA_ADJUSTED=GAAP","Sort=A","Dates=H","DateFormat=P","Fill=—","Direction=H","UseDPDF=Y")</f>
        <v>47.486600000000003</v>
      </c>
      <c r="AN29" s="21">
        <f>_xll.BDH("AAPL US Equity","SUSTAIN_GROWTH_RT","FQ4 2020","FQ4 2020","Currency=USD","Period=FQ","BEST_FPERIOD_OVERRIDE=FQ","FILING_STATUS=MR","FA_ADJUSTED=GAAP","Sort=A","Dates=H","DateFormat=P","Fill=—","Direction=H","UseDPDF=Y")</f>
        <v>53.3538</v>
      </c>
      <c r="AO29" s="21">
        <f>_xll.BDH("AAPL US Equity","SUSTAIN_GROWTH_RT","FQ1 2021","FQ1 2021","Currency=USD","Period=FQ","BEST_FPERIOD_OVERRIDE=FQ","FILING_STATUS=MR","FA_ADJUSTED=GAAP","Sort=A","Dates=H","DateFormat=P","Fill=—","Direction=H","UseDPDF=Y")</f>
        <v>72.179400000000001</v>
      </c>
      <c r="AP29" s="21">
        <f>_xll.BDH("AAPL US Equity","SUSTAIN_GROWTH_RT","FQ2 2021","FQ2 2021","Currency=USD","Period=FQ","BEST_FPERIOD_OVERRIDE=FQ","FILING_STATUS=MR","FA_ADJUSTED=GAAP","Sort=A","Dates=H","DateFormat=P","Fill=—","Direction=H","UseDPDF=Y")</f>
        <v>88.371799999999993</v>
      </c>
    </row>
    <row r="30" spans="1:42" x14ac:dyDescent="0.25">
      <c r="A30" s="15" t="s">
        <v>122</v>
      </c>
      <c r="B30" s="15"/>
      <c r="C30" s="15" t="s">
        <v>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163</v>
      </c>
      <c r="D4" s="3" t="s">
        <v>162</v>
      </c>
      <c r="E4" s="3" t="s">
        <v>161</v>
      </c>
      <c r="F4" s="3" t="s">
        <v>160</v>
      </c>
      <c r="G4" s="3" t="s">
        <v>159</v>
      </c>
      <c r="H4" s="3" t="s">
        <v>158</v>
      </c>
      <c r="I4" s="3" t="s">
        <v>157</v>
      </c>
      <c r="J4" s="3" t="s">
        <v>156</v>
      </c>
      <c r="K4" s="3" t="s">
        <v>155</v>
      </c>
      <c r="L4" s="3" t="s">
        <v>154</v>
      </c>
      <c r="M4" s="3" t="s">
        <v>153</v>
      </c>
      <c r="N4" s="3" t="s">
        <v>152</v>
      </c>
      <c r="O4" s="3" t="s">
        <v>151</v>
      </c>
      <c r="P4" s="3" t="s">
        <v>150</v>
      </c>
      <c r="Q4" s="3" t="s">
        <v>149</v>
      </c>
      <c r="R4" s="3" t="s">
        <v>148</v>
      </c>
      <c r="S4" s="3" t="s">
        <v>147</v>
      </c>
      <c r="T4" s="3" t="s">
        <v>146</v>
      </c>
      <c r="U4" s="3" t="s">
        <v>145</v>
      </c>
      <c r="V4" s="3" t="s">
        <v>144</v>
      </c>
      <c r="W4" s="3" t="s">
        <v>143</v>
      </c>
      <c r="X4" s="3" t="s">
        <v>142</v>
      </c>
      <c r="Y4" s="3" t="s">
        <v>141</v>
      </c>
      <c r="Z4" s="3" t="s">
        <v>140</v>
      </c>
      <c r="AA4" s="3" t="s">
        <v>139</v>
      </c>
      <c r="AB4" s="3" t="s">
        <v>138</v>
      </c>
      <c r="AC4" s="3" t="s">
        <v>137</v>
      </c>
      <c r="AD4" s="3" t="s">
        <v>136</v>
      </c>
      <c r="AE4" s="3" t="s">
        <v>135</v>
      </c>
      <c r="AF4" s="3" t="s">
        <v>134</v>
      </c>
      <c r="AG4" s="3" t="s">
        <v>133</v>
      </c>
      <c r="AH4" s="3" t="s">
        <v>132</v>
      </c>
      <c r="AI4" s="3" t="s">
        <v>131</v>
      </c>
      <c r="AJ4" s="3" t="s">
        <v>130</v>
      </c>
      <c r="AK4" s="3" t="s">
        <v>129</v>
      </c>
      <c r="AL4" s="3" t="s">
        <v>128</v>
      </c>
      <c r="AM4" s="3" t="s">
        <v>127</v>
      </c>
      <c r="AN4" s="3" t="s">
        <v>126</v>
      </c>
      <c r="AO4" s="3" t="s">
        <v>125</v>
      </c>
      <c r="AP4" s="3" t="s">
        <v>124</v>
      </c>
    </row>
    <row r="5" spans="1:42" x14ac:dyDescent="0.25">
      <c r="A5" s="4" t="s">
        <v>123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7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</row>
    <row r="8" spans="1:42" x14ac:dyDescent="0.25">
      <c r="A8" s="7" t="s">
        <v>93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x14ac:dyDescent="0.25">
      <c r="A9" s="8" t="s">
        <v>94</v>
      </c>
      <c r="B9" s="8" t="s">
        <v>95</v>
      </c>
      <c r="C9" s="21">
        <f>_xll.BDP("AAPL US Equity","GROSS_MARGIN","EQY_FUND_YEAR=2011","FUND_PER=C3","EQY_FUND_CRNCY=USD","FILING_STATUS=MR","FA_ADJUSTED=GAAP","Fill=—")</f>
        <v>40.558146513459782</v>
      </c>
      <c r="D9" s="21">
        <f>_xll.BDP("AAPL US Equity","GROSS_MARGIN","EQY_FUND_YEAR=2011","FUND_PER=C4","EQY_FUND_CRNCY=USD","FILING_STATUS=MR","FA_ADJUSTED=GAAP","Fill=—")</f>
        <v>40.478895878945764</v>
      </c>
      <c r="E9" s="21">
        <f>_xll.BDP("AAPL US Equity","GROSS_MARGIN","EQY_FUND_YEAR=2012","FUND_PER=C1","EQY_FUND_CRNCY=USD","FILING_STATUS=MR","FA_ADJUSTED=GAAP","Fill=—")</f>
        <v>44.683055273778947</v>
      </c>
      <c r="F9" s="21">
        <f>_xll.BDP("AAPL US Equity","GROSS_MARGIN","EQY_FUND_YEAR=2012","FUND_PER=C2","EQY_FUND_CRNCY=USD","FILING_STATUS=MR","FA_ADJUSTED=GAAP","Fill=—")</f>
        <v>45.916112208982796</v>
      </c>
      <c r="G9" s="21">
        <f>_xll.BDP("AAPL US Equity","GROSS_MARGIN","EQY_FUND_YEAR=2012","FUND_PER=C3","EQY_FUND_CRNCY=USD","FILING_STATUS=MR","FA_ADJUSTED=GAAP","Fill=—")</f>
        <v>45.014185926896857</v>
      </c>
      <c r="H9" s="21">
        <f>_xll.BDP("AAPL US Equity","GROSS_MARGIN","EQY_FUND_YEAR=2012","FUND_PER=C4","EQY_FUND_CRNCY=USD","FILING_STATUS=MR","FA_ADJUSTED=GAAP","Fill=—")</f>
        <v>43.871239808827667</v>
      </c>
      <c r="I9" s="21">
        <f>_xll.BDP("AAPL US Equity","GROSS_MARGIN","EQY_FUND_YEAR=2013","FUND_PER=C1","EQY_FUND_CRNCY=USD","FILING_STATUS=MR","FA_ADJUSTED=GAAP","Fill=—")</f>
        <v>38.633695333137666</v>
      </c>
      <c r="J9" s="21">
        <f>_xll.BDP("AAPL US Equity","GROSS_MARGIN","EQY_FUND_YEAR=2013","FUND_PER=C2","EQY_FUND_CRNCY=USD","FILING_STATUS=MR","FA_ADJUSTED=GAAP","Fill=—")</f>
        <v>38.127707282270805</v>
      </c>
      <c r="K9" s="21">
        <f>_xll.BDP("AAPL US Equity","GROSS_MARGIN","EQY_FUND_YEAR=2013","FUND_PER=C3","EQY_FUND_CRNCY=USD","FILING_STATUS=MR","FA_ADJUSTED=GAAP","Fill=—")</f>
        <v>37.795080861523701</v>
      </c>
      <c r="L9" s="21">
        <f>_xll.BDP("AAPL US Equity","GROSS_MARGIN","EQY_FUND_YEAR=2013","FUND_PER=C4","EQY_FUND_CRNCY=USD","FILING_STATUS=MR","FA_ADJUSTED=GAAP","Fill=—")</f>
        <v>37.624480720847231</v>
      </c>
      <c r="M9" s="21">
        <f>_xll.BDP("AAPL US Equity","GROSS_MARGIN","EQY_FUND_YEAR=2014","FUND_PER=C1","EQY_FUND_CRNCY=USD","FILING_STATUS=MR","FA_ADJUSTED=GAAP","Fill=—")</f>
        <v>37.931034482758619</v>
      </c>
      <c r="N9" s="21">
        <f>_xll.BDP("AAPL US Equity","GROSS_MARGIN","EQY_FUND_YEAR=2014","FUND_PER=C2","EQY_FUND_CRNCY=USD","FILING_STATUS=MR","FA_ADJUSTED=GAAP","Fill=—")</f>
        <v>38.544168926772571</v>
      </c>
      <c r="O9" s="21">
        <f>_xll.BDP("AAPL US Equity","GROSS_MARGIN","EQY_FUND_YEAR=2014","FUND_PER=C3","EQY_FUND_CRNCY=USD","FILING_STATUS=MR","FA_ADJUSTED=GAAP","Fill=—")</f>
        <v>38.762511373976338</v>
      </c>
      <c r="P9" s="21">
        <f>_xll.BDP("AAPL US Equity","GROSS_MARGIN","EQY_FUND_YEAR=2014","FUND_PER=C4","EQY_FUND_CRNCY=USD","FILING_STATUS=MR","FA_ADJUSTED=GAAP","Fill=—")</f>
        <v>38.588035777783858</v>
      </c>
      <c r="Q9" s="21">
        <f>_xll.BDP("AAPL US Equity","GROSS_MARGIN","EQY_FUND_YEAR=2015","FUND_PER=C1","EQY_FUND_CRNCY=USD","FILING_STATUS=MR","FA_ADJUSTED=GAAP","Fill=—")</f>
        <v>39.867826646469794</v>
      </c>
      <c r="R9" s="21">
        <f>_xll.BDP("AAPL US Equity","GROSS_MARGIN","EQY_FUND_YEAR=2015","FUND_PER=C2","EQY_FUND_CRNCY=USD","FILING_STATUS=MR","FA_ADJUSTED=GAAP","Fill=—")</f>
        <v>40.266497749021553</v>
      </c>
      <c r="S9" s="21">
        <f>_xll.BDP("AAPL US Equity","GROSS_MARGIN","EQY_FUND_YEAR=2015","FUND_PER=C3","EQY_FUND_CRNCY=USD","FILING_STATUS=MR","FA_ADJUSTED=GAAP","Fill=—")</f>
        <v>40.105590130286359</v>
      </c>
      <c r="T9" s="21">
        <f>_xll.BDP("AAPL US Equity","GROSS_MARGIN","EQY_FUND_YEAR=2015","FUND_PER=C4","EQY_FUND_CRNCY=USD","FILING_STATUS=MR","FA_ADJUSTED=GAAP","Fill=—")</f>
        <v>40.059902017414373</v>
      </c>
      <c r="U9" s="21">
        <f>_xll.BDP("AAPL US Equity","GROSS_MARGIN","EQY_FUND_YEAR=2016","FUND_PER=C1","EQY_FUND_CRNCY=USD","FILING_STATUS=MR","FA_ADJUSTED=GAAP","Fill=—")</f>
        <v>40.097796288485874</v>
      </c>
      <c r="V9" s="21">
        <f>_xll.BDP("AAPL US Equity","GROSS_MARGIN","EQY_FUND_YEAR=2016","FUND_PER=C2","EQY_FUND_CRNCY=USD","FILING_STATUS=MR","FA_ADJUSTED=GAAP","Fill=—")</f>
        <v>39.819978011373969</v>
      </c>
      <c r="W9" s="21">
        <f>_xll.BDP("AAPL US Equity","GROSS_MARGIN","EQY_FUND_YEAR=2016","FUND_PER=C3","EQY_FUND_CRNCY=USD","FILING_STATUS=MR","FA_ADJUSTED=GAAP","Fill=—")</f>
        <v>39.369145728047769</v>
      </c>
      <c r="X9" s="21">
        <f>_xll.BDP("AAPL US Equity","GROSS_MARGIN","EQY_FUND_YEAR=2016","FUND_PER=C4","EQY_FUND_CRNCY=USD","FILING_STATUS=MR","FA_ADJUSTED=GAAP","Fill=—")</f>
        <v>39.07595564809705</v>
      </c>
      <c r="Y9" s="21">
        <f>_xll.BDP("AAPL US Equity","GROSS_MARGIN","EQY_FUND_YEAR=2017","FUND_PER=C1","EQY_FUND_CRNCY=USD","FILING_STATUS=MR","FA_ADJUSTED=GAAP","Fill=—")</f>
        <v>38.513867085295658</v>
      </c>
      <c r="Z9" s="21">
        <f>_xll.BDP("AAPL US Equity","GROSS_MARGIN","EQY_FUND_YEAR=2017","FUND_PER=C2","EQY_FUND_CRNCY=USD","FILING_STATUS=MR","FA_ADJUSTED=GAAP","Fill=—")</f>
        <v>38.680503173405867</v>
      </c>
      <c r="AA9" s="21">
        <f>_xll.BDP("AAPL US Equity","GROSS_MARGIN","EQY_FUND_YEAR=2017","FUND_PER=C3","EQY_FUND_CRNCY=USD","FILING_STATUS=MR","FA_ADJUSTED=GAAP","Fill=—")</f>
        <v>38.637457190569194</v>
      </c>
      <c r="AB9" s="21">
        <f>_xll.BDP("AAPL US Equity","GROSS_MARGIN","EQY_FUND_YEAR=2017","FUND_PER=C4","EQY_FUND_CRNCY=USD","FILING_STATUS=MR","FA_ADJUSTED=GAAP","Fill=—")</f>
        <v>38.469860491899112</v>
      </c>
      <c r="AC9" s="21">
        <f>_xll.BDP("AAPL US Equity","GROSS_MARGIN","EQY_FUND_YEAR=2018","FUND_PER=C1","EQY_FUND_CRNCY=USD","FILING_STATUS=MR","FA_ADJUSTED=GAAP","Fill=—")</f>
        <v>38.408480853521795</v>
      </c>
      <c r="AD9" s="21">
        <f>_xll.BDP("AAPL US Equity","GROSS_MARGIN","EQY_FUND_YEAR=2018","FUND_PER=C2","EQY_FUND_CRNCY=USD","FILING_STATUS=MR","FA_ADJUSTED=GAAP","Fill=—")</f>
        <v>38.368466840661178</v>
      </c>
      <c r="AE9" s="21">
        <f>_xll.BDP("AAPL US Equity","GROSS_MARGIN","EQY_FUND_YEAR=2018","FUND_PER=C3","EQY_FUND_CRNCY=USD","FILING_STATUS=MR","FA_ADJUSTED=GAAP","Fill=—")</f>
        <v>38.360591035792687</v>
      </c>
      <c r="AF9" s="21">
        <f>_xll.BDP("AAPL US Equity","GROSS_MARGIN","EQY_FUND_YEAR=2018","FUND_PER=C4","EQY_FUND_CRNCY=USD","FILING_STATUS=MR","FA_ADJUSTED=GAAP","Fill=—")</f>
        <v>38.343718820007908</v>
      </c>
      <c r="AG9" s="21">
        <f>_xll.BDP("AAPL US Equity","GROSS_MARGIN","EQY_FUND_YEAR=2019","FUND_PER=C1","EQY_FUND_CRNCY=USD","FILING_STATUS=MR","FA_ADJUSTED=GAAP","Fill=—")</f>
        <v>37.991934527339581</v>
      </c>
      <c r="AH9" s="21">
        <f>_xll.BDP("AAPL US Equity","GROSS_MARGIN","EQY_FUND_YEAR=2019","FUND_PER=C2","EQY_FUND_CRNCY=USD","FILING_STATUS=MR","FA_ADJUSTED=GAAP","Fill=—")</f>
        <v>37.837344106797822</v>
      </c>
      <c r="AI9" s="21">
        <f>_xll.BDP("AAPL US Equity","GROSS_MARGIN","EQY_FUND_YEAR=2019","FUND_PER=C3","EQY_FUND_CRNCY=USD","FILING_STATUS=MR","FA_ADJUSTED=GAAP","Fill=—")</f>
        <v>37.76958609929946</v>
      </c>
      <c r="AJ9" s="21">
        <f>_xll.BDP("AAPL US Equity","GROSS_MARGIN","EQY_FUND_YEAR=2019","FUND_PER=C4","EQY_FUND_CRNCY=USD","FILING_STATUS=MR","FA_ADJUSTED=GAAP","Fill=—")</f>
        <v>37.817768109034724</v>
      </c>
      <c r="AK9" s="21">
        <f>_xll.BDP("AAPL US Equity","GROSS_MARGIN","EQY_FUND_YEAR=2020","FUND_PER=C1","EQY_FUND_CRNCY=USD","FILING_STATUS=MR","FA_ADJUSTED=GAAP","Fill=—")</f>
        <v>38.354806739345889</v>
      </c>
      <c r="AL9" s="21">
        <f>_xll.BDP("AAPL US Equity","GROSS_MARGIN","EQY_FUND_YEAR=2020","FUND_PER=C2","EQY_FUND_CRNCY=USD","FILING_STATUS=MR","FA_ADJUSTED=GAAP","Fill=—")</f>
        <v>38.357578664108914</v>
      </c>
      <c r="AM9" s="21">
        <f>_xll.BDP("AAPL US Equity","GROSS_MARGIN","EQY_FUND_YEAR=2020","FUND_PER=C3","EQY_FUND_CRNCY=USD","FILING_STATUS=MR","FA_ADJUSTED=GAAP","Fill=—")</f>
        <v>38.255718078134763</v>
      </c>
      <c r="AN9" s="21">
        <f>_xll.BDP("AAPL US Equity","GROSS_MARGIN","EQY_FUND_YEAR=2020","FUND_PER=C4","EQY_FUND_CRNCY=USD","FILING_STATUS=MR","FA_ADJUSTED=GAAP","Fill=—")</f>
        <v>38.23324772781087</v>
      </c>
      <c r="AO9" s="21">
        <f>_xll.BDP("AAPL US Equity","GROSS_MARGIN","EQY_FUND_YEAR=2021","FUND_PER=C1","EQY_FUND_CRNCY=USD","FILING_STATUS=MR","FA_ADJUSTED=GAAP","Fill=—")</f>
        <v>39.777815665969719</v>
      </c>
      <c r="AP9" s="21">
        <f>_xll.BDP("AAPL US Equity","GROSS_MARGIN","EQY_FUND_YEAR=2021","FUND_PER=C2","EQY_FUND_CRNCY=USD","FILING_STATUS=MR","FA_ADJUSTED=GAAP","Fill=—")</f>
        <v>40.993816627948043</v>
      </c>
    </row>
    <row r="10" spans="1:42" x14ac:dyDescent="0.25">
      <c r="A10" s="7" t="s">
        <v>96</v>
      </c>
      <c r="B10" s="7"/>
      <c r="C10" s="23" t="s">
        <v>97</v>
      </c>
      <c r="D10" s="23" t="s">
        <v>97</v>
      </c>
      <c r="E10" s="23" t="s">
        <v>97</v>
      </c>
      <c r="F10" s="23" t="s">
        <v>97</v>
      </c>
      <c r="G10" s="23" t="s">
        <v>97</v>
      </c>
      <c r="H10" s="23" t="s">
        <v>97</v>
      </c>
      <c r="I10" s="23" t="s">
        <v>97</v>
      </c>
      <c r="J10" s="23" t="s">
        <v>97</v>
      </c>
      <c r="K10" s="23" t="s">
        <v>97</v>
      </c>
      <c r="L10" s="23" t="s">
        <v>97</v>
      </c>
      <c r="M10" s="23" t="s">
        <v>97</v>
      </c>
      <c r="N10" s="23" t="s">
        <v>97</v>
      </c>
      <c r="O10" s="23" t="s">
        <v>97</v>
      </c>
      <c r="P10" s="23" t="s">
        <v>97</v>
      </c>
      <c r="Q10" s="23" t="s">
        <v>97</v>
      </c>
      <c r="R10" s="23" t="s">
        <v>97</v>
      </c>
      <c r="S10" s="23" t="s">
        <v>97</v>
      </c>
      <c r="T10" s="23" t="s">
        <v>97</v>
      </c>
      <c r="U10" s="23" t="s">
        <v>97</v>
      </c>
      <c r="V10" s="23" t="s">
        <v>97</v>
      </c>
      <c r="W10" s="23" t="s">
        <v>97</v>
      </c>
      <c r="X10" s="23" t="s">
        <v>97</v>
      </c>
      <c r="Y10" s="23" t="s">
        <v>97</v>
      </c>
      <c r="Z10" s="23" t="s">
        <v>97</v>
      </c>
      <c r="AA10" s="23" t="s">
        <v>97</v>
      </c>
      <c r="AB10" s="23" t="s">
        <v>97</v>
      </c>
      <c r="AC10" s="23" t="s">
        <v>97</v>
      </c>
      <c r="AD10" s="23" t="s">
        <v>97</v>
      </c>
      <c r="AE10" s="23" t="s">
        <v>97</v>
      </c>
      <c r="AF10" s="23" t="s">
        <v>97</v>
      </c>
      <c r="AG10" s="23" t="s">
        <v>97</v>
      </c>
      <c r="AH10" s="23" t="s">
        <v>97</v>
      </c>
      <c r="AI10" s="23" t="s">
        <v>97</v>
      </c>
      <c r="AJ10" s="23" t="s">
        <v>97</v>
      </c>
      <c r="AK10" s="23" t="s">
        <v>97</v>
      </c>
      <c r="AL10" s="23" t="s">
        <v>97</v>
      </c>
      <c r="AM10" s="23" t="s">
        <v>97</v>
      </c>
      <c r="AN10" s="23" t="s">
        <v>97</v>
      </c>
      <c r="AO10" s="23" t="s">
        <v>97</v>
      </c>
      <c r="AP10" s="23" t="s">
        <v>97</v>
      </c>
    </row>
    <row r="11" spans="1:42" x14ac:dyDescent="0.25">
      <c r="A11" s="8" t="s">
        <v>98</v>
      </c>
      <c r="B11" s="8"/>
      <c r="C11" s="21" t="s">
        <v>97</v>
      </c>
      <c r="D11" s="21" t="s">
        <v>97</v>
      </c>
      <c r="E11" s="21" t="s">
        <v>97</v>
      </c>
      <c r="F11" s="21" t="s">
        <v>97</v>
      </c>
      <c r="G11" s="21" t="s">
        <v>97</v>
      </c>
      <c r="H11" s="21" t="s">
        <v>97</v>
      </c>
      <c r="I11" s="21" t="s">
        <v>97</v>
      </c>
      <c r="J11" s="21" t="s">
        <v>97</v>
      </c>
      <c r="K11" s="21" t="s">
        <v>97</v>
      </c>
      <c r="L11" s="21" t="s">
        <v>97</v>
      </c>
      <c r="M11" s="21" t="s">
        <v>97</v>
      </c>
      <c r="N11" s="21" t="s">
        <v>97</v>
      </c>
      <c r="O11" s="21" t="s">
        <v>97</v>
      </c>
      <c r="P11" s="21" t="s">
        <v>97</v>
      </c>
      <c r="Q11" s="21" t="s">
        <v>97</v>
      </c>
      <c r="R11" s="21" t="s">
        <v>97</v>
      </c>
      <c r="S11" s="21" t="s">
        <v>97</v>
      </c>
      <c r="T11" s="21" t="s">
        <v>97</v>
      </c>
      <c r="U11" s="21" t="s">
        <v>97</v>
      </c>
      <c r="V11" s="21" t="s">
        <v>97</v>
      </c>
      <c r="W11" s="21" t="s">
        <v>97</v>
      </c>
      <c r="X11" s="21" t="s">
        <v>97</v>
      </c>
      <c r="Y11" s="21" t="s">
        <v>97</v>
      </c>
      <c r="Z11" s="21" t="s">
        <v>97</v>
      </c>
      <c r="AA11" s="21" t="s">
        <v>97</v>
      </c>
      <c r="AB11" s="21">
        <v>55</v>
      </c>
      <c r="AC11" s="21" t="s">
        <v>97</v>
      </c>
      <c r="AD11" s="21" t="s">
        <v>97</v>
      </c>
      <c r="AE11" s="21">
        <v>60.6</v>
      </c>
      <c r="AF11" s="21">
        <v>60.8</v>
      </c>
      <c r="AG11" s="21">
        <v>62.8</v>
      </c>
      <c r="AH11" s="21">
        <v>63.3</v>
      </c>
      <c r="AI11" s="21">
        <v>63.6</v>
      </c>
      <c r="AJ11" s="21">
        <v>63.7</v>
      </c>
      <c r="AK11" s="21">
        <v>64.400000000000006</v>
      </c>
      <c r="AL11" s="21">
        <v>64.900000000000006</v>
      </c>
      <c r="AM11" s="21">
        <v>65.7</v>
      </c>
      <c r="AN11" s="21">
        <v>66</v>
      </c>
      <c r="AO11" s="21">
        <v>68.400000000000006</v>
      </c>
      <c r="AP11" s="21">
        <v>69.3</v>
      </c>
    </row>
    <row r="12" spans="1:42" x14ac:dyDescent="0.25">
      <c r="A12" s="8" t="s">
        <v>99</v>
      </c>
      <c r="B12" s="8"/>
      <c r="C12" s="21" t="s">
        <v>97</v>
      </c>
      <c r="D12" s="21" t="s">
        <v>97</v>
      </c>
      <c r="E12" s="21" t="s">
        <v>97</v>
      </c>
      <c r="F12" s="21" t="s">
        <v>97</v>
      </c>
      <c r="G12" s="21" t="s">
        <v>97</v>
      </c>
      <c r="H12" s="21" t="s">
        <v>97</v>
      </c>
      <c r="I12" s="21" t="s">
        <v>97</v>
      </c>
      <c r="J12" s="21" t="s">
        <v>97</v>
      </c>
      <c r="K12" s="21" t="s">
        <v>97</v>
      </c>
      <c r="L12" s="21" t="s">
        <v>97</v>
      </c>
      <c r="M12" s="21" t="s">
        <v>97</v>
      </c>
      <c r="N12" s="21" t="s">
        <v>97</v>
      </c>
      <c r="O12" s="21" t="s">
        <v>97</v>
      </c>
      <c r="P12" s="21" t="s">
        <v>97</v>
      </c>
      <c r="Q12" s="21" t="s">
        <v>97</v>
      </c>
      <c r="R12" s="21" t="s">
        <v>97</v>
      </c>
      <c r="S12" s="21" t="s">
        <v>97</v>
      </c>
      <c r="T12" s="21" t="s">
        <v>97</v>
      </c>
      <c r="U12" s="21" t="s">
        <v>97</v>
      </c>
      <c r="V12" s="21" t="s">
        <v>97</v>
      </c>
      <c r="W12" s="21" t="s">
        <v>97</v>
      </c>
      <c r="X12" s="21" t="s">
        <v>97</v>
      </c>
      <c r="Y12" s="21" t="s">
        <v>97</v>
      </c>
      <c r="Z12" s="21" t="s">
        <v>97</v>
      </c>
      <c r="AA12" s="21" t="s">
        <v>97</v>
      </c>
      <c r="AB12" s="21">
        <v>35.700000000000003</v>
      </c>
      <c r="AC12" s="21" t="s">
        <v>97</v>
      </c>
      <c r="AD12" s="21" t="s">
        <v>97</v>
      </c>
      <c r="AE12" s="21">
        <v>34.6</v>
      </c>
      <c r="AF12" s="21">
        <v>34.4</v>
      </c>
      <c r="AG12" s="21">
        <v>34.299999999999997</v>
      </c>
      <c r="AH12" s="21">
        <v>33.1</v>
      </c>
      <c r="AI12" s="21">
        <v>32.4</v>
      </c>
      <c r="AJ12" s="21">
        <v>32.200000000000003</v>
      </c>
      <c r="AK12" s="21">
        <v>34.200000000000003</v>
      </c>
      <c r="AL12" s="21">
        <v>32.799999999999997</v>
      </c>
      <c r="AM12" s="21">
        <v>32</v>
      </c>
      <c r="AN12" s="21">
        <v>31.5</v>
      </c>
      <c r="AO12" s="21">
        <v>35.1</v>
      </c>
      <c r="AP12" s="21">
        <v>35.5</v>
      </c>
    </row>
    <row r="13" spans="1:42" x14ac:dyDescent="0.25">
      <c r="A13" s="8" t="s">
        <v>100</v>
      </c>
      <c r="B13" s="8" t="s">
        <v>101</v>
      </c>
      <c r="C13" s="21">
        <f>_xll.BDP("AAPL US Equity","EBITDA_TO_REVENUE","EQY_FUND_YEAR=2011","FUND_PER=C3","EQY_FUND_CRNCY=USD","FILING_STATUS=MR","FA_ADJUSTED=GAAP","Fill=—")</f>
        <v>32.947398692156696</v>
      </c>
      <c r="D13" s="21">
        <f>_xll.BDP("AAPL US Equity","EBITDA_TO_REVENUE","EQY_FUND_YEAR=2011","FUND_PER=C4","EQY_FUND_CRNCY=USD","FILING_STATUS=MR","FA_ADJUSTED=GAAP","Fill=—")</f>
        <v>32.890835019261146</v>
      </c>
      <c r="E13" s="21">
        <f>_xll.BDP("AAPL US Equity","EBITDA_TO_REVENUE","EQY_FUND_YEAR=2012","FUND_PER=C1","EQY_FUND_CRNCY=USD","FILING_STATUS=MR","FA_ADJUSTED=GAAP","Fill=—")</f>
        <v>38.980855977381133</v>
      </c>
      <c r="F13" s="21">
        <f>_xll.BDP("AAPL US Equity","EBITDA_TO_REVENUE","EQY_FUND_YEAR=2012","FUND_PER=C2","EQY_FUND_CRNCY=USD","FILING_STATUS=MR","FA_ADJUSTED=GAAP","Fill=—")</f>
        <v>39.973573124101073</v>
      </c>
      <c r="G13" s="21">
        <f>_xll.BDP("AAPL US Equity","EBITDA_TO_REVENUE","EQY_FUND_YEAR=2012","FUND_PER=C3","EQY_FUND_CRNCY=USD","FILING_STATUS=MR","FA_ADJUSTED=GAAP","Fill=—")</f>
        <v>38.652917655257092</v>
      </c>
      <c r="H13" s="21">
        <f>_xll.BDP("AAPL US Equity","EBITDA_TO_REVENUE","EQY_FUND_YEAR=2012","FUND_PER=C4","EQY_FUND_CRNCY=USD","FILING_STATUS=MR","FA_ADJUSTED=GAAP","Fill=—")</f>
        <v>37.38978199197485</v>
      </c>
      <c r="I13" s="21">
        <f>_xll.BDP("AAPL US Equity","EBITDA_TO_REVENUE","EQY_FUND_YEAR=2013","FUND_PER=C1","EQY_FUND_CRNCY=USD","FILING_STATUS=MR","FA_ADJUSTED=GAAP","Fill=—")</f>
        <v>34.484150278837689</v>
      </c>
      <c r="J13" s="21">
        <f>_xll.BDP("AAPL US Equity","EBITDA_TO_REVENUE","EQY_FUND_YEAR=2013","FUND_PER=C2","EQY_FUND_CRNCY=USD","FILING_STATUS=MR","FA_ADJUSTED=GAAP","Fill=—")</f>
        <v>33.682923100443354</v>
      </c>
      <c r="K13" s="21">
        <f>_xll.BDP("AAPL US Equity","EBITDA_TO_REVENUE","EQY_FUND_YEAR=2013","FUND_PER=C3","EQY_FUND_CRNCY=USD","FILING_STATUS=MR","FA_ADJUSTED=GAAP","Fill=—")</f>
        <v>32.931398851901257</v>
      </c>
      <c r="L13" s="21">
        <f>_xll.BDP("AAPL US Equity","EBITDA_TO_REVENUE","EQY_FUND_YEAR=2013","FUND_PER=C4","EQY_FUND_CRNCY=USD","FILING_STATUS=MR","FA_ADJUSTED=GAAP","Fill=—")</f>
        <v>32.62301796267041</v>
      </c>
      <c r="M13" s="21">
        <f>_xll.BDP("AAPL US Equity","EBITDA_TO_REVENUE","EQY_FUND_YEAR=2014","FUND_PER=C1","EQY_FUND_CRNCY=USD","FILING_STATUS=MR","FA_ADJUSTED=GAAP","Fill=—")</f>
        <v>34.043476751050456</v>
      </c>
      <c r="N13" s="21">
        <f>_xll.BDP("AAPL US Equity","EBITDA_TO_REVENUE","EQY_FUND_YEAR=2014","FUND_PER=C2","EQY_FUND_CRNCY=USD","FILING_STATUS=MR","FA_ADJUSTED=GAAP","Fill=—")</f>
        <v>33.985858194498256</v>
      </c>
      <c r="O13" s="21">
        <f>_xll.BDP("AAPL US Equity","EBITDA_TO_REVENUE","EQY_FUND_YEAR=2014","FUND_PER=C3","EQY_FUND_CRNCY=USD","FILING_STATUS=MR","FA_ADJUSTED=GAAP","Fill=—")</f>
        <v>33.634980664240217</v>
      </c>
      <c r="P13" s="21">
        <f>_xll.BDP("AAPL US Equity","EBITDA_TO_REVENUE","EQY_FUND_YEAR=2014","FUND_PER=C4","EQY_FUND_CRNCY=USD","FILING_STATUS=MR","FA_ADJUSTED=GAAP","Fill=—")</f>
        <v>33.069285264914249</v>
      </c>
      <c r="Q13" s="21">
        <f>_xll.BDP("AAPL US Equity","EBITDA_TO_REVENUE","EQY_FUND_YEAR=2015","FUND_PER=C1","EQY_FUND_CRNCY=USD","FILING_STATUS=MR","FA_ADJUSTED=GAAP","Fill=—")</f>
        <v>35.953565061193849</v>
      </c>
      <c r="R13" s="21">
        <f>_xll.BDP("AAPL US Equity","EBITDA_TO_REVENUE","EQY_FUND_YEAR=2015","FUND_PER=C2","EQY_FUND_CRNCY=USD","FILING_STATUS=MR","FA_ADJUSTED=GAAP","Fill=—")</f>
        <v>35.878409459388131</v>
      </c>
      <c r="S13" s="21">
        <f>_xll.BDP("AAPL US Equity","EBITDA_TO_REVENUE","EQY_FUND_YEAR=2015","FUND_PER=C3","EQY_FUND_CRNCY=USD","FILING_STATUS=MR","FA_ADJUSTED=GAAP","Fill=—")</f>
        <v>35.532395973964682</v>
      </c>
      <c r="T13" s="21">
        <f>_xll.BDP("AAPL US Equity","EBITDA_TO_REVENUE","EQY_FUND_YEAR=2015","FUND_PER=C4","EQY_FUND_CRNCY=USD","FILING_STATUS=MR","FA_ADJUSTED=GAAP","Fill=—")</f>
        <v>35.293840788995148</v>
      </c>
      <c r="U13" s="21">
        <f>_xll.BDP("AAPL US Equity","EBITDA_TO_REVENUE","EQY_FUND_YEAR=2016","FUND_PER=C1","EQY_FUND_CRNCY=USD","FILING_STATUS=MR","FA_ADJUSTED=GAAP","Fill=—")</f>
        <v>35.751001687051875</v>
      </c>
      <c r="V13" s="21">
        <f>_xll.BDP("AAPL US Equity","EBITDA_TO_REVENUE","EQY_FUND_YEAR=2016","FUND_PER=C2","EQY_FUND_CRNCY=USD","FILING_STATUS=MR","FA_ADJUSTED=GAAP","Fill=—")</f>
        <v>34.477058269858972</v>
      </c>
      <c r="W13" s="21">
        <f>_xll.BDP("AAPL US Equity","EBITDA_TO_REVENUE","EQY_FUND_YEAR=2016","FUND_PER=C3","EQY_FUND_CRNCY=USD","FILING_STATUS=MR","FA_ADJUSTED=GAAP","Fill=—")</f>
        <v>33.3082524128043</v>
      </c>
      <c r="X13" s="21">
        <f>_xll.BDP("AAPL US Equity","EBITDA_TO_REVENUE","EQY_FUND_YEAR=2016","FUND_PER=C4","EQY_FUND_CRNCY=USD","FILING_STATUS=MR","FA_ADJUSTED=GAAP","Fill=—")</f>
        <v>32.70697786578495</v>
      </c>
      <c r="Y13" s="21">
        <f>_xll.BDP("AAPL US Equity","EBITDA_TO_REVENUE","EQY_FUND_YEAR=2017","FUND_PER=C1","EQY_FUND_CRNCY=USD","FILING_STATUS=MR","FA_ADJUSTED=GAAP","Fill=—")</f>
        <v>33.62560784163572</v>
      </c>
      <c r="Z13" s="21">
        <f>_xll.BDP("AAPL US Equity","EBITDA_TO_REVENUE","EQY_FUND_YEAR=2017","FUND_PER=C2","EQY_FUND_CRNCY=USD","FILING_STATUS=MR","FA_ADJUSTED=GAAP","Fill=—")</f>
        <v>32.59122113267351</v>
      </c>
      <c r="AA13" s="21">
        <f>_xll.BDP("AAPL US Equity","EBITDA_TO_REVENUE","EQY_FUND_YEAR=2017","FUND_PER=C3","EQY_FUND_CRNCY=USD","FILING_STATUS=MR","FA_ADJUSTED=GAAP","Fill=—")</f>
        <v>31.641900880246808</v>
      </c>
      <c r="AB13" s="21">
        <f>_xll.BDP("AAPL US Equity","EBITDA_TO_REVENUE","EQY_FUND_YEAR=2017","FUND_PER=C4","EQY_FUND_CRNCY=USD","FILING_STATUS=MR","FA_ADJUSTED=GAAP","Fill=—")</f>
        <v>31.191271800867238</v>
      </c>
      <c r="AC13" s="21">
        <f>_xll.BDP("AAPL US Equity","EBITDA_TO_REVENUE","EQY_FUND_YEAR=2018","FUND_PER=C1","EQY_FUND_CRNCY=USD","FILING_STATUS=MR","FA_ADJUSTED=GAAP","Fill=—")</f>
        <v>32.866705174815671</v>
      </c>
      <c r="AD13" s="21">
        <f>_xll.BDP("AAPL US Equity","EBITDA_TO_REVENUE","EQY_FUND_YEAR=2018","FUND_PER=C2","EQY_FUND_CRNCY=USD","FILING_STATUS=MR","FA_ADJUSTED=GAAP","Fill=—")</f>
        <v>31.889178879743024</v>
      </c>
      <c r="AE13" s="21">
        <f>_xll.BDP("AAPL US Equity","EBITDA_TO_REVENUE","EQY_FUND_YEAR=2018","FUND_PER=C3","EQY_FUND_CRNCY=USD","FILING_STATUS=MR","FA_ADJUSTED=GAAP","Fill=—")</f>
        <v>31.046153087150646</v>
      </c>
      <c r="AF13" s="21">
        <f>_xll.BDP("AAPL US Equity","EBITDA_TO_REVENUE","EQY_FUND_YEAR=2018","FUND_PER=C4","EQY_FUND_CRNCY=USD","FILING_STATUS=MR","FA_ADJUSTED=GAAP","Fill=—")</f>
        <v>30.799149080366721</v>
      </c>
      <c r="AG13" s="21">
        <f>_xll.BDP("AAPL US Equity","EBITDA_TO_REVENUE","EQY_FUND_YEAR=2019","FUND_PER=C1","EQY_FUND_CRNCY=USD","FILING_STATUS=MR","FA_ADJUSTED=GAAP","Fill=—")</f>
        <v>31.717471237101176</v>
      </c>
      <c r="AH13" s="21">
        <f>_xll.BDP("AAPL US Equity","EBITDA_TO_REVENUE","EQY_FUND_YEAR=2019","FUND_PER=C2","EQY_FUND_CRNCY=USD","FILING_STATUS=MR","FA_ADJUSTED=GAAP","Fill=—")</f>
        <v>30.350254698752856</v>
      </c>
      <c r="AI13" s="21">
        <f>_xll.BDP("AAPL US Equity","EBITDA_TO_REVENUE","EQY_FUND_YEAR=2019","FUND_PER=C3","EQY_FUND_CRNCY=USD","FILING_STATUS=MR","FA_ADJUSTED=GAAP","Fill=—")</f>
        <v>29.404896652288741</v>
      </c>
      <c r="AJ13" s="21">
        <f>_xll.BDP("AAPL US Equity","EBITDA_TO_REVENUE","EQY_FUND_YEAR=2019","FUND_PER=C4","EQY_FUND_CRNCY=USD","FILING_STATUS=MR","FA_ADJUSTED=GAAP","Fill=—")</f>
        <v>29.394559025882678</v>
      </c>
      <c r="AK13" s="21">
        <f>_xll.BDP("AAPL US Equity","EBITDA_TO_REVENUE","EQY_FUND_YEAR=2020","FUND_PER=C1","EQY_FUND_CRNCY=USD","FILING_STATUS=MR","FA_ADJUSTED=GAAP","Fill=—")</f>
        <v>31.315958570666204</v>
      </c>
      <c r="AL13" s="21">
        <f>_xll.BDP("AAPL US Equity","EBITDA_TO_REVENUE","EQY_FUND_YEAR=2020","FUND_PER=C2","EQY_FUND_CRNCY=USD","FILING_STATUS=MR","FA_ADJUSTED=GAAP","Fill=—")</f>
        <v>29.323528628140572</v>
      </c>
      <c r="AM13" s="21">
        <f>_xll.BDP("AAPL US Equity","EBITDA_TO_REVENUE","EQY_FUND_YEAR=2020","FUND_PER=C3","EQY_FUND_CRNCY=USD","FILING_STATUS=MR","FA_ADJUSTED=GAAP","Fill=—")</f>
        <v>29.057226058898944</v>
      </c>
      <c r="AN13" s="21">
        <f>_xll.BDP("AAPL US Equity","EBITDA_TO_REVENUE","EQY_FUND_YEAR=2020","FUND_PER=C4","EQY_FUND_CRNCY=USD","FILING_STATUS=MR","FA_ADJUSTED=GAAP","Fill=—")</f>
        <v>28.721199205872171</v>
      </c>
      <c r="AO13" s="21">
        <f>_xll.BDP("AAPL US Equity","EBITDA_TO_REVENUE","EQY_FUND_YEAR=2021","FUND_PER=C1","EQY_FUND_CRNCY=USD","FILING_STATUS=MR","FA_ADJUSTED=GAAP","Fill=—")</f>
        <v>32.48413930491121</v>
      </c>
      <c r="AP13" s="21">
        <f>_xll.BDP("AAPL US Equity","EBITDA_TO_REVENUE","EQY_FUND_YEAR=2021","FUND_PER=C2","EQY_FUND_CRNCY=USD","FILING_STATUS=MR","FA_ADJUSTED=GAAP","Fill=—")</f>
        <v>33.08079175019774</v>
      </c>
    </row>
    <row r="14" spans="1:42" x14ac:dyDescent="0.25">
      <c r="A14" s="6" t="s">
        <v>102</v>
      </c>
      <c r="B14" s="6" t="s">
        <v>101</v>
      </c>
      <c r="C14" s="24">
        <v>8.4442047548720591</v>
      </c>
      <c r="D14" s="24">
        <v>10.514359546736699</v>
      </c>
      <c r="E14" s="24">
        <v>27.384463554236099</v>
      </c>
      <c r="F14" s="24">
        <v>24.611086527447501</v>
      </c>
      <c r="G14" s="24">
        <v>17.317054375066199</v>
      </c>
      <c r="H14" s="24">
        <v>13.678421359628</v>
      </c>
      <c r="I14" s="24">
        <v>-11.535677923542799</v>
      </c>
      <c r="J14" s="24">
        <v>-15.737022057047501</v>
      </c>
      <c r="K14" s="24">
        <v>-14.8022951333196</v>
      </c>
      <c r="L14" s="24">
        <v>-12.748841381316399</v>
      </c>
      <c r="M14" s="24">
        <v>-1.27790013672947</v>
      </c>
      <c r="N14" s="24">
        <v>0.89937265836459002</v>
      </c>
      <c r="O14" s="24">
        <v>2.1365080785058801</v>
      </c>
      <c r="P14" s="24">
        <v>1.3679513035857001</v>
      </c>
      <c r="Q14" s="24">
        <v>5.6107312422876001</v>
      </c>
      <c r="R14" s="24">
        <v>5.56864269838354</v>
      </c>
      <c r="S14" s="24">
        <v>5.6411953971372704</v>
      </c>
      <c r="T14" s="24">
        <v>6.7269552395825896</v>
      </c>
      <c r="U14" s="24">
        <v>-0.56340170995559902</v>
      </c>
      <c r="V14" s="24">
        <v>-3.90583372858032</v>
      </c>
      <c r="W14" s="24">
        <v>-6.2594821919692496</v>
      </c>
      <c r="X14" s="24">
        <v>-7.3295026177513503</v>
      </c>
      <c r="Y14" s="24">
        <v>-5.94499141590493</v>
      </c>
      <c r="Z14" s="24">
        <v>-5.46983156161411</v>
      </c>
      <c r="AA14" s="24">
        <v>-5.0028173198641701</v>
      </c>
      <c r="AB14" s="24">
        <v>-4.6341976320771598</v>
      </c>
      <c r="AC14" s="24">
        <v>-2.2569197856585901</v>
      </c>
      <c r="AD14" s="24">
        <v>-2.1540831501832902</v>
      </c>
      <c r="AE14" s="24">
        <v>-1.88278194789877</v>
      </c>
      <c r="AF14" s="24">
        <v>-1.2571561685589501</v>
      </c>
      <c r="AG14" s="24">
        <v>-3.4966510941696298</v>
      </c>
      <c r="AH14" s="24">
        <v>-4.8258501731888401</v>
      </c>
      <c r="AI14" s="24">
        <v>-5.2865036128630898</v>
      </c>
      <c r="AJ14" s="24">
        <v>-4.5604831484142601</v>
      </c>
      <c r="AK14" s="24">
        <v>-1.2659016855410701</v>
      </c>
      <c r="AL14" s="24">
        <v>-3.3829238008049698</v>
      </c>
      <c r="AM14" s="24">
        <v>-1.1823574828369501</v>
      </c>
      <c r="AN14" s="24">
        <v>-2.2907640832441198</v>
      </c>
      <c r="AO14" s="24">
        <v>3.7303024952868298</v>
      </c>
      <c r="AP14" s="24">
        <v>12.813133780726099</v>
      </c>
    </row>
    <row r="15" spans="1:42" x14ac:dyDescent="0.25">
      <c r="A15" s="8" t="s">
        <v>103</v>
      </c>
      <c r="B15" s="8" t="s">
        <v>104</v>
      </c>
      <c r="C15" s="21">
        <f>_xll.BDP("AAPL US Equity","OPER_MARGIN","EQY_FUND_YEAR=2011","FUND_PER=C3","EQY_FUND_CRNCY=USD","FILING_STATUS=MR","FA_ADJUSTED=GAAP","Fill=—")</f>
        <v>31.358231535778142</v>
      </c>
      <c r="D15" s="21">
        <f>_xll.BDP("AAPL US Equity","OPER_MARGIN","EQY_FUND_YEAR=2011","FUND_PER=C4","EQY_FUND_CRNCY=USD","FILING_STATUS=MR","FA_ADJUSTED=GAAP","Fill=—")</f>
        <v>31.215068961376087</v>
      </c>
      <c r="E15" s="21">
        <f>_xll.BDP("AAPL US Equity","OPER_MARGIN","EQY_FUND_YEAR=2012","FUND_PER=C1","EQY_FUND_CRNCY=USD","FILING_STATUS=MR","FA_ADJUSTED=GAAP","Fill=—")</f>
        <v>37.424729674314207</v>
      </c>
      <c r="F15" s="21">
        <f>_xll.BDP("AAPL US Equity","OPER_MARGIN","EQY_FUND_YEAR=2012","FUND_PER=C2","EQY_FUND_CRNCY=USD","FILING_STATUS=MR","FA_ADJUSTED=GAAP","Fill=—")</f>
        <v>38.26518083700698</v>
      </c>
      <c r="G15" s="21">
        <f>_xll.BDP("AAPL US Equity","OPER_MARGIN","EQY_FUND_YEAR=2012","FUND_PER=C3","EQY_FUND_CRNCY=USD","FILING_STATUS=MR","FA_ADJUSTED=GAAP","Fill=—")</f>
        <v>36.748187353785404</v>
      </c>
      <c r="H15" s="21">
        <f>_xll.BDP("AAPL US Equity","OPER_MARGIN","EQY_FUND_YEAR=2012","FUND_PER=C4","EQY_FUND_CRNCY=USD","FILING_STATUS=MR","FA_ADJUSTED=GAAP","Fill=—")</f>
        <v>35.295959311984056</v>
      </c>
      <c r="I15" s="21">
        <f>_xll.BDP("AAPL US Equity","OPER_MARGIN","EQY_FUND_YEAR=2013","FUND_PER=C1","EQY_FUND_CRNCY=USD","FILING_STATUS=MR","FA_ADJUSTED=GAAP","Fill=—")</f>
        <v>31.571030231875554</v>
      </c>
      <c r="J15" s="21">
        <f>_xll.BDP("AAPL US Equity","OPER_MARGIN","EQY_FUND_YEAR=2013","FUND_PER=C2","EQY_FUND_CRNCY=USD","FILING_STATUS=MR","FA_ADJUSTED=GAAP","Fill=—")</f>
        <v>30.339907251694441</v>
      </c>
      <c r="K15" s="21">
        <f>_xll.BDP("AAPL US Equity","OPER_MARGIN","EQY_FUND_YEAR=2013","FUND_PER=C3","EQY_FUND_CRNCY=USD","FILING_STATUS=MR","FA_ADJUSTED=GAAP","Fill=—")</f>
        <v>29.203824997377058</v>
      </c>
      <c r="L15" s="21">
        <f>_xll.BDP("AAPL US Equity","OPER_MARGIN","EQY_FUND_YEAR=2013","FUND_PER=C4","EQY_FUND_CRNCY=USD","FILING_STATUS=MR","FA_ADJUSTED=GAAP","Fill=—")</f>
        <v>28.669475162366158</v>
      </c>
      <c r="M15" s="21">
        <f>_xll.BDP("AAPL US Equity","OPER_MARGIN","EQY_FUND_YEAR=2014","FUND_PER=C1","EQY_FUND_CRNCY=USD","FILING_STATUS=MR","FA_ADJUSTED=GAAP","Fill=—")</f>
        <v>30.320866756953851</v>
      </c>
      <c r="N15" s="21">
        <f>_xll.BDP("AAPL US Equity","OPER_MARGIN","EQY_FUND_YEAR=2014","FUND_PER=C2","EQY_FUND_CRNCY=USD","FILING_STATUS=MR","FA_ADJUSTED=GAAP","Fill=—")</f>
        <v>30.081363812475786</v>
      </c>
      <c r="O15" s="21">
        <f>_xll.BDP("AAPL US Equity","OPER_MARGIN","EQY_FUND_YEAR=2014","FUND_PER=C3","EQY_FUND_CRNCY=USD","FILING_STATUS=MR","FA_ADJUSTED=GAAP","Fill=—")</f>
        <v>29.386089626933575</v>
      </c>
      <c r="P15" s="21">
        <f>_xll.BDP("AAPL US Equity","OPER_MARGIN","EQY_FUND_YEAR=2014","FUND_PER=C4","EQY_FUND_CRNCY=USD","FILING_STATUS=MR","FA_ADJUSTED=GAAP","Fill=—")</f>
        <v>28.722339232473537</v>
      </c>
      <c r="Q15" s="21">
        <f>_xll.BDP("AAPL US Equity","OPER_MARGIN","EQY_FUND_YEAR=2015","FUND_PER=C1","EQY_FUND_CRNCY=USD","FILING_STATUS=MR","FA_ADJUSTED=GAAP","Fill=—")</f>
        <v>32.501776163219347</v>
      </c>
      <c r="R15" s="21">
        <f>_xll.BDP("AAPL US Equity","OPER_MARGIN","EQY_FUND_YEAR=2015","FUND_PER=C2","EQY_FUND_CRNCY=USD","FILING_STATUS=MR","FA_ADJUSTED=GAAP","Fill=—")</f>
        <v>32.067205091660448</v>
      </c>
      <c r="S15" s="21">
        <f>_xll.BDP("AAPL US Equity","OPER_MARGIN","EQY_FUND_YEAR=2015","FUND_PER=C3","EQY_FUND_CRNCY=USD","FILING_STATUS=MR","FA_ADJUSTED=GAAP","Fill=—")</f>
        <v>31.066218841581879</v>
      </c>
      <c r="T15" s="21">
        <f>_xll.BDP("AAPL US Equity","OPER_MARGIN","EQY_FUND_YEAR=2015","FUND_PER=C4","EQY_FUND_CRNCY=USD","FILING_STATUS=MR","FA_ADJUSTED=GAAP","Fill=—")</f>
        <v>30.47729071732666</v>
      </c>
      <c r="U15" s="21">
        <f>_xll.BDP("AAPL US Equity","OPER_MARGIN","EQY_FUND_YEAR=2016","FUND_PER=C1","EQY_FUND_CRNCY=USD","FILING_STATUS=MR","FA_ADJUSTED=GAAP","Fill=—")</f>
        <v>31.857602277520037</v>
      </c>
      <c r="V15" s="21">
        <f>_xll.BDP("AAPL US Equity","OPER_MARGIN","EQY_FUND_YEAR=2016","FUND_PER=C2","EQY_FUND_CRNCY=USD","FILING_STATUS=MR","FA_ADJUSTED=GAAP","Fill=—")</f>
        <v>30.181366616836325</v>
      </c>
      <c r="W15" s="21">
        <f>_xll.BDP("AAPL US Equity","OPER_MARGIN","EQY_FUND_YEAR=2016","FUND_PER=C3","EQY_FUND_CRNCY=USD","FILING_STATUS=MR","FA_ADJUSTED=GAAP","Fill=—")</f>
        <v>28.594026791162825</v>
      </c>
      <c r="X15" s="21">
        <f>_xll.BDP("AAPL US Equity","OPER_MARGIN","EQY_FUND_YEAR=2016","FUND_PER=C4","EQY_FUND_CRNCY=USD","FILING_STATUS=MR","FA_ADJUSTED=GAAP","Fill=—")</f>
        <v>27.835410106706114</v>
      </c>
      <c r="Y15" s="21">
        <f>_xll.BDP("AAPL US Equity","OPER_MARGIN","EQY_FUND_YEAR=2017","FUND_PER=C1","EQY_FUND_CRNCY=USD","FILING_STATUS=MR","FA_ADJUSTED=GAAP","Fill=—")</f>
        <v>29.813276154739572</v>
      </c>
      <c r="Z15" s="21">
        <f>_xll.BDP("AAPL US Equity","OPER_MARGIN","EQY_FUND_YEAR=2017","FUND_PER=C2","EQY_FUND_CRNCY=USD","FILING_STATUS=MR","FA_ADJUSTED=GAAP","Fill=—")</f>
        <v>28.538557071780691</v>
      </c>
      <c r="AA15" s="21">
        <f>_xll.BDP("AAPL US Equity","OPER_MARGIN","EQY_FUND_YEAR=2017","FUND_PER=C3","EQY_FUND_CRNCY=USD","FILING_STATUS=MR","FA_ADJUSTED=GAAP","Fill=—")</f>
        <v>27.298406498542356</v>
      </c>
      <c r="AB15" s="21">
        <f>_xll.BDP("AAPL US Equity","OPER_MARGIN","EQY_FUND_YEAR=2017","FUND_PER=C4","EQY_FUND_CRNCY=USD","FILING_STATUS=MR","FA_ADJUSTED=GAAP","Fill=—")</f>
        <v>26.760428208729941</v>
      </c>
      <c r="AC15" s="21">
        <f>_xll.BDP("AAPL US Equity","OPER_MARGIN","EQY_FUND_YEAR=2018","FUND_PER=C1","EQY_FUND_CRNCY=USD","FILING_STATUS=MR","FA_ADJUSTED=GAAP","Fill=—")</f>
        <v>29.757738439060855</v>
      </c>
      <c r="AD15" s="21">
        <f>_xll.BDP("AAPL US Equity","OPER_MARGIN","EQY_FUND_YEAR=2018","FUND_PER=C2","EQY_FUND_CRNCY=USD","FILING_STATUS=MR","FA_ADJUSTED=GAAP","Fill=—")</f>
        <v>28.219233085725758</v>
      </c>
      <c r="AE15" s="21">
        <f>_xll.BDP("AAPL US Equity","OPER_MARGIN","EQY_FUND_YEAR=2018","FUND_PER=C3","EQY_FUND_CRNCY=USD","FILING_STATUS=MR","FA_ADJUSTED=GAAP","Fill=—")</f>
        <v>27.025826981425293</v>
      </c>
      <c r="AF15" s="21">
        <f>_xll.BDP("AAPL US Equity","OPER_MARGIN","EQY_FUND_YEAR=2018","FUND_PER=C4","EQY_FUND_CRNCY=USD","FILING_STATUS=MR","FA_ADJUSTED=GAAP","Fill=—")</f>
        <v>26.694026619477025</v>
      </c>
      <c r="AG15" s="21">
        <f>_xll.BDP("AAPL US Equity","OPER_MARGIN","EQY_FUND_YEAR=2019","FUND_PER=C1","EQY_FUND_CRNCY=USD","FILING_STATUS=MR","FA_ADJUSTED=GAAP","Fill=—")</f>
        <v>27.690665401494485</v>
      </c>
      <c r="AH15" s="21">
        <f>_xll.BDP("AAPL US Equity","OPER_MARGIN","EQY_FUND_YEAR=2019","FUND_PER=C2","EQY_FUND_CRNCY=USD","FILING_STATUS=MR","FA_ADJUSTED=GAAP","Fill=—")</f>
        <v>25.828912699806779</v>
      </c>
      <c r="AI15" s="21">
        <f>_xll.BDP("AAPL US Equity","OPER_MARGIN","EQY_FUND_YEAR=2019","FUND_PER=C3","EQY_FUND_CRNCY=USD","FILING_STATUS=MR","FA_ADJUSTED=GAAP","Fill=—")</f>
        <v>24.628570263187413</v>
      </c>
      <c r="AJ15" s="21">
        <f>_xll.BDP("AAPL US Equity","OPER_MARGIN","EQY_FUND_YEAR=2019","FUND_PER=C4","EQY_FUND_CRNCY=USD","FILING_STATUS=MR","FA_ADJUSTED=GAAP","Fill=—")</f>
        <v>24.572017188496929</v>
      </c>
      <c r="AK15" s="21">
        <f>_xll.BDP("AAPL US Equity","OPER_MARGIN","EQY_FUND_YEAR=2020","FUND_PER=C1","EQY_FUND_CRNCY=USD","FILING_STATUS=MR","FA_ADJUSTED=GAAP","Fill=—")</f>
        <v>27.84717759940753</v>
      </c>
      <c r="AL15" s="21">
        <f>_xll.BDP("AAPL US Equity","OPER_MARGIN","EQY_FUND_YEAR=2020","FUND_PER=C2","EQY_FUND_CRNCY=USD","FILING_STATUS=MR","FA_ADJUSTED=GAAP","Fill=—")</f>
        <v>25.592145578557535</v>
      </c>
      <c r="AM15" s="21">
        <f>_xll.BDP("AAPL US Equity","OPER_MARGIN","EQY_FUND_YEAR=2020","FUND_PER=C3","EQY_FUND_CRNCY=USD","FILING_STATUS=MR","FA_ADJUSTED=GAAP","Fill=—")</f>
        <v>24.551394786885712</v>
      </c>
      <c r="AN15" s="21">
        <f>_xll.BDP("AAPL US Equity","OPER_MARGIN","EQY_FUND_YEAR=2020","FUND_PER=C4","EQY_FUND_CRNCY=USD","FILING_STATUS=MR","FA_ADJUSTED=GAAP","Fill=—")</f>
        <v>24.147314354406863</v>
      </c>
      <c r="AO15" s="21">
        <f>_xll.BDP("AAPL US Equity","OPER_MARGIN","EQY_FUND_YEAR=2021","FUND_PER=C1","EQY_FUND_CRNCY=USD","FILING_STATUS=MR","FA_ADJUSTED=GAAP","Fill=—")</f>
        <v>30.091799100853382</v>
      </c>
      <c r="AP15" s="21">
        <f>_xll.BDP("AAPL US Equity","OPER_MARGIN","EQY_FUND_YEAR=2021","FUND_PER=C2","EQY_FUND_CRNCY=USD","FILING_STATUS=MR","FA_ADJUSTED=GAAP","Fill=—")</f>
        <v>30.363192271531119</v>
      </c>
    </row>
    <row r="16" spans="1:42" x14ac:dyDescent="0.25">
      <c r="A16" s="8" t="s">
        <v>111</v>
      </c>
      <c r="B16" s="8" t="s">
        <v>112</v>
      </c>
      <c r="C16" s="21">
        <f>_xll.BDP("AAPL US Equity","PROF_MARGIN","EQY_FUND_YEAR=2011","FUND_PER=C3","EQY_FUND_CRNCY=USD","FILING_STATUS=MR","FA_ADJUSTED=GAAP","Fill=—")</f>
        <v>24.13008414708861</v>
      </c>
      <c r="D16" s="21">
        <f>_xll.BDP("AAPL US Equity","PROF_MARGIN","EQY_FUND_YEAR=2011","FUND_PER=C4","EQY_FUND_CRNCY=USD","FILING_STATUS=MR","FA_ADJUSTED=GAAP","Fill=—")</f>
        <v>23.946641539413761</v>
      </c>
      <c r="E16" s="21">
        <f>_xll.BDP("AAPL US Equity","PROF_MARGIN","EQY_FUND_YEAR=2012","FUND_PER=C1","EQY_FUND_CRNCY=USD","FILING_STATUS=MR","FA_ADJUSTED=GAAP","Fill=—")</f>
        <v>28.195886301340295</v>
      </c>
      <c r="F16" s="21">
        <f>_xll.BDP("AAPL US Equity","PROF_MARGIN","EQY_FUND_YEAR=2012","FUND_PER=C2","EQY_FUND_CRNCY=USD","FILING_STATUS=MR","FA_ADJUSTED=GAAP","Fill=—")</f>
        <v>28.866099931009479</v>
      </c>
      <c r="G16" s="21">
        <f>_xll.BDP("AAPL US Equity","PROF_MARGIN","EQY_FUND_YEAR=2012","FUND_PER=C3","EQY_FUND_CRNCY=USD","FILING_STATUS=MR","FA_ADJUSTED=GAAP","Fill=—")</f>
        <v>27.799439199615072</v>
      </c>
      <c r="H16" s="21">
        <f>_xll.BDP("AAPL US Equity","PROF_MARGIN","EQY_FUND_YEAR=2012","FUND_PER=C4","EQY_FUND_CRNCY=USD","FILING_STATUS=MR","FA_ADJUSTED=GAAP","Fill=—")</f>
        <v>26.665090602397324</v>
      </c>
      <c r="I16" s="21">
        <f>_xll.BDP("AAPL US Equity","PROF_MARGIN","EQY_FUND_YEAR=2013","FUND_PER=C1","EQY_FUND_CRNCY=USD","FILING_STATUS=MR","FA_ADJUSTED=GAAP","Fill=—")</f>
        <v>23.991047842676842</v>
      </c>
      <c r="J16" s="21">
        <f>_xll.BDP("AAPL US Equity","PROF_MARGIN","EQY_FUND_YEAR=2013","FUND_PER=C2","EQY_FUND_CRNCY=USD","FILING_STATUS=MR","FA_ADJUSTED=GAAP","Fill=—")</f>
        <v>23.059674871324464</v>
      </c>
      <c r="K16" s="21">
        <f>_xll.BDP("AAPL US Equity","PROF_MARGIN","EQY_FUND_YEAR=2013","FUND_PER=C3","EQY_FUND_CRNCY=USD","FILING_STATUS=MR","FA_ADJUSTED=GAAP","Fill=—")</f>
        <v>22.126380791079004</v>
      </c>
      <c r="L16" s="21">
        <f>_xll.BDP("AAPL US Equity","PROF_MARGIN","EQY_FUND_YEAR=2013","FUND_PER=C4","EQY_FUND_CRNCY=USD","FILING_STATUS=MR","FA_ADJUSTED=GAAP","Fill=—")</f>
        <v>21.670469837926394</v>
      </c>
      <c r="M16" s="21">
        <f>_xll.BDP("AAPL US Equity","PROF_MARGIN","EQY_FUND_YEAR=2014","FUND_PER=C1","EQY_FUND_CRNCY=USD","FILING_STATUS=MR","FA_ADJUSTED=GAAP","Fill=—")</f>
        <v>22.69680869535021</v>
      </c>
      <c r="N16" s="21">
        <f>_xll.BDP("AAPL US Equity","PROF_MARGIN","EQY_FUND_YEAR=2014","FUND_PER=C2","EQY_FUND_CRNCY=USD","FILING_STATUS=MR","FA_ADJUSTED=GAAP","Fill=—")</f>
        <v>22.563928709802404</v>
      </c>
      <c r="O16" s="21">
        <f>_xll.BDP("AAPL US Equity","PROF_MARGIN","EQY_FUND_YEAR=2014","FUND_PER=C3","EQY_FUND_CRNCY=USD","FILING_STATUS=MR","FA_ADJUSTED=GAAP","Fill=—")</f>
        <v>22.067646724294811</v>
      </c>
      <c r="P16" s="21">
        <f>_xll.BDP("AAPL US Equity","PROF_MARGIN","EQY_FUND_YEAR=2014","FUND_PER=C4","EQY_FUND_CRNCY=USD","FILING_STATUS=MR","FA_ADJUSTED=GAAP","Fill=—")</f>
        <v>21.614376760852323</v>
      </c>
      <c r="Q16" s="21">
        <f>_xll.BDP("AAPL US Equity","PROF_MARGIN","EQY_FUND_YEAR=2015","FUND_PER=C1","EQY_FUND_CRNCY=USD","FILING_STATUS=MR","FA_ADJUSTED=GAAP","Fill=—")</f>
        <v>24.161181785278625</v>
      </c>
      <c r="R16" s="21">
        <f>_xll.BDP("AAPL US Equity","PROF_MARGIN","EQY_FUND_YEAR=2015","FUND_PER=C2","EQY_FUND_CRNCY=USD","FILING_STATUS=MR","FA_ADJUSTED=GAAP","Fill=—")</f>
        <v>23.824174829762686</v>
      </c>
      <c r="S16" s="21">
        <f>_xll.BDP("AAPL US Equity","PROF_MARGIN","EQY_FUND_YEAR=2015","FUND_PER=C3","EQY_FUND_CRNCY=USD","FILING_STATUS=MR","FA_ADJUSTED=GAAP","Fill=—")</f>
        <v>23.197997958444468</v>
      </c>
      <c r="T16" s="21">
        <f>_xll.BDP("AAPL US Equity","PROF_MARGIN","EQY_FUND_YEAR=2015","FUND_PER=C4","EQY_FUND_CRNCY=USD","FILING_STATUS=MR","FA_ADJUSTED=GAAP","Fill=—")</f>
        <v>22.845773698735638</v>
      </c>
      <c r="U16" s="21">
        <f>_xll.BDP("AAPL US Equity","PROF_MARGIN","EQY_FUND_YEAR=2016","FUND_PER=C1","EQY_FUND_CRNCY=USD","FILING_STATUS=MR","FA_ADJUSTED=GAAP","Fill=—")</f>
        <v>24.199968367777309</v>
      </c>
      <c r="V16" s="21">
        <f>_xll.BDP("AAPL US Equity","PROF_MARGIN","EQY_FUND_YEAR=2016","FUND_PER=C2","EQY_FUND_CRNCY=USD","FILING_STATUS=MR","FA_ADJUSTED=GAAP","Fill=—")</f>
        <v>22.8404875463699</v>
      </c>
      <c r="W16" s="21">
        <f>_xll.BDP("AAPL US Equity","PROF_MARGIN","EQY_FUND_YEAR=2016","FUND_PER=C3","EQY_FUND_CRNCY=USD","FILING_STATUS=MR","FA_ADJUSTED=GAAP","Fill=—")</f>
        <v>21.727384217978873</v>
      </c>
      <c r="X16" s="21">
        <f>_xll.BDP("AAPL US Equity","PROF_MARGIN","EQY_FUND_YEAR=2016","FUND_PER=C4","EQY_FUND_CRNCY=USD","FILING_STATUS=MR","FA_ADJUSTED=GAAP","Fill=—")</f>
        <v>21.186798306428798</v>
      </c>
      <c r="Y16" s="21">
        <f>_xll.BDP("AAPL US Equity","PROF_MARGIN","EQY_FUND_YEAR=2017","FUND_PER=C1","EQY_FUND_CRNCY=USD","FILING_STATUS=MR","FA_ADJUSTED=GAAP","Fill=—")</f>
        <v>22.834424576584855</v>
      </c>
      <c r="Z16" s="21">
        <f>_xll.BDP("AAPL US Equity","PROF_MARGIN","EQY_FUND_YEAR=2017","FUND_PER=C2","EQY_FUND_CRNCY=USD","FILING_STATUS=MR","FA_ADJUSTED=GAAP","Fill=—")</f>
        <v>22.034789366614092</v>
      </c>
      <c r="AA16" s="21">
        <f>_xll.BDP("AAPL US Equity","PROF_MARGIN","EQY_FUND_YEAR=2017","FUND_PER=C3","EQY_FUND_CRNCY=USD","FILING_STATUS=MR","FA_ADJUSTED=GAAP","Fill=—")</f>
        <v>21.305369222495827</v>
      </c>
      <c r="AB16" s="21">
        <f>_xll.BDP("AAPL US Equity","PROF_MARGIN","EQY_FUND_YEAR=2017","FUND_PER=C4","EQY_FUND_CRNCY=USD","FILING_STATUS=MR","FA_ADJUSTED=GAAP","Fill=—")</f>
        <v>21.092420845075338</v>
      </c>
      <c r="AC16" s="21">
        <f>_xll.BDP("AAPL US Equity","PROF_MARGIN","EQY_FUND_YEAR=2018","FUND_PER=C1","EQY_FUND_CRNCY=USD","FILING_STATUS=MR","FA_ADJUSTED=GAAP","Fill=—")</f>
        <v>22.725470875380836</v>
      </c>
      <c r="AD16" s="21">
        <f>_xll.BDP("AAPL US Equity","PROF_MARGIN","EQY_FUND_YEAR=2018","FUND_PER=C2","EQY_FUND_CRNCY=USD","FILING_STATUS=MR","FA_ADJUSTED=GAAP","Fill=—")</f>
        <v>22.677507863213545</v>
      </c>
      <c r="AE16" s="21">
        <f>_xll.BDP("AAPL US Equity","PROF_MARGIN","EQY_FUND_YEAR=2018","FUND_PER=C3","EQY_FUND_CRNCY=USD","FILING_STATUS=MR","FA_ADJUSTED=GAAP","Fill=—")</f>
        <v>22.401144576827253</v>
      </c>
      <c r="AF16" s="21">
        <f>_xll.BDP("AAPL US Equity","PROF_MARGIN","EQY_FUND_YEAR=2018","FUND_PER=C4","EQY_FUND_CRNCY=USD","FILING_STATUS=MR","FA_ADJUSTED=GAAP","Fill=—")</f>
        <v>22.414202074587248</v>
      </c>
      <c r="AG16" s="21">
        <f>_xll.BDP("AAPL US Equity","PROF_MARGIN","EQY_FUND_YEAR=2019","FUND_PER=C1","EQY_FUND_CRNCY=USD","FILING_STATUS=MR","FA_ADJUSTED=GAAP","Fill=—")</f>
        <v>23.680464950776894</v>
      </c>
      <c r="AH16" s="21">
        <f>_xll.BDP("AAPL US Equity","PROF_MARGIN","EQY_FUND_YEAR=2019","FUND_PER=C2","EQY_FUND_CRNCY=USD","FILING_STATUS=MR","FA_ADJUSTED=GAAP","Fill=—")</f>
        <v>22.150711399964869</v>
      </c>
      <c r="AI16" s="21">
        <f>_xll.BDP("AAPL US Equity","PROF_MARGIN","EQY_FUND_YEAR=2019","FUND_PER=C3","EQY_FUND_CRNCY=USD","FILING_STATUS=MR","FA_ADJUSTED=GAAP","Fill=—")</f>
        <v>21.19469342388367</v>
      </c>
      <c r="AJ16" s="21">
        <f>_xll.BDP("AAPL US Equity","PROF_MARGIN","EQY_FUND_YEAR=2019","FUND_PER=C4","EQY_FUND_CRNCY=USD","FILING_STATUS=MR","FA_ADJUSTED=GAAP","Fill=—")</f>
        <v>21.238094505984456</v>
      </c>
      <c r="AK16" s="21">
        <f>_xll.BDP("AAPL US Equity","PROF_MARGIN","EQY_FUND_YEAR=2020","FUND_PER=C1","EQY_FUND_CRNCY=USD","FILING_STATUS=MR","FA_ADJUSTED=GAAP","Fill=—")</f>
        <v>24.217209945653948</v>
      </c>
      <c r="AL16" s="21">
        <f>_xll.BDP("AAPL US Equity","PROF_MARGIN","EQY_FUND_YEAR=2020","FUND_PER=C2","EQY_FUND_CRNCY=USD","FILING_STATUS=MR","FA_ADJUSTED=GAAP","Fill=—")</f>
        <v>22.303706071989982</v>
      </c>
      <c r="AM16" s="21">
        <f>_xll.BDP("AAPL US Equity","PROF_MARGIN","EQY_FUND_YEAR=2020","FUND_PER=C3","EQY_FUND_CRNCY=USD","FILING_STATUS=MR","FA_ADJUSTED=GAAP","Fill=—")</f>
        <v>21.322390464071074</v>
      </c>
      <c r="AN16" s="21">
        <f>_xll.BDP("AAPL US Equity","PROF_MARGIN","EQY_FUND_YEAR=2020","FUND_PER=C4","EQY_FUND_CRNCY=USD","FILING_STATUS=MR","FA_ADJUSTED=GAAP","Fill=—")</f>
        <v>20.913611278072235</v>
      </c>
      <c r="AO16" s="21">
        <f>_xll.BDP("AAPL US Equity","PROF_MARGIN","EQY_FUND_YEAR=2021","FUND_PER=C1","EQY_FUND_CRNCY=USD","FILING_STATUS=MR","FA_ADJUSTED=GAAP","Fill=—")</f>
        <v>25.803354301456405</v>
      </c>
      <c r="AP16" s="21">
        <f>_xll.BDP("AAPL US Equity","PROF_MARGIN","EQY_FUND_YEAR=2021","FUND_PER=C2","EQY_FUND_CRNCY=USD","FILING_STATUS=MR","FA_ADJUSTED=GAAP","Fill=—")</f>
        <v>26.059207155400127</v>
      </c>
    </row>
    <row r="17" spans="1:42" x14ac:dyDescent="0.25">
      <c r="A17" s="8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</row>
    <row r="18" spans="1:42" x14ac:dyDescent="0.25">
      <c r="A18" s="7" t="s">
        <v>115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x14ac:dyDescent="0.25">
      <c r="A19" s="8" t="s">
        <v>116</v>
      </c>
      <c r="B19" s="8" t="s">
        <v>117</v>
      </c>
      <c r="C19" s="21">
        <f>_xll.BDP("AAPL US Equity","EFF_TAX_RATE","EQY_FUND_YEAR=2011","FUND_PER=C3","EQY_FUND_CRNCY=USD","FILING_STATUS=MR","FA_ADJUSTED=GAAP","Fill=—")</f>
        <v>24.061540882977887</v>
      </c>
      <c r="D19" s="21">
        <f>_xll.BDP("AAPL US Equity","EFF_TAX_RATE","EQY_FUND_YEAR=2011","FUND_PER=C4","EQY_FUND_CRNCY=USD","FILING_STATUS=MR","FA_ADJUSTED=GAAP","Fill=—")</f>
        <v>24.215757930127175</v>
      </c>
      <c r="E19" s="21">
        <f>_xll.BDP("AAPL US Equity","EFF_TAX_RATE","EQY_FUND_YEAR=2012","FUND_PER=C1","EQY_FUND_CRNCY=USD","FILING_STATUS=MR","FA_ADJUSTED=GAAP","Fill=—")</f>
        <v>25.25032900383361</v>
      </c>
      <c r="F19" s="21">
        <f>_xll.BDP("AAPL US Equity","EFF_TAX_RATE","EQY_FUND_YEAR=2012","FUND_PER=C2","EQY_FUND_CRNCY=USD","FILING_STATUS=MR","FA_ADJUSTED=GAAP","Fill=—")</f>
        <v>25.21433548426187</v>
      </c>
      <c r="G19" s="21">
        <f>_xll.BDP("AAPL US Equity","EFF_TAX_RATE","EQY_FUND_YEAR=2012","FUND_PER=C3","EQY_FUND_CRNCY=USD","FILING_STATUS=MR","FA_ADJUSTED=GAAP","Fill=—")</f>
        <v>25.317584131936705</v>
      </c>
      <c r="H19" s="21">
        <f>_xll.BDP("AAPL US Equity","EFF_TAX_RATE","EQY_FUND_YEAR=2012","FUND_PER=C4","EQY_FUND_CRNCY=USD","FILING_STATUS=MR","FA_ADJUSTED=GAAP","Fill=—")</f>
        <v>25.160052364471063</v>
      </c>
      <c r="I19" s="21">
        <f>_xll.BDP("AAPL US Equity","EFF_TAX_RATE","EQY_FUND_YEAR=2013","FUND_PER=C1","EQY_FUND_CRNCY=USD","FILING_STATUS=MR","FA_ADJUSTED=GAAP","Fill=—")</f>
        <v>25.995925758261656</v>
      </c>
      <c r="J19" s="21">
        <f>_xll.BDP("AAPL US Equity","EFF_TAX_RATE","EQY_FUND_YEAR=2013","FUND_PER=C2","EQY_FUND_CRNCY=USD","FILING_STATUS=MR","FA_ADJUSTED=GAAP","Fill=—")</f>
        <v>26.006475455407656</v>
      </c>
      <c r="K19" s="21">
        <f>_xll.BDP("AAPL US Equity","EFF_TAX_RATE","EQY_FUND_YEAR=2013","FUND_PER=C3","EQY_FUND_CRNCY=USD","FILING_STATUS=MR","FA_ADJUSTED=GAAP","Fill=—")</f>
        <v>26.209637108867341</v>
      </c>
      <c r="L19" s="21">
        <f>_xll.BDP("AAPL US Equity","EFF_TAX_RATE","EQY_FUND_YEAR=2013","FUND_PER=C4","EQY_FUND_CRNCY=USD","FILING_STATUS=MR","FA_ADJUSTED=GAAP","Fill=—")</f>
        <v>26.154919748778788</v>
      </c>
      <c r="M19" s="21">
        <f>_xll.BDP("AAPL US Equity","EFF_TAX_RATE","EQY_FUND_YEAR=2014","FUND_PER=C1","EQY_FUND_CRNCY=USD","FILING_STATUS=MR","FA_ADJUSTED=GAAP","Fill=—")</f>
        <v>26.184425998080073</v>
      </c>
      <c r="N19" s="21">
        <f>_xll.BDP("AAPL US Equity","EFF_TAX_RATE","EQY_FUND_YEAR=2014","FUND_PER=C2","EQY_FUND_CRNCY=USD","FILING_STATUS=MR","FA_ADJUSTED=GAAP","Fill=—")</f>
        <v>26.110952516890286</v>
      </c>
      <c r="O19" s="21">
        <f>_xll.BDP("AAPL US Equity","EFF_TAX_RATE","EQY_FUND_YEAR=2014","FUND_PER=C3","EQY_FUND_CRNCY=USD","FILING_STATUS=MR","FA_ADJUSTED=GAAP","Fill=—")</f>
        <v>26.107448049320414</v>
      </c>
      <c r="P19" s="21">
        <f>_xll.BDP("AAPL US Equity","EFF_TAX_RATE","EQY_FUND_YEAR=2014","FUND_PER=C4","EQY_FUND_CRNCY=USD","FILING_STATUS=MR","FA_ADJUSTED=GAAP","Fill=—")</f>
        <v>26.126058747639437</v>
      </c>
      <c r="Q19" s="21">
        <f>_xll.BDP("AAPL US Equity","EFF_TAX_RATE","EQY_FUND_YEAR=2015","FUND_PER=C1","EQY_FUND_CRNCY=USD","FILING_STATUS=MR","FA_ADJUSTED=GAAP","Fill=—")</f>
        <v>26.179554390563563</v>
      </c>
      <c r="R19" s="21">
        <f>_xll.BDP("AAPL US Equity","EFF_TAX_RATE","EQY_FUND_YEAR=2015","FUND_PER=C2","EQY_FUND_CRNCY=USD","FILING_STATUS=MR","FA_ADJUSTED=GAAP","Fill=—")</f>
        <v>26.493718008375989</v>
      </c>
      <c r="S19" s="21">
        <f>_xll.BDP("AAPL US Equity","EFF_TAX_RATE","EQY_FUND_YEAR=2015","FUND_PER=C3","EQY_FUND_CRNCY=USD","FILING_STATUS=MR","FA_ADJUSTED=GAAP","Fill=—")</f>
        <v>26.426818442901158</v>
      </c>
      <c r="T19" s="21">
        <f>_xll.BDP("AAPL US Equity","EFF_TAX_RATE","EQY_FUND_YEAR=2015","FUND_PER=C4","EQY_FUND_CRNCY=USD","FILING_STATUS=MR","FA_ADJUSTED=GAAP","Fill=—")</f>
        <v>26.368337585327172</v>
      </c>
      <c r="U19" s="21">
        <f>_xll.BDP("AAPL US Equity","EFF_TAX_RATE","EQY_FUND_YEAR=2016","FUND_PER=C1","EQY_FUND_CRNCY=USD","FILING_STATUS=MR","FA_ADJUSTED=GAAP","Fill=—")</f>
        <v>25.279778618809264</v>
      </c>
      <c r="V19" s="21">
        <f>_xll.BDP("AAPL US Equity","EFF_TAX_RATE","EQY_FUND_YEAR=2016","FUND_PER=C2","EQY_FUND_CRNCY=USD","FILING_STATUS=MR","FA_ADJUSTED=GAAP","Fill=—")</f>
        <v>25.411339274183131</v>
      </c>
      <c r="W19" s="21">
        <f>_xll.BDP("AAPL US Equity","EFF_TAX_RATE","EQY_FUND_YEAR=2016","FUND_PER=C3","EQY_FUND_CRNCY=USD","FILING_STATUS=MR","FA_ADJUSTED=GAAP","Fill=—")</f>
        <v>25.437134027325957</v>
      </c>
      <c r="X19" s="21">
        <f>_xll.BDP("AAPL US Equity","EFF_TAX_RATE","EQY_FUND_YEAR=2016","FUND_PER=C4","EQY_FUND_CRNCY=USD","FILING_STATUS=MR","FA_ADJUSTED=GAAP","Fill=—")</f>
        <v>25.557257381216193</v>
      </c>
      <c r="Y19" s="21">
        <f>_xll.BDP("AAPL US Equity","EFF_TAX_RATE","EQY_FUND_YEAR=2017","FUND_PER=C1","EQY_FUND_CRNCY=USD","FILING_STATUS=MR","FA_ADJUSTED=GAAP","Fill=—")</f>
        <v>26.009098428453264</v>
      </c>
      <c r="Z19" s="21">
        <f>_xll.BDP("AAPL US Equity","EFF_TAX_RATE","EQY_FUND_YEAR=2017","FUND_PER=C2","EQY_FUND_CRNCY=USD","FILING_STATUS=MR","FA_ADJUSTED=GAAP","Fill=—")</f>
        <v>25.586661177439275</v>
      </c>
      <c r="AA19" s="21">
        <f>_xll.BDP("AAPL US Equity","EFF_TAX_RATE","EQY_FUND_YEAR=2017","FUND_PER=C3","EQY_FUND_CRNCY=USD","FILING_STATUS=MR","FA_ADJUSTED=GAAP","Fill=—")</f>
        <v>24.984054851311488</v>
      </c>
      <c r="AB19" s="21">
        <f>_xll.BDP("AAPL US Equity","EFF_TAX_RATE","EQY_FUND_YEAR=2017","FUND_PER=C4","EQY_FUND_CRNCY=USD","FILING_STATUS=MR","FA_ADJUSTED=GAAP","Fill=—")</f>
        <v>24.556476150353415</v>
      </c>
      <c r="AC19" s="21">
        <f>_xll.BDP("AAPL US Equity","EFF_TAX_RATE","EQY_FUND_YEAR=2018","FUND_PER=C1","EQY_FUND_CRNCY=USD","FILING_STATUS=MR","FA_ADJUSTED=GAAP","Fill=—")</f>
        <v>25.767665556788756</v>
      </c>
      <c r="AD19" s="21">
        <f>_xll.BDP("AAPL US Equity","EFF_TAX_RATE","EQY_FUND_YEAR=2018","FUND_PER=C2","EQY_FUND_CRNCY=USD","FILING_STATUS=MR","FA_ADJUSTED=GAAP","Fill=—")</f>
        <v>21.554238622158433</v>
      </c>
      <c r="AE19" s="21">
        <f>_xll.BDP("AAPL US Equity","EFF_TAX_RATE","EQY_FUND_YEAR=2018","FUND_PER=C3","EQY_FUND_CRNCY=USD","FILING_STATUS=MR","FA_ADJUSTED=GAAP","Fill=—")</f>
        <v>19.609787188838922</v>
      </c>
      <c r="AF19" s="21">
        <f>_xll.BDP("AAPL US Equity","EFF_TAX_RATE","EQY_FUND_YEAR=2018","FUND_PER=C4","EQY_FUND_CRNCY=USD","FILING_STATUS=MR","FA_ADJUSTED=GAAP","Fill=—")</f>
        <v>18.342180705869442</v>
      </c>
      <c r="AG19" s="21">
        <f>_xll.BDP("AAPL US Equity","EFF_TAX_RATE","EQY_FUND_YEAR=2019","FUND_PER=C1","EQY_FUND_CRNCY=USD","FILING_STATUS=MR","FA_ADJUSTED=GAAP","Fill=—")</f>
        <v>16.485401154521877</v>
      </c>
      <c r="AH19" s="21">
        <f>_xll.BDP("AAPL US Equity","EFF_TAX_RATE","EQY_FUND_YEAR=2019","FUND_PER=C2","EQY_FUND_CRNCY=USD","FILING_STATUS=MR","FA_ADJUSTED=GAAP","Fill=—")</f>
        <v>16.374439640308761</v>
      </c>
      <c r="AI19" s="21">
        <f>_xll.BDP("AAPL US Equity","EFF_TAX_RATE","EQY_FUND_YEAR=2019","FUND_PER=C3","EQY_FUND_CRNCY=USD","FILING_STATUS=MR","FA_ADJUSTED=GAAP","Fill=—")</f>
        <v>16.206409997984277</v>
      </c>
      <c r="AJ19" s="21">
        <f>_xll.BDP("AAPL US Equity","EFF_TAX_RATE","EQY_FUND_YEAR=2019","FUND_PER=C4","EQY_FUND_CRNCY=USD","FILING_STATUS=MR","FA_ADJUSTED=GAAP","Fill=—")</f>
        <v>15.94383680423506</v>
      </c>
      <c r="AK19" s="21">
        <f>_xll.BDP("AAPL US Equity","EFF_TAX_RATE","EQY_FUND_YEAR=2020","FUND_PER=C1","EQY_FUND_CRNCY=USD","FILING_STATUS=MR","FA_ADJUSTED=GAAP","Fill=—")</f>
        <v>14.206343082027933</v>
      </c>
      <c r="AL19" s="21">
        <f>_xll.BDP("AAPL US Equity","EFF_TAX_RATE","EQY_FUND_YEAR=2020","FUND_PER=C2","EQY_FUND_CRNCY=USD","FILING_STATUS=MR","FA_ADJUSTED=GAAP","Fill=—")</f>
        <v>14.257547435536322</v>
      </c>
      <c r="AM19" s="21">
        <f>_xll.BDP("AAPL US Equity","EFF_TAX_RATE","EQY_FUND_YEAR=2020","FUND_PER=C3","EQY_FUND_CRNCY=USD","FILING_STATUS=MR","FA_ADJUSTED=GAAP","Fill=—")</f>
        <v>14.278597432458326</v>
      </c>
      <c r="AN19" s="21">
        <f>_xll.BDP("AAPL US Equity","EFF_TAX_RATE","EQY_FUND_YEAR=2020","FUND_PER=C4","EQY_FUND_CRNCY=USD","FILING_STATUS=MR","FA_ADJUSTED=GAAP","Fill=—")</f>
        <v>14.428164731484102</v>
      </c>
      <c r="AO19" s="21">
        <f>_xll.BDP("AAPL US Equity","EFF_TAX_RATE","EQY_FUND_YEAR=2021","FUND_PER=C1","EQY_FUND_CRNCY=USD","FILING_STATUS=MR","FA_ADJUSTED=GAAP","Fill=—")</f>
        <v>14.366121683194855</v>
      </c>
      <c r="AP19" s="21">
        <f>_xll.BDP("AAPL US Equity","EFF_TAX_RATE","EQY_FUND_YEAR=2021","FUND_PER=C2","EQY_FUND_CRNCY=USD","FILING_STATUS=MR","FA_ADJUSTED=GAAP","Fill=—")</f>
        <v>14.945608053255398</v>
      </c>
    </row>
    <row r="20" spans="1:42" x14ac:dyDescent="0.25">
      <c r="A20" s="8" t="s">
        <v>118</v>
      </c>
      <c r="B20" s="8" t="s">
        <v>119</v>
      </c>
      <c r="C20" s="21">
        <f>_xll.BDP("AAPL US Equity","DVD_PAYOUT_RATIO","EQY_FUND_YEAR=2011","FUND_PER=C3","EQY_FUND_CRNCY=USD","FILING_STATUS=MR","FA_ADJUSTED=GAAP","Fill=—")</f>
        <v>0</v>
      </c>
      <c r="D20" s="21">
        <f>_xll.BDP("AAPL US Equity","DVD_PAYOUT_RATIO","EQY_FUND_YEAR=2011","FUND_PER=C4","EQY_FUND_CRNCY=USD","FILING_STATUS=MR","FA_ADJUSTED=GAAP","Fill=—")</f>
        <v>0</v>
      </c>
      <c r="E20" s="21">
        <f>_xll.BDP("AAPL US Equity","DVD_PAYOUT_RATIO","EQY_FUND_YEAR=2012","FUND_PER=C1","EQY_FUND_CRNCY=USD","FILING_STATUS=MR","FA_ADJUSTED=GAAP","Fill=—")</f>
        <v>0</v>
      </c>
      <c r="F20" s="21">
        <f>_xll.BDP("AAPL US Equity","DVD_PAYOUT_RATIO","EQY_FUND_YEAR=2012","FUND_PER=C2","EQY_FUND_CRNCY=USD","FILING_STATUS=MR","FA_ADJUSTED=GAAP","Fill=—")</f>
        <v>0</v>
      </c>
      <c r="G20" s="21">
        <f>_xll.BDP("AAPL US Equity","DVD_PAYOUT_RATIO","EQY_FUND_YEAR=2012","FUND_PER=C3","EQY_FUND_CRNCY=USD","FILING_STATUS=MR","FA_ADJUSTED=GAAP","Fill=—")</f>
        <v>0</v>
      </c>
      <c r="H20" s="21">
        <f>_xll.BDP("AAPL US Equity","DVD_PAYOUT_RATIO","EQY_FUND_YEAR=2012","FUND_PER=C4","EQY_FUND_CRNCY=USD","FILING_STATUS=MR","FA_ADJUSTED=GAAP","Fill=—")</f>
        <v>5.9359923801308314</v>
      </c>
      <c r="I20" s="21">
        <f>_xll.BDP("AAPL US Equity","DVD_PAYOUT_RATIO","EQY_FUND_YEAR=2013","FUND_PER=C1","EQY_FUND_CRNCY=USD","FILING_STATUS=MR","FA_ADJUSTED=GAAP","Fill=—")</f>
        <v>19.025289799663554</v>
      </c>
      <c r="J20" s="21">
        <f>_xll.BDP("AAPL US Equity","DVD_PAYOUT_RATIO","EQY_FUND_YEAR=2013","FUND_PER=C2","EQY_FUND_CRNCY=USD","FILING_STATUS=MR","FA_ADJUSTED=GAAP","Fill=—")</f>
        <v>22.002859226519337</v>
      </c>
      <c r="K20" s="21">
        <f>_xll.BDP("AAPL US Equity","DVD_PAYOUT_RATIO","EQY_FUND_YEAR=2013","FUND_PER=C3","EQY_FUND_CRNCY=USD","FILING_STATUS=MR","FA_ADJUSTED=GAAP","Fill=—")</f>
        <v>26.368974767146486</v>
      </c>
      <c r="L20" s="21">
        <f>_xll.BDP("AAPL US Equity","DVD_PAYOUT_RATIO","EQY_FUND_YEAR=2013","FUND_PER=C4","EQY_FUND_CRNCY=USD","FILING_STATUS=MR","FA_ADJUSTED=GAAP","Fill=—")</f>
        <v>28.481716661716661</v>
      </c>
      <c r="M20" s="21">
        <f>_xll.BDP("AAPL US Equity","DVD_PAYOUT_RATIO","EQY_FUND_YEAR=2014","FUND_PER=C1","EQY_FUND_CRNCY=USD","FILING_STATUS=MR","FA_ADJUSTED=GAAP","Fill=—")</f>
        <v>20.907432680538555</v>
      </c>
      <c r="N20" s="21">
        <f>_xll.BDP("AAPL US Equity","DVD_PAYOUT_RATIO","EQY_FUND_YEAR=2014","FUND_PER=C2","EQY_FUND_CRNCY=USD","FILING_STATUS=MR","FA_ADJUSTED=GAAP","Fill=—")</f>
        <v>23.185368104743507</v>
      </c>
      <c r="O20" s="21">
        <f>_xll.BDP("AAPL US Equity","DVD_PAYOUT_RATIO","EQY_FUND_YEAR=2014","FUND_PER=C3","EQY_FUND_CRNCY=USD","FILING_STATUS=MR","FA_ADJUSTED=GAAP","Fill=—")</f>
        <v>26.684915923074449</v>
      </c>
      <c r="P20" s="21">
        <f>_xll.BDP("AAPL US Equity","DVD_PAYOUT_RATIO","EQY_FUND_YEAR=2014","FUND_PER=C4","EQY_FUND_CRNCY=USD","FILING_STATUS=MR","FA_ADJUSTED=GAAP","Fill=—")</f>
        <v>27.919514047076689</v>
      </c>
      <c r="Q20" s="21">
        <f>_xll.BDP("AAPL US Equity","DVD_PAYOUT_RATIO","EQY_FUND_YEAR=2015","FUND_PER=C1","EQY_FUND_CRNCY=USD","FILING_STATUS=MR","FA_ADJUSTED=GAAP","Fill=—")</f>
        <v>15.257434531735464</v>
      </c>
      <c r="R20" s="21">
        <f>_xll.BDP("AAPL US Equity","DVD_PAYOUT_RATIO","EQY_FUND_YEAR=2015","FUND_PER=C2","EQY_FUND_CRNCY=USD","FILING_STATUS=MR","FA_ADJUSTED=GAAP","Fill=—")</f>
        <v>17.35827556737252</v>
      </c>
      <c r="S20" s="21">
        <f>_xll.BDP("AAPL US Equity","DVD_PAYOUT_RATIO","EQY_FUND_YEAR=2015","FUND_PER=C3","EQY_FUND_CRNCY=USD","FILING_STATUS=MR","FA_ADJUSTED=GAAP","Fill=—")</f>
        <v>20.063875088715402</v>
      </c>
      <c r="T20" s="21">
        <f>_xll.BDP("AAPL US Equity","DVD_PAYOUT_RATIO","EQY_FUND_YEAR=2015","FUND_PER=C4","EQY_FUND_CRNCY=USD","FILING_STATUS=MR","FA_ADJUSTED=GAAP","Fill=—")</f>
        <v>21.40877252125707</v>
      </c>
      <c r="U20" s="21">
        <f>_xll.BDP("AAPL US Equity","DVD_PAYOUT_RATIO","EQY_FUND_YEAR=2016","FUND_PER=C1","EQY_FUND_CRNCY=USD","FILING_STATUS=MR","FA_ADJUSTED=GAAP","Fill=—")</f>
        <v>15.783454060236371</v>
      </c>
      <c r="V20" s="21">
        <f>_xll.BDP("AAPL US Equity","DVD_PAYOUT_RATIO","EQY_FUND_YEAR=2016","FUND_PER=C2","EQY_FUND_CRNCY=USD","FILING_STATUS=MR","FA_ADJUSTED=GAAP","Fill=—")</f>
        <v>20.005540741766804</v>
      </c>
      <c r="W20" s="21">
        <f>_xll.BDP("AAPL US Equity","DVD_PAYOUT_RATIO","EQY_FUND_YEAR=2016","FUND_PER=C3","EQY_FUND_CRNCY=USD","FILING_STATUS=MR","FA_ADJUSTED=GAAP","Fill=—")</f>
        <v>24.252174624383059</v>
      </c>
      <c r="X20" s="21">
        <f>_xll.BDP("AAPL US Equity","DVD_PAYOUT_RATIO","EQY_FUND_YEAR=2016","FUND_PER=C4","EQY_FUND_CRNCY=USD","FILING_STATUS=MR","FA_ADJUSTED=GAAP","Fill=—")</f>
        <v>26.189069100619434</v>
      </c>
      <c r="Y20" s="21">
        <f>_xll.BDP("AAPL US Equity","DVD_PAYOUT_RATIO","EQY_FUND_YEAR=2017","FUND_PER=C1","EQY_FUND_CRNCY=USD","FILING_STATUS=MR","FA_ADJUSTED=GAAP","Fill=—")</f>
        <v>17.002962383321226</v>
      </c>
      <c r="Z20" s="21">
        <f>_xll.BDP("AAPL US Equity","DVD_PAYOUT_RATIO","EQY_FUND_YEAR=2017","FUND_PER=C2","EQY_FUND_CRNCY=USD","FILING_STATUS=MR","FA_ADJUSTED=GAAP","Fill=—")</f>
        <v>20.850622406639005</v>
      </c>
      <c r="AA20" s="21">
        <f>_xll.BDP("AAPL US Equity","DVD_PAYOUT_RATIO","EQY_FUND_YEAR=2017","FUND_PER=C3","EQY_FUND_CRNCY=USD","FILING_STATUS=MR","FA_ADJUSTED=GAAP","Fill=—")</f>
        <v>24.642052209262161</v>
      </c>
      <c r="AB20" s="21">
        <f>_xll.BDP("AAPL US Equity","DVD_PAYOUT_RATIO","EQY_FUND_YEAR=2017","FUND_PER=C4","EQY_FUND_CRNCY=USD","FILING_STATUS=MR","FA_ADJUSTED=GAAP","Fill=—")</f>
        <v>25.896839362164176</v>
      </c>
      <c r="AC20" s="21">
        <f>_xll.BDP("AAPL US Equity","DVD_PAYOUT_RATIO","EQY_FUND_YEAR=2018","FUND_PER=C1","EQY_FUND_CRNCY=USD","FILING_STATUS=MR","FA_ADJUSTED=GAAP","Fill=—")</f>
        <v>16.10765013705457</v>
      </c>
      <c r="AD20" s="21">
        <f>_xll.BDP("AAPL US Equity","DVD_PAYOUT_RATIO","EQY_FUND_YEAR=2018","FUND_PER=C2","EQY_FUND_CRNCY=USD","FILING_STATUS=MR","FA_ADJUSTED=GAAP","Fill=—")</f>
        <v>18.847301384011569</v>
      </c>
      <c r="AE20" s="21">
        <f>_xll.BDP("AAPL US Equity","DVD_PAYOUT_RATIO","EQY_FUND_YEAR=2018","FUND_PER=C3","EQY_FUND_CRNCY=USD","FILING_STATUS=MR","FA_ADJUSTED=GAAP","Fill=—")</f>
        <v>21.942504514821827</v>
      </c>
      <c r="AF20" s="21">
        <f>_xll.BDP("AAPL US Equity","DVD_PAYOUT_RATIO","EQY_FUND_YEAR=2018","FUND_PER=C4","EQY_FUND_CRNCY=USD","FILING_STATUS=MR","FA_ADJUSTED=GAAP","Fill=—")</f>
        <v>22.641355663435856</v>
      </c>
      <c r="AG20" s="21">
        <f>_xll.BDP("AAPL US Equity","DVD_PAYOUT_RATIO","EQY_FUND_YEAR=2019","FUND_PER=C1","EQY_FUND_CRNCY=USD","FILING_STATUS=MR","FA_ADJUSTED=GAAP","Fill=—")</f>
        <v>17.316046080641122</v>
      </c>
      <c r="AH20" s="21">
        <f>_xll.BDP("AAPL US Equity","DVD_PAYOUT_RATIO","EQY_FUND_YEAR=2019","FUND_PER=C2","EQY_FUND_CRNCY=USD","FILING_STATUS=MR","FA_ADJUSTED=GAAP","Fill=—")</f>
        <v>21.789062044027151</v>
      </c>
      <c r="AI20" s="21">
        <f>_xll.BDP("AAPL US Equity","DVD_PAYOUT_RATIO","EQY_FUND_YEAR=2019","FUND_PER=C3","EQY_FUND_CRNCY=USD","FILING_STATUS=MR","FA_ADJUSTED=GAAP","Fill=—")</f>
        <v>24.999254871301417</v>
      </c>
      <c r="AJ20" s="21">
        <f>_xll.BDP("AAPL US Equity","DVD_PAYOUT_RATIO","EQY_FUND_YEAR=2019","FUND_PER=C4","EQY_FUND_CRNCY=USD","FILING_STATUS=MR","FA_ADJUSTED=GAAP","Fill=—")</f>
        <v>25.071489069060377</v>
      </c>
      <c r="AK20" s="21">
        <f>_xll.BDP("AAPL US Equity","DVD_PAYOUT_RATIO","EQY_FUND_YEAR=2020","FUND_PER=C1","EQY_FUND_CRNCY=USD","FILING_STATUS=MR","FA_ADJUSTED=GAAP","Fill=—")</f>
        <v>15.288634646519158</v>
      </c>
      <c r="AL20" s="21">
        <f>_xll.BDP("AAPL US Equity","DVD_PAYOUT_RATIO","EQY_FUND_YEAR=2020","FUND_PER=C2","EQY_FUND_CRNCY=USD","FILING_STATUS=MR","FA_ADJUSTED=GAAP","Fill=—")</f>
        <v>20.178761191578317</v>
      </c>
      <c r="AM20" s="21">
        <f>_xll.BDP("AAPL US Equity","DVD_PAYOUT_RATIO","EQY_FUND_YEAR=2020","FUND_PER=C3","EQY_FUND_CRNCY=USD","FILING_STATUS=MR","FA_ADJUSTED=GAAP","Fill=—")</f>
        <v>23.01324949707184</v>
      </c>
      <c r="AN20" s="21">
        <f>_xll.BDP("AAPL US Equity","DVD_PAYOUT_RATIO","EQY_FUND_YEAR=2020","FUND_PER=C4","EQY_FUND_CRNCY=USD","FILING_STATUS=MR","FA_ADJUSTED=GAAP","Fill=—")</f>
        <v>24.028382374457856</v>
      </c>
      <c r="AO20" s="21">
        <f>_xll.BDP("AAPL US Equity","DVD_PAYOUT_RATIO","EQY_FUND_YEAR=2021","FUND_PER=C1","EQY_FUND_CRNCY=USD","FILING_STATUS=MR","FA_ADJUSTED=GAAP","Fill=—")</f>
        <v>12.073376438880196</v>
      </c>
      <c r="AP20" s="21">
        <f>_xll.BDP("AAPL US Equity","DVD_PAYOUT_RATIO","EQY_FUND_YEAR=2021","FUND_PER=C2","EQY_FUND_CRNCY=USD","FILING_STATUS=MR","FA_ADJUSTED=GAAP","Fill=—")</f>
        <v>13.183472711654101</v>
      </c>
    </row>
    <row r="21" spans="1:42" x14ac:dyDescent="0.25">
      <c r="A21" s="15" t="s">
        <v>122</v>
      </c>
      <c r="B21" s="15"/>
      <c r="C21" s="15" t="s"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workbookViewId="0">
      <selection activeCell="L22" sqref="L22"/>
    </sheetView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194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</row>
    <row r="5" spans="1:42" x14ac:dyDescent="0.25">
      <c r="A5" s="4" t="s">
        <v>43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8" t="s">
        <v>193</v>
      </c>
      <c r="B6" s="8" t="s">
        <v>192</v>
      </c>
      <c r="C6" s="21">
        <f>_xll.BDH("AAPL US Equity","CASH_RATIO","FQ3 2011","FQ3 2011","Currency=USD","Period=FQ","BEST_FPERIOD_OVERRIDE=FQ","FILING_STATUS=MR","Sort=A","Dates=H","DateFormat=P","Fill=—","Direction=H","UseDPDF=Y")</f>
        <v>1.0571999999999999</v>
      </c>
      <c r="D6" s="21">
        <f>_xll.BDH("AAPL US Equity","CASH_RATIO","FQ4 2011","FQ4 2011","Currency=USD","Period=FQ","BEST_FPERIOD_OVERRIDE=FQ","FILING_STATUS=MR","Sort=A","Dates=H","DateFormat=P","Fill=—","Direction=H","UseDPDF=Y")</f>
        <v>0.92789999999999995</v>
      </c>
      <c r="E6" s="21">
        <f>_xll.BDH("AAPL US Equity","CASH_RATIO","FQ1 2012","FQ1 2012","Currency=USD","Period=FQ","BEST_FPERIOD_OVERRIDE=FQ","FILING_STATUS=MR","Sort=A","Dates=H","DateFormat=P","Fill=—","Direction=H","UseDPDF=Y")</f>
        <v>0.87139999999999995</v>
      </c>
      <c r="F6" s="21">
        <f>_xll.BDH("AAPL US Equity","CASH_RATIO","FQ2 2012","FQ2 2012","Currency=USD","Period=FQ","BEST_FPERIOD_OVERRIDE=FQ","FILING_STATUS=MR","Sort=A","Dates=H","DateFormat=P","Fill=—","Direction=H","UseDPDF=Y")</f>
        <v>0.89080000000000004</v>
      </c>
      <c r="G6" s="21" t="str">
        <f>_xll.BDH("AAPL US Equity","CASH_RATIO","FQ3 2012","FQ3 2012","Currency=USD","Period=FQ","BEST_FPERIOD_OVERRIDE=FQ","FILING_STATUS=MR","Sort=A","Dates=H","DateFormat=P","Fill=—","Direction=H","UseDPDF=Y")</f>
        <v>#N/A Requesting Data...</v>
      </c>
      <c r="H6" s="21">
        <f>_xll.BDH("AAPL US Equity","CASH_RATIO","FQ4 2012","FQ4 2012","Currency=USD","Period=FQ","BEST_FPERIOD_OVERRIDE=FQ","FILING_STATUS=MR","Sort=A","Dates=H","DateFormat=P","Fill=—","Direction=H","UseDPDF=Y")</f>
        <v>0.75580000000000003</v>
      </c>
      <c r="I6" s="21">
        <f>_xll.BDH("AAPL US Equity","CASH_RATIO","FQ1 2013","FQ1 2013","Currency=USD","Period=FQ","BEST_FPERIOD_OVERRIDE=FQ","FILING_STATUS=MR","Sort=A","Dates=H","DateFormat=P","Fill=—","Direction=H","UseDPDF=Y")</f>
        <v>0.84940000000000004</v>
      </c>
      <c r="J6" s="21">
        <f>_xll.BDH("AAPL US Equity","CASH_RATIO","FQ2 2013","FQ2 2013","Currency=USD","Period=FQ","BEST_FPERIOD_OVERRIDE=FQ","FILING_STATUS=MR","Sort=A","Dates=H","DateFormat=P","Fill=—","Direction=H","UseDPDF=Y")</f>
        <v>1.1022000000000001</v>
      </c>
      <c r="K6" s="21">
        <f>_xll.BDH("AAPL US Equity","CASH_RATIO","FQ3 2013","FQ3 2013","Currency=USD","Period=FQ","BEST_FPERIOD_OVERRIDE=FQ","FILING_STATUS=MR","Sort=A","Dates=H","DateFormat=P","Fill=—","Direction=H","UseDPDF=Y")</f>
        <v>1.1731</v>
      </c>
      <c r="L6" s="21">
        <f>_xll.BDH("AAPL US Equity","CASH_RATIO","FQ4 2013","FQ4 2013","Currency=USD","Period=FQ","BEST_FPERIOD_OVERRIDE=FQ","FILING_STATUS=MR","Sort=A","Dates=H","DateFormat=P","Fill=—","Direction=H","UseDPDF=Y")</f>
        <v>0.92869999999999997</v>
      </c>
      <c r="M6" s="21">
        <f>_xll.BDH("AAPL US Equity","CASH_RATIO","FQ1 2014","FQ1 2014","Currency=USD","Period=FQ","BEST_FPERIOD_OVERRIDE=FQ","FILING_STATUS=MR","Sort=A","Dates=H","DateFormat=P","Fill=—","Direction=H","UseDPDF=Y")</f>
        <v>0.7571</v>
      </c>
      <c r="N6" s="21">
        <f>_xll.BDH("AAPL US Equity","CASH_RATIO","FQ2 2014","FQ2 2014","Currency=USD","Period=FQ","BEST_FPERIOD_OVERRIDE=FQ","FILING_STATUS=MR","Sort=A","Dates=H","DateFormat=P","Fill=—","Direction=H","UseDPDF=Y")</f>
        <v>0.95699999999999996</v>
      </c>
      <c r="O6" s="21" t="str">
        <f>_xll.BDH("AAPL US Equity","CASH_RATIO","FQ3 2014","FQ3 2014","Currency=USD","Period=FQ","BEST_FPERIOD_OVERRIDE=FQ","FILING_STATUS=MR","Sort=A","Dates=H","DateFormat=P","Fill=—","Direction=H","UseDPDF=Y")</f>
        <v>#N/A Requesting Data...</v>
      </c>
      <c r="P6" s="21" t="str">
        <f>_xll.BDH("AAPL US Equity","CASH_RATIO","FQ4 2014","FQ4 2014","Currency=USD","Period=FQ","BEST_FPERIOD_OVERRIDE=FQ","FILING_STATUS=MR","Sort=A","Dates=H","DateFormat=P","Fill=—","Direction=H","UseDPDF=Y")</f>
        <v>#N/A Requesting Data...</v>
      </c>
      <c r="Q6" s="21" t="str">
        <f>_xll.BDH("AAPL US Equity","CASH_RATIO","FQ1 2015","FQ1 2015","Currency=USD","Period=FQ","BEST_FPERIOD_OVERRIDE=FQ","FILING_STATUS=MR","Sort=A","Dates=H","DateFormat=P","Fill=—","Direction=H","UseDPDF=Y")</f>
        <v>#N/A Requesting Data...</v>
      </c>
      <c r="R6" s="21">
        <f>_xll.BDH("AAPL US Equity","CASH_RATIO","FQ2 2015","FQ2 2015","Currency=USD","Period=FQ","BEST_FPERIOD_OVERRIDE=FQ","FILING_STATUS=MR","Sort=A","Dates=H","DateFormat=P","Fill=—","Direction=H","UseDPDF=Y")</f>
        <v>0.5635</v>
      </c>
      <c r="S6" s="21" t="str">
        <f>_xll.BDH("AAPL US Equity","CASH_RATIO","FQ3 2015","FQ3 2015","Currency=USD","Period=FQ","BEST_FPERIOD_OVERRIDE=FQ","FILING_STATUS=MR","Sort=A","Dates=H","DateFormat=P","Fill=—","Direction=H","UseDPDF=Y")</f>
        <v>#N/A Requesting Data...</v>
      </c>
      <c r="T6" s="21" t="str">
        <f>_xll.BDH("AAPL US Equity","CASH_RATIO","FQ4 2015","FQ4 2015","Currency=USD","Period=FQ","BEST_FPERIOD_OVERRIDE=FQ","FILING_STATUS=MR","Sort=A","Dates=H","DateFormat=P","Fill=—","Direction=H","UseDPDF=Y")</f>
        <v>#N/A Requesting Data...</v>
      </c>
      <c r="U6" s="21">
        <f>_xll.BDH("AAPL US Equity","CASH_RATIO","FQ1 2016","FQ1 2016","Currency=USD","Period=FQ","BEST_FPERIOD_OVERRIDE=FQ","FILING_STATUS=MR","Sort=A","Dates=H","DateFormat=P","Fill=—","Direction=H","UseDPDF=Y")</f>
        <v>0.50039999999999996</v>
      </c>
      <c r="V6" s="21">
        <f>_xll.BDH("AAPL US Equity","CASH_RATIO","FQ2 2016","FQ2 2016","Currency=USD","Period=FQ","BEST_FPERIOD_OVERRIDE=FQ","FILING_STATUS=MR","Sort=A","Dates=H","DateFormat=P","Fill=—","Direction=H","UseDPDF=Y")</f>
        <v>0.80979999999999996</v>
      </c>
      <c r="W6" s="21">
        <f>_xll.BDH("AAPL US Equity","CASH_RATIO","FQ3 2016","FQ3 2016","Currency=USD","Period=FQ","BEST_FPERIOD_OVERRIDE=FQ","FILING_STATUS=MR","Sort=A","Dates=H","DateFormat=P","Fill=—","Direction=H","UseDPDF=Y")</f>
        <v>0.8639</v>
      </c>
      <c r="X6" s="21">
        <f>_xll.BDH("AAPL US Equity","CASH_RATIO","FQ4 2016","FQ4 2016","Currency=USD","Period=FQ","BEST_FPERIOD_OVERRIDE=FQ","FILING_STATUS=MR","Sort=A","Dates=H","DateFormat=P","Fill=—","Direction=H","UseDPDF=Y")</f>
        <v>0.85</v>
      </c>
      <c r="Y6" s="21">
        <f>_xll.BDH("AAPL US Equity","CASH_RATIO","FQ1 2017","FQ1 2017","Currency=USD","Period=FQ","BEST_FPERIOD_OVERRIDE=FQ","FILING_STATUS=MR","Sort=A","Dates=H","DateFormat=P","Fill=—","Direction=H","UseDPDF=Y")</f>
        <v>0.71860000000000002</v>
      </c>
      <c r="Z6" s="21">
        <f>_xll.BDH("AAPL US Equity","CASH_RATIO","FQ2 2017","FQ2 2017","Currency=USD","Period=FQ","BEST_FPERIOD_OVERRIDE=FQ","FILING_STATUS=MR","Sort=A","Dates=H","DateFormat=P","Fill=—","Direction=H","UseDPDF=Y")</f>
        <v>0.91490000000000005</v>
      </c>
      <c r="AA6" s="21" t="str">
        <f>_xll.BDH("AAPL US Equity","CASH_RATIO","FQ3 2017","FQ3 2017","Currency=USD","Period=FQ","BEST_FPERIOD_OVERRIDE=FQ","FILING_STATUS=MR","Sort=A","Dates=H","DateFormat=P","Fill=—","Direction=H","UseDPDF=Y")</f>
        <v>#N/A Requesting Data...</v>
      </c>
      <c r="AB6" s="21">
        <f>_xll.BDH("AAPL US Equity","CASH_RATIO","FQ4 2017","FQ4 2017","Currency=USD","Period=FQ","BEST_FPERIOD_OVERRIDE=FQ","FILING_STATUS=MR","Sort=A","Dates=H","DateFormat=P","Fill=—","Direction=H","UseDPDF=Y")</f>
        <v>0.73580000000000001</v>
      </c>
      <c r="AC6" s="21" t="str">
        <f>_xll.BDH("AAPL US Equity","CASH_RATIO","FQ1 2018","FQ1 2018","Currency=USD","Period=FQ","BEST_FPERIOD_OVERRIDE=FQ","FILING_STATUS=MR","Sort=A","Dates=H","DateFormat=P","Fill=—","Direction=H","UseDPDF=Y")</f>
        <v>#N/A Requesting Data...</v>
      </c>
      <c r="AD6" s="21">
        <f>_xll.BDH("AAPL US Equity","CASH_RATIO","FQ2 2018","FQ2 2018","Currency=USD","Period=FQ","BEST_FPERIOD_OVERRIDE=FQ","FILING_STATUS=MR","Sort=A","Dates=H","DateFormat=P","Fill=—","Direction=H","UseDPDF=Y")</f>
        <v>0.98450000000000004</v>
      </c>
      <c r="AE6" s="21" t="str">
        <f>_xll.BDH("AAPL US Equity","CASH_RATIO","FQ3 2018","FQ3 2018","Currency=USD","Period=FQ","BEST_FPERIOD_OVERRIDE=FQ","FILING_STATUS=MR","Sort=A","Dates=H","DateFormat=P","Fill=—","Direction=H","UseDPDF=Y")</f>
        <v>#N/A Requesting Data...</v>
      </c>
      <c r="AF6" s="21" t="str">
        <f>_xll.BDH("AAPL US Equity","CASH_RATIO","FQ4 2018","FQ4 2018","Currency=USD","Period=FQ","BEST_FPERIOD_OVERRIDE=FQ","FILING_STATUS=MR","Sort=A","Dates=H","DateFormat=P","Fill=—","Direction=H","UseDPDF=Y")</f>
        <v>#N/A Requesting Data...</v>
      </c>
      <c r="AG6" s="21">
        <f>_xll.BDH("AAPL US Equity","CASH_RATIO","FQ1 2019","FQ1 2019","Currency=USD","Period=FQ","BEST_FPERIOD_OVERRIDE=FQ","FILING_STATUS=MR","Sort=A","Dates=H","DateFormat=P","Fill=—","Direction=H","UseDPDF=Y")</f>
        <v>0.79820000000000002</v>
      </c>
      <c r="AH6" s="21">
        <f>_xll.BDH("AAPL US Equity","CASH_RATIO","FQ2 2019","FQ2 2019","Currency=USD","Period=FQ","BEST_FPERIOD_OVERRIDE=FQ","FILING_STATUS=MR","Sort=A","Dates=H","DateFormat=P","Fill=—","Direction=H","UseDPDF=Y")</f>
        <v>0.85409999999999997</v>
      </c>
      <c r="AI6" s="21">
        <f>_xll.BDH("AAPL US Equity","CASH_RATIO","FQ3 2019","FQ3 2019","Currency=USD","Period=FQ","BEST_FPERIOD_OVERRIDE=FQ","FILING_STATUS=MR","Sort=A","Dates=H","DateFormat=P","Fill=—","Direction=H","UseDPDF=Y")</f>
        <v>1.0547</v>
      </c>
      <c r="AJ6" s="21">
        <f>_xll.BDH("AAPL US Equity","CASH_RATIO","FQ4 2019","FQ4 2019","Currency=USD","Period=FQ","BEST_FPERIOD_OVERRIDE=FQ","FILING_STATUS=MR","Sort=A","Dates=H","DateFormat=P","Fill=—","Direction=H","UseDPDF=Y")</f>
        <v>0.95120000000000005</v>
      </c>
      <c r="AK6" s="21">
        <f>_xll.BDH("AAPL US Equity","CASH_RATIO","FQ1 2020","FQ1 2020","Currency=USD","Period=FQ","BEST_FPERIOD_OVERRIDE=FQ","FILING_STATUS=MR","Sort=A","Dates=H","DateFormat=P","Fill=—","Direction=H","UseDPDF=Y")</f>
        <v>1.0489999999999999</v>
      </c>
      <c r="AL6" s="21">
        <f>_xll.BDH("AAPL US Equity","CASH_RATIO","FQ2 2020","FQ2 2020","Currency=USD","Period=FQ","BEST_FPERIOD_OVERRIDE=FQ","FILING_STATUS=MR","Sort=A","Dates=H","DateFormat=P","Fill=—","Direction=H","UseDPDF=Y")</f>
        <v>0.97870000000000001</v>
      </c>
      <c r="AM6" s="21">
        <f>_xll.BDH("AAPL US Equity","CASH_RATIO","FQ3 2020","FQ3 2020","Currency=USD","Period=FQ","BEST_FPERIOD_OVERRIDE=FQ","FILING_STATUS=MR","Sort=A","Dates=H","DateFormat=P","Fill=—","Direction=H","UseDPDF=Y")</f>
        <v>0.97589999999999999</v>
      </c>
      <c r="AN6" s="21" t="str">
        <f>_xll.BDH("AAPL US Equity","CASH_RATIO","FQ4 2020","FQ4 2020","Currency=USD","Period=FQ","BEST_FPERIOD_OVERRIDE=FQ","FILING_STATUS=MR","Sort=A","Dates=H","DateFormat=P","Fill=—","Direction=H","UseDPDF=Y")</f>
        <v>#N/A Requesting Data...</v>
      </c>
      <c r="AO6" s="21" t="str">
        <f>_xll.BDH("AAPL US Equity","CASH_RATIO","FQ1 2021","FQ1 2021","Currency=USD","Period=FQ","BEST_FPERIOD_OVERRIDE=FQ","FILING_STATUS=MR","Sort=A","Dates=H","DateFormat=P","Fill=—","Direction=H","UseDPDF=Y")</f>
        <v>#N/A Requesting Data...</v>
      </c>
      <c r="AP6" s="21">
        <f>_xll.BDH("AAPL US Equity","CASH_RATIO","FQ2 2021","FQ2 2021","Currency=USD","Period=FQ","BEST_FPERIOD_OVERRIDE=FQ","FILING_STATUS=MR","Sort=A","Dates=H","DateFormat=P","Fill=—","Direction=H","UseDPDF=Y")</f>
        <v>0.65639999999999998</v>
      </c>
    </row>
    <row r="7" spans="1:42" x14ac:dyDescent="0.25">
      <c r="A7" s="8" t="s">
        <v>191</v>
      </c>
      <c r="B7" s="8" t="s">
        <v>190</v>
      </c>
      <c r="C7" s="21" t="str">
        <f>_xll.BDH("AAPL US Equity","CUR_RATIO","FQ3 2011","FQ3 2011","Currency=USD","Period=FQ","BEST_FPERIOD_OVERRIDE=FQ","FILING_STATUS=MR","Sort=A","Dates=H","DateFormat=P","Fill=—","Direction=H","UseDPDF=Y")</f>
        <v>#N/A Requesting Data...</v>
      </c>
      <c r="D7" s="21" t="str">
        <f>_xll.BDH("AAPL US Equity","CUR_RATIO","FQ4 2011","FQ4 2011","Currency=USD","Period=FQ","BEST_FPERIOD_OVERRIDE=FQ","FILING_STATUS=MR","Sort=A","Dates=H","DateFormat=P","Fill=—","Direction=H","UseDPDF=Y")</f>
        <v>#N/A Requesting Data...</v>
      </c>
      <c r="E7" s="21">
        <f>_xll.BDH("AAPL US Equity","CUR_RATIO","FQ1 2012","FQ1 2012","Currency=USD","Period=FQ","BEST_FPERIOD_OVERRIDE=FQ","FILING_STATUS=MR","Sort=A","Dates=H","DateFormat=P","Fill=—","Direction=H","UseDPDF=Y")</f>
        <v>1.5827</v>
      </c>
      <c r="F7" s="21">
        <f>_xll.BDH("AAPL US Equity","CUR_RATIO","FQ2 2012","FQ2 2012","Currency=USD","Period=FQ","BEST_FPERIOD_OVERRIDE=FQ","FILING_STATUS=MR","Sort=A","Dates=H","DateFormat=P","Fill=—","Direction=H","UseDPDF=Y")</f>
        <v>1.583</v>
      </c>
      <c r="G7" s="21">
        <f>_xll.BDH("AAPL US Equity","CUR_RATIO","FQ3 2012","FQ3 2012","Currency=USD","Period=FQ","BEST_FPERIOD_OVERRIDE=FQ","FILING_STATUS=MR","Sort=A","Dates=H","DateFormat=P","Fill=—","Direction=H","UseDPDF=Y")</f>
        <v>1.5712000000000002</v>
      </c>
      <c r="H7" s="21">
        <f>_xll.BDH("AAPL US Equity","CUR_RATIO","FQ4 2012","FQ4 2012","Currency=USD","Period=FQ","BEST_FPERIOD_OVERRIDE=FQ","FILING_STATUS=MR","Sort=A","Dates=H","DateFormat=P","Fill=—","Direction=H","UseDPDF=Y")</f>
        <v>1.4958</v>
      </c>
      <c r="I7" s="21">
        <f>_xll.BDH("AAPL US Equity","CUR_RATIO","FQ1 2013","FQ1 2013","Currency=USD","Period=FQ","BEST_FPERIOD_OVERRIDE=FQ","FILING_STATUS=MR","Sort=A","Dates=H","DateFormat=P","Fill=—","Direction=H","UseDPDF=Y")</f>
        <v>1.5432999999999999</v>
      </c>
      <c r="J7" s="21">
        <f>_xll.BDH("AAPL US Equity","CUR_RATIO","FQ2 2013","FQ2 2013","Currency=USD","Period=FQ","BEST_FPERIOD_OVERRIDE=FQ","FILING_STATUS=MR","Sort=A","Dates=H","DateFormat=P","Fill=—","Direction=H","UseDPDF=Y")</f>
        <v>1.7837000000000001</v>
      </c>
      <c r="K7" s="21" t="str">
        <f>_xll.BDH("AAPL US Equity","CUR_RATIO","FQ3 2013","FQ3 2013","Currency=USD","Period=FQ","BEST_FPERIOD_OVERRIDE=FQ","FILING_STATUS=MR","Sort=A","Dates=H","DateFormat=P","Fill=—","Direction=H","UseDPDF=Y")</f>
        <v>#N/A Requesting Data...</v>
      </c>
      <c r="L7" s="21">
        <f>_xll.BDH("AAPL US Equity","CUR_RATIO","FQ4 2013","FQ4 2013","Currency=USD","Period=FQ","BEST_FPERIOD_OVERRIDE=FQ","FILING_STATUS=MR","Sort=A","Dates=H","DateFormat=P","Fill=—","Direction=H","UseDPDF=Y")</f>
        <v>1.6785999999999999</v>
      </c>
      <c r="M7" s="21">
        <f>_xll.BDH("AAPL US Equity","CUR_RATIO","FQ1 2014","FQ1 2014","Currency=USD","Period=FQ","BEST_FPERIOD_OVERRIDE=FQ","FILING_STATUS=MR","Sort=A","Dates=H","DateFormat=P","Fill=—","Direction=H","UseDPDF=Y")</f>
        <v>1.4943</v>
      </c>
      <c r="N7" s="21">
        <f>_xll.BDH("AAPL US Equity","CUR_RATIO","FQ2 2014","FQ2 2014","Currency=USD","Period=FQ","BEST_FPERIOD_OVERRIDE=FQ","FILING_STATUS=MR","Sort=A","Dates=H","DateFormat=P","Fill=—","Direction=H","UseDPDF=Y")</f>
        <v>1.6326000000000001</v>
      </c>
      <c r="O7" s="21">
        <f>_xll.BDH("AAPL US Equity","CUR_RATIO","FQ3 2014","FQ3 2014","Currency=USD","Period=FQ","BEST_FPERIOD_OVERRIDE=FQ","FILING_STATUS=MR","Sort=A","Dates=H","DateFormat=P","Fill=—","Direction=H","UseDPDF=Y")</f>
        <v>1.4706000000000001</v>
      </c>
      <c r="P7" s="21" t="str">
        <f>_xll.BDH("AAPL US Equity","CUR_RATIO","FQ4 2014","FQ4 2014","Currency=USD","Period=FQ","BEST_FPERIOD_OVERRIDE=FQ","FILING_STATUS=MR","Sort=A","Dates=H","DateFormat=P","Fill=—","Direction=H","UseDPDF=Y")</f>
        <v>#N/A Requesting Data...</v>
      </c>
      <c r="Q7" s="21">
        <f>_xll.BDH("AAPL US Equity","CUR_RATIO","FQ1 2015","FQ1 2015","Currency=USD","Period=FQ","BEST_FPERIOD_OVERRIDE=FQ","FILING_STATUS=MR","Sort=A","Dates=H","DateFormat=P","Fill=—","Direction=H","UseDPDF=Y")</f>
        <v>1.133</v>
      </c>
      <c r="R7" s="21">
        <f>_xll.BDH("AAPL US Equity","CUR_RATIO","FQ2 2015","FQ2 2015","Currency=USD","Period=FQ","BEST_FPERIOD_OVERRIDE=FQ","FILING_STATUS=MR","Sort=A","Dates=H","DateFormat=P","Fill=—","Direction=H","UseDPDF=Y")</f>
        <v>1.1559999999999999</v>
      </c>
      <c r="S7" s="21">
        <f>_xll.BDH("AAPL US Equity","CUR_RATIO","FQ3 2015","FQ3 2015","Currency=USD","Period=FQ","BEST_FPERIOD_OVERRIDE=FQ","FILING_STATUS=MR","Sort=A","Dates=H","DateFormat=P","Fill=—","Direction=H","UseDPDF=Y")</f>
        <v>1.0868</v>
      </c>
      <c r="T7" s="21">
        <f>_xll.BDH("AAPL US Equity","CUR_RATIO","FQ4 2015","FQ4 2015","Currency=USD","Period=FQ","BEST_FPERIOD_OVERRIDE=FQ","FILING_STATUS=MR","Sort=A","Dates=H","DateFormat=P","Fill=—","Direction=H","UseDPDF=Y")</f>
        <v>1.1088</v>
      </c>
      <c r="U7" s="21">
        <f>_xll.BDH("AAPL US Equity","CUR_RATIO","FQ1 2016","FQ1 2016","Currency=USD","Period=FQ","BEST_FPERIOD_OVERRIDE=FQ","FILING_STATUS=MR","Sort=A","Dates=H","DateFormat=P","Fill=—","Direction=H","UseDPDF=Y")</f>
        <v>1.0017</v>
      </c>
      <c r="V7" s="21">
        <f>_xll.BDH("AAPL US Equity","CUR_RATIO","FQ2 2016","FQ2 2016","Currency=USD","Period=FQ","BEST_FPERIOD_OVERRIDE=FQ","FILING_STATUS=MR","Sort=A","Dates=H","DateFormat=P","Fill=—","Direction=H","UseDPDF=Y")</f>
        <v>1.2831000000000001</v>
      </c>
      <c r="W7" s="21" t="str">
        <f>_xll.BDH("AAPL US Equity","CUR_RATIO","FQ3 2016","FQ3 2016","Currency=USD","Period=FQ","BEST_FPERIOD_OVERRIDE=FQ","FILING_STATUS=MR","Sort=A","Dates=H","DateFormat=P","Fill=—","Direction=H","UseDPDF=Y")</f>
        <v>#N/A Requesting Data...</v>
      </c>
      <c r="X7" s="21">
        <f>_xll.BDH("AAPL US Equity","CUR_RATIO","FQ4 2016","FQ4 2016","Currency=USD","Period=FQ","BEST_FPERIOD_OVERRIDE=FQ","FILING_STATUS=MR","Sort=A","Dates=H","DateFormat=P","Fill=—","Direction=H","UseDPDF=Y")</f>
        <v>1.3527</v>
      </c>
      <c r="Y7" s="21">
        <f>_xll.BDH("AAPL US Equity","CUR_RATIO","FQ1 2017","FQ1 2017","Currency=USD","Period=FQ","BEST_FPERIOD_OVERRIDE=FQ","FILING_STATUS=MR","Sort=A","Dates=H","DateFormat=P","Fill=—","Direction=H","UseDPDF=Y")</f>
        <v>1.2282</v>
      </c>
      <c r="Z7" s="21">
        <f>_xll.BDH("AAPL US Equity","CUR_RATIO","FQ2 2017","FQ2 2017","Currency=USD","Period=FQ","BEST_FPERIOD_OVERRIDE=FQ","FILING_STATUS=MR","Sort=A","Dates=H","DateFormat=P","Fill=—","Direction=H","UseDPDF=Y")</f>
        <v>1.3906000000000001</v>
      </c>
      <c r="AA7" s="21" t="str">
        <f>_xll.BDH("AAPL US Equity","CUR_RATIO","FQ3 2017","FQ3 2017","Currency=USD","Period=FQ","BEST_FPERIOD_OVERRIDE=FQ","FILING_STATUS=MR","Sort=A","Dates=H","DateFormat=P","Fill=—","Direction=H","UseDPDF=Y")</f>
        <v>#N/A Requesting Data...</v>
      </c>
      <c r="AB7" s="21" t="str">
        <f>_xll.BDH("AAPL US Equity","CUR_RATIO","FQ4 2017","FQ4 2017","Currency=USD","Period=FQ","BEST_FPERIOD_OVERRIDE=FQ","FILING_STATUS=MR","Sort=A","Dates=H","DateFormat=P","Fill=—","Direction=H","UseDPDF=Y")</f>
        <v>#N/A Requesting Data...</v>
      </c>
      <c r="AC7" s="21">
        <f>_xll.BDH("AAPL US Equity","CUR_RATIO","FQ1 2018","FQ1 2018","Currency=USD","Period=FQ","BEST_FPERIOD_OVERRIDE=FQ","FILING_STATUS=MR","Sort=A","Dates=H","DateFormat=P","Fill=—","Direction=H","UseDPDF=Y")</f>
        <v>1.242</v>
      </c>
      <c r="AD7" s="21">
        <f>_xll.BDH("AAPL US Equity","CUR_RATIO","FQ2 2018","FQ2 2018","Currency=USD","Period=FQ","BEST_FPERIOD_OVERRIDE=FQ","FILING_STATUS=MR","Sort=A","Dates=H","DateFormat=P","Fill=—","Direction=H","UseDPDF=Y")</f>
        <v>1.456</v>
      </c>
      <c r="AE7" s="21">
        <f>_xll.BDH("AAPL US Equity","CUR_RATIO","FQ3 2018","FQ3 2018","Currency=USD","Period=FQ","BEST_FPERIOD_OVERRIDE=FQ","FILING_STATUS=MR","Sort=A","Dates=H","DateFormat=P","Fill=—","Direction=H","UseDPDF=Y")</f>
        <v>1.3073000000000001</v>
      </c>
      <c r="AF7" s="21">
        <f>_xll.BDH("AAPL US Equity","CUR_RATIO","FQ4 2018","FQ4 2018","Currency=USD","Period=FQ","BEST_FPERIOD_OVERRIDE=FQ","FILING_STATUS=MR","Sort=A","Dates=H","DateFormat=P","Fill=—","Direction=H","UseDPDF=Y")</f>
        <v>1.1329</v>
      </c>
      <c r="AG7" s="21">
        <f>_xll.BDH("AAPL US Equity","CUR_RATIO","FQ1 2019","FQ1 2019","Currency=USD","Period=FQ","BEST_FPERIOD_OVERRIDE=FQ","FILING_STATUS=MR","Sort=A","Dates=H","DateFormat=P","Fill=—","Direction=H","UseDPDF=Y")</f>
        <v>1.3006</v>
      </c>
      <c r="AH7" s="21">
        <f>_xll.BDH("AAPL US Equity","CUR_RATIO","FQ2 2019","FQ2 2019","Currency=USD","Period=FQ","BEST_FPERIOD_OVERRIDE=FQ","FILING_STATUS=MR","Sort=A","Dates=H","DateFormat=P","Fill=—","Direction=H","UseDPDF=Y")</f>
        <v>1.3153999999999999</v>
      </c>
      <c r="AI7" s="21" t="str">
        <f>_xll.BDH("AAPL US Equity","CUR_RATIO","FQ3 2019","FQ3 2019","Currency=USD","Period=FQ","BEST_FPERIOD_OVERRIDE=FQ","FILING_STATUS=MR","Sort=A","Dates=H","DateFormat=P","Fill=—","Direction=H","UseDPDF=Y")</f>
        <v>#N/A Requesting Data...</v>
      </c>
      <c r="AJ7" s="21">
        <f>_xll.BDH("AAPL US Equity","CUR_RATIO","FQ4 2019","FQ4 2019","Currency=USD","Period=FQ","BEST_FPERIOD_OVERRIDE=FQ","FILING_STATUS=MR","Sort=A","Dates=H","DateFormat=P","Fill=—","Direction=H","UseDPDF=Y")</f>
        <v>1.5401</v>
      </c>
      <c r="AK7" s="21">
        <f>_xll.BDH("AAPL US Equity","CUR_RATIO","FQ1 2020","FQ1 2020","Currency=USD","Period=FQ","BEST_FPERIOD_OVERRIDE=FQ","FILING_STATUS=MR","Sort=A","Dates=H","DateFormat=P","Fill=—","Direction=H","UseDPDF=Y")</f>
        <v>1.5977999999999999</v>
      </c>
      <c r="AL7" s="21" t="str">
        <f>_xll.BDH("AAPL US Equity","CUR_RATIO","FQ2 2020","FQ2 2020","Currency=USD","Period=FQ","BEST_FPERIOD_OVERRIDE=FQ","FILING_STATUS=MR","Sort=A","Dates=H","DateFormat=P","Fill=—","Direction=H","UseDPDF=Y")</f>
        <v>#N/A Requesting Data...</v>
      </c>
      <c r="AM7" s="21" t="str">
        <f>_xll.BDH("AAPL US Equity","CUR_RATIO","FQ3 2020","FQ3 2020","Currency=USD","Period=FQ","BEST_FPERIOD_OVERRIDE=FQ","FILING_STATUS=MR","Sort=A","Dates=H","DateFormat=P","Fill=—","Direction=H","UseDPDF=Y")</f>
        <v>#N/A Requesting Data...</v>
      </c>
      <c r="AN7" s="21" t="str">
        <f>_xll.BDH("AAPL US Equity","CUR_RATIO","FQ4 2020","FQ4 2020","Currency=USD","Period=FQ","BEST_FPERIOD_OVERRIDE=FQ","FILING_STATUS=MR","Sort=A","Dates=H","DateFormat=P","Fill=—","Direction=H","UseDPDF=Y")</f>
        <v>#N/A Requesting Data...</v>
      </c>
      <c r="AO7" s="21">
        <f>_xll.BDH("AAPL US Equity","CUR_RATIO","FQ1 2021","FQ1 2021","Currency=USD","Period=FQ","BEST_FPERIOD_OVERRIDE=FQ","FILING_STATUS=MR","Sort=A","Dates=H","DateFormat=P","Fill=—","Direction=H","UseDPDF=Y")</f>
        <v>1.163</v>
      </c>
      <c r="AP7" s="21">
        <f>_xll.BDH("AAPL US Equity","CUR_RATIO","FQ2 2021","FQ2 2021","Currency=USD","Period=FQ","BEST_FPERIOD_OVERRIDE=FQ","FILING_STATUS=MR","Sort=A","Dates=H","DateFormat=P","Fill=—","Direction=H","UseDPDF=Y")</f>
        <v>1.1416999999999999</v>
      </c>
    </row>
    <row r="8" spans="1:42" x14ac:dyDescent="0.25">
      <c r="A8" s="8" t="s">
        <v>189</v>
      </c>
      <c r="B8" s="8" t="s">
        <v>188</v>
      </c>
      <c r="C8" s="21">
        <f>_xll.BDH("AAPL US Equity","QUICK_RATIO","FQ3 2011","FQ3 2011","Currency=USD","Period=FQ","BEST_FPERIOD_OVERRIDE=FQ","FILING_STATUS=MR","Sort=A","Dates=H","DateFormat=P","Fill=—","Direction=H","UseDPDF=Y")</f>
        <v>1.2844</v>
      </c>
      <c r="D8" s="21">
        <f>_xll.BDH("AAPL US Equity","QUICK_RATIO","FQ4 2011","FQ4 2011","Currency=USD","Period=FQ","BEST_FPERIOD_OVERRIDE=FQ","FILING_STATUS=MR","Sort=A","Dates=H","DateFormat=P","Fill=—","Direction=H","UseDPDF=Y")</f>
        <v>1.1197999999999999</v>
      </c>
      <c r="E8" s="21">
        <f>_xll.BDH("AAPL US Equity","QUICK_RATIO","FQ1 2012","FQ1 2012","Currency=USD","Period=FQ","BEST_FPERIOD_OVERRIDE=FQ","FILING_STATUS=MR","Sort=A","Dates=H","DateFormat=P","Fill=—","Direction=H","UseDPDF=Y")</f>
        <v>1.1294</v>
      </c>
      <c r="F8" s="21">
        <f>_xll.BDH("AAPL US Equity","QUICK_RATIO","FQ2 2012","FQ2 2012","Currency=USD","Period=FQ","BEST_FPERIOD_OVERRIDE=FQ","FILING_STATUS=MR","Sort=A","Dates=H","DateFormat=P","Fill=—","Direction=H","UseDPDF=Y")</f>
        <v>1.1106</v>
      </c>
      <c r="G8" s="21" t="str">
        <f>_xll.BDH("AAPL US Equity","QUICK_RATIO","FQ3 2012","FQ3 2012","Currency=USD","Period=FQ","BEST_FPERIOD_OVERRIDE=FQ","FILING_STATUS=MR","Sort=A","Dates=H","DateFormat=P","Fill=—","Direction=H","UseDPDF=Y")</f>
        <v>#N/A Requesting Data...</v>
      </c>
      <c r="H8" s="21" t="str">
        <f>_xll.BDH("AAPL US Equity","QUICK_RATIO","FQ4 2012","FQ4 2012","Currency=USD","Period=FQ","BEST_FPERIOD_OVERRIDE=FQ","FILING_STATUS=MR","Sort=A","Dates=H","DateFormat=P","Fill=—","Direction=H","UseDPDF=Y")</f>
        <v>#N/A Requesting Data...</v>
      </c>
      <c r="I8" s="21">
        <f>_xll.BDH("AAPL US Equity","QUICK_RATIO","FQ1 2013","FQ1 2013","Currency=USD","Period=FQ","BEST_FPERIOD_OVERRIDE=FQ","FILING_STATUS=MR","Sort=A","Dates=H","DateFormat=P","Fill=—","Direction=H","UseDPDF=Y")</f>
        <v>1.0968</v>
      </c>
      <c r="J8" s="21" t="str">
        <f>_xll.BDH("AAPL US Equity","QUICK_RATIO","FQ2 2013","FQ2 2013","Currency=USD","Period=FQ","BEST_FPERIOD_OVERRIDE=FQ","FILING_STATUS=MR","Sort=A","Dates=H","DateFormat=P","Fill=—","Direction=H","UseDPDF=Y")</f>
        <v>#N/A Requesting Data...</v>
      </c>
      <c r="K8" s="21">
        <f>_xll.BDH("AAPL US Equity","QUICK_RATIO","FQ3 2013","FQ3 2013","Currency=USD","Period=FQ","BEST_FPERIOD_OVERRIDE=FQ","FILING_STATUS=MR","Sort=A","Dates=H","DateFormat=P","Fill=—","Direction=H","UseDPDF=Y")</f>
        <v>1.4165000000000001</v>
      </c>
      <c r="L8" s="21" t="str">
        <f>_xll.BDH("AAPL US Equity","QUICK_RATIO","FQ4 2013","FQ4 2013","Currency=USD","Period=FQ","BEST_FPERIOD_OVERRIDE=FQ","FILING_STATUS=MR","Sort=A","Dates=H","DateFormat=P","Fill=—","Direction=H","UseDPDF=Y")</f>
        <v>#N/A Requesting Data...</v>
      </c>
      <c r="M8" s="21">
        <f>_xll.BDH("AAPL US Equity","QUICK_RATIO","FQ1 2014","FQ1 2014","Currency=USD","Period=FQ","BEST_FPERIOD_OVERRIDE=FQ","FILING_STATUS=MR","Sort=A","Dates=H","DateFormat=P","Fill=—","Direction=H","UseDPDF=Y")</f>
        <v>1.0212000000000001</v>
      </c>
      <c r="N8" s="21">
        <f>_xll.BDH("AAPL US Equity","QUICK_RATIO","FQ2 2014","FQ2 2014","Currency=USD","Period=FQ","BEST_FPERIOD_OVERRIDE=FQ","FILING_STATUS=MR","Sort=A","Dates=H","DateFormat=P","Fill=—","Direction=H","UseDPDF=Y")</f>
        <v>1.1815</v>
      </c>
      <c r="O8" s="21">
        <f>_xll.BDH("AAPL US Equity","QUICK_RATIO","FQ3 2014","FQ3 2014","Currency=USD","Period=FQ","BEST_FPERIOD_OVERRIDE=FQ","FILING_STATUS=MR","Sort=A","Dates=H","DateFormat=P","Fill=—","Direction=H","UseDPDF=Y")</f>
        <v>1.0517000000000001</v>
      </c>
      <c r="P8" s="21">
        <f>_xll.BDH("AAPL US Equity","QUICK_RATIO","FQ4 2014","FQ4 2014","Currency=USD","Period=FQ","BEST_FPERIOD_OVERRIDE=FQ","FILING_STATUS=MR","Sort=A","Dates=H","DateFormat=P","Fill=—","Direction=H","UseDPDF=Y")</f>
        <v>0.6704</v>
      </c>
      <c r="Q8" s="21">
        <f>_xll.BDH("AAPL US Equity","QUICK_RATIO","FQ1 2015","FQ1 2015","Currency=USD","Period=FQ","BEST_FPERIOD_OVERRIDE=FQ","FILING_STATUS=MR","Sort=A","Dates=H","DateFormat=P","Fill=—","Direction=H","UseDPDF=Y")</f>
        <v>0.66800000000000004</v>
      </c>
      <c r="R8" s="21">
        <f>_xll.BDH("AAPL US Equity","QUICK_RATIO","FQ2 2015","FQ2 2015","Currency=USD","Period=FQ","BEST_FPERIOD_OVERRIDE=FQ","FILING_STATUS=MR","Sort=A","Dates=H","DateFormat=P","Fill=—","Direction=H","UseDPDF=Y")</f>
        <v>0.74919999999999998</v>
      </c>
      <c r="S8" s="21" t="str">
        <f>_xll.BDH("AAPL US Equity","QUICK_RATIO","FQ3 2015","FQ3 2015","Currency=USD","Period=FQ","BEST_FPERIOD_OVERRIDE=FQ","FILING_STATUS=MR","Sort=A","Dates=H","DateFormat=P","Fill=—","Direction=H","UseDPDF=Y")</f>
        <v>#N/A Requesting Data...</v>
      </c>
      <c r="T8" s="21">
        <f>_xll.BDH("AAPL US Equity","QUICK_RATIO","FQ4 2015","FQ4 2015","Currency=USD","Period=FQ","BEST_FPERIOD_OVERRIDE=FQ","FILING_STATUS=MR","Sort=A","Dates=H","DateFormat=P","Fill=—","Direction=H","UseDPDF=Y")</f>
        <v>0.72509999999999997</v>
      </c>
      <c r="U8" s="21" t="str">
        <f>_xll.BDH("AAPL US Equity","QUICK_RATIO","FQ1 2016","FQ1 2016","Currency=USD","Period=FQ","BEST_FPERIOD_OVERRIDE=FQ","FILING_STATUS=MR","Sort=A","Dates=H","DateFormat=P","Fill=—","Direction=H","UseDPDF=Y")</f>
        <v>#N/A Requesting Data...</v>
      </c>
      <c r="V8" s="21">
        <f>_xll.BDH("AAPL US Equity","QUICK_RATIO","FQ2 2016","FQ2 2016","Currency=USD","Period=FQ","BEST_FPERIOD_OVERRIDE=FQ","FILING_STATUS=MR","Sort=A","Dates=H","DateFormat=P","Fill=—","Direction=H","UseDPDF=Y")</f>
        <v>0.98899999999999999</v>
      </c>
      <c r="W8" s="21" t="str">
        <f>_xll.BDH("AAPL US Equity","QUICK_RATIO","FQ3 2016","FQ3 2016","Currency=USD","Period=FQ","BEST_FPERIOD_OVERRIDE=FQ","FILING_STATUS=MR","Sort=A","Dates=H","DateFormat=P","Fill=—","Direction=H","UseDPDF=Y")</f>
        <v>#N/A Requesting Data...</v>
      </c>
      <c r="X8" s="21" t="str">
        <f>_xll.BDH("AAPL US Equity","QUICK_RATIO","FQ4 2016","FQ4 2016","Currency=USD","Period=FQ","BEST_FPERIOD_OVERRIDE=FQ","FILING_STATUS=MR","Sort=A","Dates=H","DateFormat=P","Fill=—","Direction=H","UseDPDF=Y")</f>
        <v>#N/A Requesting Data...</v>
      </c>
      <c r="Y8" s="21">
        <f>_xll.BDH("AAPL US Equity","QUICK_RATIO","FQ1 2017","FQ1 2017","Currency=USD","Period=FQ","BEST_FPERIOD_OVERRIDE=FQ","FILING_STATUS=MR","Sort=A","Dates=H","DateFormat=P","Fill=—","Direction=H","UseDPDF=Y")</f>
        <v>0.88560000000000005</v>
      </c>
      <c r="Z8" s="21">
        <f>_xll.BDH("AAPL US Equity","QUICK_RATIO","FQ2 2017","FQ2 2017","Currency=USD","Period=FQ","BEST_FPERIOD_OVERRIDE=FQ","FILING_STATUS=MR","Sort=A","Dates=H","DateFormat=P","Fill=—","Direction=H","UseDPDF=Y")</f>
        <v>1.0728</v>
      </c>
      <c r="AA8" s="21">
        <f>_xll.BDH("AAPL US Equity","QUICK_RATIO","FQ3 2017","FQ3 2017","Currency=USD","Period=FQ","BEST_FPERIOD_OVERRIDE=FQ","FILING_STATUS=MR","Sort=A","Dates=H","DateFormat=P","Fill=—","Direction=H","UseDPDF=Y")</f>
        <v>1.0966</v>
      </c>
      <c r="AB8" s="21">
        <f>_xll.BDH("AAPL US Equity","QUICK_RATIO","FQ4 2017","FQ4 2017","Currency=USD","Period=FQ","BEST_FPERIOD_OVERRIDE=FQ","FILING_STATUS=MR","Sort=A","Dates=H","DateFormat=P","Fill=—","Direction=H","UseDPDF=Y")</f>
        <v>0.91310000000000002</v>
      </c>
      <c r="AC8" s="21">
        <f>_xll.BDH("AAPL US Equity","QUICK_RATIO","FQ1 2018","FQ1 2018","Currency=USD","Period=FQ","BEST_FPERIOD_OVERRIDE=FQ","FILING_STATUS=MR","Sort=A","Dates=H","DateFormat=P","Fill=—","Direction=H","UseDPDF=Y")</f>
        <v>0.86880000000000002</v>
      </c>
      <c r="AD8" s="21">
        <f>_xll.BDH("AAPL US Equity","QUICK_RATIO","FQ2 2018","FQ2 2018","Currency=USD","Period=FQ","BEST_FPERIOD_OVERRIDE=FQ","FILING_STATUS=MR","Sort=A","Dates=H","DateFormat=P","Fill=—","Direction=H","UseDPDF=Y")</f>
        <v>1.1449</v>
      </c>
      <c r="AE8" s="21">
        <f>_xll.BDH("AAPL US Equity","QUICK_RATIO","FQ3 2018","FQ3 2018","Currency=USD","Period=FQ","BEST_FPERIOD_OVERRIDE=FQ","FILING_STATUS=MR","Sort=A","Dates=H","DateFormat=P","Fill=—","Direction=H","UseDPDF=Y")</f>
        <v>0.96079999999999999</v>
      </c>
      <c r="AF8" s="21" t="str">
        <f>_xll.BDH("AAPL US Equity","QUICK_RATIO","FQ4 2018","FQ4 2018","Currency=USD","Period=FQ","BEST_FPERIOD_OVERRIDE=FQ","FILING_STATUS=MR","Sort=A","Dates=H","DateFormat=P","Fill=—","Direction=H","UseDPDF=Y")</f>
        <v>#N/A Requesting Data...</v>
      </c>
      <c r="AG8" s="21">
        <f>_xll.BDH("AAPL US Equity","QUICK_RATIO","FQ1 2019","FQ1 2019","Currency=USD","Period=FQ","BEST_FPERIOD_OVERRIDE=FQ","FILING_STATUS=MR","Sort=A","Dates=H","DateFormat=P","Fill=—","Direction=H","UseDPDF=Y")</f>
        <v>0.96509999999999996</v>
      </c>
      <c r="AH8" s="21">
        <f>_xll.BDH("AAPL US Equity","QUICK_RATIO","FQ2 2019","FQ2 2019","Currency=USD","Period=FQ","BEST_FPERIOD_OVERRIDE=FQ","FILING_STATUS=MR","Sort=A","Dates=H","DateFormat=P","Fill=—","Direction=H","UseDPDF=Y")</f>
        <v>1.0149999999999999</v>
      </c>
      <c r="AI8" s="21" t="str">
        <f>_xll.BDH("AAPL US Equity","QUICK_RATIO","FQ3 2019","FQ3 2019","Currency=USD","Period=FQ","BEST_FPERIOD_OVERRIDE=FQ","FILING_STATUS=MR","Sort=A","Dates=H","DateFormat=P","Fill=—","Direction=H","UseDPDF=Y")</f>
        <v>#N/A Requesting Data...</v>
      </c>
      <c r="AJ8" s="21" t="str">
        <f>_xll.BDH("AAPL US Equity","QUICK_RATIO","FQ4 2019","FQ4 2019","Currency=USD","Period=FQ","BEST_FPERIOD_OVERRIDE=FQ","FILING_STATUS=MR","Sort=A","Dates=H","DateFormat=P","Fill=—","Direction=H","UseDPDF=Y")</f>
        <v>#N/A Requesting Data...</v>
      </c>
      <c r="AK8" s="21">
        <f>_xll.BDH("AAPL US Equity","QUICK_RATIO","FQ1 2020","FQ1 2020","Currency=USD","Period=FQ","BEST_FPERIOD_OVERRIDE=FQ","FILING_STATUS=MR","Sort=A","Dates=H","DateFormat=P","Fill=—","Direction=H","UseDPDF=Y")</f>
        <v>1.2542</v>
      </c>
      <c r="AL8" s="21">
        <f>_xll.BDH("AAPL US Equity","QUICK_RATIO","FQ2 2020","FQ2 2020","Currency=USD","Period=FQ","BEST_FPERIOD_OVERRIDE=FQ","FILING_STATUS=MR","Sort=A","Dates=H","DateFormat=P","Fill=—","Direction=H","UseDPDF=Y")</f>
        <v>1.1424000000000001</v>
      </c>
      <c r="AM8" s="21">
        <f>_xll.BDH("AAPL US Equity","QUICK_RATIO","FQ3 2020","FQ3 2020","Currency=USD","Period=FQ","BEST_FPERIOD_OVERRIDE=FQ","FILING_STATUS=MR","Sort=A","Dates=H","DateFormat=P","Fill=—","Direction=H","UseDPDF=Y")</f>
        <v>1.1635</v>
      </c>
      <c r="AN8" s="21">
        <f>_xll.BDH("AAPL US Equity","QUICK_RATIO","FQ4 2020","FQ4 2020","Currency=USD","Period=FQ","BEST_FPERIOD_OVERRIDE=FQ","FILING_STATUS=MR","Sort=A","Dates=H","DateFormat=P","Fill=—","Direction=H","UseDPDF=Y")</f>
        <v>1.0159</v>
      </c>
      <c r="AO8" s="21">
        <f>_xll.BDH("AAPL US Equity","QUICK_RATIO","FQ1 2021","FQ1 2021","Currency=USD","Period=FQ","BEST_FPERIOD_OVERRIDE=FQ","FILING_STATUS=MR","Sort=A","Dates=H","DateFormat=P","Fill=—","Direction=H","UseDPDF=Y")</f>
        <v>0.7843</v>
      </c>
      <c r="AP8" s="21">
        <f>_xll.BDH("AAPL US Equity","QUICK_RATIO","FQ2 2021","FQ2 2021","Currency=USD","Period=FQ","BEST_FPERIOD_OVERRIDE=FQ","FILING_STATUS=MR","Sort=A","Dates=H","DateFormat=P","Fill=—","Direction=H","UseDPDF=Y")</f>
        <v>0.83040000000000003</v>
      </c>
    </row>
    <row r="9" spans="1:42" x14ac:dyDescent="0.25">
      <c r="A9" s="8" t="s">
        <v>187</v>
      </c>
      <c r="B9" s="8" t="s">
        <v>186</v>
      </c>
      <c r="C9" s="21" t="str">
        <f>_xll.BDH("AAPL US Equity","CFO_TO_AVG_CURRENT_LIABILITIES","FQ3 2011","FQ3 2011","Currency=USD","Period=FQ","BEST_FPERIOD_OVERRIDE=FQ","FILING_STATUS=MR","Sort=A","Dates=H","DateFormat=P","Fill=—","Direction=H","UseDPDF=Y")</f>
        <v>#N/A Requesting Data...</v>
      </c>
      <c r="D9" s="21">
        <f>_xll.BDH("AAPL US Equity","CFO_TO_AVG_CURRENT_LIABILITIES","FQ4 2011","FQ4 2011","Currency=USD","Period=FQ","BEST_FPERIOD_OVERRIDE=FQ","FILING_STATUS=MR","Sort=A","Dates=H","DateFormat=P","Fill=—","Direction=H","UseDPDF=Y")</f>
        <v>1.5415000000000001</v>
      </c>
      <c r="E9" s="21">
        <f>_xll.BDH("AAPL US Equity","CFO_TO_AVG_CURRENT_LIABILITIES","FQ1 2012","FQ1 2012","Currency=USD","Period=FQ","BEST_FPERIOD_OVERRIDE=FQ","FILING_STATUS=MR","Sort=A","Dates=H","DateFormat=P","Fill=—","Direction=H","UseDPDF=Y")</f>
        <v>1.5516999999999999</v>
      </c>
      <c r="F9" s="21">
        <f>_xll.BDH("AAPL US Equity","CFO_TO_AVG_CURRENT_LIABILITIES","FQ2 2012","FQ2 2012","Currency=USD","Period=FQ","BEST_FPERIOD_OVERRIDE=FQ","FILING_STATUS=MR","Sort=A","Dates=H","DateFormat=P","Fill=—","Direction=H","UseDPDF=Y")</f>
        <v>1.8831</v>
      </c>
      <c r="G9" s="21" t="str">
        <f>_xll.BDH("AAPL US Equity","CFO_TO_AVG_CURRENT_LIABILITIES","FQ3 2012","FQ3 2012","Currency=USD","Period=FQ","BEST_FPERIOD_OVERRIDE=FQ","FILING_STATUS=MR","Sort=A","Dates=H","DateFormat=P","Fill=—","Direction=H","UseDPDF=Y")</f>
        <v>#N/A Requesting Data...</v>
      </c>
      <c r="H9" s="21" t="str">
        <f>_xll.BDH("AAPL US Equity","CFO_TO_AVG_CURRENT_LIABILITIES","FQ4 2012","FQ4 2012","Currency=USD","Period=FQ","BEST_FPERIOD_OVERRIDE=FQ","FILING_STATUS=MR","Sort=A","Dates=H","DateFormat=P","Fill=—","Direction=H","UseDPDF=Y")</f>
        <v>#N/A Requesting Data...</v>
      </c>
      <c r="I9" s="21">
        <f>_xll.BDH("AAPL US Equity","CFO_TO_AVG_CURRENT_LIABILITIES","FQ1 2013","FQ1 2013","Currency=USD","Period=FQ","BEST_FPERIOD_OVERRIDE=FQ","FILING_STATUS=MR","Sort=A","Dates=H","DateFormat=P","Fill=—","Direction=H","UseDPDF=Y")</f>
        <v>1.3923000000000001</v>
      </c>
      <c r="J9" s="21">
        <f>_xll.BDH("AAPL US Equity","CFO_TO_AVG_CURRENT_LIABILITIES","FQ2 2013","FQ2 2013","Currency=USD","Period=FQ","BEST_FPERIOD_OVERRIDE=FQ","FILING_STATUS=MR","Sort=A","Dates=H","DateFormat=P","Fill=—","Direction=H","UseDPDF=Y")</f>
        <v>1.6360999999999999</v>
      </c>
      <c r="K9" s="21">
        <f>_xll.BDH("AAPL US Equity","CFO_TO_AVG_CURRENT_LIABILITIES","FQ3 2013","FQ3 2013","Currency=USD","Period=FQ","BEST_FPERIOD_OVERRIDE=FQ","FILING_STATUS=MR","Sort=A","Dates=H","DateFormat=P","Fill=—","Direction=H","UseDPDF=Y")</f>
        <v>1.5247999999999999</v>
      </c>
      <c r="L9" s="21">
        <f>_xll.BDH("AAPL US Equity","CFO_TO_AVG_CURRENT_LIABILITIES","FQ4 2013","FQ4 2013","Currency=USD","Period=FQ","BEST_FPERIOD_OVERRIDE=FQ","FILING_STATUS=MR","Sort=A","Dates=H","DateFormat=P","Fill=—","Direction=H","UseDPDF=Y")</f>
        <v>1.3057000000000001</v>
      </c>
      <c r="M9" s="21">
        <f>_xll.BDH("AAPL US Equity","CFO_TO_AVG_CURRENT_LIABILITIES","FQ1 2014","FQ1 2014","Currency=USD","Period=FQ","BEST_FPERIOD_OVERRIDE=FQ","FILING_STATUS=MR","Sort=A","Dates=H","DateFormat=P","Fill=—","Direction=H","UseDPDF=Y")</f>
        <v>1.0514000000000001</v>
      </c>
      <c r="N9" s="21">
        <f>_xll.BDH("AAPL US Equity","CFO_TO_AVG_CURRENT_LIABILITIES","FQ2 2014","FQ2 2014","Currency=USD","Period=FQ","BEST_FPERIOD_OVERRIDE=FQ","FILING_STATUS=MR","Sort=A","Dates=H","DateFormat=P","Fill=—","Direction=H","UseDPDF=Y")</f>
        <v>1.3706</v>
      </c>
      <c r="O9" s="21" t="str">
        <f>_xll.BDH("AAPL US Equity","CFO_TO_AVG_CURRENT_LIABILITIES","FQ3 2014","FQ3 2014","Currency=USD","Period=FQ","BEST_FPERIOD_OVERRIDE=FQ","FILING_STATUS=MR","Sort=A","Dates=H","DateFormat=P","Fill=—","Direction=H","UseDPDF=Y")</f>
        <v>#N/A Requesting Data...</v>
      </c>
      <c r="P9" s="21">
        <f>_xll.BDH("AAPL US Equity","CFO_TO_AVG_CURRENT_LIABILITIES","FQ4 2014","FQ4 2014","Currency=USD","Period=FQ","BEST_FPERIOD_OVERRIDE=FQ","FILING_STATUS=MR","Sort=A","Dates=H","DateFormat=P","Fill=—","Direction=H","UseDPDF=Y")</f>
        <v>1.115</v>
      </c>
      <c r="Q9" s="21">
        <f>_xll.BDH("AAPL US Equity","CFO_TO_AVG_CURRENT_LIABILITIES","FQ1 2015","FQ1 2015","Currency=USD","Period=FQ","BEST_FPERIOD_OVERRIDE=FQ","FILING_STATUS=MR","Sort=A","Dates=H","DateFormat=P","Fill=—","Direction=H","UseDPDF=Y")</f>
        <v>1.1111</v>
      </c>
      <c r="R9" s="21" t="str">
        <f>_xll.BDH("AAPL US Equity","CFO_TO_AVG_CURRENT_LIABILITIES","FQ2 2015","FQ2 2015","Currency=USD","Period=FQ","BEST_FPERIOD_OVERRIDE=FQ","FILING_STATUS=MR","Sort=A","Dates=H","DateFormat=P","Fill=—","Direction=H","UseDPDF=Y")</f>
        <v>#N/A Requesting Data...</v>
      </c>
      <c r="S9" s="21">
        <f>_xll.BDH("AAPL US Equity","CFO_TO_AVG_CURRENT_LIABILITIES","FQ3 2015","FQ3 2015","Currency=USD","Period=FQ","BEST_FPERIOD_OVERRIDE=FQ","FILING_STATUS=MR","Sort=A","Dates=H","DateFormat=P","Fill=—","Direction=H","UseDPDF=Y")</f>
        <v>1.4538</v>
      </c>
      <c r="T9" s="21" t="str">
        <f>_xll.BDH("AAPL US Equity","CFO_TO_AVG_CURRENT_LIABILITIES","FQ4 2015","FQ4 2015","Currency=USD","Period=FQ","BEST_FPERIOD_OVERRIDE=FQ","FILING_STATUS=MR","Sort=A","Dates=H","DateFormat=P","Fill=—","Direction=H","UseDPDF=Y")</f>
        <v>#N/A Requesting Data...</v>
      </c>
      <c r="U9" s="21">
        <f>_xll.BDH("AAPL US Equity","CFO_TO_AVG_CURRENT_LIABILITIES","FQ1 2016","FQ1 2016","Currency=USD","Period=FQ","BEST_FPERIOD_OVERRIDE=FQ","FILING_STATUS=MR","Sort=A","Dates=H","DateFormat=P","Fill=—","Direction=H","UseDPDF=Y")</f>
        <v>1.0021</v>
      </c>
      <c r="V9" s="21">
        <f>_xll.BDH("AAPL US Equity","CFO_TO_AVG_CURRENT_LIABILITIES","FQ2 2016","FQ2 2016","Currency=USD","Period=FQ","BEST_FPERIOD_OVERRIDE=FQ","FILING_STATUS=MR","Sort=A","Dates=H","DateFormat=P","Fill=—","Direction=H","UseDPDF=Y")</f>
        <v>1.0634999999999999</v>
      </c>
      <c r="W9" s="21">
        <f>_xll.BDH("AAPL US Equity","CFO_TO_AVG_CURRENT_LIABILITIES","FQ3 2016","FQ3 2016","Currency=USD","Period=FQ","BEST_FPERIOD_OVERRIDE=FQ","FILING_STATUS=MR","Sort=A","Dates=H","DateFormat=P","Fill=—","Direction=H","UseDPDF=Y")</f>
        <v>0.92379999999999995</v>
      </c>
      <c r="X9" s="21">
        <f>_xll.BDH("AAPL US Equity","CFO_TO_AVG_CURRENT_LIABILITIES","FQ4 2016","FQ4 2016","Currency=USD","Period=FQ","BEST_FPERIOD_OVERRIDE=FQ","FILING_STATUS=MR","Sort=A","Dates=H","DateFormat=P","Fill=—","Direction=H","UseDPDF=Y")</f>
        <v>0.82479999999999998</v>
      </c>
      <c r="Y9" s="21">
        <f>_xll.BDH("AAPL US Equity","CFO_TO_AVG_CURRENT_LIABILITIES","FQ1 2017","FQ1 2017","Currency=USD","Period=FQ","BEST_FPERIOD_OVERRIDE=FQ","FILING_STATUS=MR","Sort=A","Dates=H","DateFormat=P","Fill=—","Direction=H","UseDPDF=Y")</f>
        <v>0.81879999999999997</v>
      </c>
      <c r="Z9" s="21">
        <f>_xll.BDH("AAPL US Equity","CFO_TO_AVG_CURRENT_LIABILITIES","FQ2 2017","FQ2 2017","Currency=USD","Period=FQ","BEST_FPERIOD_OVERRIDE=FQ","FILING_STATUS=MR","Sort=A","Dates=H","DateFormat=P","Fill=—","Direction=H","UseDPDF=Y")</f>
        <v>1.3216000000000001</v>
      </c>
      <c r="AA9" s="21" t="str">
        <f>_xll.BDH("AAPL US Equity","CFO_TO_AVG_CURRENT_LIABILITIES","FQ3 2017","FQ3 2017","Currency=USD","Period=FQ","BEST_FPERIOD_OVERRIDE=FQ","FILING_STATUS=MR","Sort=A","Dates=H","DateFormat=P","Fill=—","Direction=H","UseDPDF=Y")</f>
        <v>#N/A Requesting Data...</v>
      </c>
      <c r="AB9" s="21">
        <f>_xll.BDH("AAPL US Equity","CFO_TO_AVG_CURRENT_LIABILITIES","FQ4 2017","FQ4 2017","Currency=USD","Period=FQ","BEST_FPERIOD_OVERRIDE=FQ","FILING_STATUS=MR","Sort=A","Dates=H","DateFormat=P","Fill=—","Direction=H","UseDPDF=Y")</f>
        <v>1.0172000000000001</v>
      </c>
      <c r="AC9" s="21">
        <f>_xll.BDH("AAPL US Equity","CFO_TO_AVG_CURRENT_LIABILITIES","FQ1 2018","FQ1 2018","Currency=USD","Period=FQ","BEST_FPERIOD_OVERRIDE=FQ","FILING_STATUS=MR","Sort=A","Dates=H","DateFormat=P","Fill=—","Direction=H","UseDPDF=Y")</f>
        <v>0.92559999999999998</v>
      </c>
      <c r="AD9" s="21">
        <f>_xll.BDH("AAPL US Equity","CFO_TO_AVG_CURRENT_LIABILITIES","FQ2 2018","FQ2 2018","Currency=USD","Period=FQ","BEST_FPERIOD_OVERRIDE=FQ","FILING_STATUS=MR","Sort=A","Dates=H","DateFormat=P","Fill=—","Direction=H","UseDPDF=Y")</f>
        <v>0.83689999999999998</v>
      </c>
      <c r="AE9" s="21">
        <f>_xll.BDH("AAPL US Equity","CFO_TO_AVG_CURRENT_LIABILITIES","FQ3 2018","FQ3 2018","Currency=USD","Period=FQ","BEST_FPERIOD_OVERRIDE=FQ","FILING_STATUS=MR","Sort=A","Dates=H","DateFormat=P","Fill=—","Direction=H","UseDPDF=Y")</f>
        <v>0.86739999999999995</v>
      </c>
      <c r="AF9" s="21" t="str">
        <f>_xll.BDH("AAPL US Equity","CFO_TO_AVG_CURRENT_LIABILITIES","FQ4 2018","FQ4 2018","Currency=USD","Period=FQ","BEST_FPERIOD_OVERRIDE=FQ","FILING_STATUS=MR","Sort=A","Dates=H","DateFormat=P","Fill=—","Direction=H","UseDPDF=Y")</f>
        <v>#N/A Requesting Data...</v>
      </c>
      <c r="AG9" s="21">
        <f>_xll.BDH("AAPL US Equity","CFO_TO_AVG_CURRENT_LIABILITIES","FQ1 2019","FQ1 2019","Currency=USD","Period=FQ","BEST_FPERIOD_OVERRIDE=FQ","FILING_STATUS=MR","Sort=A","Dates=H","DateFormat=P","Fill=—","Direction=H","UseDPDF=Y")</f>
        <v>0.67679999999999996</v>
      </c>
      <c r="AH9" s="21">
        <f>_xll.BDH("AAPL US Equity","CFO_TO_AVG_CURRENT_LIABILITIES","FQ2 2019","FQ2 2019","Currency=USD","Period=FQ","BEST_FPERIOD_OVERRIDE=FQ","FILING_STATUS=MR","Sort=A","Dates=H","DateFormat=P","Fill=—","Direction=H","UseDPDF=Y")</f>
        <v>0.78490000000000004</v>
      </c>
      <c r="AI9" s="21">
        <f>_xll.BDH("AAPL US Equity","CFO_TO_AVG_CURRENT_LIABILITIES","FQ3 2019","FQ3 2019","Currency=USD","Period=FQ","BEST_FPERIOD_OVERRIDE=FQ","FILING_STATUS=MR","Sort=A","Dates=H","DateFormat=P","Fill=—","Direction=H","UseDPDF=Y")</f>
        <v>0.7742</v>
      </c>
      <c r="AJ9" s="21">
        <f>_xll.BDH("AAPL US Equity","CFO_TO_AVG_CURRENT_LIABILITIES","FQ4 2019","FQ4 2019","Currency=USD","Period=FQ","BEST_FPERIOD_OVERRIDE=FQ","FILING_STATUS=MR","Sort=A","Dates=H","DateFormat=P","Fill=—","Direction=H","UseDPDF=Y")</f>
        <v>0.62609999999999999</v>
      </c>
      <c r="AK9" s="21">
        <f>_xll.BDH("AAPL US Equity","CFO_TO_AVG_CURRENT_LIABILITIES","FQ1 2020","FQ1 2020","Currency=USD","Period=FQ","BEST_FPERIOD_OVERRIDE=FQ","FILING_STATUS=MR","Sort=A","Dates=H","DateFormat=P","Fill=—","Direction=H","UseDPDF=Y")</f>
        <v>0.69579999999999997</v>
      </c>
      <c r="AL9" s="21">
        <f>_xll.BDH("AAPL US Equity","CFO_TO_AVG_CURRENT_LIABILITIES","FQ2 2020","FQ2 2020","Currency=USD","Period=FQ","BEST_FPERIOD_OVERRIDE=FQ","FILING_STATUS=MR","Sort=A","Dates=H","DateFormat=P","Fill=—","Direction=H","UseDPDF=Y")</f>
        <v>0.79400000000000004</v>
      </c>
      <c r="AM9" s="21" t="str">
        <f>_xll.BDH("AAPL US Equity","CFO_TO_AVG_CURRENT_LIABILITIES","FQ3 2020","FQ3 2020","Currency=USD","Period=FQ","BEST_FPERIOD_OVERRIDE=FQ","FILING_STATUS=MR","Sort=A","Dates=H","DateFormat=P","Fill=—","Direction=H","UseDPDF=Y")</f>
        <v>#N/A Requesting Data...</v>
      </c>
      <c r="AN9" s="21">
        <f>_xll.BDH("AAPL US Equity","CFO_TO_AVG_CURRENT_LIABILITIES","FQ4 2020","FQ4 2020","Currency=USD","Period=FQ","BEST_FPERIOD_OVERRIDE=FQ","FILING_STATUS=MR","Sort=A","Dates=H","DateFormat=P","Fill=—","Direction=H","UseDPDF=Y")</f>
        <v>0.76429999999999998</v>
      </c>
      <c r="AO9" s="21" t="str">
        <f>_xll.BDH("AAPL US Equity","CFO_TO_AVG_CURRENT_LIABILITIES","FQ1 2021","FQ1 2021","Currency=USD","Period=FQ","BEST_FPERIOD_OVERRIDE=FQ","FILING_STATUS=MR","Sort=A","Dates=H","DateFormat=P","Fill=—","Direction=H","UseDPDF=Y")</f>
        <v>#N/A Requesting Data...</v>
      </c>
      <c r="AP9" s="21" t="str">
        <f>_xll.BDH("AAPL US Equity","CFO_TO_AVG_CURRENT_LIABILITIES","FQ2 2021","FQ2 2021","Currency=USD","Period=FQ","BEST_FPERIOD_OVERRIDE=FQ","FILING_STATUS=MR","Sort=A","Dates=H","DateFormat=P","Fill=—","Direction=H","UseDPDF=Y")</f>
        <v>#N/A Requesting Data...</v>
      </c>
    </row>
    <row r="10" spans="1:42" x14ac:dyDescent="0.25">
      <c r="A10" s="8" t="s">
        <v>185</v>
      </c>
      <c r="B10" s="8" t="s">
        <v>184</v>
      </c>
      <c r="C10" s="21">
        <f>_xll.BDH("AAPL US Equity","COM_EQY_TO_TOT_ASSET","FQ3 2011","FQ3 2011","Currency=USD","Period=FQ","BEST_FPERIOD_OVERRIDE=FQ","FILING_STATUS=MR","Sort=A","Dates=H","DateFormat=P","Fill=—","Direction=H","UseDPDF=Y")</f>
        <v>64.953400000000002</v>
      </c>
      <c r="D10" s="21" t="str">
        <f>_xll.BDH("AAPL US Equity","COM_EQY_TO_TOT_ASSET","FQ4 2011","FQ4 2011","Currency=USD","Period=FQ","BEST_FPERIOD_OVERRIDE=FQ","FILING_STATUS=MR","Sort=A","Dates=H","DateFormat=P","Fill=—","Direction=H","UseDPDF=Y")</f>
        <v>#N/A Requesting Data...</v>
      </c>
      <c r="E10" s="21">
        <f>_xll.BDH("AAPL US Equity","COM_EQY_TO_TOT_ASSET","FQ1 2012","FQ1 2012","Currency=USD","Period=FQ","BEST_FPERIOD_OVERRIDE=FQ","FILING_STATUS=MR","Sort=A","Dates=H","DateFormat=P","Fill=—","Direction=H","UseDPDF=Y")</f>
        <v>64.936099999999996</v>
      </c>
      <c r="F10" s="21">
        <f>_xll.BDH("AAPL US Equity","COM_EQY_TO_TOT_ASSET","FQ2 2012","FQ2 2012","Currency=USD","Period=FQ","BEST_FPERIOD_OVERRIDE=FQ","FILING_STATUS=MR","Sort=A","Dates=H","DateFormat=P","Fill=—","Direction=H","UseDPDF=Y")</f>
        <v>67.909199999999998</v>
      </c>
      <c r="G10" s="21">
        <f>_xll.BDH("AAPL US Equity","COM_EQY_TO_TOT_ASSET","FQ3 2012","FQ3 2012","Currency=USD","Period=FQ","BEST_FPERIOD_OVERRIDE=FQ","FILING_STATUS=MR","Sort=A","Dates=H","DateFormat=P","Fill=—","Direction=H","UseDPDF=Y")</f>
        <v>68.599599999999995</v>
      </c>
      <c r="H10" s="21">
        <f>_xll.BDH("AAPL US Equity","COM_EQY_TO_TOT_ASSET","FQ4 2012","FQ4 2012","Currency=USD","Period=FQ","BEST_FPERIOD_OVERRIDE=FQ","FILING_STATUS=MR","Sort=A","Dates=H","DateFormat=P","Fill=—","Direction=H","UseDPDF=Y")</f>
        <v>67.1404</v>
      </c>
      <c r="I10" s="21">
        <f>_xll.BDH("AAPL US Equity","COM_EQY_TO_TOT_ASSET","FQ1 2013","FQ1 2013","Currency=USD","Period=FQ","BEST_FPERIOD_OVERRIDE=FQ","FILING_STATUS=MR","Sort=A","Dates=H","DateFormat=P","Fill=—","Direction=H","UseDPDF=Y")</f>
        <v>64.943299999999994</v>
      </c>
      <c r="J10" s="21">
        <f>_xll.BDH("AAPL US Equity","COM_EQY_TO_TOT_ASSET","FQ2 2013","FQ2 2013","Currency=USD","Period=FQ","BEST_FPERIOD_OVERRIDE=FQ","FILING_STATUS=MR","Sort=A","Dates=H","DateFormat=P","Fill=—","Direction=H","UseDPDF=Y")</f>
        <v>69.573700000000002</v>
      </c>
      <c r="K10" s="21">
        <f>_xll.BDH("AAPL US Equity","COM_EQY_TO_TOT_ASSET","FQ3 2013","FQ3 2013","Currency=USD","Period=FQ","BEST_FPERIOD_OVERRIDE=FQ","FILING_STATUS=MR","Sort=A","Dates=H","DateFormat=P","Fill=—","Direction=H","UseDPDF=Y")</f>
        <v>61.721400000000003</v>
      </c>
      <c r="L10" s="21" t="str">
        <f>_xll.BDH("AAPL US Equity","COM_EQY_TO_TOT_ASSET","FQ4 2013","FQ4 2013","Currency=USD","Period=FQ","BEST_FPERIOD_OVERRIDE=FQ","FILING_STATUS=MR","Sort=A","Dates=H","DateFormat=P","Fill=—","Direction=H","UseDPDF=Y")</f>
        <v>#N/A Requesting Data...</v>
      </c>
      <c r="M10" s="21">
        <f>_xll.BDH("AAPL US Equity","COM_EQY_TO_TOT_ASSET","FQ1 2014","FQ1 2014","Currency=USD","Period=FQ","BEST_FPERIOD_OVERRIDE=FQ","FILING_STATUS=MR","Sort=A","Dates=H","DateFormat=P","Fill=—","Direction=H","UseDPDF=Y")</f>
        <v>57.590200000000003</v>
      </c>
      <c r="N10" s="21">
        <f>_xll.BDH("AAPL US Equity","COM_EQY_TO_TOT_ASSET","FQ2 2014","FQ2 2014","Currency=USD","Period=FQ","BEST_FPERIOD_OVERRIDE=FQ","FILING_STATUS=MR","Sort=A","Dates=H","DateFormat=P","Fill=—","Direction=H","UseDPDF=Y")</f>
        <v>58.342399999999998</v>
      </c>
      <c r="O10" s="21" t="str">
        <f>_xll.BDH("AAPL US Equity","COM_EQY_TO_TOT_ASSET","FQ3 2014","FQ3 2014","Currency=USD","Period=FQ","BEST_FPERIOD_OVERRIDE=FQ","FILING_STATUS=MR","Sort=A","Dates=H","DateFormat=P","Fill=—","Direction=H","UseDPDF=Y")</f>
        <v>#N/A Requesting Data...</v>
      </c>
      <c r="P10" s="21" t="str">
        <f>_xll.BDH("AAPL US Equity","COM_EQY_TO_TOT_ASSET","FQ4 2014","FQ4 2014","Currency=USD","Period=FQ","BEST_FPERIOD_OVERRIDE=FQ","FILING_STATUS=MR","Sort=A","Dates=H","DateFormat=P","Fill=—","Direction=H","UseDPDF=Y")</f>
        <v>#N/A Requesting Data...</v>
      </c>
      <c r="Q10" s="21">
        <f>_xll.BDH("AAPL US Equity","COM_EQY_TO_TOT_ASSET","FQ1 2015","FQ1 2015","Currency=USD","Period=FQ","BEST_FPERIOD_OVERRIDE=FQ","FILING_STATUS=MR","Sort=A","Dates=H","DateFormat=P","Fill=—","Direction=H","UseDPDF=Y")</f>
        <v>47.090800000000002</v>
      </c>
      <c r="R10" s="21">
        <f>_xll.BDH("AAPL US Equity","COM_EQY_TO_TOT_ASSET","FQ2 2015","FQ2 2015","Currency=USD","Period=FQ","BEST_FPERIOD_OVERRIDE=FQ","FILING_STATUS=MR","Sort=A","Dates=H","DateFormat=P","Fill=—","Direction=H","UseDPDF=Y")</f>
        <v>49.390900000000002</v>
      </c>
      <c r="S10" s="21">
        <f>_xll.BDH("AAPL US Equity","COM_EQY_TO_TOT_ASSET","FQ3 2015","FQ3 2015","Currency=USD","Period=FQ","BEST_FPERIOD_OVERRIDE=FQ","FILING_STATUS=MR","Sort=A","Dates=H","DateFormat=P","Fill=—","Direction=H","UseDPDF=Y")</f>
        <v>46.010100000000001</v>
      </c>
      <c r="T10" s="21">
        <f>_xll.BDH("AAPL US Equity","COM_EQY_TO_TOT_ASSET","FQ4 2015","FQ4 2015","Currency=USD","Period=FQ","BEST_FPERIOD_OVERRIDE=FQ","FILING_STATUS=MR","Sort=A","Dates=H","DateFormat=P","Fill=—","Direction=H","UseDPDF=Y")</f>
        <v>41.107999999999997</v>
      </c>
      <c r="U10" s="21">
        <f>_xll.BDH("AAPL US Equity","COM_EQY_TO_TOT_ASSET","FQ1 2016","FQ1 2016","Currency=USD","Period=FQ","BEST_FPERIOD_OVERRIDE=FQ","FILING_STATUS=MR","Sort=A","Dates=H","DateFormat=P","Fill=—","Direction=H","UseDPDF=Y")</f>
        <v>43.734699999999997</v>
      </c>
      <c r="V10" s="21">
        <f>_xll.BDH("AAPL US Equity","COM_EQY_TO_TOT_ASSET","FQ2 2016","FQ2 2016","Currency=USD","Period=FQ","BEST_FPERIOD_OVERRIDE=FQ","FILING_STATUS=MR","Sort=A","Dates=H","DateFormat=P","Fill=—","Direction=H","UseDPDF=Y")</f>
        <v>42.734000000000002</v>
      </c>
      <c r="W10" s="21">
        <f>_xll.BDH("AAPL US Equity","COM_EQY_TO_TOT_ASSET","FQ3 2016","FQ3 2016","Currency=USD","Period=FQ","BEST_FPERIOD_OVERRIDE=FQ","FILING_STATUS=MR","Sort=A","Dates=H","DateFormat=P","Fill=—","Direction=H","UseDPDF=Y")</f>
        <v>41.4071</v>
      </c>
      <c r="X10" s="21" t="str">
        <f>_xll.BDH("AAPL US Equity","COM_EQY_TO_TOT_ASSET","FQ4 2016","FQ4 2016","Currency=USD","Period=FQ","BEST_FPERIOD_OVERRIDE=FQ","FILING_STATUS=MR","Sort=A","Dates=H","DateFormat=P","Fill=—","Direction=H","UseDPDF=Y")</f>
        <v>#N/A Requesting Data...</v>
      </c>
      <c r="Y10" s="21" t="str">
        <f>_xll.BDH("AAPL US Equity","COM_EQY_TO_TOT_ASSET","FQ1 2017","FQ1 2017","Currency=USD","Period=FQ","BEST_FPERIOD_OVERRIDE=FQ","FILING_STATUS=MR","Sort=A","Dates=H","DateFormat=P","Fill=—","Direction=H","UseDPDF=Y")</f>
        <v>#N/A Requesting Data...</v>
      </c>
      <c r="Z10" s="21" t="str">
        <f>_xll.BDH("AAPL US Equity","COM_EQY_TO_TOT_ASSET","FQ2 2017","FQ2 2017","Currency=USD","Period=FQ","BEST_FPERIOD_OVERRIDE=FQ","FILING_STATUS=MR","Sort=A","Dates=H","DateFormat=P","Fill=—","Direction=H","UseDPDF=Y")</f>
        <v>#N/A Requesting Data...</v>
      </c>
      <c r="AA10" s="21" t="str">
        <f>_xll.BDH("AAPL US Equity","COM_EQY_TO_TOT_ASSET","FQ3 2017","FQ3 2017","Currency=USD","Period=FQ","BEST_FPERIOD_OVERRIDE=FQ","FILING_STATUS=MR","Sort=A","Dates=H","DateFormat=P","Fill=—","Direction=H","UseDPDF=Y")</f>
        <v>#N/A Requesting Data...</v>
      </c>
      <c r="AB10" s="21" t="str">
        <f>_xll.BDH("AAPL US Equity","COM_EQY_TO_TOT_ASSET","FQ4 2017","FQ4 2017","Currency=USD","Period=FQ","BEST_FPERIOD_OVERRIDE=FQ","FILING_STATUS=MR","Sort=A","Dates=H","DateFormat=P","Fill=—","Direction=H","UseDPDF=Y")</f>
        <v>#N/A Requesting Data...</v>
      </c>
      <c r="AC10" s="21">
        <f>_xll.BDH("AAPL US Equity","COM_EQY_TO_TOT_ASSET","FQ1 2018","FQ1 2018","Currency=USD","Period=FQ","BEST_FPERIOD_OVERRIDE=FQ","FILING_STATUS=MR","Sort=A","Dates=H","DateFormat=P","Fill=—","Direction=H","UseDPDF=Y")</f>
        <v>34.464399999999998</v>
      </c>
      <c r="AD10" s="21">
        <f>_xll.BDH("AAPL US Equity","COM_EQY_TO_TOT_ASSET","FQ2 2018","FQ2 2018","Currency=USD","Period=FQ","BEST_FPERIOD_OVERRIDE=FQ","FILING_STATUS=MR","Sort=A","Dates=H","DateFormat=P","Fill=—","Direction=H","UseDPDF=Y")</f>
        <v>34.5244</v>
      </c>
      <c r="AE10" s="21">
        <f>_xll.BDH("AAPL US Equity","COM_EQY_TO_TOT_ASSET","FQ3 2018","FQ3 2018","Currency=USD","Period=FQ","BEST_FPERIOD_OVERRIDE=FQ","FILING_STATUS=MR","Sort=A","Dates=H","DateFormat=P","Fill=—","Direction=H","UseDPDF=Y")</f>
        <v>32.918100000000003</v>
      </c>
      <c r="AF10" s="21">
        <f>_xll.BDH("AAPL US Equity","COM_EQY_TO_TOT_ASSET","FQ4 2018","FQ4 2018","Currency=USD","Period=FQ","BEST_FPERIOD_OVERRIDE=FQ","FILING_STATUS=MR","Sort=A","Dates=H","DateFormat=P","Fill=—","Direction=H","UseDPDF=Y")</f>
        <v>29.2971</v>
      </c>
      <c r="AG10" s="21">
        <f>_xll.BDH("AAPL US Equity","COM_EQY_TO_TOT_ASSET","FQ1 2019","FQ1 2019","Currency=USD","Period=FQ","BEST_FPERIOD_OVERRIDE=FQ","FILING_STATUS=MR","Sort=A","Dates=H","DateFormat=P","Fill=—","Direction=H","UseDPDF=Y")</f>
        <v>31.5456</v>
      </c>
      <c r="AH10" s="21">
        <f>_xll.BDH("AAPL US Equity","COM_EQY_TO_TOT_ASSET","FQ2 2019","FQ2 2019","Currency=USD","Period=FQ","BEST_FPERIOD_OVERRIDE=FQ","FILING_STATUS=MR","Sort=A","Dates=H","DateFormat=P","Fill=—","Direction=H","UseDPDF=Y")</f>
        <v>30.953399999999998</v>
      </c>
      <c r="AI10" s="21" t="str">
        <f>_xll.BDH("AAPL US Equity","COM_EQY_TO_TOT_ASSET","FQ3 2019","FQ3 2019","Currency=USD","Period=FQ","BEST_FPERIOD_OVERRIDE=FQ","FILING_STATUS=MR","Sort=A","Dates=H","DateFormat=P","Fill=—","Direction=H","UseDPDF=Y")</f>
        <v>#N/A Requesting Data...</v>
      </c>
      <c r="AJ10" s="21">
        <f>_xll.BDH("AAPL US Equity","COM_EQY_TO_TOT_ASSET","FQ4 2019","FQ4 2019","Currency=USD","Period=FQ","BEST_FPERIOD_OVERRIDE=FQ","FILING_STATUS=MR","Sort=A","Dates=H","DateFormat=P","Fill=—","Direction=H","UseDPDF=Y")</f>
        <v>26.730799999999999</v>
      </c>
      <c r="AK10" s="21" t="str">
        <f>_xll.BDH("AAPL US Equity","COM_EQY_TO_TOT_ASSET","FQ1 2020","FQ1 2020","Currency=USD","Period=FQ","BEST_FPERIOD_OVERRIDE=FQ","FILING_STATUS=MR","Sort=A","Dates=H","DateFormat=P","Fill=—","Direction=H","UseDPDF=Y")</f>
        <v>#N/A Requesting Data...</v>
      </c>
      <c r="AL10" s="21">
        <f>_xll.BDH("AAPL US Equity","COM_EQY_TO_TOT_ASSET","FQ2 2020","FQ2 2020","Currency=USD","Period=FQ","BEST_FPERIOD_OVERRIDE=FQ","FILING_STATUS=MR","Sort=A","Dates=H","DateFormat=P","Fill=—","Direction=H","UseDPDF=Y")</f>
        <v>24.4772</v>
      </c>
      <c r="AM10" s="21" t="str">
        <f>_xll.BDH("AAPL US Equity","COM_EQY_TO_TOT_ASSET","FQ3 2020","FQ3 2020","Currency=USD","Period=FQ","BEST_FPERIOD_OVERRIDE=FQ","FILING_STATUS=MR","Sort=A","Dates=H","DateFormat=P","Fill=—","Direction=H","UseDPDF=Y")</f>
        <v>#N/A Requesting Data...</v>
      </c>
      <c r="AN10" s="21" t="str">
        <f>_xll.BDH("AAPL US Equity","COM_EQY_TO_TOT_ASSET","FQ4 2020","FQ4 2020","Currency=USD","Period=FQ","BEST_FPERIOD_OVERRIDE=FQ","FILING_STATUS=MR","Sort=A","Dates=H","DateFormat=P","Fill=—","Direction=H","UseDPDF=Y")</f>
        <v>#N/A Requesting Data...</v>
      </c>
      <c r="AO10" s="21">
        <f>_xll.BDH("AAPL US Equity","COM_EQY_TO_TOT_ASSET","FQ1 2021","FQ1 2021","Currency=USD","Period=FQ","BEST_FPERIOD_OVERRIDE=FQ","FILING_STATUS=MR","Sort=A","Dates=H","DateFormat=P","Fill=—","Direction=H","UseDPDF=Y")</f>
        <v>18.704499999999999</v>
      </c>
      <c r="AP10" s="21">
        <f>_xll.BDH("AAPL US Equity","COM_EQY_TO_TOT_ASSET","FQ2 2021","FQ2 2021","Currency=USD","Period=FQ","BEST_FPERIOD_OVERRIDE=FQ","FILING_STATUS=MR","Sort=A","Dates=H","DateFormat=P","Fill=—","Direction=H","UseDPDF=Y")</f>
        <v>20.518000000000001</v>
      </c>
    </row>
    <row r="11" spans="1:42" x14ac:dyDescent="0.25">
      <c r="A11" s="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8" t="s">
        <v>183</v>
      </c>
      <c r="B12" s="8" t="s">
        <v>182</v>
      </c>
      <c r="C12" s="21">
        <f>_xll.BDH("AAPL US Equity","LT_DEBT_TO_TOT_EQY","FQ3 2011","FQ3 2011","Currency=USD","Period=FQ","BEST_FPERIOD_OVERRIDE=FQ","FILING_STATUS=MR","Sort=A","Dates=H","DateFormat=P","Fill=—","Direction=H","UseDPDF=Y")</f>
        <v>0</v>
      </c>
      <c r="D12" s="21">
        <f>_xll.BDH("AAPL US Equity","LT_DEBT_TO_TOT_EQY","FQ4 2011","FQ4 2011","Currency=USD","Period=FQ","BEST_FPERIOD_OVERRIDE=FQ","FILING_STATUS=MR","Sort=A","Dates=H","DateFormat=P","Fill=—","Direction=H","UseDPDF=Y")</f>
        <v>0</v>
      </c>
      <c r="E12" s="21">
        <f>_xll.BDH("AAPL US Equity","LT_DEBT_TO_TOT_EQY","FQ1 2012","FQ1 2012","Currency=USD","Period=FQ","BEST_FPERIOD_OVERRIDE=FQ","FILING_STATUS=MR","Sort=A","Dates=H","DateFormat=P","Fill=—","Direction=H","UseDPDF=Y")</f>
        <v>0</v>
      </c>
      <c r="F12" s="21">
        <f>_xll.BDH("AAPL US Equity","LT_DEBT_TO_TOT_EQY","FQ2 2012","FQ2 2012","Currency=USD","Period=FQ","BEST_FPERIOD_OVERRIDE=FQ","FILING_STATUS=MR","Sort=A","Dates=H","DateFormat=P","Fill=—","Direction=H","UseDPDF=Y")</f>
        <v>0</v>
      </c>
      <c r="G12" s="21" t="str">
        <f>_xll.BDH("AAPL US Equity","LT_DEBT_TO_TOT_EQY","FQ3 2012","FQ3 2012","Currency=USD","Period=FQ","BEST_FPERIOD_OVERRIDE=FQ","FILING_STATUS=MR","Sort=A","Dates=H","DateFormat=P","Fill=—","Direction=H","UseDPDF=Y")</f>
        <v>#N/A Requesting Data...</v>
      </c>
      <c r="H12" s="21">
        <f>_xll.BDH("AAPL US Equity","LT_DEBT_TO_TOT_EQY","FQ4 2012","FQ4 2012","Currency=USD","Period=FQ","BEST_FPERIOD_OVERRIDE=FQ","FILING_STATUS=MR","Sort=A","Dates=H","DateFormat=P","Fill=—","Direction=H","UseDPDF=Y")</f>
        <v>0</v>
      </c>
      <c r="I12" s="21">
        <f>_xll.BDH("AAPL US Equity","LT_DEBT_TO_TOT_EQY","FQ1 2013","FQ1 2013","Currency=USD","Period=FQ","BEST_FPERIOD_OVERRIDE=FQ","FILING_STATUS=MR","Sort=A","Dates=H","DateFormat=P","Fill=—","Direction=H","UseDPDF=Y")</f>
        <v>0</v>
      </c>
      <c r="J12" s="21">
        <f>_xll.BDH("AAPL US Equity","LT_DEBT_TO_TOT_EQY","FQ2 2013","FQ2 2013","Currency=USD","Period=FQ","BEST_FPERIOD_OVERRIDE=FQ","FILING_STATUS=MR","Sort=A","Dates=H","DateFormat=P","Fill=—","Direction=H","UseDPDF=Y")</f>
        <v>0</v>
      </c>
      <c r="K12" s="21">
        <f>_xll.BDH("AAPL US Equity","LT_DEBT_TO_TOT_EQY","FQ3 2013","FQ3 2013","Currency=USD","Period=FQ","BEST_FPERIOD_OVERRIDE=FQ","FILING_STATUS=MR","Sort=A","Dates=H","DateFormat=P","Fill=—","Direction=H","UseDPDF=Y")</f>
        <v>13.747400000000001</v>
      </c>
      <c r="L12" s="21" t="str">
        <f>_xll.BDH("AAPL US Equity","LT_DEBT_TO_TOT_EQY","FQ4 2013","FQ4 2013","Currency=USD","Period=FQ","BEST_FPERIOD_OVERRIDE=FQ","FILING_STATUS=MR","Sort=A","Dates=H","DateFormat=P","Fill=—","Direction=H","UseDPDF=Y")</f>
        <v>#N/A Requesting Data...</v>
      </c>
      <c r="M12" s="21">
        <f>_xll.BDH("AAPL US Equity","LT_DEBT_TO_TOT_EQY","FQ1 2014","FQ1 2014","Currency=USD","Period=FQ","BEST_FPERIOD_OVERRIDE=FQ","FILING_STATUS=MR","Sort=A","Dates=H","DateFormat=P","Fill=—","Direction=H","UseDPDF=Y")</f>
        <v>13.0787</v>
      </c>
      <c r="N12" s="21">
        <f>_xll.BDH("AAPL US Equity","LT_DEBT_TO_TOT_EQY","FQ2 2014","FQ2 2014","Currency=USD","Period=FQ","BEST_FPERIOD_OVERRIDE=FQ","FILING_STATUS=MR","Sort=A","Dates=H","DateFormat=P","Fill=—","Direction=H","UseDPDF=Y")</f>
        <v>14.113899999999999</v>
      </c>
      <c r="O12" s="21">
        <f>_xll.BDH("AAPL US Equity","LT_DEBT_TO_TOT_EQY","FQ3 2014","FQ3 2014","Currency=USD","Period=FQ","BEST_FPERIOD_OVERRIDE=FQ","FILING_STATUS=MR","Sort=A","Dates=H","DateFormat=P","Fill=—","Direction=H","UseDPDF=Y")</f>
        <v>24.003599999999999</v>
      </c>
      <c r="P12" s="21">
        <f>_xll.BDH("AAPL US Equity","LT_DEBT_TO_TOT_EQY","FQ4 2014","FQ4 2014","Currency=USD","Period=FQ","BEST_FPERIOD_OVERRIDE=FQ","FILING_STATUS=MR","Sort=A","Dates=H","DateFormat=P","Fill=—","Direction=H","UseDPDF=Y")</f>
        <v>25.9864</v>
      </c>
      <c r="Q12" s="21">
        <f>_xll.BDH("AAPL US Equity","LT_DEBT_TO_TOT_EQY","FQ1 2015","FQ1 2015","Currency=USD","Period=FQ","BEST_FPERIOD_OVERRIDE=FQ","FILING_STATUS=MR","Sort=A","Dates=H","DateFormat=P","Fill=—","Direction=H","UseDPDF=Y")</f>
        <v>26.355699999999999</v>
      </c>
      <c r="R12" s="21">
        <f>_xll.BDH("AAPL US Equity","LT_DEBT_TO_TOT_EQY","FQ2 2015","FQ2 2015","Currency=USD","Period=FQ","BEST_FPERIOD_OVERRIDE=FQ","FILING_STATUS=MR","Sort=A","Dates=H","DateFormat=P","Fill=—","Direction=H","UseDPDF=Y")</f>
        <v>31.062100000000001</v>
      </c>
      <c r="S12" s="21" t="str">
        <f>_xll.BDH("AAPL US Equity","LT_DEBT_TO_TOT_EQY","FQ3 2015","FQ3 2015","Currency=USD","Period=FQ","BEST_FPERIOD_OVERRIDE=FQ","FILING_STATUS=MR","Sort=A","Dates=H","DateFormat=P","Fill=—","Direction=H","UseDPDF=Y")</f>
        <v>#N/A Requesting Data...</v>
      </c>
      <c r="T12" s="21">
        <f>_xll.BDH("AAPL US Equity","LT_DEBT_TO_TOT_EQY","FQ4 2015","FQ4 2015","Currency=USD","Period=FQ","BEST_FPERIOD_OVERRIDE=FQ","FILING_STATUS=MR","Sort=A","Dates=H","DateFormat=P","Fill=—","Direction=H","UseDPDF=Y")</f>
        <v>44.680999999999997</v>
      </c>
      <c r="U12" s="21">
        <f>_xll.BDH("AAPL US Equity","LT_DEBT_TO_TOT_EQY","FQ1 2016","FQ1 2016","Currency=USD","Period=FQ","BEST_FPERIOD_OVERRIDE=FQ","FILING_STATUS=MR","Sort=A","Dates=H","DateFormat=P","Fill=—","Direction=H","UseDPDF=Y")</f>
        <v>41.479100000000003</v>
      </c>
      <c r="V12" s="21">
        <f>_xll.BDH("AAPL US Equity","LT_DEBT_TO_TOT_EQY","FQ2 2016","FQ2 2016","Currency=USD","Period=FQ","BEST_FPERIOD_OVERRIDE=FQ","FILING_STATUS=MR","Sort=A","Dates=H","DateFormat=P","Fill=—","Direction=H","UseDPDF=Y")</f>
        <v>53.177700000000002</v>
      </c>
      <c r="W12" s="21">
        <f>_xll.BDH("AAPL US Equity","LT_DEBT_TO_TOT_EQY","FQ3 2016","FQ3 2016","Currency=USD","Period=FQ","BEST_FPERIOD_OVERRIDE=FQ","FILING_STATUS=MR","Sort=A","Dates=H","DateFormat=P","Fill=—","Direction=H","UseDPDF=Y")</f>
        <v>54.479599999999998</v>
      </c>
      <c r="X12" s="21" t="str">
        <f>_xll.BDH("AAPL US Equity","LT_DEBT_TO_TOT_EQY","FQ4 2016","FQ4 2016","Currency=USD","Period=FQ","BEST_FPERIOD_OVERRIDE=FQ","FILING_STATUS=MR","Sort=A","Dates=H","DateFormat=P","Fill=—","Direction=H","UseDPDF=Y")</f>
        <v>#N/A Requesting Data...</v>
      </c>
      <c r="Y12" s="21">
        <f>_xll.BDH("AAPL US Equity","LT_DEBT_TO_TOT_EQY","FQ1 2017","FQ1 2017","Currency=USD","Period=FQ","BEST_FPERIOD_OVERRIDE=FQ","FILING_STATUS=MR","Sort=A","Dates=H","DateFormat=P","Fill=—","Direction=H","UseDPDF=Y")</f>
        <v>55.5608</v>
      </c>
      <c r="Z12" s="21">
        <f>_xll.BDH("AAPL US Equity","LT_DEBT_TO_TOT_EQY","FQ2 2017","FQ2 2017","Currency=USD","Period=FQ","BEST_FPERIOD_OVERRIDE=FQ","FILING_STATUS=MR","Sort=A","Dates=H","DateFormat=P","Fill=—","Direction=H","UseDPDF=Y")</f>
        <v>63.0443</v>
      </c>
      <c r="AA12" s="21">
        <f>_xll.BDH("AAPL US Equity","LT_DEBT_TO_TOT_EQY","FQ3 2017","FQ3 2017","Currency=USD","Period=FQ","BEST_FPERIOD_OVERRIDE=FQ","FILING_STATUS=MR","Sort=A","Dates=H","DateFormat=P","Fill=—","Direction=H","UseDPDF=Y")</f>
        <v>67.860299999999995</v>
      </c>
      <c r="AB12" s="21">
        <f>_xll.BDH("AAPL US Equity","LT_DEBT_TO_TOT_EQY","FQ4 2017","FQ4 2017","Currency=USD","Period=FQ","BEST_FPERIOD_OVERRIDE=FQ","FILING_STATUS=MR","Sort=A","Dates=H","DateFormat=P","Fill=—","Direction=H","UseDPDF=Y")</f>
        <v>72.517099999999999</v>
      </c>
      <c r="AC12" s="21">
        <f>_xll.BDH("AAPL US Equity","LT_DEBT_TO_TOT_EQY","FQ1 2018","FQ1 2018","Currency=USD","Period=FQ","BEST_FPERIOD_OVERRIDE=FQ","FILING_STATUS=MR","Sort=A","Dates=H","DateFormat=P","Fill=—","Direction=H","UseDPDF=Y")</f>
        <v>74.124600000000001</v>
      </c>
      <c r="AD12" s="21">
        <f>_xll.BDH("AAPL US Equity","LT_DEBT_TO_TOT_EQY","FQ2 2018","FQ2 2018","Currency=USD","Period=FQ","BEST_FPERIOD_OVERRIDE=FQ","FILING_STATUS=MR","Sort=A","Dates=H","DateFormat=P","Fill=—","Direction=H","UseDPDF=Y")</f>
        <v>79.889300000000006</v>
      </c>
      <c r="AE12" s="21">
        <f>_xll.BDH("AAPL US Equity","LT_DEBT_TO_TOT_EQY","FQ3 2018","FQ3 2018","Currency=USD","Period=FQ","BEST_FPERIOD_OVERRIDE=FQ","FILING_STATUS=MR","Sort=A","Dates=H","DateFormat=P","Fill=—","Direction=H","UseDPDF=Y")</f>
        <v>84.496600000000001</v>
      </c>
      <c r="AF12" s="21">
        <f>_xll.BDH("AAPL US Equity","LT_DEBT_TO_TOT_EQY","FQ4 2018","FQ4 2018","Currency=USD","Period=FQ","BEST_FPERIOD_OVERRIDE=FQ","FILING_STATUS=MR","Sort=A","Dates=H","DateFormat=P","Fill=—","Direction=H","UseDPDF=Y")</f>
        <v>87.482600000000005</v>
      </c>
      <c r="AG12" s="21">
        <f>_xll.BDH("AAPL US Equity","LT_DEBT_TO_TOT_EQY","FQ1 2019","FQ1 2019","Currency=USD","Period=FQ","BEST_FPERIOD_OVERRIDE=FQ","FILING_STATUS=MR","Sort=A","Dates=H","DateFormat=P","Fill=—","Direction=H","UseDPDF=Y")</f>
        <v>78.876400000000004</v>
      </c>
      <c r="AH12" s="21" t="str">
        <f>_xll.BDH("AAPL US Equity","LT_DEBT_TO_TOT_EQY","FQ2 2019","FQ2 2019","Currency=USD","Period=FQ","BEST_FPERIOD_OVERRIDE=FQ","FILING_STATUS=MR","Sort=A","Dates=H","DateFormat=P","Fill=—","Direction=H","UseDPDF=Y")</f>
        <v>#N/A Requesting Data...</v>
      </c>
      <c r="AI12" s="21" t="str">
        <f>_xll.BDH("AAPL US Equity","LT_DEBT_TO_TOT_EQY","FQ3 2019","FQ3 2019","Currency=USD","Period=FQ","BEST_FPERIOD_OVERRIDE=FQ","FILING_STATUS=MR","Sort=A","Dates=H","DateFormat=P","Fill=—","Direction=H","UseDPDF=Y")</f>
        <v>#N/A Requesting Data...</v>
      </c>
      <c r="AJ12" s="21">
        <f>_xll.BDH("AAPL US Equity","LT_DEBT_TO_TOT_EQY","FQ4 2019","FQ4 2019","Currency=USD","Period=FQ","BEST_FPERIOD_OVERRIDE=FQ","FILING_STATUS=MR","Sort=A","Dates=H","DateFormat=P","Fill=—","Direction=H","UseDPDF=Y")</f>
        <v>101.4577</v>
      </c>
      <c r="AK12" s="21">
        <f>_xll.BDH("AAPL US Equity","LT_DEBT_TO_TOT_EQY","FQ1 2020","FQ1 2020","Currency=USD","Period=FQ","BEST_FPERIOD_OVERRIDE=FQ","FILING_STATUS=MR","Sort=A","Dates=H","DateFormat=P","Fill=—","Direction=H","UseDPDF=Y")</f>
        <v>112.00369999999999</v>
      </c>
      <c r="AL12" s="21">
        <f>_xll.BDH("AAPL US Equity","LT_DEBT_TO_TOT_EQY","FQ2 2020","FQ2 2020","Currency=USD","Period=FQ","BEST_FPERIOD_OVERRIDE=FQ","FILING_STATUS=MR","Sort=A","Dates=H","DateFormat=P","Fill=—","Direction=H","UseDPDF=Y")</f>
        <v>123.85850000000001</v>
      </c>
      <c r="AM12" s="21">
        <f>_xll.BDH("AAPL US Equity","LT_DEBT_TO_TOT_EQY","FQ3 2020","FQ3 2020","Currency=USD","Period=FQ","BEST_FPERIOD_OVERRIDE=FQ","FILING_STATUS=MR","Sort=A","Dates=H","DateFormat=P","Fill=—","Direction=H","UseDPDF=Y")</f>
        <v>141.3049</v>
      </c>
      <c r="AN12" s="21">
        <f>_xll.BDH("AAPL US Equity","LT_DEBT_TO_TOT_EQY","FQ4 2020","FQ4 2020","Currency=USD","Period=FQ","BEST_FPERIOD_OVERRIDE=FQ","FILING_STATUS=MR","Sort=A","Dates=H","DateFormat=P","Fill=—","Direction=H","UseDPDF=Y")</f>
        <v>163.83629999999999</v>
      </c>
      <c r="AO12" s="21">
        <f>_xll.BDH("AAPL US Equity","LT_DEBT_TO_TOT_EQY","FQ1 2021","FQ1 2021","Currency=USD","Period=FQ","BEST_FPERIOD_OVERRIDE=FQ","FILING_STATUS=MR","Sort=A","Dates=H","DateFormat=P","Fill=—","Direction=H","UseDPDF=Y")</f>
        <v>149.9169</v>
      </c>
      <c r="AP12" s="21">
        <f>_xll.BDH("AAPL US Equity","LT_DEBT_TO_TOT_EQY","FQ2 2021","FQ2 2021","Currency=USD","Period=FQ","BEST_FPERIOD_OVERRIDE=FQ","FILING_STATUS=MR","Sort=A","Dates=H","DateFormat=P","Fill=—","Direction=H","UseDPDF=Y")</f>
        <v>157.047</v>
      </c>
    </row>
    <row r="13" spans="1:42" x14ac:dyDescent="0.25">
      <c r="A13" s="8" t="s">
        <v>181</v>
      </c>
      <c r="B13" s="8" t="s">
        <v>180</v>
      </c>
      <c r="C13" s="21" t="str">
        <f>_xll.BDH("AAPL US Equity","LT_DEBT_TO_TOT_CAP","FQ3 2011","FQ3 2011","Currency=USD","Period=FQ","BEST_FPERIOD_OVERRIDE=FQ","FILING_STATUS=MR","Sort=A","Dates=H","DateFormat=P","Fill=—","Direction=H","UseDPDF=Y")</f>
        <v>#N/A Requesting Data...</v>
      </c>
      <c r="D13" s="21">
        <f>_xll.BDH("AAPL US Equity","LT_DEBT_TO_TOT_CAP","FQ4 2011","FQ4 2011","Currency=USD","Period=FQ","BEST_FPERIOD_OVERRIDE=FQ","FILING_STATUS=MR","Sort=A","Dates=H","DateFormat=P","Fill=—","Direction=H","UseDPDF=Y")</f>
        <v>0</v>
      </c>
      <c r="E13" s="21">
        <f>_xll.BDH("AAPL US Equity","LT_DEBT_TO_TOT_CAP","FQ1 2012","FQ1 2012","Currency=USD","Period=FQ","BEST_FPERIOD_OVERRIDE=FQ","FILING_STATUS=MR","Sort=A","Dates=H","DateFormat=P","Fill=—","Direction=H","UseDPDF=Y")</f>
        <v>0</v>
      </c>
      <c r="F13" s="21">
        <f>_xll.BDH("AAPL US Equity","LT_DEBT_TO_TOT_CAP","FQ2 2012","FQ2 2012","Currency=USD","Period=FQ","BEST_FPERIOD_OVERRIDE=FQ","FILING_STATUS=MR","Sort=A","Dates=H","DateFormat=P","Fill=—","Direction=H","UseDPDF=Y")</f>
        <v>0</v>
      </c>
      <c r="G13" s="21">
        <f>_xll.BDH("AAPL US Equity","LT_DEBT_TO_TOT_CAP","FQ3 2012","FQ3 2012","Currency=USD","Period=FQ","BEST_FPERIOD_OVERRIDE=FQ","FILING_STATUS=MR","Sort=A","Dates=H","DateFormat=P","Fill=—","Direction=H","UseDPDF=Y")</f>
        <v>0</v>
      </c>
      <c r="H13" s="21" t="str">
        <f>_xll.BDH("AAPL US Equity","LT_DEBT_TO_TOT_CAP","FQ4 2012","FQ4 2012","Currency=USD","Period=FQ","BEST_FPERIOD_OVERRIDE=FQ","FILING_STATUS=MR","Sort=A","Dates=H","DateFormat=P","Fill=—","Direction=H","UseDPDF=Y")</f>
        <v>#N/A Requesting Data...</v>
      </c>
      <c r="I13" s="21">
        <f>_xll.BDH("AAPL US Equity","LT_DEBT_TO_TOT_CAP","FQ1 2013","FQ1 2013","Currency=USD","Period=FQ","BEST_FPERIOD_OVERRIDE=FQ","FILING_STATUS=MR","Sort=A","Dates=H","DateFormat=P","Fill=—","Direction=H","UseDPDF=Y")</f>
        <v>0</v>
      </c>
      <c r="J13" s="21">
        <f>_xll.BDH("AAPL US Equity","LT_DEBT_TO_TOT_CAP","FQ2 2013","FQ2 2013","Currency=USD","Period=FQ","BEST_FPERIOD_OVERRIDE=FQ","FILING_STATUS=MR","Sort=A","Dates=H","DateFormat=P","Fill=—","Direction=H","UseDPDF=Y")</f>
        <v>0</v>
      </c>
      <c r="K13" s="21">
        <f>_xll.BDH("AAPL US Equity","LT_DEBT_TO_TOT_CAP","FQ3 2013","FQ3 2013","Currency=USD","Period=FQ","BEST_FPERIOD_OVERRIDE=FQ","FILING_STATUS=MR","Sort=A","Dates=H","DateFormat=P","Fill=—","Direction=H","UseDPDF=Y")</f>
        <v>12.085900000000001</v>
      </c>
      <c r="L13" s="21">
        <f>_xll.BDH("AAPL US Equity","LT_DEBT_TO_TOT_CAP","FQ4 2013","FQ4 2013","Currency=USD","Period=FQ","BEST_FPERIOD_OVERRIDE=FQ","FILING_STATUS=MR","Sort=A","Dates=H","DateFormat=P","Fill=—","Direction=H","UseDPDF=Y")</f>
        <v>12.070399999999999</v>
      </c>
      <c r="M13" s="21">
        <f>_xll.BDH("AAPL US Equity","LT_DEBT_TO_TOT_CAP","FQ1 2014","FQ1 2014","Currency=USD","Period=FQ","BEST_FPERIOD_OVERRIDE=FQ","FILING_STATUS=MR","Sort=A","Dates=H","DateFormat=P","Fill=—","Direction=H","UseDPDF=Y")</f>
        <v>11.566000000000001</v>
      </c>
      <c r="N13" s="21">
        <f>_xll.BDH("AAPL US Equity","LT_DEBT_TO_TOT_CAP","FQ2 2014","FQ2 2014","Currency=USD","Period=FQ","BEST_FPERIOD_OVERRIDE=FQ","FILING_STATUS=MR","Sort=A","Dates=H","DateFormat=P","Fill=—","Direction=H","UseDPDF=Y")</f>
        <v>12.3683</v>
      </c>
      <c r="O13" s="21" t="str">
        <f>_xll.BDH("AAPL US Equity","LT_DEBT_TO_TOT_CAP","FQ3 2014","FQ3 2014","Currency=USD","Period=FQ","BEST_FPERIOD_OVERRIDE=FQ","FILING_STATUS=MR","Sort=A","Dates=H","DateFormat=P","Fill=—","Direction=H","UseDPDF=Y")</f>
        <v>#N/A Requesting Data...</v>
      </c>
      <c r="P13" s="21">
        <f>_xll.BDH("AAPL US Equity","LT_DEBT_TO_TOT_CAP","FQ4 2014","FQ4 2014","Currency=USD","Period=FQ","BEST_FPERIOD_OVERRIDE=FQ","FILING_STATUS=MR","Sort=A","Dates=H","DateFormat=P","Fill=—","Direction=H","UseDPDF=Y")</f>
        <v>19.740300000000001</v>
      </c>
      <c r="Q13" s="21">
        <f>_xll.BDH("AAPL US Equity","LT_DEBT_TO_TOT_CAP","FQ1 2015","FQ1 2015","Currency=USD","Period=FQ","BEST_FPERIOD_OVERRIDE=FQ","FILING_STATUS=MR","Sort=A","Dates=H","DateFormat=P","Fill=—","Direction=H","UseDPDF=Y")</f>
        <v>20.3492</v>
      </c>
      <c r="R13" s="21" t="str">
        <f>_xll.BDH("AAPL US Equity","LT_DEBT_TO_TOT_CAP","FQ2 2015","FQ2 2015","Currency=USD","Period=FQ","BEST_FPERIOD_OVERRIDE=FQ","FILING_STATUS=MR","Sort=A","Dates=H","DateFormat=P","Fill=—","Direction=H","UseDPDF=Y")</f>
        <v>#N/A Requesting Data...</v>
      </c>
      <c r="S13" s="21" t="str">
        <f>_xll.BDH("AAPL US Equity","LT_DEBT_TO_TOT_CAP","FQ3 2015","FQ3 2015","Currency=USD","Period=FQ","BEST_FPERIOD_OVERRIDE=FQ","FILING_STATUS=MR","Sort=A","Dates=H","DateFormat=P","Fill=—","Direction=H","UseDPDF=Y")</f>
        <v>#N/A Requesting Data...</v>
      </c>
      <c r="T13" s="21" t="str">
        <f>_xll.BDH("AAPL US Equity","LT_DEBT_TO_TOT_CAP","FQ4 2015","FQ4 2015","Currency=USD","Period=FQ","BEST_FPERIOD_OVERRIDE=FQ","FILING_STATUS=MR","Sort=A","Dates=H","DateFormat=P","Fill=—","Direction=H","UseDPDF=Y")</f>
        <v>#N/A Requesting Data...</v>
      </c>
      <c r="U13" s="21">
        <f>_xll.BDH("AAPL US Equity","LT_DEBT_TO_TOT_CAP","FQ1 2016","FQ1 2016","Currency=USD","Period=FQ","BEST_FPERIOD_OVERRIDE=FQ","FILING_STATUS=MR","Sort=A","Dates=H","DateFormat=P","Fill=—","Direction=H","UseDPDF=Y")</f>
        <v>27.821999999999999</v>
      </c>
      <c r="V13" s="21">
        <f>_xll.BDH("AAPL US Equity","LT_DEBT_TO_TOT_CAP","FQ2 2016","FQ2 2016","Currency=USD","Period=FQ","BEST_FPERIOD_OVERRIDE=FQ","FILING_STATUS=MR","Sort=A","Dates=H","DateFormat=P","Fill=—","Direction=H","UseDPDF=Y")</f>
        <v>32.983600000000003</v>
      </c>
      <c r="W13" s="21">
        <f>_xll.BDH("AAPL US Equity","LT_DEBT_TO_TOT_CAP","FQ3 2016","FQ3 2016","Currency=USD","Period=FQ","BEST_FPERIOD_OVERRIDE=FQ","FILING_STATUS=MR","Sort=A","Dates=H","DateFormat=P","Fill=—","Direction=H","UseDPDF=Y")</f>
        <v>32.598999999999997</v>
      </c>
      <c r="X13" s="21">
        <f>_xll.BDH("AAPL US Equity","LT_DEBT_TO_TOT_CAP","FQ4 2016","FQ4 2016","Currency=USD","Period=FQ","BEST_FPERIOD_OVERRIDE=FQ","FILING_STATUS=MR","Sort=A","Dates=H","DateFormat=P","Fill=—","Direction=H","UseDPDF=Y")</f>
        <v>35.036499999999997</v>
      </c>
      <c r="Y13" s="21">
        <f>_xll.BDH("AAPL US Equity","LT_DEBT_TO_TOT_CAP","FQ1 2017","FQ1 2017","Currency=USD","Period=FQ","BEST_FPERIOD_OVERRIDE=FQ","FILING_STATUS=MR","Sort=A","Dates=H","DateFormat=P","Fill=—","Direction=H","UseDPDF=Y")</f>
        <v>33.444299999999998</v>
      </c>
      <c r="Z13" s="21">
        <f>_xll.BDH("AAPL US Equity","LT_DEBT_TO_TOT_CAP","FQ2 2017","FQ2 2017","Currency=USD","Period=FQ","BEST_FPERIOD_OVERRIDE=FQ","FILING_STATUS=MR","Sort=A","Dates=H","DateFormat=P","Fill=—","Direction=H","UseDPDF=Y")</f>
        <v>36.341200000000001</v>
      </c>
      <c r="AA13" s="21" t="str">
        <f>_xll.BDH("AAPL US Equity","LT_DEBT_TO_TOT_CAP","FQ3 2017","FQ3 2017","Currency=USD","Period=FQ","BEST_FPERIOD_OVERRIDE=FQ","FILING_STATUS=MR","Sort=A","Dates=H","DateFormat=P","Fill=—","Direction=H","UseDPDF=Y")</f>
        <v>#N/A Requesting Data...</v>
      </c>
      <c r="AB13" s="21">
        <f>_xll.BDH("AAPL US Equity","LT_DEBT_TO_TOT_CAP","FQ4 2017","FQ4 2017","Currency=USD","Period=FQ","BEST_FPERIOD_OVERRIDE=FQ","FILING_STATUS=MR","Sort=A","Dates=H","DateFormat=P","Fill=—","Direction=H","UseDPDF=Y")</f>
        <v>38.9253</v>
      </c>
      <c r="AC13" s="21" t="str">
        <f>_xll.BDH("AAPL US Equity","LT_DEBT_TO_TOT_CAP","FQ1 2018","FQ1 2018","Currency=USD","Period=FQ","BEST_FPERIOD_OVERRIDE=FQ","FILING_STATUS=MR","Sort=A","Dates=H","DateFormat=P","Fill=—","Direction=H","UseDPDF=Y")</f>
        <v>#N/A Requesting Data...</v>
      </c>
      <c r="AD13" s="21">
        <f>_xll.BDH("AAPL US Equity","LT_DEBT_TO_TOT_CAP","FQ2 2018","FQ2 2018","Currency=USD","Period=FQ","BEST_FPERIOD_OVERRIDE=FQ","FILING_STATUS=MR","Sort=A","Dates=H","DateFormat=P","Fill=—","Direction=H","UseDPDF=Y")</f>
        <v>40.753799999999998</v>
      </c>
      <c r="AE13" s="21" t="str">
        <f>_xll.BDH("AAPL US Equity","LT_DEBT_TO_TOT_CAP","FQ3 2018","FQ3 2018","Currency=USD","Period=FQ","BEST_FPERIOD_OVERRIDE=FQ","FILING_STATUS=MR","Sort=A","Dates=H","DateFormat=P","Fill=—","Direction=H","UseDPDF=Y")</f>
        <v>#N/A Requesting Data...</v>
      </c>
      <c r="AF13" s="21">
        <f>_xll.BDH("AAPL US Equity","LT_DEBT_TO_TOT_CAP","FQ4 2018","FQ4 2018","Currency=USD","Period=FQ","BEST_FPERIOD_OVERRIDE=FQ","FILING_STATUS=MR","Sort=A","Dates=H","DateFormat=P","Fill=—","Direction=H","UseDPDF=Y")</f>
        <v>42.293500000000002</v>
      </c>
      <c r="AG13" s="21">
        <f>_xll.BDH("AAPL US Equity","LT_DEBT_TO_TOT_CAP","FQ1 2019","FQ1 2019","Currency=USD","Period=FQ","BEST_FPERIOD_OVERRIDE=FQ","FILING_STATUS=MR","Sort=A","Dates=H","DateFormat=P","Fill=—","Direction=H","UseDPDF=Y")</f>
        <v>39.974299999999999</v>
      </c>
      <c r="AH13" s="21">
        <f>_xll.BDH("AAPL US Equity","LT_DEBT_TO_TOT_CAP","FQ2 2019","FQ2 2019","Currency=USD","Period=FQ","BEST_FPERIOD_OVERRIDE=FQ","FILING_STATUS=MR","Sort=A","Dates=H","DateFormat=P","Fill=—","Direction=H","UseDPDF=Y")</f>
        <v>41.283799999999999</v>
      </c>
      <c r="AI13" s="21">
        <f>_xll.BDH("AAPL US Equity","LT_DEBT_TO_TOT_CAP","FQ3 2019","FQ3 2019","Currency=USD","Period=FQ","BEST_FPERIOD_OVERRIDE=FQ","FILING_STATUS=MR","Sort=A","Dates=H","DateFormat=P","Fill=—","Direction=H","UseDPDF=Y")</f>
        <v>41.457700000000003</v>
      </c>
      <c r="AJ13" s="21">
        <f>_xll.BDH("AAPL US Equity","LT_DEBT_TO_TOT_CAP","FQ4 2019","FQ4 2019","Currency=USD","Period=FQ","BEST_FPERIOD_OVERRIDE=FQ","FILING_STATUS=MR","Sort=A","Dates=H","DateFormat=P","Fill=—","Direction=H","UseDPDF=Y")</f>
        <v>46.242199999999997</v>
      </c>
      <c r="AK13" s="21">
        <f>_xll.BDH("AAPL US Equity","LT_DEBT_TO_TOT_CAP","FQ1 2020","FQ1 2020","Currency=USD","Period=FQ","BEST_FPERIOD_OVERRIDE=FQ","FILING_STATUS=MR","Sort=A","Dates=H","DateFormat=P","Fill=—","Direction=H","UseDPDF=Y")</f>
        <v>48.612099999999998</v>
      </c>
      <c r="AL13" s="21">
        <f>_xll.BDH("AAPL US Equity","LT_DEBT_TO_TOT_CAP","FQ2 2020","FQ2 2020","Currency=USD","Period=FQ","BEST_FPERIOD_OVERRIDE=FQ","FILING_STATUS=MR","Sort=A","Dates=H","DateFormat=P","Fill=—","Direction=H","UseDPDF=Y")</f>
        <v>49.261099999999999</v>
      </c>
      <c r="AM13" s="21">
        <f>_xll.BDH("AAPL US Equity","LT_DEBT_TO_TOT_CAP","FQ3 2020","FQ3 2020","Currency=USD","Period=FQ","BEST_FPERIOD_OVERRIDE=FQ","FILING_STATUS=MR","Sort=A","Dates=H","DateFormat=P","Fill=—","Direction=H","UseDPDF=Y")</f>
        <v>52.521799999999999</v>
      </c>
      <c r="AN13" s="21">
        <f>_xll.BDH("AAPL US Equity","LT_DEBT_TO_TOT_CAP","FQ4 2020","FQ4 2020","Currency=USD","Period=FQ","BEST_FPERIOD_OVERRIDE=FQ","FILING_STATUS=MR","Sort=A","Dates=H","DateFormat=P","Fill=—","Direction=H","UseDPDF=Y")</f>
        <v>57.057200000000002</v>
      </c>
      <c r="AO13" s="21">
        <f>_xll.BDH("AAPL US Equity","LT_DEBT_TO_TOT_CAP","FQ1 2021","FQ1 2021","Currency=USD","Period=FQ","BEST_FPERIOD_OVERRIDE=FQ","FILING_STATUS=MR","Sort=A","Dates=H","DateFormat=P","Fill=—","Direction=H","UseDPDF=Y")</f>
        <v>55.692300000000003</v>
      </c>
      <c r="AP13" s="21" t="str">
        <f>_xll.BDH("AAPL US Equity","LT_DEBT_TO_TOT_CAP","FQ2 2021","FQ2 2021","Currency=USD","Period=FQ","BEST_FPERIOD_OVERRIDE=FQ","FILING_STATUS=MR","Sort=A","Dates=H","DateFormat=P","Fill=—","Direction=H","UseDPDF=Y")</f>
        <v>#N/A Requesting Data...</v>
      </c>
    </row>
    <row r="14" spans="1:42" x14ac:dyDescent="0.25">
      <c r="A14" s="8" t="s">
        <v>179</v>
      </c>
      <c r="B14" s="8" t="s">
        <v>178</v>
      </c>
      <c r="C14" s="21" t="str">
        <f>_xll.BDH("AAPL US Equity","LT_DEBT_TO_TOT_ASSET","FQ3 2011","FQ3 2011","Currency=USD","Period=FQ","BEST_FPERIOD_OVERRIDE=FQ","FILING_STATUS=MR","Sort=A","Dates=H","DateFormat=P","Fill=—","Direction=H","UseDPDF=Y")</f>
        <v>#N/A Requesting Data...</v>
      </c>
      <c r="D14" s="21" t="str">
        <f>_xll.BDH("AAPL US Equity","LT_DEBT_TO_TOT_ASSET","FQ4 2011","FQ4 2011","Currency=USD","Period=FQ","BEST_FPERIOD_OVERRIDE=FQ","FILING_STATUS=MR","Sort=A","Dates=H","DateFormat=P","Fill=—","Direction=H","UseDPDF=Y")</f>
        <v>#N/A Requesting Data...</v>
      </c>
      <c r="E14" s="21">
        <f>_xll.BDH("AAPL US Equity","LT_DEBT_TO_TOT_ASSET","FQ1 2012","FQ1 2012","Currency=USD","Period=FQ","BEST_FPERIOD_OVERRIDE=FQ","FILING_STATUS=MR","Sort=A","Dates=H","DateFormat=P","Fill=—","Direction=H","UseDPDF=Y")</f>
        <v>0</v>
      </c>
      <c r="F14" s="21">
        <f>_xll.BDH("AAPL US Equity","LT_DEBT_TO_TOT_ASSET","FQ2 2012","FQ2 2012","Currency=USD","Period=FQ","BEST_FPERIOD_OVERRIDE=FQ","FILING_STATUS=MR","Sort=A","Dates=H","DateFormat=P","Fill=—","Direction=H","UseDPDF=Y")</f>
        <v>0</v>
      </c>
      <c r="G14" s="21">
        <f>_xll.BDH("AAPL US Equity","LT_DEBT_TO_TOT_ASSET","FQ3 2012","FQ3 2012","Currency=USD","Period=FQ","BEST_FPERIOD_OVERRIDE=FQ","FILING_STATUS=MR","Sort=A","Dates=H","DateFormat=P","Fill=—","Direction=H","UseDPDF=Y")</f>
        <v>0</v>
      </c>
      <c r="H14" s="21">
        <f>_xll.BDH("AAPL US Equity","LT_DEBT_TO_TOT_ASSET","FQ4 2012","FQ4 2012","Currency=USD","Period=FQ","BEST_FPERIOD_OVERRIDE=FQ","FILING_STATUS=MR","Sort=A","Dates=H","DateFormat=P","Fill=—","Direction=H","UseDPDF=Y")</f>
        <v>0</v>
      </c>
      <c r="I14" s="21">
        <f>_xll.BDH("AAPL US Equity","LT_DEBT_TO_TOT_ASSET","FQ1 2013","FQ1 2013","Currency=USD","Period=FQ","BEST_FPERIOD_OVERRIDE=FQ","FILING_STATUS=MR","Sort=A","Dates=H","DateFormat=P","Fill=—","Direction=H","UseDPDF=Y")</f>
        <v>0</v>
      </c>
      <c r="J14" s="21">
        <f>_xll.BDH("AAPL US Equity","LT_DEBT_TO_TOT_ASSET","FQ2 2013","FQ2 2013","Currency=USD","Period=FQ","BEST_FPERIOD_OVERRIDE=FQ","FILING_STATUS=MR","Sort=A","Dates=H","DateFormat=P","Fill=—","Direction=H","UseDPDF=Y")</f>
        <v>0</v>
      </c>
      <c r="K14" s="21" t="str">
        <f>_xll.BDH("AAPL US Equity","LT_DEBT_TO_TOT_ASSET","FQ3 2013","FQ3 2013","Currency=USD","Period=FQ","BEST_FPERIOD_OVERRIDE=FQ","FILING_STATUS=MR","Sort=A","Dates=H","DateFormat=P","Fill=—","Direction=H","UseDPDF=Y")</f>
        <v>#N/A Requesting Data...</v>
      </c>
      <c r="L14" s="21" t="str">
        <f>_xll.BDH("AAPL US Equity","LT_DEBT_TO_TOT_ASSET","FQ4 2013","FQ4 2013","Currency=USD","Period=FQ","BEST_FPERIOD_OVERRIDE=FQ","FILING_STATUS=MR","Sort=A","Dates=H","DateFormat=P","Fill=—","Direction=H","UseDPDF=Y")</f>
        <v>#N/A Requesting Data...</v>
      </c>
      <c r="M14" s="21">
        <f>_xll.BDH("AAPL US Equity","LT_DEBT_TO_TOT_ASSET","FQ1 2014","FQ1 2014","Currency=USD","Period=FQ","BEST_FPERIOD_OVERRIDE=FQ","FILING_STATUS=MR","Sort=A","Dates=H","DateFormat=P","Fill=—","Direction=H","UseDPDF=Y")</f>
        <v>7.5320999999999998</v>
      </c>
      <c r="N14" s="21">
        <f>_xll.BDH("AAPL US Equity","LT_DEBT_TO_TOT_ASSET","FQ2 2014","FQ2 2014","Currency=USD","Period=FQ","BEST_FPERIOD_OVERRIDE=FQ","FILING_STATUS=MR","Sort=A","Dates=H","DateFormat=P","Fill=—","Direction=H","UseDPDF=Y")</f>
        <v>8.2344000000000008</v>
      </c>
      <c r="O14" s="21" t="str">
        <f>_xll.BDH("AAPL US Equity","LT_DEBT_TO_TOT_ASSET","FQ3 2014","FQ3 2014","Currency=USD","Period=FQ","BEST_FPERIOD_OVERRIDE=FQ","FILING_STATUS=MR","Sort=A","Dates=H","DateFormat=P","Fill=—","Direction=H","UseDPDF=Y")</f>
        <v>#N/A Requesting Data...</v>
      </c>
      <c r="P14" s="21">
        <f>_xll.BDH("AAPL US Equity","LT_DEBT_TO_TOT_ASSET","FQ4 2014","FQ4 2014","Currency=USD","Period=FQ","BEST_FPERIOD_OVERRIDE=FQ","FILING_STATUS=MR","Sort=A","Dates=H","DateFormat=P","Fill=—","Direction=H","UseDPDF=Y")</f>
        <v>12.5031</v>
      </c>
      <c r="Q14" s="21">
        <f>_xll.BDH("AAPL US Equity","LT_DEBT_TO_TOT_ASSET","FQ1 2015","FQ1 2015","Currency=USD","Period=FQ","BEST_FPERIOD_OVERRIDE=FQ","FILING_STATUS=MR","Sort=A","Dates=H","DateFormat=P","Fill=—","Direction=H","UseDPDF=Y")</f>
        <v>12.411099999999999</v>
      </c>
      <c r="R14" s="21">
        <f>_xll.BDH("AAPL US Equity","LT_DEBT_TO_TOT_ASSET","FQ2 2015","FQ2 2015","Currency=USD","Period=FQ","BEST_FPERIOD_OVERRIDE=FQ","FILING_STATUS=MR","Sort=A","Dates=H","DateFormat=P","Fill=—","Direction=H","UseDPDF=Y")</f>
        <v>15.341900000000001</v>
      </c>
      <c r="S14" s="21">
        <f>_xll.BDH("AAPL US Equity","LT_DEBT_TO_TOT_ASSET","FQ3 2015","FQ3 2015","Currency=USD","Period=FQ","BEST_FPERIOD_OVERRIDE=FQ","FILING_STATUS=MR","Sort=A","Dates=H","DateFormat=P","Fill=—","Direction=H","UseDPDF=Y")</f>
        <v>17.36</v>
      </c>
      <c r="T14" s="21">
        <f>_xll.BDH("AAPL US Equity","LT_DEBT_TO_TOT_ASSET","FQ4 2015","FQ4 2015","Currency=USD","Period=FQ","BEST_FPERIOD_OVERRIDE=FQ","FILING_STATUS=MR","Sort=A","Dates=H","DateFormat=P","Fill=—","Direction=H","UseDPDF=Y")</f>
        <v>18.3675</v>
      </c>
      <c r="U14" s="21">
        <f>_xll.BDH("AAPL US Equity","LT_DEBT_TO_TOT_ASSET","FQ1 2016","FQ1 2016","Currency=USD","Period=FQ","BEST_FPERIOD_OVERRIDE=FQ","FILING_STATUS=MR","Sort=A","Dates=H","DateFormat=P","Fill=—","Direction=H","UseDPDF=Y")</f>
        <v>18.140799999999999</v>
      </c>
      <c r="V14" s="21">
        <f>_xll.BDH("AAPL US Equity","LT_DEBT_TO_TOT_ASSET","FQ2 2016","FQ2 2016","Currency=USD","Period=FQ","BEST_FPERIOD_OVERRIDE=FQ","FILING_STATUS=MR","Sort=A","Dates=H","DateFormat=P","Fill=—","Direction=H","UseDPDF=Y")</f>
        <v>22.724900000000002</v>
      </c>
      <c r="W14" s="21" t="str">
        <f>_xll.BDH("AAPL US Equity","LT_DEBT_TO_TOT_ASSET","FQ3 2016","FQ3 2016","Currency=USD","Period=FQ","BEST_FPERIOD_OVERRIDE=FQ","FILING_STATUS=MR","Sort=A","Dates=H","DateFormat=P","Fill=—","Direction=H","UseDPDF=Y")</f>
        <v>#N/A Requesting Data...</v>
      </c>
      <c r="X14" s="21" t="str">
        <f>_xll.BDH("AAPL US Equity","LT_DEBT_TO_TOT_ASSET","FQ4 2016","FQ4 2016","Currency=USD","Period=FQ","BEST_FPERIOD_OVERRIDE=FQ","FILING_STATUS=MR","Sort=A","Dates=H","DateFormat=P","Fill=—","Direction=H","UseDPDF=Y")</f>
        <v>#N/A Requesting Data...</v>
      </c>
      <c r="Y14" s="21">
        <f>_xll.BDH("AAPL US Equity","LT_DEBT_TO_TOT_ASSET","FQ1 2017","FQ1 2017","Currency=USD","Period=FQ","BEST_FPERIOD_OVERRIDE=FQ","FILING_STATUS=MR","Sort=A","Dates=H","DateFormat=P","Fill=—","Direction=H","UseDPDF=Y")</f>
        <v>22.213200000000001</v>
      </c>
      <c r="Z14" s="21">
        <f>_xll.BDH("AAPL US Equity","LT_DEBT_TO_TOT_ASSET","FQ2 2017","FQ2 2017","Currency=USD","Period=FQ","BEST_FPERIOD_OVERRIDE=FQ","FILING_STATUS=MR","Sort=A","Dates=H","DateFormat=P","Fill=—","Direction=H","UseDPDF=Y")</f>
        <v>25.2684</v>
      </c>
      <c r="AA14" s="21" t="str">
        <f>_xll.BDH("AAPL US Equity","LT_DEBT_TO_TOT_ASSET","FQ3 2017","FQ3 2017","Currency=USD","Period=FQ","BEST_FPERIOD_OVERRIDE=FQ","FILING_STATUS=MR","Sort=A","Dates=H","DateFormat=P","Fill=—","Direction=H","UseDPDF=Y")</f>
        <v>#N/A Requesting Data...</v>
      </c>
      <c r="AB14" s="21">
        <f>_xll.BDH("AAPL US Equity","LT_DEBT_TO_TOT_ASSET","FQ4 2017","FQ4 2017","Currency=USD","Period=FQ","BEST_FPERIOD_OVERRIDE=FQ","FILING_STATUS=MR","Sort=A","Dates=H","DateFormat=P","Fill=—","Direction=H","UseDPDF=Y")</f>
        <v>25.899799999999999</v>
      </c>
      <c r="AC14" s="21">
        <f>_xll.BDH("AAPL US Equity","LT_DEBT_TO_TOT_ASSET","FQ1 2018","FQ1 2018","Currency=USD","Period=FQ","BEST_FPERIOD_OVERRIDE=FQ","FILING_STATUS=MR","Sort=A","Dates=H","DateFormat=P","Fill=—","Direction=H","UseDPDF=Y")</f>
        <v>25.546600000000002</v>
      </c>
      <c r="AD14" s="21">
        <f>_xll.BDH("AAPL US Equity","LT_DEBT_TO_TOT_ASSET","FQ2 2018","FQ2 2018","Currency=USD","Period=FQ","BEST_FPERIOD_OVERRIDE=FQ","FILING_STATUS=MR","Sort=A","Dates=H","DateFormat=P","Fill=—","Direction=H","UseDPDF=Y")</f>
        <v>27.581299999999999</v>
      </c>
      <c r="AE14" s="21">
        <f>_xll.BDH("AAPL US Equity","LT_DEBT_TO_TOT_ASSET","FQ3 2018","FQ3 2018","Currency=USD","Period=FQ","BEST_FPERIOD_OVERRIDE=FQ","FILING_STATUS=MR","Sort=A","Dates=H","DateFormat=P","Fill=—","Direction=H","UseDPDF=Y")</f>
        <v>27.814699999999998</v>
      </c>
      <c r="AF14" s="21">
        <f>_xll.BDH("AAPL US Equity","LT_DEBT_TO_TOT_ASSET","FQ4 2018","FQ4 2018","Currency=USD","Period=FQ","BEST_FPERIOD_OVERRIDE=FQ","FILING_STATUS=MR","Sort=A","Dates=H","DateFormat=P","Fill=—","Direction=H","UseDPDF=Y")</f>
        <v>25.629899999999999</v>
      </c>
      <c r="AG14" s="21">
        <f>_xll.BDH("AAPL US Equity","LT_DEBT_TO_TOT_ASSET","FQ1 2019","FQ1 2019","Currency=USD","Period=FQ","BEST_FPERIOD_OVERRIDE=FQ","FILING_STATUS=MR","Sort=A","Dates=H","DateFormat=P","Fill=—","Direction=H","UseDPDF=Y")</f>
        <v>24.882100000000001</v>
      </c>
      <c r="AH14" s="21">
        <f>_xll.BDH("AAPL US Equity","LT_DEBT_TO_TOT_ASSET","FQ2 2019","FQ2 2019","Currency=USD","Period=FQ","BEST_FPERIOD_OVERRIDE=FQ","FILING_STATUS=MR","Sort=A","Dates=H","DateFormat=P","Fill=—","Direction=H","UseDPDF=Y")</f>
        <v>26.374700000000001</v>
      </c>
      <c r="AI14" s="21" t="str">
        <f>_xll.BDH("AAPL US Equity","LT_DEBT_TO_TOT_ASSET","FQ3 2019","FQ3 2019","Currency=USD","Period=FQ","BEST_FPERIOD_OVERRIDE=FQ","FILING_STATUS=MR","Sort=A","Dates=H","DateFormat=P","Fill=—","Direction=H","UseDPDF=Y")</f>
        <v>#N/A Requesting Data...</v>
      </c>
      <c r="AJ14" s="21">
        <f>_xll.BDH("AAPL US Equity","LT_DEBT_TO_TOT_ASSET","FQ4 2019","FQ4 2019","Currency=USD","Period=FQ","BEST_FPERIOD_OVERRIDE=FQ","FILING_STATUS=MR","Sort=A","Dates=H","DateFormat=P","Fill=—","Direction=H","UseDPDF=Y")</f>
        <v>27.1204</v>
      </c>
      <c r="AK14" s="21" t="str">
        <f>_xll.BDH("AAPL US Equity","LT_DEBT_TO_TOT_ASSET","FQ1 2020","FQ1 2020","Currency=USD","Period=FQ","BEST_FPERIOD_OVERRIDE=FQ","FILING_STATUS=MR","Sort=A","Dates=H","DateFormat=P","Fill=—","Direction=H","UseDPDF=Y")</f>
        <v>#N/A Requesting Data...</v>
      </c>
      <c r="AL14" s="21">
        <f>_xll.BDH("AAPL US Equity","LT_DEBT_TO_TOT_ASSET","FQ2 2020","FQ2 2020","Currency=USD","Period=FQ","BEST_FPERIOD_OVERRIDE=FQ","FILING_STATUS=MR","Sort=A","Dates=H","DateFormat=P","Fill=—","Direction=H","UseDPDF=Y")</f>
        <v>30.3171</v>
      </c>
      <c r="AM14" s="21" t="str">
        <f>_xll.BDH("AAPL US Equity","LT_DEBT_TO_TOT_ASSET","FQ3 2020","FQ3 2020","Currency=USD","Period=FQ","BEST_FPERIOD_OVERRIDE=FQ","FILING_STATUS=MR","Sort=A","Dates=H","DateFormat=P","Fill=—","Direction=H","UseDPDF=Y")</f>
        <v>#N/A Requesting Data...</v>
      </c>
      <c r="AN14" s="21">
        <f>_xll.BDH("AAPL US Equity","LT_DEBT_TO_TOT_ASSET","FQ4 2020","FQ4 2020","Currency=USD","Period=FQ","BEST_FPERIOD_OVERRIDE=FQ","FILING_STATUS=MR","Sort=A","Dates=H","DateFormat=P","Fill=—","Direction=H","UseDPDF=Y")</f>
        <v>33.051200000000001</v>
      </c>
      <c r="AO14" s="21">
        <f>_xll.BDH("AAPL US Equity","LT_DEBT_TO_TOT_ASSET","FQ1 2021","FQ1 2021","Currency=USD","Period=FQ","BEST_FPERIOD_OVERRIDE=FQ","FILING_STATUS=MR","Sort=A","Dates=H","DateFormat=P","Fill=—","Direction=H","UseDPDF=Y")</f>
        <v>28.0412</v>
      </c>
      <c r="AP14" s="21">
        <f>_xll.BDH("AAPL US Equity","LT_DEBT_TO_TOT_ASSET","FQ2 2021","FQ2 2021","Currency=USD","Period=FQ","BEST_FPERIOD_OVERRIDE=FQ","FILING_STATUS=MR","Sort=A","Dates=H","DateFormat=P","Fill=—","Direction=H","UseDPDF=Y")</f>
        <v>32.222900000000003</v>
      </c>
    </row>
    <row r="15" spans="1:42" x14ac:dyDescent="0.25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5">
      <c r="A16" s="8" t="s">
        <v>177</v>
      </c>
      <c r="B16" s="8" t="s">
        <v>176</v>
      </c>
      <c r="C16" s="21">
        <f>_xll.BDH("AAPL US Equity","TOT_DEBT_TO_TOT_EQY","FQ3 2011","FQ3 2011","Currency=USD","Period=FQ","BEST_FPERIOD_OVERRIDE=FQ","FILING_STATUS=MR","Sort=A","Dates=H","DateFormat=P","Fill=—","Direction=H","UseDPDF=Y")</f>
        <v>0</v>
      </c>
      <c r="D16" s="21">
        <f>_xll.BDH("AAPL US Equity","TOT_DEBT_TO_TOT_EQY","FQ4 2011","FQ4 2011","Currency=USD","Period=FQ","BEST_FPERIOD_OVERRIDE=FQ","FILING_STATUS=MR","Sort=A","Dates=H","DateFormat=P","Fill=—","Direction=H","UseDPDF=Y")</f>
        <v>0</v>
      </c>
      <c r="E16" s="21">
        <f>_xll.BDH("AAPL US Equity","TOT_DEBT_TO_TOT_EQY","FQ1 2012","FQ1 2012","Currency=USD","Period=FQ","BEST_FPERIOD_OVERRIDE=FQ","FILING_STATUS=MR","Sort=A","Dates=H","DateFormat=P","Fill=—","Direction=H","UseDPDF=Y")</f>
        <v>0</v>
      </c>
      <c r="F16" s="21">
        <f>_xll.BDH("AAPL US Equity","TOT_DEBT_TO_TOT_EQY","FQ2 2012","FQ2 2012","Currency=USD","Period=FQ","BEST_FPERIOD_OVERRIDE=FQ","FILING_STATUS=MR","Sort=A","Dates=H","DateFormat=P","Fill=—","Direction=H","UseDPDF=Y")</f>
        <v>0</v>
      </c>
      <c r="G16" s="21">
        <f>_xll.BDH("AAPL US Equity","TOT_DEBT_TO_TOT_EQY","FQ3 2012","FQ3 2012","Currency=USD","Period=FQ","BEST_FPERIOD_OVERRIDE=FQ","FILING_STATUS=MR","Sort=A","Dates=H","DateFormat=P","Fill=—","Direction=H","UseDPDF=Y")</f>
        <v>0</v>
      </c>
      <c r="H16" s="21" t="str">
        <f>_xll.BDH("AAPL US Equity","TOT_DEBT_TO_TOT_EQY","FQ4 2012","FQ4 2012","Currency=USD","Period=FQ","BEST_FPERIOD_OVERRIDE=FQ","FILING_STATUS=MR","Sort=A","Dates=H","DateFormat=P","Fill=—","Direction=H","UseDPDF=Y")</f>
        <v>#N/A Requesting Data...</v>
      </c>
      <c r="I16" s="21" t="str">
        <f>_xll.BDH("AAPL US Equity","TOT_DEBT_TO_TOT_EQY","FQ1 2013","FQ1 2013","Currency=USD","Period=FQ","BEST_FPERIOD_OVERRIDE=FQ","FILING_STATUS=MR","Sort=A","Dates=H","DateFormat=P","Fill=—","Direction=H","UseDPDF=Y")</f>
        <v>#N/A Requesting Data...</v>
      </c>
      <c r="J16" s="21" t="str">
        <f>_xll.BDH("AAPL US Equity","TOT_DEBT_TO_TOT_EQY","FQ2 2013","FQ2 2013","Currency=USD","Period=FQ","BEST_FPERIOD_OVERRIDE=FQ","FILING_STATUS=MR","Sort=A","Dates=H","DateFormat=P","Fill=—","Direction=H","UseDPDF=Y")</f>
        <v>#N/A Requesting Data...</v>
      </c>
      <c r="K16" s="21">
        <f>_xll.BDH("AAPL US Equity","TOT_DEBT_TO_TOT_EQY","FQ3 2013","FQ3 2013","Currency=USD","Period=FQ","BEST_FPERIOD_OVERRIDE=FQ","FILING_STATUS=MR","Sort=A","Dates=H","DateFormat=P","Fill=—","Direction=H","UseDPDF=Y")</f>
        <v>13.747400000000001</v>
      </c>
      <c r="L16" s="21">
        <f>_xll.BDH("AAPL US Equity","TOT_DEBT_TO_TOT_EQY","FQ4 2013","FQ4 2013","Currency=USD","Period=FQ","BEST_FPERIOD_OVERRIDE=FQ","FILING_STATUS=MR","Sort=A","Dates=H","DateFormat=P","Fill=—","Direction=H","UseDPDF=Y")</f>
        <v>13.7273</v>
      </c>
      <c r="M16" s="21">
        <f>_xll.BDH("AAPL US Equity","TOT_DEBT_TO_TOT_EQY","FQ1 2014","FQ1 2014","Currency=USD","Period=FQ","BEST_FPERIOD_OVERRIDE=FQ","FILING_STATUS=MR","Sort=A","Dates=H","DateFormat=P","Fill=—","Direction=H","UseDPDF=Y")</f>
        <v>13.0787</v>
      </c>
      <c r="N16" s="21">
        <f>_xll.BDH("AAPL US Equity","TOT_DEBT_TO_TOT_EQY","FQ2 2014","FQ2 2014","Currency=USD","Period=FQ","BEST_FPERIOD_OVERRIDE=FQ","FILING_STATUS=MR","Sort=A","Dates=H","DateFormat=P","Fill=—","Direction=H","UseDPDF=Y")</f>
        <v>14.113899999999999</v>
      </c>
      <c r="O16" s="21">
        <f>_xll.BDH("AAPL US Equity","TOT_DEBT_TO_TOT_EQY","FQ3 2014","FQ3 2014","Currency=USD","Period=FQ","BEST_FPERIOD_OVERRIDE=FQ","FILING_STATUS=MR","Sort=A","Dates=H","DateFormat=P","Fill=—","Direction=H","UseDPDF=Y")</f>
        <v>25.665600000000001</v>
      </c>
      <c r="P16" s="21">
        <f>_xll.BDH("AAPL US Equity","TOT_DEBT_TO_TOT_EQY","FQ4 2014","FQ4 2014","Currency=USD","Period=FQ","BEST_FPERIOD_OVERRIDE=FQ","FILING_STATUS=MR","Sort=A","Dates=H","DateFormat=P","Fill=—","Direction=H","UseDPDF=Y")</f>
        <v>31.641400000000001</v>
      </c>
      <c r="Q16" s="21">
        <f>_xll.BDH("AAPL US Equity","TOT_DEBT_TO_TOT_EQY","FQ1 2015","FQ1 2015","Currency=USD","Period=FQ","BEST_FPERIOD_OVERRIDE=FQ","FILING_STATUS=MR","Sort=A","Dates=H","DateFormat=P","Fill=—","Direction=H","UseDPDF=Y")</f>
        <v>29.517199999999999</v>
      </c>
      <c r="R16" s="21">
        <f>_xll.BDH("AAPL US Equity","TOT_DEBT_TO_TOT_EQY","FQ2 2015","FQ2 2015","Currency=USD","Period=FQ","BEST_FPERIOD_OVERRIDE=FQ","FILING_STATUS=MR","Sort=A","Dates=H","DateFormat=P","Fill=—","Direction=H","UseDPDF=Y")</f>
        <v>34.006900000000002</v>
      </c>
      <c r="S16" s="21" t="str">
        <f>_xll.BDH("AAPL US Equity","TOT_DEBT_TO_TOT_EQY","FQ3 2015","FQ3 2015","Currency=USD","Period=FQ","BEST_FPERIOD_OVERRIDE=FQ","FILING_STATUS=MR","Sort=A","Dates=H","DateFormat=P","Fill=—","Direction=H","UseDPDF=Y")</f>
        <v>#N/A Requesting Data...</v>
      </c>
      <c r="T16" s="21">
        <f>_xll.BDH("AAPL US Equity","TOT_DEBT_TO_TOT_EQY","FQ4 2015","FQ4 2015","Currency=USD","Period=FQ","BEST_FPERIOD_OVERRIDE=FQ","FILING_STATUS=MR","Sort=A","Dates=H","DateFormat=P","Fill=—","Direction=H","UseDPDF=Y")</f>
        <v>53.8964</v>
      </c>
      <c r="U16" s="21" t="str">
        <f>_xll.BDH("AAPL US Equity","TOT_DEBT_TO_TOT_EQY","FQ1 2016","FQ1 2016","Currency=USD","Period=FQ","BEST_FPERIOD_OVERRIDE=FQ","FILING_STATUS=MR","Sort=A","Dates=H","DateFormat=P","Fill=—","Direction=H","UseDPDF=Y")</f>
        <v>#N/A Requesting Data...</v>
      </c>
      <c r="V16" s="21" t="str">
        <f>_xll.BDH("AAPL US Equity","TOT_DEBT_TO_TOT_EQY","FQ2 2016","FQ2 2016","Currency=USD","Period=FQ","BEST_FPERIOD_OVERRIDE=FQ","FILING_STATUS=MR","Sort=A","Dates=H","DateFormat=P","Fill=—","Direction=H","UseDPDF=Y")</f>
        <v>#N/A Requesting Data...</v>
      </c>
      <c r="W16" s="21" t="str">
        <f>_xll.BDH("AAPL US Equity","TOT_DEBT_TO_TOT_EQY","FQ3 2016","FQ3 2016","Currency=USD","Period=FQ","BEST_FPERIOD_OVERRIDE=FQ","FILING_STATUS=MR","Sort=A","Dates=H","DateFormat=P","Fill=—","Direction=H","UseDPDF=Y")</f>
        <v>#N/A Requesting Data...</v>
      </c>
      <c r="X16" s="21" t="str">
        <f>_xll.BDH("AAPL US Equity","TOT_DEBT_TO_TOT_EQY","FQ4 2016","FQ4 2016","Currency=USD","Period=FQ","BEST_FPERIOD_OVERRIDE=FQ","FILING_STATUS=MR","Sort=A","Dates=H","DateFormat=P","Fill=—","Direction=H","UseDPDF=Y")</f>
        <v>#N/A Requesting Data...</v>
      </c>
      <c r="Y16" s="21">
        <f>_xll.BDH("AAPL US Equity","TOT_DEBT_TO_TOT_EQY","FQ1 2017","FQ1 2017","Currency=USD","Period=FQ","BEST_FPERIOD_OVERRIDE=FQ","FILING_STATUS=MR","Sort=A","Dates=H","DateFormat=P","Fill=—","Direction=H","UseDPDF=Y")</f>
        <v>66.129599999999996</v>
      </c>
      <c r="Z16" s="21">
        <f>_xll.BDH("AAPL US Equity","TOT_DEBT_TO_TOT_EQY","FQ2 2017","FQ2 2017","Currency=USD","Period=FQ","BEST_FPERIOD_OVERRIDE=FQ","FILING_STATUS=MR","Sort=A","Dates=H","DateFormat=P","Fill=—","Direction=H","UseDPDF=Y")</f>
        <v>73.478899999999996</v>
      </c>
      <c r="AA16" s="21">
        <f>_xll.BDH("AAPL US Equity","TOT_DEBT_TO_TOT_EQY","FQ3 2017","FQ3 2017","Currency=USD","Period=FQ","BEST_FPERIOD_OVERRIDE=FQ","FILING_STATUS=MR","Sort=A","Dates=H","DateFormat=P","Fill=—","Direction=H","UseDPDF=Y")</f>
        <v>81.811599999999999</v>
      </c>
      <c r="AB16" s="21">
        <f>_xll.BDH("AAPL US Equity","TOT_DEBT_TO_TOT_EQY","FQ4 2017","FQ4 2017","Currency=USD","Period=FQ","BEST_FPERIOD_OVERRIDE=FQ","FILING_STATUS=MR","Sort=A","Dates=H","DateFormat=P","Fill=—","Direction=H","UseDPDF=Y")</f>
        <v>86.298100000000005</v>
      </c>
      <c r="AC16" s="21">
        <f>_xll.BDH("AAPL US Equity","TOT_DEBT_TO_TOT_EQY","FQ1 2018","FQ1 2018","Currency=USD","Period=FQ","BEST_FPERIOD_OVERRIDE=FQ","FILING_STATUS=MR","Sort=A","Dates=H","DateFormat=P","Fill=—","Direction=H","UseDPDF=Y")</f>
        <v>87.304500000000004</v>
      </c>
      <c r="AD16" s="21">
        <f>_xll.BDH("AAPL US Equity","TOT_DEBT_TO_TOT_EQY","FQ2 2018","FQ2 2018","Currency=USD","Period=FQ","BEST_FPERIOD_OVERRIDE=FQ","FILING_STATUS=MR","Sort=A","Dates=H","DateFormat=P","Fill=—","Direction=H","UseDPDF=Y")</f>
        <v>96.029300000000006</v>
      </c>
      <c r="AE16" s="21" t="str">
        <f>_xll.BDH("AAPL US Equity","TOT_DEBT_TO_TOT_EQY","FQ3 2018","FQ3 2018","Currency=USD","Period=FQ","BEST_FPERIOD_OVERRIDE=FQ","FILING_STATUS=MR","Sort=A","Dates=H","DateFormat=P","Fill=—","Direction=H","UseDPDF=Y")</f>
        <v>#N/A Requesting Data...</v>
      </c>
      <c r="AF16" s="21">
        <f>_xll.BDH("AAPL US Equity","TOT_DEBT_TO_TOT_EQY","FQ4 2018","FQ4 2018","Currency=USD","Period=FQ","BEST_FPERIOD_OVERRIDE=FQ","FILING_STATUS=MR","Sort=A","Dates=H","DateFormat=P","Fill=—","Direction=H","UseDPDF=Y")</f>
        <v>106.8467</v>
      </c>
      <c r="AG16" s="21" t="str">
        <f>_xll.BDH("AAPL US Equity","TOT_DEBT_TO_TOT_EQY","FQ1 2019","FQ1 2019","Currency=USD","Period=FQ","BEST_FPERIOD_OVERRIDE=FQ","FILING_STATUS=MR","Sort=A","Dates=H","DateFormat=P","Fill=—","Direction=H","UseDPDF=Y")</f>
        <v>#N/A Requesting Data...</v>
      </c>
      <c r="AH16" s="21" t="str">
        <f>_xll.BDH("AAPL US Equity","TOT_DEBT_TO_TOT_EQY","FQ2 2019","FQ2 2019","Currency=USD","Period=FQ","BEST_FPERIOD_OVERRIDE=FQ","FILING_STATUS=MR","Sort=A","Dates=H","DateFormat=P","Fill=—","Direction=H","UseDPDF=Y")</f>
        <v>#N/A Requesting Data...</v>
      </c>
      <c r="AI16" s="21" t="str">
        <f>_xll.BDH("AAPL US Equity","TOT_DEBT_TO_TOT_EQY","FQ3 2019","FQ3 2019","Currency=USD","Period=FQ","BEST_FPERIOD_OVERRIDE=FQ","FILING_STATUS=MR","Sort=A","Dates=H","DateFormat=P","Fill=—","Direction=H","UseDPDF=Y")</f>
        <v>#N/A Requesting Data...</v>
      </c>
      <c r="AJ16" s="21">
        <f>_xll.BDH("AAPL US Equity","TOT_DEBT_TO_TOT_EQY","FQ4 2019","FQ4 2019","Currency=USD","Period=FQ","BEST_FPERIOD_OVERRIDE=FQ","FILING_STATUS=MR","Sort=A","Dates=H","DateFormat=P","Fill=—","Direction=H","UseDPDF=Y")</f>
        <v>119.40479999999999</v>
      </c>
      <c r="AK16" s="21">
        <f>_xll.BDH("AAPL US Equity","TOT_DEBT_TO_TOT_EQY","FQ1 2020","FQ1 2020","Currency=USD","Period=FQ","BEST_FPERIOD_OVERRIDE=FQ","FILING_STATUS=MR","Sort=A","Dates=H","DateFormat=P","Fill=—","Direction=H","UseDPDF=Y")</f>
        <v>130.40289999999999</v>
      </c>
      <c r="AL16" s="21">
        <f>_xll.BDH("AAPL US Equity","TOT_DEBT_TO_TOT_EQY","FQ2 2020","FQ2 2020","Currency=USD","Period=FQ","BEST_FPERIOD_OVERRIDE=FQ","FILING_STATUS=MR","Sort=A","Dates=H","DateFormat=P","Fill=—","Direction=H","UseDPDF=Y")</f>
        <v>151.43260000000001</v>
      </c>
      <c r="AM16" s="21">
        <f>_xll.BDH("AAPL US Equity","TOT_DEBT_TO_TOT_EQY","FQ3 2020","FQ3 2020","Currency=USD","Period=FQ","BEST_FPERIOD_OVERRIDE=FQ","FILING_STATUS=MR","Sort=A","Dates=H","DateFormat=P","Fill=—","Direction=H","UseDPDF=Y")</f>
        <v>169.04069999999999</v>
      </c>
      <c r="AN16" s="21">
        <f>_xll.BDH("AAPL US Equity","TOT_DEBT_TO_TOT_EQY","FQ4 2020","FQ4 2020","Currency=USD","Period=FQ","BEST_FPERIOD_OVERRIDE=FQ","FILING_STATUS=MR","Sort=A","Dates=H","DateFormat=P","Fill=—","Direction=H","UseDPDF=Y")</f>
        <v>187.14400000000001</v>
      </c>
      <c r="AO16" s="21">
        <f>_xll.BDH("AAPL US Equity","TOT_DEBT_TO_TOT_EQY","FQ1 2021","FQ1 2021","Currency=USD","Period=FQ","BEST_FPERIOD_OVERRIDE=FQ","FILING_STATUS=MR","Sort=A","Dates=H","DateFormat=P","Fill=—","Direction=H","UseDPDF=Y")</f>
        <v>169.18790000000001</v>
      </c>
      <c r="AP16" s="21">
        <f>_xll.BDH("AAPL US Equity","TOT_DEBT_TO_TOT_EQY","FQ2 2021","FQ2 2021","Currency=USD","Period=FQ","BEST_FPERIOD_OVERRIDE=FQ","FILING_STATUS=MR","Sort=A","Dates=H","DateFormat=P","Fill=—","Direction=H","UseDPDF=Y")</f>
        <v>175.84350000000001</v>
      </c>
    </row>
    <row r="17" spans="1:42" x14ac:dyDescent="0.25">
      <c r="A17" s="8" t="s">
        <v>175</v>
      </c>
      <c r="B17" s="8" t="s">
        <v>174</v>
      </c>
      <c r="C17" s="21">
        <f>_xll.BDH("AAPL US Equity","TOT_DEBT_TO_TOT_CAP","FQ3 2011","FQ3 2011","Currency=USD","Period=FQ","BEST_FPERIOD_OVERRIDE=FQ","FILING_STATUS=MR","Sort=A","Dates=H","DateFormat=P","Fill=—","Direction=H","UseDPDF=Y")</f>
        <v>0</v>
      </c>
      <c r="D17" s="21">
        <f>_xll.BDH("AAPL US Equity","TOT_DEBT_TO_TOT_CAP","FQ4 2011","FQ4 2011","Currency=USD","Period=FQ","BEST_FPERIOD_OVERRIDE=FQ","FILING_STATUS=MR","Sort=A","Dates=H","DateFormat=P","Fill=—","Direction=H","UseDPDF=Y")</f>
        <v>0</v>
      </c>
      <c r="E17" s="21" t="str">
        <f>_xll.BDH("AAPL US Equity","TOT_DEBT_TO_TOT_CAP","FQ1 2012","FQ1 2012","Currency=USD","Period=FQ","BEST_FPERIOD_OVERRIDE=FQ","FILING_STATUS=MR","Sort=A","Dates=H","DateFormat=P","Fill=—","Direction=H","UseDPDF=Y")</f>
        <v>#N/A Requesting Data...</v>
      </c>
      <c r="F17" s="21">
        <f>_xll.BDH("AAPL US Equity","TOT_DEBT_TO_TOT_CAP","FQ2 2012","FQ2 2012","Currency=USD","Period=FQ","BEST_FPERIOD_OVERRIDE=FQ","FILING_STATUS=MR","Sort=A","Dates=H","DateFormat=P","Fill=—","Direction=H","UseDPDF=Y")</f>
        <v>0</v>
      </c>
      <c r="G17" s="21" t="str">
        <f>_xll.BDH("AAPL US Equity","TOT_DEBT_TO_TOT_CAP","FQ3 2012","FQ3 2012","Currency=USD","Period=FQ","BEST_FPERIOD_OVERRIDE=FQ","FILING_STATUS=MR","Sort=A","Dates=H","DateFormat=P","Fill=—","Direction=H","UseDPDF=Y")</f>
        <v>#N/A Requesting Data...</v>
      </c>
      <c r="H17" s="21">
        <f>_xll.BDH("AAPL US Equity","TOT_DEBT_TO_TOT_CAP","FQ4 2012","FQ4 2012","Currency=USD","Period=FQ","BEST_FPERIOD_OVERRIDE=FQ","FILING_STATUS=MR","Sort=A","Dates=H","DateFormat=P","Fill=—","Direction=H","UseDPDF=Y")</f>
        <v>0</v>
      </c>
      <c r="I17" s="21">
        <f>_xll.BDH("AAPL US Equity","TOT_DEBT_TO_TOT_CAP","FQ1 2013","FQ1 2013","Currency=USD","Period=FQ","BEST_FPERIOD_OVERRIDE=FQ","FILING_STATUS=MR","Sort=A","Dates=H","DateFormat=P","Fill=—","Direction=H","UseDPDF=Y")</f>
        <v>0</v>
      </c>
      <c r="J17" s="21">
        <f>_xll.BDH("AAPL US Equity","TOT_DEBT_TO_TOT_CAP","FQ2 2013","FQ2 2013","Currency=USD","Period=FQ","BEST_FPERIOD_OVERRIDE=FQ","FILING_STATUS=MR","Sort=A","Dates=H","DateFormat=P","Fill=—","Direction=H","UseDPDF=Y")</f>
        <v>0</v>
      </c>
      <c r="K17" s="21">
        <f>_xll.BDH("AAPL US Equity","TOT_DEBT_TO_TOT_CAP","FQ3 2013","FQ3 2013","Currency=USD","Period=FQ","BEST_FPERIOD_OVERRIDE=FQ","FILING_STATUS=MR","Sort=A","Dates=H","DateFormat=P","Fill=—","Direction=H","UseDPDF=Y")</f>
        <v>12.085900000000001</v>
      </c>
      <c r="L17" s="21">
        <f>_xll.BDH("AAPL US Equity","TOT_DEBT_TO_TOT_CAP","FQ4 2013","FQ4 2013","Currency=USD","Period=FQ","BEST_FPERIOD_OVERRIDE=FQ","FILING_STATUS=MR","Sort=A","Dates=H","DateFormat=P","Fill=—","Direction=H","UseDPDF=Y")</f>
        <v>12.070399999999999</v>
      </c>
      <c r="M17" s="21">
        <f>_xll.BDH("AAPL US Equity","TOT_DEBT_TO_TOT_CAP","FQ1 2014","FQ1 2014","Currency=USD","Period=FQ","BEST_FPERIOD_OVERRIDE=FQ","FILING_STATUS=MR","Sort=A","Dates=H","DateFormat=P","Fill=—","Direction=H","UseDPDF=Y")</f>
        <v>11.566000000000001</v>
      </c>
      <c r="N17" s="21">
        <f>_xll.BDH("AAPL US Equity","TOT_DEBT_TO_TOT_CAP","FQ2 2014","FQ2 2014","Currency=USD","Period=FQ","BEST_FPERIOD_OVERRIDE=FQ","FILING_STATUS=MR","Sort=A","Dates=H","DateFormat=P","Fill=—","Direction=H","UseDPDF=Y")</f>
        <v>12.3683</v>
      </c>
      <c r="O17" s="21" t="str">
        <f>_xll.BDH("AAPL US Equity","TOT_DEBT_TO_TOT_CAP","FQ3 2014","FQ3 2014","Currency=USD","Period=FQ","BEST_FPERIOD_OVERRIDE=FQ","FILING_STATUS=MR","Sort=A","Dates=H","DateFormat=P","Fill=—","Direction=H","UseDPDF=Y")</f>
        <v>#N/A Requesting Data...</v>
      </c>
      <c r="P17" s="21">
        <f>_xll.BDH("AAPL US Equity","TOT_DEBT_TO_TOT_CAP","FQ4 2014","FQ4 2014","Currency=USD","Period=FQ","BEST_FPERIOD_OVERRIDE=FQ","FILING_STATUS=MR","Sort=A","Dates=H","DateFormat=P","Fill=—","Direction=H","UseDPDF=Y")</f>
        <v>24.036000000000001</v>
      </c>
      <c r="Q17" s="21" t="str">
        <f>_xll.BDH("AAPL US Equity","TOT_DEBT_TO_TOT_CAP","FQ1 2015","FQ1 2015","Currency=USD","Period=FQ","BEST_FPERIOD_OVERRIDE=FQ","FILING_STATUS=MR","Sort=A","Dates=H","DateFormat=P","Fill=—","Direction=H","UseDPDF=Y")</f>
        <v>#N/A Requesting Data...</v>
      </c>
      <c r="R17" s="21">
        <f>_xll.BDH("AAPL US Equity","TOT_DEBT_TO_TOT_CAP","FQ2 2015","FQ2 2015","Currency=USD","Period=FQ","BEST_FPERIOD_OVERRIDE=FQ","FILING_STATUS=MR","Sort=A","Dates=H","DateFormat=P","Fill=—","Direction=H","UseDPDF=Y")</f>
        <v>25.376999999999999</v>
      </c>
      <c r="S17" s="21" t="str">
        <f>_xll.BDH("AAPL US Equity","TOT_DEBT_TO_TOT_CAP","FQ3 2015","FQ3 2015","Currency=USD","Period=FQ","BEST_FPERIOD_OVERRIDE=FQ","FILING_STATUS=MR","Sort=A","Dates=H","DateFormat=P","Fill=—","Direction=H","UseDPDF=Y")</f>
        <v>#N/A Requesting Data...</v>
      </c>
      <c r="T17" s="21">
        <f>_xll.BDH("AAPL US Equity","TOT_DEBT_TO_TOT_CAP","FQ4 2015","FQ4 2015","Currency=USD","Period=FQ","BEST_FPERIOD_OVERRIDE=FQ","FILING_STATUS=MR","Sort=A","Dates=H","DateFormat=P","Fill=—","Direction=H","UseDPDF=Y")</f>
        <v>35.0212</v>
      </c>
      <c r="U17" s="21">
        <f>_xll.BDH("AAPL US Equity","TOT_DEBT_TO_TOT_CAP","FQ1 2016","FQ1 2016","Currency=USD","Period=FQ","BEST_FPERIOD_OVERRIDE=FQ","FILING_STATUS=MR","Sort=A","Dates=H","DateFormat=P","Fill=—","Direction=H","UseDPDF=Y")</f>
        <v>32.9253</v>
      </c>
      <c r="V17" s="21">
        <f>_xll.BDH("AAPL US Equity","TOT_DEBT_TO_TOT_CAP","FQ2 2016","FQ2 2016","Currency=USD","Period=FQ","BEST_FPERIOD_OVERRIDE=FQ","FILING_STATUS=MR","Sort=A","Dates=H","DateFormat=P","Fill=—","Direction=H","UseDPDF=Y")</f>
        <v>37.974800000000002</v>
      </c>
      <c r="W17" s="21">
        <f>_xll.BDH("AAPL US Equity","TOT_DEBT_TO_TOT_CAP","FQ3 2016","FQ3 2016","Currency=USD","Period=FQ","BEST_FPERIOD_OVERRIDE=FQ","FILING_STATUS=MR","Sort=A","Dates=H","DateFormat=P","Fill=—","Direction=H","UseDPDF=Y")</f>
        <v>40.1629</v>
      </c>
      <c r="X17" s="21">
        <f>_xll.BDH("AAPL US Equity","TOT_DEBT_TO_TOT_CAP","FQ4 2016","FQ4 2016","Currency=USD","Period=FQ","BEST_FPERIOD_OVERRIDE=FQ","FILING_STATUS=MR","Sort=A","Dates=H","DateFormat=P","Fill=—","Direction=H","UseDPDF=Y")</f>
        <v>40.427199999999999</v>
      </c>
      <c r="Y17" s="21">
        <f>_xll.BDH("AAPL US Equity","TOT_DEBT_TO_TOT_CAP","FQ1 2017","FQ1 2017","Currency=USD","Period=FQ","BEST_FPERIOD_OVERRIDE=FQ","FILING_STATUS=MR","Sort=A","Dates=H","DateFormat=P","Fill=—","Direction=H","UseDPDF=Y")</f>
        <v>39.805999999999997</v>
      </c>
      <c r="Z17" s="21">
        <f>_xll.BDH("AAPL US Equity","TOT_DEBT_TO_TOT_CAP","FQ2 2017","FQ2 2017","Currency=USD","Period=FQ","BEST_FPERIOD_OVERRIDE=FQ","FILING_STATUS=MR","Sort=A","Dates=H","DateFormat=P","Fill=—","Direction=H","UseDPDF=Y")</f>
        <v>42.356099999999998</v>
      </c>
      <c r="AA17" s="21" t="str">
        <f>_xll.BDH("AAPL US Equity","TOT_DEBT_TO_TOT_CAP","FQ3 2017","FQ3 2017","Currency=USD","Period=FQ","BEST_FPERIOD_OVERRIDE=FQ","FILING_STATUS=MR","Sort=A","Dates=H","DateFormat=P","Fill=—","Direction=H","UseDPDF=Y")</f>
        <v>#N/A Requesting Data...</v>
      </c>
      <c r="AB17" s="21">
        <f>_xll.BDH("AAPL US Equity","TOT_DEBT_TO_TOT_CAP","FQ4 2017","FQ4 2017","Currency=USD","Period=FQ","BEST_FPERIOD_OVERRIDE=FQ","FILING_STATUS=MR","Sort=A","Dates=H","DateFormat=P","Fill=—","Direction=H","UseDPDF=Y")</f>
        <v>46.322600000000001</v>
      </c>
      <c r="AC17" s="21">
        <f>_xll.BDH("AAPL US Equity","TOT_DEBT_TO_TOT_CAP","FQ1 2018","FQ1 2018","Currency=USD","Period=FQ","BEST_FPERIOD_OVERRIDE=FQ","FILING_STATUS=MR","Sort=A","Dates=H","DateFormat=P","Fill=—","Direction=H","UseDPDF=Y")</f>
        <v>46.610999999999997</v>
      </c>
      <c r="AD17" s="21">
        <f>_xll.BDH("AAPL US Equity","TOT_DEBT_TO_TOT_CAP","FQ2 2018","FQ2 2018","Currency=USD","Period=FQ","BEST_FPERIOD_OVERRIDE=FQ","FILING_STATUS=MR","Sort=A","Dates=H","DateFormat=P","Fill=—","Direction=H","UseDPDF=Y")</f>
        <v>48.987200000000001</v>
      </c>
      <c r="AE17" s="21" t="str">
        <f>_xll.BDH("AAPL US Equity","TOT_DEBT_TO_TOT_CAP","FQ3 2018","FQ3 2018","Currency=USD","Period=FQ","BEST_FPERIOD_OVERRIDE=FQ","FILING_STATUS=MR","Sort=A","Dates=H","DateFormat=P","Fill=—","Direction=H","UseDPDF=Y")</f>
        <v>#N/A Requesting Data...</v>
      </c>
      <c r="AF17" s="21">
        <f>_xll.BDH("AAPL US Equity","TOT_DEBT_TO_TOT_CAP","FQ4 2018","FQ4 2018","Currency=USD","Period=FQ","BEST_FPERIOD_OVERRIDE=FQ","FILING_STATUS=MR","Sort=A","Dates=H","DateFormat=P","Fill=—","Direction=H","UseDPDF=Y")</f>
        <v>51.655000000000001</v>
      </c>
      <c r="AG17" s="21">
        <f>_xll.BDH("AAPL US Equity","TOT_DEBT_TO_TOT_CAP","FQ1 2019","FQ1 2019","Currency=USD","Period=FQ","BEST_FPERIOD_OVERRIDE=FQ","FILING_STATUS=MR","Sort=A","Dates=H","DateFormat=P","Fill=—","Direction=H","UseDPDF=Y")</f>
        <v>49.320399999999999</v>
      </c>
      <c r="AH17" s="21">
        <f>_xll.BDH("AAPL US Equity","TOT_DEBT_TO_TOT_CAP","FQ2 2019","FQ2 2019","Currency=USD","Period=FQ","BEST_FPERIOD_OVERRIDE=FQ","FILING_STATUS=MR","Sort=A","Dates=H","DateFormat=P","Fill=—","Direction=H","UseDPDF=Y")</f>
        <v>51.549300000000002</v>
      </c>
      <c r="AI17" s="21">
        <f>_xll.BDH("AAPL US Equity","TOT_DEBT_TO_TOT_CAP","FQ3 2019","FQ3 2019","Currency=USD","Period=FQ","BEST_FPERIOD_OVERRIDE=FQ","FILING_STATUS=MR","Sort=A","Dates=H","DateFormat=P","Fill=—","Direction=H","UseDPDF=Y")</f>
        <v>52.919400000000003</v>
      </c>
      <c r="AJ17" s="21">
        <f>_xll.BDH("AAPL US Equity","TOT_DEBT_TO_TOT_CAP","FQ4 2019","FQ4 2019","Currency=USD","Period=FQ","BEST_FPERIOD_OVERRIDE=FQ","FILING_STATUS=MR","Sort=A","Dates=H","DateFormat=P","Fill=—","Direction=H","UseDPDF=Y")</f>
        <v>54.4221</v>
      </c>
      <c r="AK17" s="21">
        <f>_xll.BDH("AAPL US Equity","TOT_DEBT_TO_TOT_CAP","FQ1 2020","FQ1 2020","Currency=USD","Period=FQ","BEST_FPERIOD_OVERRIDE=FQ","FILING_STATUS=MR","Sort=A","Dates=H","DateFormat=P","Fill=—","Direction=H","UseDPDF=Y")</f>
        <v>56.597799999999999</v>
      </c>
      <c r="AL17" s="21">
        <f>_xll.BDH("AAPL US Equity","TOT_DEBT_TO_TOT_CAP","FQ2 2020","FQ2 2020","Currency=USD","Period=FQ","BEST_FPERIOD_OVERRIDE=FQ","FILING_STATUS=MR","Sort=A","Dates=H","DateFormat=P","Fill=—","Direction=H","UseDPDF=Y")</f>
        <v>60.227899999999998</v>
      </c>
      <c r="AM17" s="21">
        <f>_xll.BDH("AAPL US Equity","TOT_DEBT_TO_TOT_CAP","FQ3 2020","FQ3 2020","Currency=USD","Period=FQ","BEST_FPERIOD_OVERRIDE=FQ","FILING_STATUS=MR","Sort=A","Dates=H","DateFormat=P","Fill=—","Direction=H","UseDPDF=Y")</f>
        <v>62.8309</v>
      </c>
      <c r="AN17" s="21" t="str">
        <f>_xll.BDH("AAPL US Equity","TOT_DEBT_TO_TOT_CAP","FQ4 2020","FQ4 2020","Currency=USD","Period=FQ","BEST_FPERIOD_OVERRIDE=FQ","FILING_STATUS=MR","Sort=A","Dates=H","DateFormat=P","Fill=—","Direction=H","UseDPDF=Y")</f>
        <v>#N/A Requesting Data...</v>
      </c>
      <c r="AO17" s="21">
        <f>_xll.BDH("AAPL US Equity","TOT_DEBT_TO_TOT_CAP","FQ1 2021","FQ1 2021","Currency=USD","Period=FQ","BEST_FPERIOD_OVERRIDE=FQ","FILING_STATUS=MR","Sort=A","Dates=H","DateFormat=P","Fill=—","Direction=H","UseDPDF=Y")</f>
        <v>62.851199999999999</v>
      </c>
      <c r="AP17" s="21" t="str">
        <f>_xll.BDH("AAPL US Equity","TOT_DEBT_TO_TOT_CAP","FQ2 2021","FQ2 2021","Currency=USD","Period=FQ","BEST_FPERIOD_OVERRIDE=FQ","FILING_STATUS=MR","Sort=A","Dates=H","DateFormat=P","Fill=—","Direction=H","UseDPDF=Y")</f>
        <v>#N/A Requesting Data...</v>
      </c>
    </row>
    <row r="18" spans="1:42" x14ac:dyDescent="0.25">
      <c r="A18" s="8" t="s">
        <v>173</v>
      </c>
      <c r="B18" s="8" t="s">
        <v>172</v>
      </c>
      <c r="C18" s="21">
        <f>_xll.BDH("AAPL US Equity","TOT_DEBT_TO_TOT_ASSET","FQ3 2011","FQ3 2011","Currency=USD","Period=FQ","BEST_FPERIOD_OVERRIDE=FQ","FILING_STATUS=MR","Sort=A","Dates=H","DateFormat=P","Fill=—","Direction=H","UseDPDF=Y")</f>
        <v>0</v>
      </c>
      <c r="D18" s="21">
        <f>_xll.BDH("AAPL US Equity","TOT_DEBT_TO_TOT_ASSET","FQ4 2011","FQ4 2011","Currency=USD","Period=FQ","BEST_FPERIOD_OVERRIDE=FQ","FILING_STATUS=MR","Sort=A","Dates=H","DateFormat=P","Fill=—","Direction=H","UseDPDF=Y")</f>
        <v>0</v>
      </c>
      <c r="E18" s="21">
        <f>_xll.BDH("AAPL US Equity","TOT_DEBT_TO_TOT_ASSET","FQ1 2012","FQ1 2012","Currency=USD","Period=FQ","BEST_FPERIOD_OVERRIDE=FQ","FILING_STATUS=MR","Sort=A","Dates=H","DateFormat=P","Fill=—","Direction=H","UseDPDF=Y")</f>
        <v>0</v>
      </c>
      <c r="F18" s="21">
        <f>_xll.BDH("AAPL US Equity","TOT_DEBT_TO_TOT_ASSET","FQ2 2012","FQ2 2012","Currency=USD","Period=FQ","BEST_FPERIOD_OVERRIDE=FQ","FILING_STATUS=MR","Sort=A","Dates=H","DateFormat=P","Fill=—","Direction=H","UseDPDF=Y")</f>
        <v>0</v>
      </c>
      <c r="G18" s="21">
        <f>_xll.BDH("AAPL US Equity","TOT_DEBT_TO_TOT_ASSET","FQ3 2012","FQ3 2012","Currency=USD","Period=FQ","BEST_FPERIOD_OVERRIDE=FQ","FILING_STATUS=MR","Sort=A","Dates=H","DateFormat=P","Fill=—","Direction=H","UseDPDF=Y")</f>
        <v>0</v>
      </c>
      <c r="H18" s="21">
        <f>_xll.BDH("AAPL US Equity","TOT_DEBT_TO_TOT_ASSET","FQ4 2012","FQ4 2012","Currency=USD","Period=FQ","BEST_FPERIOD_OVERRIDE=FQ","FILING_STATUS=MR","Sort=A","Dates=H","DateFormat=P","Fill=—","Direction=H","UseDPDF=Y")</f>
        <v>0</v>
      </c>
      <c r="I18" s="21">
        <f>_xll.BDH("AAPL US Equity","TOT_DEBT_TO_TOT_ASSET","FQ1 2013","FQ1 2013","Currency=USD","Period=FQ","BEST_FPERIOD_OVERRIDE=FQ","FILING_STATUS=MR","Sort=A","Dates=H","DateFormat=P","Fill=—","Direction=H","UseDPDF=Y")</f>
        <v>0</v>
      </c>
      <c r="J18" s="21">
        <f>_xll.BDH("AAPL US Equity","TOT_DEBT_TO_TOT_ASSET","FQ2 2013","FQ2 2013","Currency=USD","Period=FQ","BEST_FPERIOD_OVERRIDE=FQ","FILING_STATUS=MR","Sort=A","Dates=H","DateFormat=P","Fill=—","Direction=H","UseDPDF=Y")</f>
        <v>0</v>
      </c>
      <c r="K18" s="21" t="str">
        <f>_xll.BDH("AAPL US Equity","TOT_DEBT_TO_TOT_ASSET","FQ3 2013","FQ3 2013","Currency=USD","Period=FQ","BEST_FPERIOD_OVERRIDE=FQ","FILING_STATUS=MR","Sort=A","Dates=H","DateFormat=P","Fill=—","Direction=H","UseDPDF=Y")</f>
        <v>#N/A Requesting Data...</v>
      </c>
      <c r="L18" s="21" t="str">
        <f>_xll.BDH("AAPL US Equity","TOT_DEBT_TO_TOT_ASSET","FQ4 2013","FQ4 2013","Currency=USD","Period=FQ","BEST_FPERIOD_OVERRIDE=FQ","FILING_STATUS=MR","Sort=A","Dates=H","DateFormat=P","Fill=—","Direction=H","UseDPDF=Y")</f>
        <v>#N/A Requesting Data...</v>
      </c>
      <c r="M18" s="21" t="str">
        <f>_xll.BDH("AAPL US Equity","TOT_DEBT_TO_TOT_ASSET","FQ1 2014","FQ1 2014","Currency=USD","Period=FQ","BEST_FPERIOD_OVERRIDE=FQ","FILING_STATUS=MR","Sort=A","Dates=H","DateFormat=P","Fill=—","Direction=H","UseDPDF=Y")</f>
        <v>#N/A Requesting Data...</v>
      </c>
      <c r="N18" s="21">
        <f>_xll.BDH("AAPL US Equity","TOT_DEBT_TO_TOT_ASSET","FQ2 2014","FQ2 2014","Currency=USD","Period=FQ","BEST_FPERIOD_OVERRIDE=FQ","FILING_STATUS=MR","Sort=A","Dates=H","DateFormat=P","Fill=—","Direction=H","UseDPDF=Y")</f>
        <v>8.2344000000000008</v>
      </c>
      <c r="O18" s="21">
        <f>_xll.BDH("AAPL US Equity","TOT_DEBT_TO_TOT_ASSET","FQ3 2014","FQ3 2014","Currency=USD","Period=FQ","BEST_FPERIOD_OVERRIDE=FQ","FILING_STATUS=MR","Sort=A","Dates=H","DateFormat=P","Fill=—","Direction=H","UseDPDF=Y")</f>
        <v>13.949300000000001</v>
      </c>
      <c r="P18" s="21">
        <f>_xll.BDH("AAPL US Equity","TOT_DEBT_TO_TOT_ASSET","FQ4 2014","FQ4 2014","Currency=USD","Period=FQ","BEST_FPERIOD_OVERRIDE=FQ","FILING_STATUS=MR","Sort=A","Dates=H","DateFormat=P","Fill=—","Direction=H","UseDPDF=Y")</f>
        <v>15.2239</v>
      </c>
      <c r="Q18" s="21">
        <f>_xll.BDH("AAPL US Equity","TOT_DEBT_TO_TOT_ASSET","FQ1 2015","FQ1 2015","Currency=USD","Period=FQ","BEST_FPERIOD_OVERRIDE=FQ","FILING_STATUS=MR","Sort=A","Dates=H","DateFormat=P","Fill=—","Direction=H","UseDPDF=Y")</f>
        <v>13.899900000000001</v>
      </c>
      <c r="R18" s="21">
        <f>_xll.BDH("AAPL US Equity","TOT_DEBT_TO_TOT_ASSET","FQ2 2015","FQ2 2015","Currency=USD","Period=FQ","BEST_FPERIOD_OVERRIDE=FQ","FILING_STATUS=MR","Sort=A","Dates=H","DateFormat=P","Fill=—","Direction=H","UseDPDF=Y")</f>
        <v>16.796299999999999</v>
      </c>
      <c r="S18" s="21">
        <f>_xll.BDH("AAPL US Equity","TOT_DEBT_TO_TOT_ASSET","FQ3 2015","FQ3 2015","Currency=USD","Period=FQ","BEST_FPERIOD_OVERRIDE=FQ","FILING_STATUS=MR","Sort=A","Dates=H","DateFormat=P","Fill=—","Direction=H","UseDPDF=Y")</f>
        <v>19.9223</v>
      </c>
      <c r="T18" s="21">
        <f>_xll.BDH("AAPL US Equity","TOT_DEBT_TO_TOT_ASSET","FQ4 2015","FQ4 2015","Currency=USD","Period=FQ","BEST_FPERIOD_OVERRIDE=FQ","FILING_STATUS=MR","Sort=A","Dates=H","DateFormat=P","Fill=—","Direction=H","UseDPDF=Y")</f>
        <v>22.1557</v>
      </c>
      <c r="U18" s="21">
        <f>_xll.BDH("AAPL US Equity","TOT_DEBT_TO_TOT_ASSET","FQ1 2016","FQ1 2016","Currency=USD","Period=FQ","BEST_FPERIOD_OVERRIDE=FQ","FILING_STATUS=MR","Sort=A","Dates=H","DateFormat=P","Fill=—","Direction=H","UseDPDF=Y")</f>
        <v>21.468299999999999</v>
      </c>
      <c r="V18" s="21">
        <f>_xll.BDH("AAPL US Equity","TOT_DEBT_TO_TOT_ASSET","FQ2 2016","FQ2 2016","Currency=USD","Period=FQ","BEST_FPERIOD_OVERRIDE=FQ","FILING_STATUS=MR","Sort=A","Dates=H","DateFormat=P","Fill=—","Direction=H","UseDPDF=Y")</f>
        <v>26.163799999999998</v>
      </c>
      <c r="W18" s="21" t="str">
        <f>_xll.BDH("AAPL US Equity","TOT_DEBT_TO_TOT_ASSET","FQ3 2016","FQ3 2016","Currency=USD","Period=FQ","BEST_FPERIOD_OVERRIDE=FQ","FILING_STATUS=MR","Sort=A","Dates=H","DateFormat=P","Fill=—","Direction=H","UseDPDF=Y")</f>
        <v>#N/A Requesting Data...</v>
      </c>
      <c r="X18" s="21" t="str">
        <f>_xll.BDH("AAPL US Equity","TOT_DEBT_TO_TOT_ASSET","FQ4 2016","FQ4 2016","Currency=USD","Period=FQ","BEST_FPERIOD_OVERRIDE=FQ","FILING_STATUS=MR","Sort=A","Dates=H","DateFormat=P","Fill=—","Direction=H","UseDPDF=Y")</f>
        <v>#N/A Requesting Data...</v>
      </c>
      <c r="Y18" s="21" t="str">
        <f>_xll.BDH("AAPL US Equity","TOT_DEBT_TO_TOT_ASSET","FQ1 2017","FQ1 2017","Currency=USD","Period=FQ","BEST_FPERIOD_OVERRIDE=FQ","FILING_STATUS=MR","Sort=A","Dates=H","DateFormat=P","Fill=—","Direction=H","UseDPDF=Y")</f>
        <v>#N/A Requesting Data...</v>
      </c>
      <c r="Z18" s="21" t="str">
        <f>_xll.BDH("AAPL US Equity","TOT_DEBT_TO_TOT_ASSET","FQ2 2017","FQ2 2017","Currency=USD","Period=FQ","BEST_FPERIOD_OVERRIDE=FQ","FILING_STATUS=MR","Sort=A","Dates=H","DateFormat=P","Fill=—","Direction=H","UseDPDF=Y")</f>
        <v>#N/A Requesting Data...</v>
      </c>
      <c r="AA18" s="21" t="str">
        <f>_xll.BDH("AAPL US Equity","TOT_DEBT_TO_TOT_ASSET","FQ3 2017","FQ3 2017","Currency=USD","Period=FQ","BEST_FPERIOD_OVERRIDE=FQ","FILING_STATUS=MR","Sort=A","Dates=H","DateFormat=P","Fill=—","Direction=H","UseDPDF=Y")</f>
        <v>#N/A Requesting Data...</v>
      </c>
      <c r="AB18" s="21">
        <f>_xll.BDH("AAPL US Equity","TOT_DEBT_TO_TOT_ASSET","FQ4 2017","FQ4 2017","Currency=USD","Period=FQ","BEST_FPERIOD_OVERRIDE=FQ","FILING_STATUS=MR","Sort=A","Dates=H","DateFormat=P","Fill=—","Direction=H","UseDPDF=Y")</f>
        <v>30.8218</v>
      </c>
      <c r="AC18" s="21">
        <f>_xll.BDH("AAPL US Equity","TOT_DEBT_TO_TOT_ASSET","FQ1 2018","FQ1 2018","Currency=USD","Period=FQ","BEST_FPERIOD_OVERRIDE=FQ","FILING_STATUS=MR","Sort=A","Dates=H","DateFormat=P","Fill=—","Direction=H","UseDPDF=Y")</f>
        <v>30.088899999999999</v>
      </c>
      <c r="AD18" s="21">
        <f>_xll.BDH("AAPL US Equity","TOT_DEBT_TO_TOT_ASSET","FQ2 2018","FQ2 2018","Currency=USD","Period=FQ","BEST_FPERIOD_OVERRIDE=FQ","FILING_STATUS=MR","Sort=A","Dates=H","DateFormat=P","Fill=—","Direction=H","UseDPDF=Y")</f>
        <v>33.153599999999997</v>
      </c>
      <c r="AE18" s="21">
        <f>_xll.BDH("AAPL US Equity","TOT_DEBT_TO_TOT_ASSET","FQ3 2018","FQ3 2018","Currency=USD","Period=FQ","BEST_FPERIOD_OVERRIDE=FQ","FILING_STATUS=MR","Sort=A","Dates=H","DateFormat=P","Fill=—","Direction=H","UseDPDF=Y")</f>
        <v>32.818199999999997</v>
      </c>
      <c r="AF18" s="21">
        <f>_xll.BDH("AAPL US Equity","TOT_DEBT_TO_TOT_ASSET","FQ4 2018","FQ4 2018","Currency=USD","Period=FQ","BEST_FPERIOD_OVERRIDE=FQ","FILING_STATUS=MR","Sort=A","Dates=H","DateFormat=P","Fill=—","Direction=H","UseDPDF=Y")</f>
        <v>31.303000000000001</v>
      </c>
      <c r="AG18" s="21">
        <f>_xll.BDH("AAPL US Equity","TOT_DEBT_TO_TOT_ASSET","FQ1 2019","FQ1 2019","Currency=USD","Period=FQ","BEST_FPERIOD_OVERRIDE=FQ","FILING_STATUS=MR","Sort=A","Dates=H","DateFormat=P","Fill=—","Direction=H","UseDPDF=Y")</f>
        <v>30.6995</v>
      </c>
      <c r="AH18" s="21">
        <f>_xll.BDH("AAPL US Equity","TOT_DEBT_TO_TOT_ASSET","FQ2 2019","FQ2 2019","Currency=USD","Period=FQ","BEST_FPERIOD_OVERRIDE=FQ","FILING_STATUS=MR","Sort=A","Dates=H","DateFormat=P","Fill=—","Direction=H","UseDPDF=Y")</f>
        <v>32.932899999999997</v>
      </c>
      <c r="AI18" s="21" t="str">
        <f>_xll.BDH("AAPL US Equity","TOT_DEBT_TO_TOT_ASSET","FQ3 2019","FQ3 2019","Currency=USD","Period=FQ","BEST_FPERIOD_OVERRIDE=FQ","FILING_STATUS=MR","Sort=A","Dates=H","DateFormat=P","Fill=—","Direction=H","UseDPDF=Y")</f>
        <v>#N/A Requesting Data...</v>
      </c>
      <c r="AJ18" s="21" t="str">
        <f>_xll.BDH("AAPL US Equity","TOT_DEBT_TO_TOT_ASSET","FQ4 2019","FQ4 2019","Currency=USD","Period=FQ","BEST_FPERIOD_OVERRIDE=FQ","FILING_STATUS=MR","Sort=A","Dates=H","DateFormat=P","Fill=—","Direction=H","UseDPDF=Y")</f>
        <v>#N/A Requesting Data...</v>
      </c>
      <c r="AK18" s="21" t="str">
        <f>_xll.BDH("AAPL US Equity","TOT_DEBT_TO_TOT_ASSET","FQ1 2020","FQ1 2020","Currency=USD","Period=FQ","BEST_FPERIOD_OVERRIDE=FQ","FILING_STATUS=MR","Sort=A","Dates=H","DateFormat=P","Fill=—","Direction=H","UseDPDF=Y")</f>
        <v>#N/A Requesting Data...</v>
      </c>
      <c r="AL18" s="21" t="str">
        <f>_xll.BDH("AAPL US Equity","TOT_DEBT_TO_TOT_ASSET","FQ2 2020","FQ2 2020","Currency=USD","Period=FQ","BEST_FPERIOD_OVERRIDE=FQ","FILING_STATUS=MR","Sort=A","Dates=H","DateFormat=P","Fill=—","Direction=H","UseDPDF=Y")</f>
        <v>#N/A Requesting Data...</v>
      </c>
      <c r="AM18" s="21" t="str">
        <f>_xll.BDH("AAPL US Equity","TOT_DEBT_TO_TOT_ASSET","FQ3 2020","FQ3 2020","Currency=USD","Period=FQ","BEST_FPERIOD_OVERRIDE=FQ","FILING_STATUS=MR","Sort=A","Dates=H","DateFormat=P","Fill=—","Direction=H","UseDPDF=Y")</f>
        <v>#N/A Requesting Data...</v>
      </c>
      <c r="AN18" s="21" t="str">
        <f>_xll.BDH("AAPL US Equity","TOT_DEBT_TO_TOT_ASSET","FQ4 2020","FQ4 2020","Currency=USD","Period=FQ","BEST_FPERIOD_OVERRIDE=FQ","FILING_STATUS=MR","Sort=A","Dates=H","DateFormat=P","Fill=—","Direction=H","UseDPDF=Y")</f>
        <v>#N/A Requesting Data...</v>
      </c>
      <c r="AO18" s="21">
        <f>_xll.BDH("AAPL US Equity","TOT_DEBT_TO_TOT_ASSET","FQ1 2021","FQ1 2021","Currency=USD","Period=FQ","BEST_FPERIOD_OVERRIDE=FQ","FILING_STATUS=MR","Sort=A","Dates=H","DateFormat=P","Fill=—","Direction=H","UseDPDF=Y")</f>
        <v>31.645700000000001</v>
      </c>
      <c r="AP18" s="21">
        <f>_xll.BDH("AAPL US Equity","TOT_DEBT_TO_TOT_ASSET","FQ2 2021","FQ2 2021","Currency=USD","Period=FQ","BEST_FPERIOD_OVERRIDE=FQ","FILING_STATUS=MR","Sort=A","Dates=H","DateFormat=P","Fill=—","Direction=H","UseDPDF=Y")</f>
        <v>36.079500000000003</v>
      </c>
    </row>
    <row r="19" spans="1:42" x14ac:dyDescent="0.25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1:42" x14ac:dyDescent="0.25">
      <c r="A20" s="8" t="s">
        <v>171</v>
      </c>
      <c r="B20" s="8" t="s">
        <v>170</v>
      </c>
      <c r="C20" s="21">
        <f>_xll.BDH("AAPL US Equity","CASH_FLOW_TO_TOT_LIAB","FQ3 2011","FQ3 2011","Currency=USD","Period=FQ","BEST_FPERIOD_OVERRIDE=FQ","FILING_STATUS=MR","Sort=A","Dates=H","DateFormat=P","Fill=—","Direction=H","UseDPDF=Y")</f>
        <v>87.619900000000001</v>
      </c>
      <c r="D20" s="21">
        <f>_xll.BDH("AAPL US Equity","CASH_FLOW_TO_TOT_LIAB","FQ4 2011","FQ4 2011","Currency=USD","Period=FQ","BEST_FPERIOD_OVERRIDE=FQ","FILING_STATUS=MR","Sort=A","Dates=H","DateFormat=P","Fill=—","Direction=H","UseDPDF=Y")</f>
        <v>94.398300000000006</v>
      </c>
      <c r="E20" s="21">
        <f>_xll.BDH("AAPL US Equity","CASH_FLOW_TO_TOT_LIAB","FQ1 2012","FQ1 2012","Currency=USD","Period=FQ","BEST_FPERIOD_OVERRIDE=FQ","FILING_STATUS=MR","Sort=A","Dates=H","DateFormat=P","Fill=—","Direction=H","UseDPDF=Y")</f>
        <v>93.178700000000006</v>
      </c>
      <c r="F20" s="21">
        <f>_xll.BDH("AAPL US Equity","CASH_FLOW_TO_TOT_LIAB","FQ2 2012","FQ2 2012","Currency=USD","Period=FQ","BEST_FPERIOD_OVERRIDE=FQ","FILING_STATUS=MR","Sort=A","Dates=H","DateFormat=P","Fill=—","Direction=H","UseDPDF=Y")</f>
        <v>109.56310000000001</v>
      </c>
      <c r="G20" s="21">
        <f>_xll.BDH("AAPL US Equity","CASH_FLOW_TO_TOT_LIAB","FQ3 2012","FQ3 2012","Currency=USD","Period=FQ","BEST_FPERIOD_OVERRIDE=FQ","FILING_STATUS=MR","Sort=A","Dates=H","DateFormat=P","Fill=—","Direction=H","UseDPDF=Y")</f>
        <v>101.95310000000001</v>
      </c>
      <c r="H20" s="21">
        <f>_xll.BDH("AAPL US Equity","CASH_FLOW_TO_TOT_LIAB","FQ4 2012","FQ4 2012","Currency=USD","Period=FQ","BEST_FPERIOD_OVERRIDE=FQ","FILING_STATUS=MR","Sort=A","Dates=H","DateFormat=P","Fill=—","Direction=H","UseDPDF=Y")</f>
        <v>87.903999999999996</v>
      </c>
      <c r="I20" s="21" t="str">
        <f>_xll.BDH("AAPL US Equity","CASH_FLOW_TO_TOT_LIAB","FQ1 2013","FQ1 2013","Currency=USD","Period=FQ","BEST_FPERIOD_OVERRIDE=FQ","FILING_STATUS=MR","Sort=A","Dates=H","DateFormat=P","Fill=—","Direction=H","UseDPDF=Y")</f>
        <v>#N/A Requesting Data...</v>
      </c>
      <c r="J20" s="21">
        <f>_xll.BDH("AAPL US Equity","CASH_FLOW_TO_TOT_LIAB","FQ2 2013","FQ2 2013","Currency=USD","Period=FQ","BEST_FPERIOD_OVERRIDE=FQ","FILING_STATUS=MR","Sort=A","Dates=H","DateFormat=P","Fill=—","Direction=H","UseDPDF=Y")</f>
        <v>93.252700000000004</v>
      </c>
      <c r="K20" s="21">
        <f>_xll.BDH("AAPL US Equity","CASH_FLOW_TO_TOT_LIAB","FQ3 2013","FQ3 2013","Currency=USD","Period=FQ","BEST_FPERIOD_OVERRIDE=FQ","FILING_STATUS=MR","Sort=A","Dates=H","DateFormat=P","Fill=—","Direction=H","UseDPDF=Y")</f>
        <v>69.140699999999995</v>
      </c>
      <c r="L20" s="21">
        <f>_xll.BDH("AAPL US Equity","CASH_FLOW_TO_TOT_LIAB","FQ4 2013","FQ4 2013","Currency=USD","Period=FQ","BEST_FPERIOD_OVERRIDE=FQ","FILING_STATUS=MR","Sort=A","Dates=H","DateFormat=P","Fill=—","Direction=H","UseDPDF=Y")</f>
        <v>64.308400000000006</v>
      </c>
      <c r="M20" s="21">
        <f>_xll.BDH("AAPL US Equity","CASH_FLOW_TO_TOT_LIAB","FQ1 2014","FQ1 2014","Currency=USD","Period=FQ","BEST_FPERIOD_OVERRIDE=FQ","FILING_STATUS=MR","Sort=A","Dates=H","DateFormat=P","Fill=—","Direction=H","UseDPDF=Y")</f>
        <v>55.403100000000002</v>
      </c>
      <c r="N20" s="21">
        <f>_xll.BDH("AAPL US Equity","CASH_FLOW_TO_TOT_LIAB","FQ2 2014","FQ2 2014","Currency=USD","Period=FQ","BEST_FPERIOD_OVERRIDE=FQ","FILING_STATUS=MR","Sort=A","Dates=H","DateFormat=P","Fill=—","Direction=H","UseDPDF=Y")</f>
        <v>62.8645</v>
      </c>
      <c r="O20" s="21">
        <f>_xll.BDH("AAPL US Equity","CASH_FLOW_TO_TOT_LIAB","FQ3 2014","FQ3 2014","Currency=USD","Period=FQ","BEST_FPERIOD_OVERRIDE=FQ","FILING_STATUS=MR","Sort=A","Dates=H","DateFormat=P","Fill=—","Direction=H","UseDPDF=Y")</f>
        <v>55.494199999999999</v>
      </c>
      <c r="P20" s="21">
        <f>_xll.BDH("AAPL US Equity","CASH_FLOW_TO_TOT_LIAB","FQ4 2014","FQ4 2014","Currency=USD","Period=FQ","BEST_FPERIOD_OVERRIDE=FQ","FILING_STATUS=MR","Sort=A","Dates=H","DateFormat=P","Fill=—","Direction=H","UseDPDF=Y")</f>
        <v>49.64</v>
      </c>
      <c r="Q20" s="21">
        <f>_xll.BDH("AAPL US Equity","CASH_FLOW_TO_TOT_LIAB","FQ1 2015","FQ1 2015","Currency=USD","Period=FQ","BEST_FPERIOD_OVERRIDE=FQ","FILING_STATUS=MR","Sort=A","Dates=H","DateFormat=P","Fill=—","Direction=H","UseDPDF=Y")</f>
        <v>51.069499999999998</v>
      </c>
      <c r="R20" s="21">
        <f>_xll.BDH("AAPL US Equity","CASH_FLOW_TO_TOT_LIAB","FQ2 2015","FQ2 2015","Currency=USD","Period=FQ","BEST_FPERIOD_OVERRIDE=FQ","FILING_STATUS=MR","Sort=A","Dates=H","DateFormat=P","Fill=—","Direction=H","UseDPDF=Y")</f>
        <v>57.726900000000001</v>
      </c>
      <c r="S20" s="21" t="str">
        <f>_xll.BDH("AAPL US Equity","CASH_FLOW_TO_TOT_LIAB","FQ3 2015","FQ3 2015","Currency=USD","Period=FQ","BEST_FPERIOD_OVERRIDE=FQ","FILING_STATUS=MR","Sort=A","Dates=H","DateFormat=P","Fill=—","Direction=H","UseDPDF=Y")</f>
        <v>#N/A Requesting Data...</v>
      </c>
      <c r="T20" s="21">
        <f>_xll.BDH("AAPL US Equity","CASH_FLOW_TO_TOT_LIAB","FQ4 2015","FQ4 2015","Currency=USD","Period=FQ","BEST_FPERIOD_OVERRIDE=FQ","FILING_STATUS=MR","Sort=A","Dates=H","DateFormat=P","Fill=—","Direction=H","UseDPDF=Y")</f>
        <v>47.526800000000001</v>
      </c>
      <c r="U20" s="21" t="str">
        <f>_xll.BDH("AAPL US Equity","CASH_FLOW_TO_TOT_LIAB","FQ1 2016","FQ1 2016","Currency=USD","Period=FQ","BEST_FPERIOD_OVERRIDE=FQ","FILING_STATUS=MR","Sort=A","Dates=H","DateFormat=P","Fill=—","Direction=H","UseDPDF=Y")</f>
        <v>#N/A Requesting Data...</v>
      </c>
      <c r="V20" s="21" t="str">
        <f>_xll.BDH("AAPL US Equity","CASH_FLOW_TO_TOT_LIAB","FQ2 2016","FQ2 2016","Currency=USD","Period=FQ","BEST_FPERIOD_OVERRIDE=FQ","FILING_STATUS=MR","Sort=A","Dates=H","DateFormat=P","Fill=—","Direction=H","UseDPDF=Y")</f>
        <v>#N/A Requesting Data...</v>
      </c>
      <c r="W20" s="21" t="str">
        <f>_xll.BDH("AAPL US Equity","CASH_FLOW_TO_TOT_LIAB","FQ3 2016","FQ3 2016","Currency=USD","Period=FQ","BEST_FPERIOD_OVERRIDE=FQ","FILING_STATUS=MR","Sort=A","Dates=H","DateFormat=P","Fill=—","Direction=H","UseDPDF=Y")</f>
        <v>#N/A Requesting Data...</v>
      </c>
      <c r="X20" s="21">
        <f>_xll.BDH("AAPL US Equity","CASH_FLOW_TO_TOT_LIAB","FQ4 2016","FQ4 2016","Currency=USD","Period=FQ","BEST_FPERIOD_OVERRIDE=FQ","FILING_STATUS=MR","Sort=A","Dates=H","DateFormat=P","Fill=—","Direction=H","UseDPDF=Y")</f>
        <v>34.028700000000001</v>
      </c>
      <c r="Y20" s="21">
        <f>_xll.BDH("AAPL US Equity","CASH_FLOW_TO_TOT_LIAB","FQ1 2017","FQ1 2017","Currency=USD","Period=FQ","BEST_FPERIOD_OVERRIDE=FQ","FILING_STATUS=MR","Sort=A","Dates=H","DateFormat=P","Fill=—","Direction=H","UseDPDF=Y")</f>
        <v>33.003599999999999</v>
      </c>
      <c r="Z20" s="21">
        <f>_xll.BDH("AAPL US Equity","CASH_FLOW_TO_TOT_LIAB","FQ2 2017","FQ2 2017","Currency=USD","Period=FQ","BEST_FPERIOD_OVERRIDE=FQ","FILING_STATUS=MR","Sort=A","Dates=H","DateFormat=P","Fill=—","Direction=H","UseDPDF=Y")</f>
        <v>46.6815</v>
      </c>
      <c r="AA20" s="21">
        <f>_xll.BDH("AAPL US Equity","CASH_FLOW_TO_TOT_LIAB","FQ3 2017","FQ3 2017","Currency=USD","Period=FQ","BEST_FPERIOD_OVERRIDE=FQ","FILING_STATUS=MR","Sort=A","Dates=H","DateFormat=P","Fill=—","Direction=H","UseDPDF=Y")</f>
        <v>43.166600000000003</v>
      </c>
      <c r="AB20" s="21">
        <f>_xll.BDH("AAPL US Equity","CASH_FLOW_TO_TOT_LIAB","FQ4 2017","FQ4 2017","Currency=USD","Period=FQ","BEST_FPERIOD_OVERRIDE=FQ","FILING_STATUS=MR","Sort=A","Dates=H","DateFormat=P","Fill=—","Direction=H","UseDPDF=Y")</f>
        <v>37.906999999999996</v>
      </c>
      <c r="AC20" s="21">
        <f>_xll.BDH("AAPL US Equity","CASH_FLOW_TO_TOT_LIAB","FQ1 2018","FQ1 2018","Currency=USD","Period=FQ","BEST_FPERIOD_OVERRIDE=FQ","FILING_STATUS=MR","Sort=A","Dates=H","DateFormat=P","Fill=—","Direction=H","UseDPDF=Y")</f>
        <v>34.703600000000002</v>
      </c>
      <c r="AD20" s="21">
        <f>_xll.BDH("AAPL US Equity","CASH_FLOW_TO_TOT_LIAB","FQ2 2018","FQ2 2018","Currency=USD","Period=FQ","BEST_FPERIOD_OVERRIDE=FQ","FILING_STATUS=MR","Sort=A","Dates=H","DateFormat=P","Fill=—","Direction=H","UseDPDF=Y")</f>
        <v>28.288499999999999</v>
      </c>
      <c r="AE20" s="21">
        <f>_xll.BDH("AAPL US Equity","CASH_FLOW_TO_TOT_LIAB","FQ3 2018","FQ3 2018","Currency=USD","Period=FQ","BEST_FPERIOD_OVERRIDE=FQ","FILING_STATUS=MR","Sort=A","Dates=H","DateFormat=P","Fill=—","Direction=H","UseDPDF=Y")</f>
        <v>31.4453</v>
      </c>
      <c r="AF20" s="21">
        <f>_xll.BDH("AAPL US Equity","CASH_FLOW_TO_TOT_LIAB","FQ4 2018","FQ4 2018","Currency=USD","Period=FQ","BEST_FPERIOD_OVERRIDE=FQ","FILING_STATUS=MR","Sort=A","Dates=H","DateFormat=P","Fill=—","Direction=H","UseDPDF=Y")</f>
        <v>29.946100000000001</v>
      </c>
      <c r="AG20" s="21">
        <f>_xll.BDH("AAPL US Equity","CASH_FLOW_TO_TOT_LIAB","FQ1 2019","FQ1 2019","Currency=USD","Period=FQ","BEST_FPERIOD_OVERRIDE=FQ","FILING_STATUS=MR","Sort=A","Dates=H","DateFormat=P","Fill=—","Direction=H","UseDPDF=Y")</f>
        <v>29.641500000000001</v>
      </c>
      <c r="AH20" s="21" t="str">
        <f>_xll.BDH("AAPL US Equity","CASH_FLOW_TO_TOT_LIAB","FQ2 2019","FQ2 2019","Currency=USD","Period=FQ","BEST_FPERIOD_OVERRIDE=FQ","FILING_STATUS=MR","Sort=A","Dates=H","DateFormat=P","Fill=—","Direction=H","UseDPDF=Y")</f>
        <v>#N/A Requesting Data...</v>
      </c>
      <c r="AI20" s="21" t="str">
        <f>_xll.BDH("AAPL US Equity","CASH_FLOW_TO_TOT_LIAB","FQ3 2019","FQ3 2019","Currency=USD","Period=FQ","BEST_FPERIOD_OVERRIDE=FQ","FILING_STATUS=MR","Sort=A","Dates=H","DateFormat=P","Fill=—","Direction=H","UseDPDF=Y")</f>
        <v>#N/A Requesting Data...</v>
      </c>
      <c r="AJ20" s="21">
        <f>_xll.BDH("AAPL US Equity","CASH_FLOW_TO_TOT_LIAB","FQ4 2019","FQ4 2019","Currency=USD","Period=FQ","BEST_FPERIOD_OVERRIDE=FQ","FILING_STATUS=MR","Sort=A","Dates=H","DateFormat=P","Fill=—","Direction=H","UseDPDF=Y")</f>
        <v>27.9771</v>
      </c>
      <c r="AK20" s="21">
        <f>_xll.BDH("AAPL US Equity","CASH_FLOW_TO_TOT_LIAB","FQ1 2020","FQ1 2020","Currency=USD","Period=FQ","BEST_FPERIOD_OVERRIDE=FQ","FILING_STATUS=MR","Sort=A","Dates=H","DateFormat=P","Fill=—","Direction=H","UseDPDF=Y")</f>
        <v>29.16</v>
      </c>
      <c r="AL20" s="21">
        <f>_xll.BDH("AAPL US Equity","CASH_FLOW_TO_TOT_LIAB","FQ2 2020","FQ2 2020","Currency=USD","Period=FQ","BEST_FPERIOD_OVERRIDE=FQ","FILING_STATUS=MR","Sort=A","Dates=H","DateFormat=P","Fill=—","Direction=H","UseDPDF=Y")</f>
        <v>31.149100000000001</v>
      </c>
      <c r="AM20" s="21">
        <f>_xll.BDH("AAPL US Equity","CASH_FLOW_TO_TOT_LIAB","FQ3 2020","FQ3 2020","Currency=USD","Period=FQ","BEST_FPERIOD_OVERRIDE=FQ","FILING_STATUS=MR","Sort=A","Dates=H","DateFormat=P","Fill=—","Direction=H","UseDPDF=Y")</f>
        <v>32.648099999999999</v>
      </c>
      <c r="AN20" s="21">
        <f>_xll.BDH("AAPL US Equity","CASH_FLOW_TO_TOT_LIAB","FQ4 2020","FQ4 2020","Currency=USD","Period=FQ","BEST_FPERIOD_OVERRIDE=FQ","FILING_STATUS=MR","Sort=A","Dates=H","DateFormat=P","Fill=—","Direction=H","UseDPDF=Y")</f>
        <v>31.2026</v>
      </c>
      <c r="AO20" s="21">
        <f>_xll.BDH("AAPL US Equity","CASH_FLOW_TO_TOT_LIAB","FQ1 2021","FQ1 2021","Currency=USD","Period=FQ","BEST_FPERIOD_OVERRIDE=FQ","FILING_STATUS=MR","Sort=A","Dates=H","DateFormat=P","Fill=—","Direction=H","UseDPDF=Y")</f>
        <v>30.893599999999999</v>
      </c>
      <c r="AP20" s="21">
        <f>_xll.BDH("AAPL US Equity","CASH_FLOW_TO_TOT_LIAB","FQ2 2021","FQ2 2021","Currency=USD","Period=FQ","BEST_FPERIOD_OVERRIDE=FQ","FILING_STATUS=MR","Sort=A","Dates=H","DateFormat=P","Fill=—","Direction=H","UseDPDF=Y")</f>
        <v>37.163600000000002</v>
      </c>
    </row>
    <row r="21" spans="1:42" x14ac:dyDescent="0.25">
      <c r="A21" s="8" t="s">
        <v>169</v>
      </c>
      <c r="B21" s="8" t="s">
        <v>168</v>
      </c>
      <c r="C21" s="21" t="str">
        <f>_xll.BDH("AAPL US Equity","CAP_EXPEND_RATIO","FQ3 2011","FQ3 2011","Currency=USD","Period=FQ","BEST_FPERIOD_OVERRIDE=FQ","FILING_STATUS=MR","Sort=A","Dates=H","DateFormat=P","Fill=—","Direction=H","UseDPDF=Y")</f>
        <v>#N/A Requesting Data...</v>
      </c>
      <c r="D21" s="21">
        <f>_xll.BDH("AAPL US Equity","CAP_EXPEND_RATIO","FQ4 2011","FQ4 2011","Currency=USD","Period=FQ","BEST_FPERIOD_OVERRIDE=FQ","FILING_STATUS=MR","Sort=A","Dates=H","DateFormat=P","Fill=—","Direction=H","UseDPDF=Y")</f>
        <v>6.3398000000000003</v>
      </c>
      <c r="E21" s="21" t="str">
        <f>_xll.BDH("AAPL US Equity","CAP_EXPEND_RATIO","FQ1 2012","FQ1 2012","Currency=USD","Period=FQ","BEST_FPERIOD_OVERRIDE=FQ","FILING_STATUS=MR","Sort=A","Dates=H","DateFormat=P","Fill=—","Direction=H","UseDPDF=Y")</f>
        <v>#N/A Requesting Data...</v>
      </c>
      <c r="F21" s="21">
        <f>_xll.BDH("AAPL US Equity","CAP_EXPEND_RATIO","FQ2 2012","FQ2 2012","Currency=USD","Period=FQ","BEST_FPERIOD_OVERRIDE=FQ","FILING_STATUS=MR","Sort=A","Dates=H","DateFormat=P","Fill=—","Direction=H","UseDPDF=Y")</f>
        <v>9.593</v>
      </c>
      <c r="G21" s="21" t="str">
        <f>_xll.BDH("AAPL US Equity","CAP_EXPEND_RATIO","FQ3 2012","FQ3 2012","Currency=USD","Period=FQ","BEST_FPERIOD_OVERRIDE=FQ","FILING_STATUS=MR","Sort=A","Dates=H","DateFormat=P","Fill=—","Direction=H","UseDPDF=Y")</f>
        <v>#N/A Requesting Data...</v>
      </c>
      <c r="H21" s="21">
        <f>_xll.BDH("AAPL US Equity","CAP_EXPEND_RATIO","FQ4 2012","FQ4 2012","Currency=USD","Period=FQ","BEST_FPERIOD_OVERRIDE=FQ","FILING_STATUS=MR","Sort=A","Dates=H","DateFormat=P","Fill=—","Direction=H","UseDPDF=Y")</f>
        <v>2.6396999999999999</v>
      </c>
      <c r="I21" s="21">
        <f>_xll.BDH("AAPL US Equity","CAP_EXPEND_RATIO","FQ1 2013","FQ1 2013","Currency=USD","Period=FQ","BEST_FPERIOD_OVERRIDE=FQ","FILING_STATUS=MR","Sort=A","Dates=H","DateFormat=P","Fill=—","Direction=H","UseDPDF=Y")</f>
        <v>10.1105</v>
      </c>
      <c r="J21" s="21">
        <f>_xll.BDH("AAPL US Equity","CAP_EXPEND_RATIO","FQ2 2013","FQ2 2013","Currency=USD","Period=FQ","BEST_FPERIOD_OVERRIDE=FQ","FILING_STATUS=MR","Sort=A","Dates=H","DateFormat=P","Fill=—","Direction=H","UseDPDF=Y")</f>
        <v>6.2271000000000001</v>
      </c>
      <c r="K21" s="21">
        <f>_xll.BDH("AAPL US Equity","CAP_EXPEND_RATIO","FQ3 2013","FQ3 2013","Currency=USD","Period=FQ","BEST_FPERIOD_OVERRIDE=FQ","FILING_STATUS=MR","Sort=A","Dates=H","DateFormat=P","Fill=—","Direction=H","UseDPDF=Y")</f>
        <v>4.1528</v>
      </c>
      <c r="L21" s="21">
        <f>_xll.BDH("AAPL US Equity","CAP_EXPEND_RATIO","FQ4 2013","FQ4 2013","Currency=USD","Period=FQ","BEST_FPERIOD_OVERRIDE=FQ","FILING_STATUS=MR","Sort=A","Dates=H","DateFormat=P","Fill=—","Direction=H","UseDPDF=Y")</f>
        <v>5.0679999999999996</v>
      </c>
      <c r="M21" s="21">
        <f>_xll.BDH("AAPL US Equity","CAP_EXPEND_RATIO","FQ1 2014","FQ1 2014","Currency=USD","Period=FQ","BEST_FPERIOD_OVERRIDE=FQ","FILING_STATUS=MR","Sort=A","Dates=H","DateFormat=P","Fill=—","Direction=H","UseDPDF=Y")</f>
        <v>11.4207</v>
      </c>
      <c r="N21" s="21">
        <f>_xll.BDH("AAPL US Equity","CAP_EXPEND_RATIO","FQ2 2014","FQ2 2014","Currency=USD","Period=FQ","BEST_FPERIOD_OVERRIDE=FQ","FILING_STATUS=MR","Sort=A","Dates=H","DateFormat=P","Fill=—","Direction=H","UseDPDF=Y")</f>
        <v>9.7958999999999996</v>
      </c>
      <c r="O21" s="21">
        <f>_xll.BDH("AAPL US Equity","CAP_EXPEND_RATIO","FQ3 2014","FQ3 2014","Currency=USD","Period=FQ","BEST_FPERIOD_OVERRIDE=FQ","FILING_STATUS=MR","Sort=A","Dates=H","DateFormat=P","Fill=—","Direction=H","UseDPDF=Y")</f>
        <v>4.3124000000000002</v>
      </c>
      <c r="P21" s="21" t="str">
        <f>_xll.BDH("AAPL US Equity","CAP_EXPEND_RATIO","FQ4 2014","FQ4 2014","Currency=USD","Period=FQ","BEST_FPERIOD_OVERRIDE=FQ","FILING_STATUS=MR","Sort=A","Dates=H","DateFormat=P","Fill=—","Direction=H","UseDPDF=Y")</f>
        <v>#N/A Requesting Data...</v>
      </c>
      <c r="Q21" s="21" t="str">
        <f>_xll.BDH("AAPL US Equity","CAP_EXPEND_RATIO","FQ1 2015","FQ1 2015","Currency=USD","Period=FQ","BEST_FPERIOD_OVERRIDE=FQ","FILING_STATUS=MR","Sort=A","Dates=H","DateFormat=P","Fill=—","Direction=H","UseDPDF=Y")</f>
        <v>#N/A Requesting Data...</v>
      </c>
      <c r="R21" s="21">
        <f>_xll.BDH("AAPL US Equity","CAP_EXPEND_RATIO","FQ2 2015","FQ2 2015","Currency=USD","Period=FQ","BEST_FPERIOD_OVERRIDE=FQ","FILING_STATUS=MR","Sort=A","Dates=H","DateFormat=P","Fill=—","Direction=H","UseDPDF=Y")</f>
        <v>8.0545000000000009</v>
      </c>
      <c r="S21" s="21" t="str">
        <f>_xll.BDH("AAPL US Equity","CAP_EXPEND_RATIO","FQ3 2015","FQ3 2015","Currency=USD","Period=FQ","BEST_FPERIOD_OVERRIDE=FQ","FILING_STATUS=MR","Sort=A","Dates=H","DateFormat=P","Fill=—","Direction=H","UseDPDF=Y")</f>
        <v>#N/A Requesting Data...</v>
      </c>
      <c r="T21" s="21">
        <f>_xll.BDH("AAPL US Equity","CAP_EXPEND_RATIO","FQ4 2015","FQ4 2015","Currency=USD","Period=FQ","BEST_FPERIOD_OVERRIDE=FQ","FILING_STATUS=MR","Sort=A","Dates=H","DateFormat=P","Fill=—","Direction=H","UseDPDF=Y")</f>
        <v>3.7244000000000002</v>
      </c>
      <c r="U21" s="21">
        <f>_xll.BDH("AAPL US Equity","CAP_EXPEND_RATIO","FQ1 2016","FQ1 2016","Currency=USD","Period=FQ","BEST_FPERIOD_OVERRIDE=FQ","FILING_STATUS=MR","Sort=A","Dates=H","DateFormat=P","Fill=—","Direction=H","UseDPDF=Y")</f>
        <v>7.6032999999999999</v>
      </c>
      <c r="V21" s="21">
        <f>_xll.BDH("AAPL US Equity","CAP_EXPEND_RATIO","FQ2 2016","FQ2 2016","Currency=USD","Period=FQ","BEST_FPERIOD_OVERRIDE=FQ","FILING_STATUS=MR","Sort=A","Dates=H","DateFormat=P","Fill=—","Direction=H","UseDPDF=Y")</f>
        <v>4.9661999999999997</v>
      </c>
      <c r="W21" s="21">
        <f>_xll.BDH("AAPL US Equity","CAP_EXPEND_RATIO","FQ3 2016","FQ3 2016","Currency=USD","Period=FQ","BEST_FPERIOD_OVERRIDE=FQ","FILING_STATUS=MR","Sort=A","Dates=H","DateFormat=P","Fill=—","Direction=H","UseDPDF=Y")</f>
        <v>3.7856999999999998</v>
      </c>
      <c r="X21" s="21">
        <f>_xll.BDH("AAPL US Equity","CAP_EXPEND_RATIO","FQ4 2016","FQ4 2016","Currency=USD","Period=FQ","BEST_FPERIOD_OVERRIDE=FQ","FILING_STATUS=MR","Sort=A","Dates=H","DateFormat=P","Fill=—","Direction=H","UseDPDF=Y")</f>
        <v>4.0548000000000002</v>
      </c>
      <c r="Y21" s="21">
        <f>_xll.BDH("AAPL US Equity","CAP_EXPEND_RATIO","FQ1 2017","FQ1 2017","Currency=USD","Period=FQ","BEST_FPERIOD_OVERRIDE=FQ","FILING_STATUS=MR","Sort=A","Dates=H","DateFormat=P","Fill=—","Direction=H","UseDPDF=Y")</f>
        <v>8.1685999999999996</v>
      </c>
      <c r="Z21" s="21">
        <f>_xll.BDH("AAPL US Equity","CAP_EXPEND_RATIO","FQ2 2017","FQ2 2017","Currency=USD","Period=FQ","BEST_FPERIOD_OVERRIDE=FQ","FILING_STATUS=MR","Sort=A","Dates=H","DateFormat=P","Fill=—","Direction=H","UseDPDF=Y")</f>
        <v>6.2733999999999996</v>
      </c>
      <c r="AA21" s="21" t="str">
        <f>_xll.BDH("AAPL US Equity","CAP_EXPEND_RATIO","FQ3 2017","FQ3 2017","Currency=USD","Period=FQ","BEST_FPERIOD_OVERRIDE=FQ","FILING_STATUS=MR","Sort=A","Dates=H","DateFormat=P","Fill=—","Direction=H","UseDPDF=Y")</f>
        <v>#N/A Requesting Data...</v>
      </c>
      <c r="AB21" s="21">
        <f>_xll.BDH("AAPL US Equity","CAP_EXPEND_RATIO","FQ4 2017","FQ4 2017","Currency=USD","Period=FQ","BEST_FPERIOD_OVERRIDE=FQ","FILING_STATUS=MR","Sort=A","Dates=H","DateFormat=P","Fill=—","Direction=H","UseDPDF=Y")</f>
        <v>4.0747999999999998</v>
      </c>
      <c r="AC21" s="21" t="str">
        <f>_xll.BDH("AAPL US Equity","CAP_EXPEND_RATIO","FQ1 2018","FQ1 2018","Currency=USD","Period=FQ","BEST_FPERIOD_OVERRIDE=FQ","FILING_STATUS=MR","Sort=A","Dates=H","DateFormat=P","Fill=—","Direction=H","UseDPDF=Y")</f>
        <v>#N/A Requesting Data...</v>
      </c>
      <c r="AD21" s="21">
        <f>_xll.BDH("AAPL US Equity","CAP_EXPEND_RATIO","FQ2 2018","FQ2 2018","Currency=USD","Period=FQ","BEST_FPERIOD_OVERRIDE=FQ","FILING_STATUS=MR","Sort=A","Dates=H","DateFormat=P","Fill=—","Direction=H","UseDPDF=Y")</f>
        <v>3.6067</v>
      </c>
      <c r="AE21" s="21">
        <f>_xll.BDH("AAPL US Equity","CAP_EXPEND_RATIO","FQ3 2018","FQ3 2018","Currency=USD","Period=FQ","BEST_FPERIOD_OVERRIDE=FQ","FILING_STATUS=MR","Sort=A","Dates=H","DateFormat=P","Fill=—","Direction=H","UseDPDF=Y")</f>
        <v>4.4345999999999997</v>
      </c>
      <c r="AF21" s="21">
        <f>_xll.BDH("AAPL US Equity","CAP_EXPEND_RATIO","FQ4 2018","FQ4 2018","Currency=USD","Period=FQ","BEST_FPERIOD_OVERRIDE=FQ","FILING_STATUS=MR","Sort=A","Dates=H","DateFormat=P","Fill=—","Direction=H","UseDPDF=Y")</f>
        <v>6.4199000000000002</v>
      </c>
      <c r="AG21" s="21">
        <f>_xll.BDH("AAPL US Equity","CAP_EXPEND_RATIO","FQ1 2019","FQ1 2019","Currency=USD","Period=FQ","BEST_FPERIOD_OVERRIDE=FQ","FILING_STATUS=MR","Sort=A","Dates=H","DateFormat=P","Fill=—","Direction=H","UseDPDF=Y")</f>
        <v>7.9553000000000003</v>
      </c>
      <c r="AH21" s="21">
        <f>_xll.BDH("AAPL US Equity","CAP_EXPEND_RATIO","FQ2 2019","FQ2 2019","Currency=USD","Period=FQ","BEST_FPERIOD_OVERRIDE=FQ","FILING_STATUS=MR","Sort=A","Dates=H","DateFormat=P","Fill=—","Direction=H","UseDPDF=Y")</f>
        <v>4.7206999999999999</v>
      </c>
      <c r="AI21" s="21">
        <f>_xll.BDH("AAPL US Equity","CAP_EXPEND_RATIO","FQ3 2019","FQ3 2019","Currency=USD","Period=FQ","BEST_FPERIOD_OVERRIDE=FQ","FILING_STATUS=MR","Sort=A","Dates=H","DateFormat=P","Fill=—","Direction=H","UseDPDF=Y")</f>
        <v>5.8179999999999996</v>
      </c>
      <c r="AJ21" s="21">
        <f>_xll.BDH("AAPL US Equity","CAP_EXPEND_RATIO","FQ4 2019","FQ4 2019","Currency=USD","Period=FQ","BEST_FPERIOD_OVERRIDE=FQ","FILING_STATUS=MR","Sort=A","Dates=H","DateFormat=P","Fill=—","Direction=H","UseDPDF=Y")</f>
        <v>7.1696</v>
      </c>
      <c r="AK21" s="21">
        <f>_xll.BDH("AAPL US Equity","CAP_EXPEND_RATIO","FQ1 2020","FQ1 2020","Currency=USD","Period=FQ","BEST_FPERIOD_OVERRIDE=FQ","FILING_STATUS=MR","Sort=A","Dates=H","DateFormat=P","Fill=—","Direction=H","UseDPDF=Y")</f>
        <v>14.4832</v>
      </c>
      <c r="AL21" s="21">
        <f>_xll.BDH("AAPL US Equity","CAP_EXPEND_RATIO","FQ2 2020","FQ2 2020","Currency=USD","Period=FQ","BEST_FPERIOD_OVERRIDE=FQ","FILING_STATUS=MR","Sort=A","Dates=H","DateFormat=P","Fill=—","Direction=H","UseDPDF=Y")</f>
        <v>7.1835000000000004</v>
      </c>
      <c r="AM21" s="21" t="str">
        <f>_xll.BDH("AAPL US Equity","CAP_EXPEND_RATIO","FQ3 2020","FQ3 2020","Currency=USD","Period=FQ","BEST_FPERIOD_OVERRIDE=FQ","FILING_STATUS=MR","Sort=A","Dates=H","DateFormat=P","Fill=—","Direction=H","UseDPDF=Y")</f>
        <v>#N/A Requesting Data...</v>
      </c>
      <c r="AN21" s="21" t="str">
        <f>_xll.BDH("AAPL US Equity","CAP_EXPEND_RATIO","FQ4 2020","FQ4 2020","Currency=USD","Period=FQ","BEST_FPERIOD_OVERRIDE=FQ","FILING_STATUS=MR","Sort=A","Dates=H","DateFormat=P","Fill=—","Direction=H","UseDPDF=Y")</f>
        <v>#N/A Requesting Data...</v>
      </c>
      <c r="AO21" s="21" t="str">
        <f>_xll.BDH("AAPL US Equity","CAP_EXPEND_RATIO","FQ1 2021","FQ1 2021","Currency=USD","Period=FQ","BEST_FPERIOD_OVERRIDE=FQ","FILING_STATUS=MR","Sort=A","Dates=H","DateFormat=P","Fill=—","Direction=H","UseDPDF=Y")</f>
        <v>#N/A Requesting Data...</v>
      </c>
      <c r="AP21" s="21">
        <f>_xll.BDH("AAPL US Equity","CAP_EXPEND_RATIO","FQ2 2021","FQ2 2021","Currency=USD","Period=FQ","BEST_FPERIOD_OVERRIDE=FQ","FILING_STATUS=MR","Sort=A","Dates=H","DateFormat=P","Fill=—","Direction=H","UseDPDF=Y")</f>
        <v>10.568999999999999</v>
      </c>
    </row>
    <row r="22" spans="1:42" x14ac:dyDescent="0.25">
      <c r="A22" s="8" t="s">
        <v>167</v>
      </c>
      <c r="B22" s="8" t="s">
        <v>166</v>
      </c>
      <c r="C22" s="21" t="str">
        <f>_xll.BDH("AAPL US Equity","ALTMAN_Z_SCORE","FQ3 2011","FQ3 2011","Currency=USD","Period=FQ","BEST_FPERIOD_OVERRIDE=FQ","FILING_STATUS=MR","Sort=A","Dates=H","DateFormat=P","Fill=—","Direction=H","UseDPDF=Y")</f>
        <v>#N/A Requesting Data...</v>
      </c>
      <c r="D22" s="21">
        <f>_xll.BDH("AAPL US Equity","ALTMAN_Z_SCORE","FQ4 2011","FQ4 2011","Currency=USD","Period=FQ","BEST_FPERIOD_OVERRIDE=FQ","FILING_STATUS=MR","Sort=A","Dates=H","DateFormat=P","Fill=—","Direction=H","UseDPDF=Y")</f>
        <v>8.5884</v>
      </c>
      <c r="E22" s="21">
        <f>_xll.BDH("AAPL US Equity","ALTMAN_Z_SCORE","FQ1 2012","FQ1 2012","Currency=USD","Period=FQ","BEST_FPERIOD_OVERRIDE=FQ","FILING_STATUS=MR","Sort=A","Dates=H","DateFormat=P","Fill=—","Direction=H","UseDPDF=Y")</f>
        <v>7.6295000000000002</v>
      </c>
      <c r="F22" s="21">
        <f>_xll.BDH("AAPL US Equity","ALTMAN_Z_SCORE","FQ2 2012","FQ2 2012","Currency=USD","Period=FQ","BEST_FPERIOD_OVERRIDE=FQ","FILING_STATUS=MR","Sort=A","Dates=H","DateFormat=P","Fill=—","Direction=H","UseDPDF=Y")</f>
        <v>10.033099999999999</v>
      </c>
      <c r="G22" s="21">
        <f>_xll.BDH("AAPL US Equity","ALTMAN_Z_SCORE","FQ3 2012","FQ3 2012","Currency=USD","Period=FQ","BEST_FPERIOD_OVERRIDE=FQ","FILING_STATUS=MR","Sort=A","Dates=H","DateFormat=P","Fill=—","Direction=H","UseDPDF=Y")</f>
        <v>9.4563000000000006</v>
      </c>
      <c r="H22" s="21">
        <f>_xll.BDH("AAPL US Equity","ALTMAN_Z_SCORE","FQ4 2012","FQ4 2012","Currency=USD","Period=FQ","BEST_FPERIOD_OVERRIDE=FQ","FILING_STATUS=MR","Sort=A","Dates=H","DateFormat=P","Fill=—","Direction=H","UseDPDF=Y")</f>
        <v>9.4352</v>
      </c>
      <c r="I22" s="21">
        <f>_xll.BDH("AAPL US Equity","ALTMAN_Z_SCORE","FQ1 2013","FQ1 2013","Currency=USD","Period=FQ","BEST_FPERIOD_OVERRIDE=FQ","FILING_STATUS=MR","Sort=A","Dates=H","DateFormat=P","Fill=—","Direction=H","UseDPDF=Y")</f>
        <v>6.9725999999999999</v>
      </c>
      <c r="J22" s="21">
        <f>_xll.BDH("AAPL US Equity","ALTMAN_Z_SCORE","FQ2 2013","FQ2 2013","Currency=USD","Period=FQ","BEST_FPERIOD_OVERRIDE=FQ","FILING_STATUS=MR","Sort=A","Dates=H","DateFormat=P","Fill=—","Direction=H","UseDPDF=Y")</f>
        <v>7.0540000000000003</v>
      </c>
      <c r="K22" s="21" t="str">
        <f>_xll.BDH("AAPL US Equity","ALTMAN_Z_SCORE","FQ3 2013","FQ3 2013","Currency=USD","Period=FQ","BEST_FPERIOD_OVERRIDE=FQ","FILING_STATUS=MR","Sort=A","Dates=H","DateFormat=P","Fill=—","Direction=H","UseDPDF=Y")</f>
        <v>#N/A Requesting Data...</v>
      </c>
      <c r="L22" s="21" t="str">
        <f>_xll.BDH("AAPL US Equity","ALTMAN_Z_SCORE","FQ4 2013","FQ4 2013","Currency=USD","Period=FQ","BEST_FPERIOD_OVERRIDE=FQ","FILING_STATUS=MR","Sort=A","Dates=H","DateFormat=P","Fill=—","Direction=H","UseDPDF=Y")</f>
        <v>#N/A Requesting Data...</v>
      </c>
      <c r="M22" s="21">
        <f>_xll.BDH("AAPL US Equity","ALTMAN_Z_SCORE","FQ1 2014","FQ1 2014","Currency=USD","Period=FQ","BEST_FPERIOD_OVERRIDE=FQ","FILING_STATUS=MR","Sort=A","Dates=H","DateFormat=P","Fill=—","Direction=H","UseDPDF=Y")</f>
        <v>5.5472999999999999</v>
      </c>
      <c r="N22" s="21">
        <f>_xll.BDH("AAPL US Equity","ALTMAN_Z_SCORE","FQ2 2014","FQ2 2014","Currency=USD","Period=FQ","BEST_FPERIOD_OVERRIDE=FQ","FILING_STATUS=MR","Sort=A","Dates=H","DateFormat=P","Fill=—","Direction=H","UseDPDF=Y")</f>
        <v>5.9146999999999998</v>
      </c>
      <c r="O22" s="21" t="str">
        <f>_xll.BDH("AAPL US Equity","ALTMAN_Z_SCORE","FQ3 2014","FQ3 2014","Currency=USD","Period=FQ","BEST_FPERIOD_OVERRIDE=FQ","FILING_STATUS=MR","Sort=A","Dates=H","DateFormat=P","Fill=—","Direction=H","UseDPDF=Y")</f>
        <v>#N/A Requesting Data...</v>
      </c>
      <c r="P22" s="21">
        <f>_xll.BDH("AAPL US Equity","ALTMAN_Z_SCORE","FQ4 2014","FQ4 2014","Currency=USD","Period=FQ","BEST_FPERIOD_OVERRIDE=FQ","FILING_STATUS=MR","Sort=A","Dates=H","DateFormat=P","Fill=—","Direction=H","UseDPDF=Y")</f>
        <v>5.1794000000000002</v>
      </c>
      <c r="Q22" s="21">
        <f>_xll.BDH("AAPL US Equity","ALTMAN_Z_SCORE","FQ1 2015","FQ1 2015","Currency=USD","Period=FQ","BEST_FPERIOD_OVERRIDE=FQ","FILING_STATUS=MR","Sort=A","Dates=H","DateFormat=P","Fill=—","Direction=H","UseDPDF=Y")</f>
        <v>5.0429000000000004</v>
      </c>
      <c r="R22" s="21">
        <f>_xll.BDH("AAPL US Equity","ALTMAN_Z_SCORE","FQ2 2015","FQ2 2015","Currency=USD","Period=FQ","BEST_FPERIOD_OVERRIDE=FQ","FILING_STATUS=MR","Sort=A","Dates=H","DateFormat=P","Fill=—","Direction=H","UseDPDF=Y")</f>
        <v>5.5387000000000004</v>
      </c>
      <c r="S22" s="21">
        <f>_xll.BDH("AAPL US Equity","ALTMAN_Z_SCORE","FQ3 2015","FQ3 2015","Currency=USD","Period=FQ","BEST_FPERIOD_OVERRIDE=FQ","FILING_STATUS=MR","Sort=A","Dates=H","DateFormat=P","Fill=—","Direction=H","UseDPDF=Y")</f>
        <v>5.2118000000000002</v>
      </c>
      <c r="T22" s="21">
        <f>_xll.BDH("AAPL US Equity","ALTMAN_Z_SCORE","FQ4 2015","FQ4 2015","Currency=USD","Period=FQ","BEST_FPERIOD_OVERRIDE=FQ","FILING_STATUS=MR","Sort=A","Dates=H","DateFormat=P","Fill=—","Direction=H","UseDPDF=Y")</f>
        <v>4.4583000000000004</v>
      </c>
      <c r="U22" s="21">
        <f>_xll.BDH("AAPL US Equity","ALTMAN_Z_SCORE","FQ1 2016","FQ1 2016","Currency=USD","Period=FQ","BEST_FPERIOD_OVERRIDE=FQ","FILING_STATUS=MR","Sort=A","Dates=H","DateFormat=P","Fill=—","Direction=H","UseDPDF=Y")</f>
        <v>4.3438999999999997</v>
      </c>
      <c r="V22" s="21">
        <f>_xll.BDH("AAPL US Equity","ALTMAN_Z_SCORE","FQ2 2016","FQ2 2016","Currency=USD","Period=FQ","BEST_FPERIOD_OVERRIDE=FQ","FILING_STATUS=MR","Sort=A","Dates=H","DateFormat=P","Fill=—","Direction=H","UseDPDF=Y")</f>
        <v>4.0846</v>
      </c>
      <c r="W22" s="21" t="str">
        <f>_xll.BDH("AAPL US Equity","ALTMAN_Z_SCORE","FQ3 2016","FQ3 2016","Currency=USD","Period=FQ","BEST_FPERIOD_OVERRIDE=FQ","FILING_STATUS=MR","Sort=A","Dates=H","DateFormat=P","Fill=—","Direction=H","UseDPDF=Y")</f>
        <v>#N/A Requesting Data...</v>
      </c>
      <c r="X22" s="21">
        <f>_xll.BDH("AAPL US Equity","ALTMAN_Z_SCORE","FQ4 2016","FQ4 2016","Currency=USD","Period=FQ","BEST_FPERIOD_OVERRIDE=FQ","FILING_STATUS=MR","Sort=A","Dates=H","DateFormat=P","Fill=—","Direction=H","UseDPDF=Y")</f>
        <v>3.7429999999999999</v>
      </c>
      <c r="Y22" s="21" t="str">
        <f>_xll.BDH("AAPL US Equity","ALTMAN_Z_SCORE","FQ1 2017","FQ1 2017","Currency=USD","Period=FQ","BEST_FPERIOD_OVERRIDE=FQ","FILING_STATUS=MR","Sort=A","Dates=H","DateFormat=P","Fill=—","Direction=H","UseDPDF=Y")</f>
        <v>#N/A Requesting Data...</v>
      </c>
      <c r="Z22" s="21">
        <f>_xll.BDH("AAPL US Equity","ALTMAN_Z_SCORE","FQ2 2017","FQ2 2017","Currency=USD","Period=FQ","BEST_FPERIOD_OVERRIDE=FQ","FILING_STATUS=MR","Sort=A","Dates=H","DateFormat=P","Fill=—","Direction=H","UseDPDF=Y")</f>
        <v>4.0692000000000004</v>
      </c>
      <c r="AA22" s="21" t="str">
        <f>_xll.BDH("AAPL US Equity","ALTMAN_Z_SCORE","FQ3 2017","FQ3 2017","Currency=USD","Period=FQ","BEST_FPERIOD_OVERRIDE=FQ","FILING_STATUS=MR","Sort=A","Dates=H","DateFormat=P","Fill=—","Direction=H","UseDPDF=Y")</f>
        <v>#N/A Requesting Data...</v>
      </c>
      <c r="AB22" s="21">
        <f>_xll.BDH("AAPL US Equity","ALTMAN_Z_SCORE","FQ4 2017","FQ4 2017","Currency=USD","Period=FQ","BEST_FPERIOD_OVERRIDE=FQ","FILING_STATUS=MR","Sort=A","Dates=H","DateFormat=P","Fill=—","Direction=H","UseDPDF=Y")</f>
        <v>3.6206</v>
      </c>
      <c r="AC22" s="21">
        <f>_xll.BDH("AAPL US Equity","ALTMAN_Z_SCORE","FQ1 2018","FQ1 2018","Currency=USD","Period=FQ","BEST_FPERIOD_OVERRIDE=FQ","FILING_STATUS=MR","Sort=A","Dates=H","DateFormat=P","Fill=—","Direction=H","UseDPDF=Y")</f>
        <v>3.5206</v>
      </c>
      <c r="AD22" s="21">
        <f>_xll.BDH("AAPL US Equity","ALTMAN_Z_SCORE","FQ2 2018","FQ2 2018","Currency=USD","Period=FQ","BEST_FPERIOD_OVERRIDE=FQ","FILING_STATUS=MR","Sort=A","Dates=H","DateFormat=P","Fill=—","Direction=H","UseDPDF=Y")</f>
        <v>3.9114</v>
      </c>
      <c r="AE22" s="21">
        <f>_xll.BDH("AAPL US Equity","ALTMAN_Z_SCORE","FQ3 2018","FQ3 2018","Currency=USD","Period=FQ","BEST_FPERIOD_OVERRIDE=FQ","FILING_STATUS=MR","Sort=A","Dates=H","DateFormat=P","Fill=—","Direction=H","UseDPDF=Y")</f>
        <v>4.1571999999999996</v>
      </c>
      <c r="AF22" s="21">
        <f>_xll.BDH("AAPL US Equity","ALTMAN_Z_SCORE","FQ4 2018","FQ4 2018","Currency=USD","Period=FQ","BEST_FPERIOD_OVERRIDE=FQ","FILING_STATUS=MR","Sort=A","Dates=H","DateFormat=P","Fill=—","Direction=H","UseDPDF=Y")</f>
        <v>4.2159000000000004</v>
      </c>
      <c r="AG22" s="21">
        <f>_xll.BDH("AAPL US Equity","ALTMAN_Z_SCORE","FQ1 2019","FQ1 2019","Currency=USD","Period=FQ","BEST_FPERIOD_OVERRIDE=FQ","FILING_STATUS=MR","Sort=A","Dates=H","DateFormat=P","Fill=—","Direction=H","UseDPDF=Y")</f>
        <v>3.4451000000000001</v>
      </c>
      <c r="AH22" s="21">
        <f>_xll.BDH("AAPL US Equity","ALTMAN_Z_SCORE","FQ2 2019","FQ2 2019","Currency=USD","Period=FQ","BEST_FPERIOD_OVERRIDE=FQ","FILING_STATUS=MR","Sort=A","Dates=H","DateFormat=P","Fill=—","Direction=H","UseDPDF=Y")</f>
        <v>4.0316000000000001</v>
      </c>
      <c r="AI22" s="21" t="str">
        <f>_xll.BDH("AAPL US Equity","ALTMAN_Z_SCORE","FQ3 2019","FQ3 2019","Currency=USD","Period=FQ","BEST_FPERIOD_OVERRIDE=FQ","FILING_STATUS=MR","Sort=A","Dates=H","DateFormat=P","Fill=—","Direction=H","UseDPDF=Y")</f>
        <v>#N/A Requesting Data...</v>
      </c>
      <c r="AJ22" s="21" t="str">
        <f>_xll.BDH("AAPL US Equity","ALTMAN_Z_SCORE","FQ4 2019","FQ4 2019","Currency=USD","Period=FQ","BEST_FPERIOD_OVERRIDE=FQ","FILING_STATUS=MR","Sort=A","Dates=H","DateFormat=P","Fill=—","Direction=H","UseDPDF=Y")</f>
        <v>#N/A Requesting Data...</v>
      </c>
      <c r="AK22" s="21" t="str">
        <f>_xll.BDH("AAPL US Equity","ALTMAN_Z_SCORE","FQ1 2020","FQ1 2020","Currency=USD","Period=FQ","BEST_FPERIOD_OVERRIDE=FQ","FILING_STATUS=MR","Sort=A","Dates=H","DateFormat=P","Fill=—","Direction=H","UseDPDF=Y")</f>
        <v>#N/A Requesting Data...</v>
      </c>
      <c r="AL22" s="21" t="str">
        <f>_xll.BDH("AAPL US Equity","ALTMAN_Z_SCORE","FQ2 2020","FQ2 2020","Currency=USD","Period=FQ","BEST_FPERIOD_OVERRIDE=FQ","FILING_STATUS=MR","Sort=A","Dates=H","DateFormat=P","Fill=—","Direction=H","UseDPDF=Y")</f>
        <v>#N/A Requesting Data...</v>
      </c>
      <c r="AM22" s="21" t="str">
        <f>_xll.BDH("AAPL US Equity","ALTMAN_Z_SCORE","FQ3 2020","FQ3 2020","Currency=USD","Period=FQ","BEST_FPERIOD_OVERRIDE=FQ","FILING_STATUS=MR","Sort=A","Dates=H","DateFormat=P","Fill=—","Direction=H","UseDPDF=Y")</f>
        <v>#N/A Requesting Data...</v>
      </c>
      <c r="AN22" s="21">
        <f>_xll.BDH("AAPL US Equity","ALTMAN_Z_SCORE","FQ4 2020","FQ4 2020","Currency=USD","Period=FQ","BEST_FPERIOD_OVERRIDE=FQ","FILING_STATUS=MR","Sort=A","Dates=H","DateFormat=P","Fill=—","Direction=H","UseDPDF=Y")</f>
        <v>6.1859000000000002</v>
      </c>
      <c r="AO22" s="21">
        <f>_xll.BDH("AAPL US Equity","ALTMAN_Z_SCORE","FQ1 2021","FQ1 2021","Currency=USD","Period=FQ","BEST_FPERIOD_OVERRIDE=FQ","FILING_STATUS=MR","Sort=A","Dates=H","DateFormat=P","Fill=—","Direction=H","UseDPDF=Y")</f>
        <v>6.3297999999999996</v>
      </c>
      <c r="AP22" s="21">
        <f>_xll.BDH("AAPL US Equity","ALTMAN_Z_SCORE","FQ2 2021","FQ2 2021","Currency=USD","Period=FQ","BEST_FPERIOD_OVERRIDE=FQ","FILING_STATUS=MR","Sort=A","Dates=H","DateFormat=P","Fill=—","Direction=H","UseDPDF=Y")</f>
        <v>6.5084</v>
      </c>
    </row>
    <row r="23" spans="1:42" x14ac:dyDescent="0.25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x14ac:dyDescent="0.25">
      <c r="A24" s="8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</row>
    <row r="25" spans="1:42" x14ac:dyDescent="0.25">
      <c r="A25" s="8" t="s">
        <v>165</v>
      </c>
      <c r="B25" s="8" t="s">
        <v>164</v>
      </c>
      <c r="C25" s="1" t="str">
        <f>_xll.BDH("AAPL US Equity","BS_TOT_COM_PAPER_ISSUED","FQ3 2011","FQ3 2011","Currency=USD","Period=FQ","BEST_FPERIOD_OVERRIDE=FQ","FILING_STATUS=MR","SCALING_FORMAT=MLN","Sort=A","Dates=H","DateFormat=P","Fill=—","Direction=H","UseDPDF=Y")</f>
        <v>—</v>
      </c>
      <c r="D25" s="1" t="str">
        <f>_xll.BDH("AAPL US Equity","BS_TOT_COM_PAPER_ISSUED","FQ4 2011","FQ4 2011","Currency=USD","Period=FQ","BEST_FPERIOD_OVERRIDE=FQ","FILING_STATUS=MR","SCALING_FORMAT=MLN","Sort=A","Dates=H","DateFormat=P","Fill=—","Direction=H","UseDPDF=Y")</f>
        <v>—</v>
      </c>
      <c r="E25" s="1" t="str">
        <f>_xll.BDH("AAPL US Equity","BS_TOT_COM_PAPER_ISSUED","FQ1 2012","FQ1 2012","Currency=USD","Period=FQ","BEST_FPERIOD_OVERRIDE=FQ","FILING_STATUS=MR","SCALING_FORMAT=MLN","Sort=A","Dates=H","DateFormat=P","Fill=—","Direction=H","UseDPDF=Y")</f>
        <v>—</v>
      </c>
      <c r="F25" s="1" t="str">
        <f>_xll.BDH("AAPL US Equity","BS_TOT_COM_PAPER_ISSUED","FQ2 2012","FQ2 2012","Currency=USD","Period=FQ","BEST_FPERIOD_OVERRIDE=FQ","FILING_STATUS=MR","SCALING_FORMAT=MLN","Sort=A","Dates=H","DateFormat=P","Fill=—","Direction=H","UseDPDF=Y")</f>
        <v>—</v>
      </c>
      <c r="G25" s="1" t="str">
        <f>_xll.BDH("AAPL US Equity","BS_TOT_COM_PAPER_ISSUED","FQ3 2012","FQ3 2012","Currency=USD","Period=FQ","BEST_FPERIOD_OVERRIDE=FQ","FILING_STATUS=MR","SCALING_FORMAT=MLN","Sort=A","Dates=H","DateFormat=P","Fill=—","Direction=H","UseDPDF=Y")</f>
        <v>#N/A Requesting Data...</v>
      </c>
      <c r="H25" s="1" t="str">
        <f>_xll.BDH("AAPL US Equity","BS_TOT_COM_PAPER_ISSUED","FQ4 2012","FQ4 2012","Currency=USD","Period=FQ","BEST_FPERIOD_OVERRIDE=FQ","FILING_STATUS=MR","SCALING_FORMAT=MLN","Sort=A","Dates=H","DateFormat=P","Fill=—","Direction=H","UseDPDF=Y")</f>
        <v>—</v>
      </c>
      <c r="I25" s="1" t="str">
        <f>_xll.BDH("AAPL US Equity","BS_TOT_COM_PAPER_ISSUED","FQ1 2013","FQ1 2013","Currency=USD","Period=FQ","BEST_FPERIOD_OVERRIDE=FQ","FILING_STATUS=MR","SCALING_FORMAT=MLN","Sort=A","Dates=H","DateFormat=P","Fill=—","Direction=H","UseDPDF=Y")</f>
        <v>#N/A Requesting Data...</v>
      </c>
      <c r="J25" s="1" t="str">
        <f>_xll.BDH("AAPL US Equity","BS_TOT_COM_PAPER_ISSUED","FQ2 2013","FQ2 2013","Currency=USD","Period=FQ","BEST_FPERIOD_OVERRIDE=FQ","FILING_STATUS=MR","SCALING_FORMAT=MLN","Sort=A","Dates=H","DateFormat=P","Fill=—","Direction=H","UseDPDF=Y")</f>
        <v>—</v>
      </c>
      <c r="K25" s="1" t="str">
        <f>_xll.BDH("AAPL US Equity","BS_TOT_COM_PAPER_ISSUED","FQ3 2013","FQ3 2013","Currency=USD","Period=FQ","BEST_FPERIOD_OVERRIDE=FQ","FILING_STATUS=MR","SCALING_FORMAT=MLN","Sort=A","Dates=H","DateFormat=P","Fill=—","Direction=H","UseDPDF=Y")</f>
        <v>#N/A Requesting Data...</v>
      </c>
      <c r="L25" s="1">
        <f>_xll.BDH("AAPL US Equity","BS_TOT_COM_PAPER_ISSUED","FQ4 2013","FQ4 2013","Currency=USD","Period=FQ","BEST_FPERIOD_OVERRIDE=FQ","FILING_STATUS=MR","SCALING_FORMAT=MLN","Sort=A","Dates=H","DateFormat=P","Fill=—","Direction=H","UseDPDF=Y")</f>
        <v>0</v>
      </c>
      <c r="M25" s="1" t="str">
        <f>_xll.BDH("AAPL US Equity","BS_TOT_COM_PAPER_ISSUED","FQ1 2014","FQ1 2014","Currency=USD","Period=FQ","BEST_FPERIOD_OVERRIDE=FQ","FILING_STATUS=MR","SCALING_FORMAT=MLN","Sort=A","Dates=H","DateFormat=P","Fill=—","Direction=H","UseDPDF=Y")</f>
        <v>—</v>
      </c>
      <c r="N25" s="1" t="str">
        <f>_xll.BDH("AAPL US Equity","BS_TOT_COM_PAPER_ISSUED","FQ2 2014","FQ2 2014","Currency=USD","Period=FQ","BEST_FPERIOD_OVERRIDE=FQ","FILING_STATUS=MR","SCALING_FORMAT=MLN","Sort=A","Dates=H","DateFormat=P","Fill=—","Direction=H","UseDPDF=Y")</f>
        <v>—</v>
      </c>
      <c r="O25" s="1">
        <f>_xll.BDH("AAPL US Equity","BS_TOT_COM_PAPER_ISSUED","FQ3 2014","FQ3 2014","Currency=USD","Period=FQ","BEST_FPERIOD_OVERRIDE=FQ","FILING_STATUS=MR","SCALING_FORMAT=MLN","Sort=A","Dates=H","DateFormat=P","Fill=—","Direction=H","UseDPDF=Y")</f>
        <v>2010</v>
      </c>
      <c r="P25" s="1">
        <f>_xll.BDH("AAPL US Equity","BS_TOT_COM_PAPER_ISSUED","FQ4 2014","FQ4 2014","Currency=USD","Period=FQ","BEST_FPERIOD_OVERRIDE=FQ","FILING_STATUS=MR","SCALING_FORMAT=MLN","Sort=A","Dates=H","DateFormat=P","Fill=—","Direction=H","UseDPDF=Y")</f>
        <v>6308</v>
      </c>
      <c r="Q25" s="1">
        <f>_xll.BDH("AAPL US Equity","BS_TOT_COM_PAPER_ISSUED","FQ1 2015","FQ1 2015","Currency=USD","Period=FQ","BEST_FPERIOD_OVERRIDE=FQ","FILING_STATUS=MR","SCALING_FORMAT=MLN","Sort=A","Dates=H","DateFormat=P","Fill=—","Direction=H","UseDPDF=Y")</f>
        <v>3899</v>
      </c>
      <c r="R25" s="1">
        <f>_xll.BDH("AAPL US Equity","BS_TOT_COM_PAPER_ISSUED","FQ2 2015","FQ2 2015","Currency=USD","Period=FQ","BEST_FPERIOD_OVERRIDE=FQ","FILING_STATUS=MR","SCALING_FORMAT=MLN","Sort=A","Dates=H","DateFormat=P","Fill=—","Direction=H","UseDPDF=Y")</f>
        <v>3799</v>
      </c>
      <c r="S25" s="1" t="str">
        <f>_xll.BDH("AAPL US Equity","BS_TOT_COM_PAPER_ISSUED","FQ3 2015","FQ3 2015","Currency=USD","Period=FQ","BEST_FPERIOD_OVERRIDE=FQ","FILING_STATUS=MR","SCALING_FORMAT=MLN","Sort=A","Dates=H","DateFormat=P","Fill=—","Direction=H","UseDPDF=Y")</f>
        <v>#N/A Requesting Data...</v>
      </c>
      <c r="T25" s="1">
        <f>_xll.BDH("AAPL US Equity","BS_TOT_COM_PAPER_ISSUED","FQ4 2015","FQ4 2015","Currency=USD","Period=FQ","BEST_FPERIOD_OVERRIDE=FQ","FILING_STATUS=MR","SCALING_FORMAT=MLN","Sort=A","Dates=H","DateFormat=P","Fill=—","Direction=H","UseDPDF=Y")</f>
        <v>8499</v>
      </c>
      <c r="U25" s="1">
        <f>_xll.BDH("AAPL US Equity","BS_TOT_COM_PAPER_ISSUED","FQ1 2016","FQ1 2016","Currency=USD","Period=FQ","BEST_FPERIOD_OVERRIDE=FQ","FILING_STATUS=MR","SCALING_FORMAT=MLN","Sort=A","Dates=H","DateFormat=P","Fill=—","Direction=H","UseDPDF=Y")</f>
        <v>7259</v>
      </c>
      <c r="V25" s="1" t="str">
        <f>_xll.BDH("AAPL US Equity","BS_TOT_COM_PAPER_ISSUED","FQ2 2016","FQ2 2016","Currency=USD","Period=FQ","BEST_FPERIOD_OVERRIDE=FQ","FILING_STATUS=MR","SCALING_FORMAT=MLN","Sort=A","Dates=H","DateFormat=P","Fill=—","Direction=H","UseDPDF=Y")</f>
        <v>#N/A Requesting Data...</v>
      </c>
      <c r="W25" s="1">
        <f>_xll.BDH("AAPL US Equity","BS_TOT_COM_PAPER_ISSUED","FQ3 2016","FQ3 2016","Currency=USD","Period=FQ","BEST_FPERIOD_OVERRIDE=FQ","FILING_STATUS=MR","SCALING_FORMAT=MLN","Sort=A","Dates=H","DateFormat=P","Fill=—","Direction=H","UseDPDF=Y")</f>
        <v>12496</v>
      </c>
      <c r="X25" s="1">
        <f>_xll.BDH("AAPL US Equity","BS_TOT_COM_PAPER_ISSUED","FQ4 2016","FQ4 2016","Currency=USD","Period=FQ","BEST_FPERIOD_OVERRIDE=FQ","FILING_STATUS=MR","SCALING_FORMAT=MLN","Sort=A","Dates=H","DateFormat=P","Fill=—","Direction=H","UseDPDF=Y")</f>
        <v>8105</v>
      </c>
      <c r="Y25" s="1">
        <f>_xll.BDH("AAPL US Equity","BS_TOT_COM_PAPER_ISSUED","FQ1 2017","FQ1 2017","Currency=USD","Period=FQ","BEST_FPERIOD_OVERRIDE=FQ","FILING_STATUS=MR","SCALING_FORMAT=MLN","Sort=A","Dates=H","DateFormat=P","Fill=—","Direction=H","UseDPDF=Y")</f>
        <v>10493</v>
      </c>
      <c r="Z25" s="1">
        <f>_xll.BDH("AAPL US Equity","BS_TOT_COM_PAPER_ISSUED","FQ2 2017","FQ2 2017","Currency=USD","Period=FQ","BEST_FPERIOD_OVERRIDE=FQ","FILING_STATUS=MR","SCALING_FORMAT=MLN","Sort=A","Dates=H","DateFormat=P","Fill=—","Direction=H","UseDPDF=Y")</f>
        <v>9992</v>
      </c>
      <c r="AA25" s="1">
        <f>_xll.BDH("AAPL US Equity","BS_TOT_COM_PAPER_ISSUED","FQ3 2017","FQ3 2017","Currency=USD","Period=FQ","BEST_FPERIOD_OVERRIDE=FQ","FILING_STATUS=MR","SCALING_FORMAT=MLN","Sort=A","Dates=H","DateFormat=P","Fill=—","Direction=H","UseDPDF=Y")</f>
        <v>11980</v>
      </c>
      <c r="AB25" s="1">
        <f>_xll.BDH("AAPL US Equity","BS_TOT_COM_PAPER_ISSUED","FQ4 2017","FQ4 2017","Currency=USD","Period=FQ","BEST_FPERIOD_OVERRIDE=FQ","FILING_STATUS=MR","SCALING_FORMAT=MLN","Sort=A","Dates=H","DateFormat=P","Fill=—","Direction=H","UseDPDF=Y")</f>
        <v>11977</v>
      </c>
      <c r="AC25" s="1">
        <f>_xll.BDH("AAPL US Equity","BS_TOT_COM_PAPER_ISSUED","FQ1 2018","FQ1 2018","Currency=USD","Period=FQ","BEST_FPERIOD_OVERRIDE=FQ","FILING_STATUS=MR","SCALING_FORMAT=MLN","Sort=A","Dates=H","DateFormat=P","Fill=—","Direction=H","UseDPDF=Y")</f>
        <v>11980</v>
      </c>
      <c r="AD25" s="1">
        <f>_xll.BDH("AAPL US Equity","BS_TOT_COM_PAPER_ISSUED","FQ2 2018","FQ2 2018","Currency=USD","Period=FQ","BEST_FPERIOD_OVERRIDE=FQ","FILING_STATUS=MR","SCALING_FORMAT=MLN","Sort=A","Dates=H","DateFormat=P","Fill=—","Direction=H","UseDPDF=Y")</f>
        <v>11977</v>
      </c>
      <c r="AE25" s="1">
        <f>_xll.BDH("AAPL US Equity","BS_TOT_COM_PAPER_ISSUED","FQ3 2018","FQ3 2018","Currency=USD","Period=FQ","BEST_FPERIOD_OVERRIDE=FQ","FILING_STATUS=MR","SCALING_FORMAT=MLN","Sort=A","Dates=H","DateFormat=P","Fill=—","Direction=H","UseDPDF=Y")</f>
        <v>11974</v>
      </c>
      <c r="AF25" s="1">
        <f>_xll.BDH("AAPL US Equity","BS_TOT_COM_PAPER_ISSUED","FQ4 2018","FQ4 2018","Currency=USD","Period=FQ","BEST_FPERIOD_OVERRIDE=FQ","FILING_STATUS=MR","SCALING_FORMAT=MLN","Sort=A","Dates=H","DateFormat=P","Fill=—","Direction=H","UseDPDF=Y")</f>
        <v>11964</v>
      </c>
      <c r="AG25" s="1" t="str">
        <f>_xll.BDH("AAPL US Equity","BS_TOT_COM_PAPER_ISSUED","FQ1 2019","FQ1 2019","Currency=USD","Period=FQ","BEST_FPERIOD_OVERRIDE=FQ","FILING_STATUS=MR","SCALING_FORMAT=MLN","Sort=A","Dates=H","DateFormat=P","Fill=—","Direction=H","UseDPDF=Y")</f>
        <v>#N/A Requesting Data...</v>
      </c>
      <c r="AH25" s="1" t="str">
        <f>_xll.BDH("AAPL US Equity","BS_TOT_COM_PAPER_ISSUED","FQ2 2019","FQ2 2019","Currency=USD","Period=FQ","BEST_FPERIOD_OVERRIDE=FQ","FILING_STATUS=MR","SCALING_FORMAT=MLN","Sort=A","Dates=H","DateFormat=P","Fill=—","Direction=H","UseDPDF=Y")</f>
        <v>#N/A Requesting Data...</v>
      </c>
      <c r="AI25" s="1" t="str">
        <f>_xll.BDH("AAPL US Equity","BS_TOT_COM_PAPER_ISSUED","FQ3 2019","FQ3 2019","Currency=USD","Period=FQ","BEST_FPERIOD_OVERRIDE=FQ","FILING_STATUS=MR","SCALING_FORMAT=MLN","Sort=A","Dates=H","DateFormat=P","Fill=—","Direction=H","UseDPDF=Y")</f>
        <v>#N/A Requesting Data...</v>
      </c>
      <c r="AJ25" s="1">
        <f>_xll.BDH("AAPL US Equity","BS_TOT_COM_PAPER_ISSUED","FQ4 2019","FQ4 2019","Currency=USD","Period=FQ","BEST_FPERIOD_OVERRIDE=FQ","FILING_STATUS=MR","SCALING_FORMAT=MLN","Sort=A","Dates=H","DateFormat=P","Fill=—","Direction=H","UseDPDF=Y")</f>
        <v>5980</v>
      </c>
      <c r="AK25" s="1">
        <f>_xll.BDH("AAPL US Equity","BS_TOT_COM_PAPER_ISSUED","FQ1 2020","FQ1 2020","Currency=USD","Period=FQ","BEST_FPERIOD_OVERRIDE=FQ","FILING_STATUS=MR","SCALING_FORMAT=MLN","Sort=A","Dates=H","DateFormat=P","Fill=—","Direction=H","UseDPDF=Y")</f>
        <v>4990</v>
      </c>
      <c r="AL25" s="1">
        <f>_xll.BDH("AAPL US Equity","BS_TOT_COM_PAPER_ISSUED","FQ2 2020","FQ2 2020","Currency=USD","Period=FQ","BEST_FPERIOD_OVERRIDE=FQ","FILING_STATUS=MR","SCALING_FORMAT=MLN","Sort=A","Dates=H","DateFormat=P","Fill=—","Direction=H","UseDPDF=Y")</f>
        <v>10029</v>
      </c>
      <c r="AM25" s="1">
        <f>_xll.BDH("AAPL US Equity","BS_TOT_COM_PAPER_ISSUED","FQ3 2020","FQ3 2020","Currency=USD","Period=FQ","BEST_FPERIOD_OVERRIDE=FQ","FILING_STATUS=MR","SCALING_FORMAT=MLN","Sort=A","Dates=H","DateFormat=P","Fill=—","Direction=H","UseDPDF=Y")</f>
        <v>11166</v>
      </c>
      <c r="AN25" s="1">
        <f>_xll.BDH("AAPL US Equity","BS_TOT_COM_PAPER_ISSUED","FQ4 2020","FQ4 2020","Currency=USD","Period=FQ","BEST_FPERIOD_OVERRIDE=FQ","FILING_STATUS=MR","SCALING_FORMAT=MLN","Sort=A","Dates=H","DateFormat=P","Fill=—","Direction=H","UseDPDF=Y")</f>
        <v>4996</v>
      </c>
      <c r="AO25" s="1">
        <f>_xll.BDH("AAPL US Equity","BS_TOT_COM_PAPER_ISSUED","FQ1 2021","FQ1 2021","Currency=USD","Period=FQ","BEST_FPERIOD_OVERRIDE=FQ","FILING_STATUS=MR","SCALING_FORMAT=MLN","Sort=A","Dates=H","DateFormat=P","Fill=—","Direction=H","UseDPDF=Y")</f>
        <v>5000</v>
      </c>
      <c r="AP25" s="1">
        <f>_xll.BDH("AAPL US Equity","BS_TOT_COM_PAPER_ISSUED","FQ2 2021","FQ2 2021","Currency=USD","Period=FQ","BEST_FPERIOD_OVERRIDE=FQ","FILING_STATUS=MR","SCALING_FORMAT=MLN","Sort=A","Dates=H","DateFormat=P","Fill=—","Direction=H","UseDPDF=Y")</f>
        <v>5000</v>
      </c>
    </row>
    <row r="26" spans="1:42" x14ac:dyDescent="0.25">
      <c r="A26" s="15" t="s">
        <v>122</v>
      </c>
      <c r="B26" s="15"/>
      <c r="C26" s="15" t="s">
        <v>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194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</row>
    <row r="5" spans="1:42" x14ac:dyDescent="0.25">
      <c r="A5" s="4" t="s">
        <v>43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8" t="s">
        <v>193</v>
      </c>
      <c r="B6" s="8" t="s">
        <v>192</v>
      </c>
      <c r="C6" s="21">
        <f>_xll.BDH("AAPL US Equity","CASH_RATIO","FQ3 2011","FQ3 2011","Currency=USD","Period=FQ","BEST_FPERIOD_OVERRIDE=FQ","FILING_STATUS=MR","Sort=A","Dates=H","DateFormat=P","Fill=—","Direction=H","UseDPDF=Y")</f>
        <v>1.0571999999999999</v>
      </c>
      <c r="D6" s="21">
        <f>_xll.BDH("AAPL US Equity","CASH_RATIO","FQ4 2011","FQ4 2011","Currency=USD","Period=FQ","BEST_FPERIOD_OVERRIDE=FQ","FILING_STATUS=MR","Sort=A","Dates=H","DateFormat=P","Fill=—","Direction=H","UseDPDF=Y")</f>
        <v>0.92789999999999995</v>
      </c>
      <c r="E6" s="21">
        <f>_xll.BDH("AAPL US Equity","CASH_RATIO","FQ1 2012","FQ1 2012","Currency=USD","Period=FQ","BEST_FPERIOD_OVERRIDE=FQ","FILING_STATUS=MR","Sort=A","Dates=H","DateFormat=P","Fill=—","Direction=H","UseDPDF=Y")</f>
        <v>0.87139999999999995</v>
      </c>
      <c r="F6" s="21">
        <f>_xll.BDH("AAPL US Equity","CASH_RATIO","FQ2 2012","FQ2 2012","Currency=USD","Period=FQ","BEST_FPERIOD_OVERRIDE=FQ","FILING_STATUS=MR","Sort=A","Dates=H","DateFormat=P","Fill=—","Direction=H","UseDPDF=Y")</f>
        <v>0.89080000000000004</v>
      </c>
      <c r="G6" s="21">
        <f>_xll.BDH("AAPL US Equity","CASH_RATIO","FQ3 2012","FQ3 2012","Currency=USD","Period=FQ","BEST_FPERIOD_OVERRIDE=FQ","FILING_STATUS=MR","Sort=A","Dates=H","DateFormat=P","Fill=—","Direction=H","UseDPDF=Y")</f>
        <v>0.83650000000000002</v>
      </c>
      <c r="H6" s="21">
        <f>_xll.BDH("AAPL US Equity","CASH_RATIO","FQ4 2012","FQ4 2012","Currency=USD","Period=FQ","BEST_FPERIOD_OVERRIDE=FQ","FILING_STATUS=MR","Sort=A","Dates=H","DateFormat=P","Fill=—","Direction=H","UseDPDF=Y")</f>
        <v>0.75580000000000003</v>
      </c>
      <c r="I6" s="21">
        <f>_xll.BDH("AAPL US Equity","CASH_RATIO","FQ1 2013","FQ1 2013","Currency=USD","Period=FQ","BEST_FPERIOD_OVERRIDE=FQ","FILING_STATUS=MR","Sort=A","Dates=H","DateFormat=P","Fill=—","Direction=H","UseDPDF=Y")</f>
        <v>0.84940000000000004</v>
      </c>
      <c r="J6" s="21">
        <f>_xll.BDH("AAPL US Equity","CASH_RATIO","FQ2 2013","FQ2 2013","Currency=USD","Period=FQ","BEST_FPERIOD_OVERRIDE=FQ","FILING_STATUS=MR","Sort=A","Dates=H","DateFormat=P","Fill=—","Direction=H","UseDPDF=Y")</f>
        <v>1.1022000000000001</v>
      </c>
      <c r="K6" s="21">
        <f>_xll.BDH("AAPL US Equity","CASH_RATIO","FQ3 2013","FQ3 2013","Currency=USD","Period=FQ","BEST_FPERIOD_OVERRIDE=FQ","FILING_STATUS=MR","Sort=A","Dates=H","DateFormat=P","Fill=—","Direction=H","UseDPDF=Y")</f>
        <v>1.1731</v>
      </c>
      <c r="L6" s="21">
        <f>_xll.BDH("AAPL US Equity","CASH_RATIO","FQ4 2013","FQ4 2013","Currency=USD","Period=FQ","BEST_FPERIOD_OVERRIDE=FQ","FILING_STATUS=MR","Sort=A","Dates=H","DateFormat=P","Fill=—","Direction=H","UseDPDF=Y")</f>
        <v>0.92869999999999997</v>
      </c>
      <c r="M6" s="21">
        <f>_xll.BDH("AAPL US Equity","CASH_RATIO","FQ1 2014","FQ1 2014","Currency=USD","Period=FQ","BEST_FPERIOD_OVERRIDE=FQ","FILING_STATUS=MR","Sort=A","Dates=H","DateFormat=P","Fill=—","Direction=H","UseDPDF=Y")</f>
        <v>0.7571</v>
      </c>
      <c r="N6" s="21">
        <f>_xll.BDH("AAPL US Equity","CASH_RATIO","FQ2 2014","FQ2 2014","Currency=USD","Period=FQ","BEST_FPERIOD_OVERRIDE=FQ","FILING_STATUS=MR","Sort=A","Dates=H","DateFormat=P","Fill=—","Direction=H","UseDPDF=Y")</f>
        <v>0.95699999999999996</v>
      </c>
      <c r="O6" s="21">
        <f>_xll.BDH("AAPL US Equity","CASH_RATIO","FQ3 2014","FQ3 2014","Currency=USD","Period=FQ","BEST_FPERIOD_OVERRIDE=FQ","FILING_STATUS=MR","Sort=A","Dates=H","DateFormat=P","Fill=—","Direction=H","UseDPDF=Y")</f>
        <v>0.81820000000000004</v>
      </c>
      <c r="P6" s="21">
        <f>_xll.BDH("AAPL US Equity","CASH_RATIO","FQ4 2014","FQ4 2014","Currency=USD","Period=FQ","BEST_FPERIOD_OVERRIDE=FQ","FILING_STATUS=MR","Sort=A","Dates=H","DateFormat=P","Fill=—","Direction=H","UseDPDF=Y")</f>
        <v>0.3952</v>
      </c>
      <c r="Q6" s="21">
        <f>_xll.BDH("AAPL US Equity","CASH_RATIO","FQ1 2015","FQ1 2015","Currency=USD","Period=FQ","BEST_FPERIOD_OVERRIDE=FQ","FILING_STATUS=MR","Sort=A","Dates=H","DateFormat=P","Fill=—","Direction=H","UseDPDF=Y")</f>
        <v>0.441</v>
      </c>
      <c r="R6" s="21">
        <f>_xll.BDH("AAPL US Equity","CASH_RATIO","FQ2 2015","FQ2 2015","Currency=USD","Period=FQ","BEST_FPERIOD_OVERRIDE=FQ","FILING_STATUS=MR","Sort=A","Dates=H","DateFormat=P","Fill=—","Direction=H","UseDPDF=Y")</f>
        <v>0.5635</v>
      </c>
      <c r="S6" s="21">
        <f>_xll.BDH("AAPL US Equity","CASH_RATIO","FQ3 2015","FQ3 2015","Currency=USD","Period=FQ","BEST_FPERIOD_OVERRIDE=FQ","FILING_STATUS=MR","Sort=A","Dates=H","DateFormat=P","Fill=—","Direction=H","UseDPDF=Y")</f>
        <v>0.53159999999999996</v>
      </c>
      <c r="T6" s="21">
        <f>_xll.BDH("AAPL US Equity","CASH_RATIO","FQ4 2015","FQ4 2015","Currency=USD","Period=FQ","BEST_FPERIOD_OVERRIDE=FQ","FILING_STATUS=MR","Sort=A","Dates=H","DateFormat=P","Fill=—","Direction=H","UseDPDF=Y")</f>
        <v>0.5161</v>
      </c>
      <c r="U6" s="21">
        <f>_xll.BDH("AAPL US Equity","CASH_RATIO","FQ1 2016","FQ1 2016","Currency=USD","Period=FQ","BEST_FPERIOD_OVERRIDE=FQ","FILING_STATUS=MR","Sort=A","Dates=H","DateFormat=P","Fill=—","Direction=H","UseDPDF=Y")</f>
        <v>0.50039999999999996</v>
      </c>
      <c r="V6" s="21">
        <f>_xll.BDH("AAPL US Equity","CASH_RATIO","FQ2 2016","FQ2 2016","Currency=USD","Period=FQ","BEST_FPERIOD_OVERRIDE=FQ","FILING_STATUS=MR","Sort=A","Dates=H","DateFormat=P","Fill=—","Direction=H","UseDPDF=Y")</f>
        <v>0.80979999999999996</v>
      </c>
      <c r="W6" s="21">
        <f>_xll.BDH("AAPL US Equity","CASH_RATIO","FQ3 2016","FQ3 2016","Currency=USD","Period=FQ","BEST_FPERIOD_OVERRIDE=FQ","FILING_STATUS=MR","Sort=A","Dates=H","DateFormat=P","Fill=—","Direction=H","UseDPDF=Y")</f>
        <v>0.8639</v>
      </c>
      <c r="X6" s="21">
        <f>_xll.BDH("AAPL US Equity","CASH_RATIO","FQ4 2016","FQ4 2016","Currency=USD","Period=FQ","BEST_FPERIOD_OVERRIDE=FQ","FILING_STATUS=MR","Sort=A","Dates=H","DateFormat=P","Fill=—","Direction=H","UseDPDF=Y")</f>
        <v>0.85</v>
      </c>
      <c r="Y6" s="21">
        <f>_xll.BDH("AAPL US Equity","CASH_RATIO","FQ1 2017","FQ1 2017","Currency=USD","Period=FQ","BEST_FPERIOD_OVERRIDE=FQ","FILING_STATUS=MR","Sort=A","Dates=H","DateFormat=P","Fill=—","Direction=H","UseDPDF=Y")</f>
        <v>0.71860000000000002</v>
      </c>
      <c r="Z6" s="21">
        <f>_xll.BDH("AAPL US Equity","CASH_RATIO","FQ2 2017","FQ2 2017","Currency=USD","Period=FQ","BEST_FPERIOD_OVERRIDE=FQ","FILING_STATUS=MR","Sort=A","Dates=H","DateFormat=P","Fill=—","Direction=H","UseDPDF=Y")</f>
        <v>0.91490000000000005</v>
      </c>
      <c r="AA6" s="21">
        <f>_xll.BDH("AAPL US Equity","CASH_RATIO","FQ3 2017","FQ3 2017","Currency=USD","Period=FQ","BEST_FPERIOD_OVERRIDE=FQ","FILING_STATUS=MR","Sort=A","Dates=H","DateFormat=P","Fill=—","Direction=H","UseDPDF=Y")</f>
        <v>0.94410000000000005</v>
      </c>
      <c r="AB6" s="21">
        <f>_xll.BDH("AAPL US Equity","CASH_RATIO","FQ4 2017","FQ4 2017","Currency=USD","Period=FQ","BEST_FPERIOD_OVERRIDE=FQ","FILING_STATUS=MR","Sort=A","Dates=H","DateFormat=P","Fill=—","Direction=H","UseDPDF=Y")</f>
        <v>0.73580000000000001</v>
      </c>
      <c r="AC6" s="21">
        <f>_xll.BDH("AAPL US Equity","CASH_RATIO","FQ1 2018","FQ1 2018","Currency=USD","Period=FQ","BEST_FPERIOD_OVERRIDE=FQ","FILING_STATUS=MR","Sort=A","Dates=H","DateFormat=P","Fill=—","Direction=H","UseDPDF=Y")</f>
        <v>0.6663</v>
      </c>
      <c r="AD6" s="21">
        <f>_xll.BDH("AAPL US Equity","CASH_RATIO","FQ2 2018","FQ2 2018","Currency=USD","Period=FQ","BEST_FPERIOD_OVERRIDE=FQ","FILING_STATUS=MR","Sort=A","Dates=H","DateFormat=P","Fill=—","Direction=H","UseDPDF=Y")</f>
        <v>0.98450000000000004</v>
      </c>
      <c r="AE6" s="21">
        <f>_xll.BDH("AAPL US Equity","CASH_RATIO","FQ3 2018","FQ3 2018","Currency=USD","Period=FQ","BEST_FPERIOD_OVERRIDE=FQ","FILING_STATUS=MR","Sort=A","Dates=H","DateFormat=P","Fill=—","Direction=H","UseDPDF=Y")</f>
        <v>0.80149999999999999</v>
      </c>
      <c r="AF6" s="21">
        <f>_xll.BDH("AAPL US Equity","CASH_RATIO","FQ4 2018","FQ4 2018","Currency=USD","Period=FQ","BEST_FPERIOD_OVERRIDE=FQ","FILING_STATUS=MR","Sort=A","Dates=H","DateFormat=P","Fill=—","Direction=H","UseDPDF=Y")</f>
        <v>0.57189999999999996</v>
      </c>
      <c r="AG6" s="21">
        <f>_xll.BDH("AAPL US Equity","CASH_RATIO","FQ1 2019","FQ1 2019","Currency=USD","Period=FQ","BEST_FPERIOD_OVERRIDE=FQ","FILING_STATUS=MR","Sort=A","Dates=H","DateFormat=P","Fill=—","Direction=H","UseDPDF=Y")</f>
        <v>0.79820000000000002</v>
      </c>
      <c r="AH6" s="21">
        <f>_xll.BDH("AAPL US Equity","CASH_RATIO","FQ2 2019","FQ2 2019","Currency=USD","Period=FQ","BEST_FPERIOD_OVERRIDE=FQ","FILING_STATUS=MR","Sort=A","Dates=H","DateFormat=P","Fill=—","Direction=H","UseDPDF=Y")</f>
        <v>0.85409999999999997</v>
      </c>
      <c r="AI6" s="21">
        <f>_xll.BDH("AAPL US Equity","CASH_RATIO","FQ3 2019","FQ3 2019","Currency=USD","Period=FQ","BEST_FPERIOD_OVERRIDE=FQ","FILING_STATUS=MR","Sort=A","Dates=H","DateFormat=P","Fill=—","Direction=H","UseDPDF=Y")</f>
        <v>1.0547</v>
      </c>
      <c r="AJ6" s="21">
        <f>_xll.BDH("AAPL US Equity","CASH_RATIO","FQ4 2019","FQ4 2019","Currency=USD","Period=FQ","BEST_FPERIOD_OVERRIDE=FQ","FILING_STATUS=MR","Sort=A","Dates=H","DateFormat=P","Fill=—","Direction=H","UseDPDF=Y")</f>
        <v>0.95120000000000005</v>
      </c>
      <c r="AK6" s="21">
        <f>_xll.BDH("AAPL US Equity","CASH_RATIO","FQ1 2020","FQ1 2020","Currency=USD","Period=FQ","BEST_FPERIOD_OVERRIDE=FQ","FILING_STATUS=MR","Sort=A","Dates=H","DateFormat=P","Fill=—","Direction=H","UseDPDF=Y")</f>
        <v>1.0489999999999999</v>
      </c>
      <c r="AL6" s="21">
        <f>_xll.BDH("AAPL US Equity","CASH_RATIO","FQ2 2020","FQ2 2020","Currency=USD","Period=FQ","BEST_FPERIOD_OVERRIDE=FQ","FILING_STATUS=MR","Sort=A","Dates=H","DateFormat=P","Fill=—","Direction=H","UseDPDF=Y")</f>
        <v>0.97870000000000001</v>
      </c>
      <c r="AM6" s="21">
        <f>_xll.BDH("AAPL US Equity","CASH_RATIO","FQ3 2020","FQ3 2020","Currency=USD","Period=FQ","BEST_FPERIOD_OVERRIDE=FQ","FILING_STATUS=MR","Sort=A","Dates=H","DateFormat=P","Fill=—","Direction=H","UseDPDF=Y")</f>
        <v>0.97589999999999999</v>
      </c>
      <c r="AN6" s="21">
        <f>_xll.BDH("AAPL US Equity","CASH_RATIO","FQ4 2020","FQ4 2020","Currency=USD","Period=FQ","BEST_FPERIOD_OVERRIDE=FQ","FILING_STATUS=MR","Sort=A","Dates=H","DateFormat=P","Fill=—","Direction=H","UseDPDF=Y")</f>
        <v>0.8629</v>
      </c>
      <c r="AO6" s="21">
        <f>_xll.BDH("AAPL US Equity","CASH_RATIO","FQ1 2021","FQ1 2021","Currency=USD","Period=FQ","BEST_FPERIOD_OVERRIDE=FQ","FILING_STATUS=MR","Sort=A","Dates=H","DateFormat=P","Fill=—","Direction=H","UseDPDF=Y")</f>
        <v>0.57979999999999998</v>
      </c>
      <c r="AP6" s="21">
        <f>_xll.BDH("AAPL US Equity","CASH_RATIO","FQ2 2021","FQ2 2021","Currency=USD","Period=FQ","BEST_FPERIOD_OVERRIDE=FQ","FILING_STATUS=MR","Sort=A","Dates=H","DateFormat=P","Fill=—","Direction=H","UseDPDF=Y")</f>
        <v>0.65639999999999998</v>
      </c>
    </row>
    <row r="7" spans="1:42" x14ac:dyDescent="0.25">
      <c r="A7" s="8" t="s">
        <v>191</v>
      </c>
      <c r="B7" s="8" t="s">
        <v>190</v>
      </c>
      <c r="C7" s="21">
        <f>_xll.BDH("AAPL US Equity","CUR_RATIO","FQ3 2011","FQ3 2011","Currency=USD","Period=FQ","BEST_FPERIOD_OVERRIDE=FQ","FILING_STATUS=MR","Sort=A","Dates=H","DateFormat=P","Fill=—","Direction=H","UseDPDF=Y")</f>
        <v>1.7461</v>
      </c>
      <c r="D7" s="21">
        <f>_xll.BDH("AAPL US Equity","CUR_RATIO","FQ4 2011","FQ4 2011","Currency=USD","Period=FQ","BEST_FPERIOD_OVERRIDE=FQ","FILING_STATUS=MR","Sort=A","Dates=H","DateFormat=P","Fill=—","Direction=H","UseDPDF=Y")</f>
        <v>1.6084000000000001</v>
      </c>
      <c r="E7" s="21">
        <f>_xll.BDH("AAPL US Equity","CUR_RATIO","FQ1 2012","FQ1 2012","Currency=USD","Period=FQ","BEST_FPERIOD_OVERRIDE=FQ","FILING_STATUS=MR","Sort=A","Dates=H","DateFormat=P","Fill=—","Direction=H","UseDPDF=Y")</f>
        <v>1.5827</v>
      </c>
      <c r="F7" s="21">
        <f>_xll.BDH("AAPL US Equity","CUR_RATIO","FQ2 2012","FQ2 2012","Currency=USD","Period=FQ","BEST_FPERIOD_OVERRIDE=FQ","FILING_STATUS=MR","Sort=A","Dates=H","DateFormat=P","Fill=—","Direction=H","UseDPDF=Y")</f>
        <v>1.583</v>
      </c>
      <c r="G7" s="21">
        <f>_xll.BDH("AAPL US Equity","CUR_RATIO","FQ3 2012","FQ3 2012","Currency=USD","Period=FQ","BEST_FPERIOD_OVERRIDE=FQ","FILING_STATUS=MR","Sort=A","Dates=H","DateFormat=P","Fill=—","Direction=H","UseDPDF=Y")</f>
        <v>1.5712000000000002</v>
      </c>
      <c r="H7" s="21">
        <f>_xll.BDH("AAPL US Equity","CUR_RATIO","FQ4 2012","FQ4 2012","Currency=USD","Period=FQ","BEST_FPERIOD_OVERRIDE=FQ","FILING_STATUS=MR","Sort=A","Dates=H","DateFormat=P","Fill=—","Direction=H","UseDPDF=Y")</f>
        <v>1.4958</v>
      </c>
      <c r="I7" s="21">
        <f>_xll.BDH("AAPL US Equity","CUR_RATIO","FQ1 2013","FQ1 2013","Currency=USD","Period=FQ","BEST_FPERIOD_OVERRIDE=FQ","FILING_STATUS=MR","Sort=A","Dates=H","DateFormat=P","Fill=—","Direction=H","UseDPDF=Y")</f>
        <v>1.5432999999999999</v>
      </c>
      <c r="J7" s="21">
        <f>_xll.BDH("AAPL US Equity","CUR_RATIO","FQ2 2013","FQ2 2013","Currency=USD","Period=FQ","BEST_FPERIOD_OVERRIDE=FQ","FILING_STATUS=MR","Sort=A","Dates=H","DateFormat=P","Fill=—","Direction=H","UseDPDF=Y")</f>
        <v>1.7837000000000001</v>
      </c>
      <c r="K7" s="21">
        <f>_xll.BDH("AAPL US Equity","CUR_RATIO","FQ3 2013","FQ3 2013","Currency=USD","Period=FQ","BEST_FPERIOD_OVERRIDE=FQ","FILING_STATUS=MR","Sort=A","Dates=H","DateFormat=P","Fill=—","Direction=H","UseDPDF=Y")</f>
        <v>1.8782999999999999</v>
      </c>
      <c r="L7" s="21">
        <f>_xll.BDH("AAPL US Equity","CUR_RATIO","FQ4 2013","FQ4 2013","Currency=USD","Period=FQ","BEST_FPERIOD_OVERRIDE=FQ","FILING_STATUS=MR","Sort=A","Dates=H","DateFormat=P","Fill=—","Direction=H","UseDPDF=Y")</f>
        <v>1.6785999999999999</v>
      </c>
      <c r="M7" s="21">
        <f>_xll.BDH("AAPL US Equity","CUR_RATIO","FQ1 2014","FQ1 2014","Currency=USD","Period=FQ","BEST_FPERIOD_OVERRIDE=FQ","FILING_STATUS=MR","Sort=A","Dates=H","DateFormat=P","Fill=—","Direction=H","UseDPDF=Y")</f>
        <v>1.4943</v>
      </c>
      <c r="N7" s="21">
        <f>_xll.BDH("AAPL US Equity","CUR_RATIO","FQ2 2014","FQ2 2014","Currency=USD","Period=FQ","BEST_FPERIOD_OVERRIDE=FQ","FILING_STATUS=MR","Sort=A","Dates=H","DateFormat=P","Fill=—","Direction=H","UseDPDF=Y")</f>
        <v>1.6326000000000001</v>
      </c>
      <c r="O7" s="21">
        <f>_xll.BDH("AAPL US Equity","CUR_RATIO","FQ3 2014","FQ3 2014","Currency=USD","Period=FQ","BEST_FPERIOD_OVERRIDE=FQ","FILING_STATUS=MR","Sort=A","Dates=H","DateFormat=P","Fill=—","Direction=H","UseDPDF=Y")</f>
        <v>1.4706000000000001</v>
      </c>
      <c r="P7" s="21">
        <f>_xll.BDH("AAPL US Equity","CUR_RATIO","FQ4 2014","FQ4 2014","Currency=USD","Period=FQ","BEST_FPERIOD_OVERRIDE=FQ","FILING_STATUS=MR","Sort=A","Dates=H","DateFormat=P","Fill=—","Direction=H","UseDPDF=Y")</f>
        <v>1.0801000000000001</v>
      </c>
      <c r="Q7" s="21">
        <f>_xll.BDH("AAPL US Equity","CUR_RATIO","FQ1 2015","FQ1 2015","Currency=USD","Period=FQ","BEST_FPERIOD_OVERRIDE=FQ","FILING_STATUS=MR","Sort=A","Dates=H","DateFormat=P","Fill=—","Direction=H","UseDPDF=Y")</f>
        <v>1.133</v>
      </c>
      <c r="R7" s="21">
        <f>_xll.BDH("AAPL US Equity","CUR_RATIO","FQ2 2015","FQ2 2015","Currency=USD","Period=FQ","BEST_FPERIOD_OVERRIDE=FQ","FILING_STATUS=MR","Sort=A","Dates=H","DateFormat=P","Fill=—","Direction=H","UseDPDF=Y")</f>
        <v>1.1559999999999999</v>
      </c>
      <c r="S7" s="21">
        <f>_xll.BDH("AAPL US Equity","CUR_RATIO","FQ3 2015","FQ3 2015","Currency=USD","Period=FQ","BEST_FPERIOD_OVERRIDE=FQ","FILING_STATUS=MR","Sort=A","Dates=H","DateFormat=P","Fill=—","Direction=H","UseDPDF=Y")</f>
        <v>1.0868</v>
      </c>
      <c r="T7" s="21">
        <f>_xll.BDH("AAPL US Equity","CUR_RATIO","FQ4 2015","FQ4 2015","Currency=USD","Period=FQ","BEST_FPERIOD_OVERRIDE=FQ","FILING_STATUS=MR","Sort=A","Dates=H","DateFormat=P","Fill=—","Direction=H","UseDPDF=Y")</f>
        <v>1.1088</v>
      </c>
      <c r="U7" s="21">
        <f>_xll.BDH("AAPL US Equity","CUR_RATIO","FQ1 2016","FQ1 2016","Currency=USD","Period=FQ","BEST_FPERIOD_OVERRIDE=FQ","FILING_STATUS=MR","Sort=A","Dates=H","DateFormat=P","Fill=—","Direction=H","UseDPDF=Y")</f>
        <v>1.0017</v>
      </c>
      <c r="V7" s="21">
        <f>_xll.BDH("AAPL US Equity","CUR_RATIO","FQ2 2016","FQ2 2016","Currency=USD","Period=FQ","BEST_FPERIOD_OVERRIDE=FQ","FILING_STATUS=MR","Sort=A","Dates=H","DateFormat=P","Fill=—","Direction=H","UseDPDF=Y")</f>
        <v>1.2831000000000001</v>
      </c>
      <c r="W7" s="21">
        <f>_xll.BDH("AAPL US Equity","CUR_RATIO","FQ3 2016","FQ3 2016","Currency=USD","Period=FQ","BEST_FPERIOD_OVERRIDE=FQ","FILING_STATUS=MR","Sort=A","Dates=H","DateFormat=P","Fill=—","Direction=H","UseDPDF=Y")</f>
        <v>1.3115999999999999</v>
      </c>
      <c r="X7" s="21">
        <f>_xll.BDH("AAPL US Equity","CUR_RATIO","FQ4 2016","FQ4 2016","Currency=USD","Period=FQ","BEST_FPERIOD_OVERRIDE=FQ","FILING_STATUS=MR","Sort=A","Dates=H","DateFormat=P","Fill=—","Direction=H","UseDPDF=Y")</f>
        <v>1.3527</v>
      </c>
      <c r="Y7" s="21">
        <f>_xll.BDH("AAPL US Equity","CUR_RATIO","FQ1 2017","FQ1 2017","Currency=USD","Period=FQ","BEST_FPERIOD_OVERRIDE=FQ","FILING_STATUS=MR","Sort=A","Dates=H","DateFormat=P","Fill=—","Direction=H","UseDPDF=Y")</f>
        <v>1.2282</v>
      </c>
      <c r="Z7" s="21">
        <f>_xll.BDH("AAPL US Equity","CUR_RATIO","FQ2 2017","FQ2 2017","Currency=USD","Period=FQ","BEST_FPERIOD_OVERRIDE=FQ","FILING_STATUS=MR","Sort=A","Dates=H","DateFormat=P","Fill=—","Direction=H","UseDPDF=Y")</f>
        <v>1.3906000000000001</v>
      </c>
      <c r="AA7" s="21">
        <f>_xll.BDH("AAPL US Equity","CUR_RATIO","FQ3 2017","FQ3 2017","Currency=USD","Period=FQ","BEST_FPERIOD_OVERRIDE=FQ","FILING_STATUS=MR","Sort=A","Dates=H","DateFormat=P","Fill=—","Direction=H","UseDPDF=Y")</f>
        <v>1.3883000000000001</v>
      </c>
      <c r="AB7" s="21">
        <f>_xll.BDH("AAPL US Equity","CUR_RATIO","FQ4 2017","FQ4 2017","Currency=USD","Period=FQ","BEST_FPERIOD_OVERRIDE=FQ","FILING_STATUS=MR","Sort=A","Dates=H","DateFormat=P","Fill=—","Direction=H","UseDPDF=Y")</f>
        <v>1.2761</v>
      </c>
      <c r="AC7" s="21">
        <f>_xll.BDH("AAPL US Equity","CUR_RATIO","FQ1 2018","FQ1 2018","Currency=USD","Period=FQ","BEST_FPERIOD_OVERRIDE=FQ","FILING_STATUS=MR","Sort=A","Dates=H","DateFormat=P","Fill=—","Direction=H","UseDPDF=Y")</f>
        <v>1.242</v>
      </c>
      <c r="AD7" s="21">
        <f>_xll.BDH("AAPL US Equity","CUR_RATIO","FQ2 2018","FQ2 2018","Currency=USD","Period=FQ","BEST_FPERIOD_OVERRIDE=FQ","FILING_STATUS=MR","Sort=A","Dates=H","DateFormat=P","Fill=—","Direction=H","UseDPDF=Y")</f>
        <v>1.456</v>
      </c>
      <c r="AE7" s="21">
        <f>_xll.BDH("AAPL US Equity","CUR_RATIO","FQ3 2018","FQ3 2018","Currency=USD","Period=FQ","BEST_FPERIOD_OVERRIDE=FQ","FILING_STATUS=MR","Sort=A","Dates=H","DateFormat=P","Fill=—","Direction=H","UseDPDF=Y")</f>
        <v>1.3073000000000001</v>
      </c>
      <c r="AF7" s="21">
        <f>_xll.BDH("AAPL US Equity","CUR_RATIO","FQ4 2018","FQ4 2018","Currency=USD","Period=FQ","BEST_FPERIOD_OVERRIDE=FQ","FILING_STATUS=MR","Sort=A","Dates=H","DateFormat=P","Fill=—","Direction=H","UseDPDF=Y")</f>
        <v>1.1329</v>
      </c>
      <c r="AG7" s="21">
        <f>_xll.BDH("AAPL US Equity","CUR_RATIO","FQ1 2019","FQ1 2019","Currency=USD","Period=FQ","BEST_FPERIOD_OVERRIDE=FQ","FILING_STATUS=MR","Sort=A","Dates=H","DateFormat=P","Fill=—","Direction=H","UseDPDF=Y")</f>
        <v>1.3006</v>
      </c>
      <c r="AH7" s="21">
        <f>_xll.BDH("AAPL US Equity","CUR_RATIO","FQ2 2019","FQ2 2019","Currency=USD","Period=FQ","BEST_FPERIOD_OVERRIDE=FQ","FILING_STATUS=MR","Sort=A","Dates=H","DateFormat=P","Fill=—","Direction=H","UseDPDF=Y")</f>
        <v>1.3153999999999999</v>
      </c>
      <c r="AI7" s="21">
        <f>_xll.BDH("AAPL US Equity","CUR_RATIO","FQ3 2019","FQ3 2019","Currency=USD","Period=FQ","BEST_FPERIOD_OVERRIDE=FQ","FILING_STATUS=MR","Sort=A","Dates=H","DateFormat=P","Fill=—","Direction=H","UseDPDF=Y")</f>
        <v>1.5045999999999999</v>
      </c>
      <c r="AJ7" s="21">
        <f>_xll.BDH("AAPL US Equity","CUR_RATIO","FQ4 2019","FQ4 2019","Currency=USD","Period=FQ","BEST_FPERIOD_OVERRIDE=FQ","FILING_STATUS=MR","Sort=A","Dates=H","DateFormat=P","Fill=—","Direction=H","UseDPDF=Y")</f>
        <v>1.5401</v>
      </c>
      <c r="AK7" s="21">
        <f>_xll.BDH("AAPL US Equity","CUR_RATIO","FQ1 2020","FQ1 2020","Currency=USD","Period=FQ","BEST_FPERIOD_OVERRIDE=FQ","FILING_STATUS=MR","Sort=A","Dates=H","DateFormat=P","Fill=—","Direction=H","UseDPDF=Y")</f>
        <v>1.5977999999999999</v>
      </c>
      <c r="AL7" s="21">
        <f>_xll.BDH("AAPL US Equity","CUR_RATIO","FQ2 2020","FQ2 2020","Currency=USD","Period=FQ","BEST_FPERIOD_OVERRIDE=FQ","FILING_STATUS=MR","Sort=A","Dates=H","DateFormat=P","Fill=—","Direction=H","UseDPDF=Y")</f>
        <v>1.496</v>
      </c>
      <c r="AM7" s="21">
        <f>_xll.BDH("AAPL US Equity","CUR_RATIO","FQ3 2020","FQ3 2020","Currency=USD","Period=FQ","BEST_FPERIOD_OVERRIDE=FQ","FILING_STATUS=MR","Sort=A","Dates=H","DateFormat=P","Fill=—","Direction=H","UseDPDF=Y")</f>
        <v>1.4694</v>
      </c>
      <c r="AN7" s="21">
        <f>_xll.BDH("AAPL US Equity","CUR_RATIO","FQ4 2020","FQ4 2020","Currency=USD","Period=FQ","BEST_FPERIOD_OVERRIDE=FQ","FILING_STATUS=MR","Sort=A","Dates=H","DateFormat=P","Fill=—","Direction=H","UseDPDF=Y")</f>
        <v>1.3635999999999999</v>
      </c>
      <c r="AO7" s="21">
        <f>_xll.BDH("AAPL US Equity","CUR_RATIO","FQ1 2021","FQ1 2021","Currency=USD","Period=FQ","BEST_FPERIOD_OVERRIDE=FQ","FILING_STATUS=MR","Sort=A","Dates=H","DateFormat=P","Fill=—","Direction=H","UseDPDF=Y")</f>
        <v>1.163</v>
      </c>
      <c r="AP7" s="21">
        <f>_xll.BDH("AAPL US Equity","CUR_RATIO","FQ2 2021","FQ2 2021","Currency=USD","Period=FQ","BEST_FPERIOD_OVERRIDE=FQ","FILING_STATUS=MR","Sort=A","Dates=H","DateFormat=P","Fill=—","Direction=H","UseDPDF=Y")</f>
        <v>1.1416999999999999</v>
      </c>
    </row>
    <row r="8" spans="1:42" x14ac:dyDescent="0.25">
      <c r="A8" s="8" t="s">
        <v>189</v>
      </c>
      <c r="B8" s="8" t="s">
        <v>188</v>
      </c>
      <c r="C8" s="21">
        <f>_xll.BDH("AAPL US Equity","QUICK_RATIO","FQ3 2011","FQ3 2011","Currency=USD","Period=FQ","BEST_FPERIOD_OVERRIDE=FQ","FILING_STATUS=MR","Sort=A","Dates=H","DateFormat=P","Fill=—","Direction=H","UseDPDF=Y")</f>
        <v>1.2844</v>
      </c>
      <c r="D8" s="21">
        <f>_xll.BDH("AAPL US Equity","QUICK_RATIO","FQ4 2011","FQ4 2011","Currency=USD","Period=FQ","BEST_FPERIOD_OVERRIDE=FQ","FILING_STATUS=MR","Sort=A","Dates=H","DateFormat=P","Fill=—","Direction=H","UseDPDF=Y")</f>
        <v>1.1197999999999999</v>
      </c>
      <c r="E8" s="21">
        <f>_xll.BDH("AAPL US Equity","QUICK_RATIO","FQ1 2012","FQ1 2012","Currency=USD","Period=FQ","BEST_FPERIOD_OVERRIDE=FQ","FILING_STATUS=MR","Sort=A","Dates=H","DateFormat=P","Fill=—","Direction=H","UseDPDF=Y")</f>
        <v>1.1294</v>
      </c>
      <c r="F8" s="21">
        <f>_xll.BDH("AAPL US Equity","QUICK_RATIO","FQ2 2012","FQ2 2012","Currency=USD","Period=FQ","BEST_FPERIOD_OVERRIDE=FQ","FILING_STATUS=MR","Sort=A","Dates=H","DateFormat=P","Fill=—","Direction=H","UseDPDF=Y")</f>
        <v>1.1106</v>
      </c>
      <c r="G8" s="21">
        <f>_xll.BDH("AAPL US Equity","QUICK_RATIO","FQ3 2012","FQ3 2012","Currency=USD","Period=FQ","BEST_FPERIOD_OVERRIDE=FQ","FILING_STATUS=MR","Sort=A","Dates=H","DateFormat=P","Fill=—","Direction=H","UseDPDF=Y")</f>
        <v>1.0681</v>
      </c>
      <c r="H8" s="21">
        <f>_xll.BDH("AAPL US Equity","QUICK_RATIO","FQ4 2012","FQ4 2012","Currency=USD","Period=FQ","BEST_FPERIOD_OVERRIDE=FQ","FILING_STATUS=MR","Sort=A","Dates=H","DateFormat=P","Fill=—","Direction=H","UseDPDF=Y")</f>
        <v>1.0394000000000001</v>
      </c>
      <c r="I8" s="21">
        <f>_xll.BDH("AAPL US Equity","QUICK_RATIO","FQ1 2013","FQ1 2013","Currency=USD","Period=FQ","BEST_FPERIOD_OVERRIDE=FQ","FILING_STATUS=MR","Sort=A","Dates=H","DateFormat=P","Fill=—","Direction=H","UseDPDF=Y")</f>
        <v>1.0968</v>
      </c>
      <c r="J8" s="21">
        <f>_xll.BDH("AAPL US Equity","QUICK_RATIO","FQ2 2013","FQ2 2013","Currency=USD","Period=FQ","BEST_FPERIOD_OVERRIDE=FQ","FILING_STATUS=MR","Sort=A","Dates=H","DateFormat=P","Fill=—","Direction=H","UseDPDF=Y")</f>
        <v>1.3017000000000001</v>
      </c>
      <c r="K8" s="21">
        <f>_xll.BDH("AAPL US Equity","QUICK_RATIO","FQ3 2013","FQ3 2013","Currency=USD","Period=FQ","BEST_FPERIOD_OVERRIDE=FQ","FILING_STATUS=MR","Sort=A","Dates=H","DateFormat=P","Fill=—","Direction=H","UseDPDF=Y")</f>
        <v>1.4165000000000001</v>
      </c>
      <c r="L8" s="21">
        <f>_xll.BDH("AAPL US Equity","QUICK_RATIO","FQ4 2013","FQ4 2013","Currency=USD","Period=FQ","BEST_FPERIOD_OVERRIDE=FQ","FILING_STATUS=MR","Sort=A","Dates=H","DateFormat=P","Fill=—","Direction=H","UseDPDF=Y")</f>
        <v>1.2288000000000001</v>
      </c>
      <c r="M8" s="21">
        <f>_xll.BDH("AAPL US Equity","QUICK_RATIO","FQ1 2014","FQ1 2014","Currency=USD","Period=FQ","BEST_FPERIOD_OVERRIDE=FQ","FILING_STATUS=MR","Sort=A","Dates=H","DateFormat=P","Fill=—","Direction=H","UseDPDF=Y")</f>
        <v>1.0212000000000001</v>
      </c>
      <c r="N8" s="21">
        <f>_xll.BDH("AAPL US Equity","QUICK_RATIO","FQ2 2014","FQ2 2014","Currency=USD","Period=FQ","BEST_FPERIOD_OVERRIDE=FQ","FILING_STATUS=MR","Sort=A","Dates=H","DateFormat=P","Fill=—","Direction=H","UseDPDF=Y")</f>
        <v>1.1815</v>
      </c>
      <c r="O8" s="21">
        <f>_xll.BDH("AAPL US Equity","QUICK_RATIO","FQ3 2014","FQ3 2014","Currency=USD","Period=FQ","BEST_FPERIOD_OVERRIDE=FQ","FILING_STATUS=MR","Sort=A","Dates=H","DateFormat=P","Fill=—","Direction=H","UseDPDF=Y")</f>
        <v>1.0517000000000001</v>
      </c>
      <c r="P8" s="21">
        <f>_xll.BDH("AAPL US Equity","QUICK_RATIO","FQ4 2014","FQ4 2014","Currency=USD","Period=FQ","BEST_FPERIOD_OVERRIDE=FQ","FILING_STATUS=MR","Sort=A","Dates=H","DateFormat=P","Fill=—","Direction=H","UseDPDF=Y")</f>
        <v>0.6704</v>
      </c>
      <c r="Q8" s="21">
        <f>_xll.BDH("AAPL US Equity","QUICK_RATIO","FQ1 2015","FQ1 2015","Currency=USD","Period=FQ","BEST_FPERIOD_OVERRIDE=FQ","FILING_STATUS=MR","Sort=A","Dates=H","DateFormat=P","Fill=—","Direction=H","UseDPDF=Y")</f>
        <v>0.66800000000000004</v>
      </c>
      <c r="R8" s="21">
        <f>_xll.BDH("AAPL US Equity","QUICK_RATIO","FQ2 2015","FQ2 2015","Currency=USD","Period=FQ","BEST_FPERIOD_OVERRIDE=FQ","FILING_STATUS=MR","Sort=A","Dates=H","DateFormat=P","Fill=—","Direction=H","UseDPDF=Y")</f>
        <v>0.74919999999999998</v>
      </c>
      <c r="S8" s="21">
        <f>_xll.BDH("AAPL US Equity","QUICK_RATIO","FQ3 2015","FQ3 2015","Currency=USD","Period=FQ","BEST_FPERIOD_OVERRIDE=FQ","FILING_STATUS=MR","Sort=A","Dates=H","DateFormat=P","Fill=—","Direction=H","UseDPDF=Y")</f>
        <v>0.69040000000000001</v>
      </c>
      <c r="T8" s="21">
        <f>_xll.BDH("AAPL US Equity","QUICK_RATIO","FQ4 2015","FQ4 2015","Currency=USD","Period=FQ","BEST_FPERIOD_OVERRIDE=FQ","FILING_STATUS=MR","Sort=A","Dates=H","DateFormat=P","Fill=—","Direction=H","UseDPDF=Y")</f>
        <v>0.72509999999999997</v>
      </c>
      <c r="U8" s="21">
        <f>_xll.BDH("AAPL US Equity","QUICK_RATIO","FQ1 2016","FQ1 2016","Currency=USD","Period=FQ","BEST_FPERIOD_OVERRIDE=FQ","FILING_STATUS=MR","Sort=A","Dates=H","DateFormat=P","Fill=—","Direction=H","UseDPDF=Y")</f>
        <v>0.67059999999999997</v>
      </c>
      <c r="V8" s="21">
        <f>_xll.BDH("AAPL US Equity","QUICK_RATIO","FQ2 2016","FQ2 2016","Currency=USD","Period=FQ","BEST_FPERIOD_OVERRIDE=FQ","FILING_STATUS=MR","Sort=A","Dates=H","DateFormat=P","Fill=—","Direction=H","UseDPDF=Y")</f>
        <v>0.98899999999999999</v>
      </c>
      <c r="W8" s="21">
        <f>_xll.BDH("AAPL US Equity","QUICK_RATIO","FQ3 2016","FQ3 2016","Currency=USD","Period=FQ","BEST_FPERIOD_OVERRIDE=FQ","FILING_STATUS=MR","Sort=A","Dates=H","DateFormat=P","Fill=—","Direction=H","UseDPDF=Y")</f>
        <v>1.0278</v>
      </c>
      <c r="X8" s="21">
        <f>_xll.BDH("AAPL US Equity","QUICK_RATIO","FQ4 2016","FQ4 2016","Currency=USD","Period=FQ","BEST_FPERIOD_OVERRIDE=FQ","FILING_STATUS=MR","Sort=A","Dates=H","DateFormat=P","Fill=—","Direction=H","UseDPDF=Y")</f>
        <v>1.0493999999999999</v>
      </c>
      <c r="Y8" s="21">
        <f>_xll.BDH("AAPL US Equity","QUICK_RATIO","FQ1 2017","FQ1 2017","Currency=USD","Period=FQ","BEST_FPERIOD_OVERRIDE=FQ","FILING_STATUS=MR","Sort=A","Dates=H","DateFormat=P","Fill=—","Direction=H","UseDPDF=Y")</f>
        <v>0.88560000000000005</v>
      </c>
      <c r="Z8" s="21">
        <f>_xll.BDH("AAPL US Equity","QUICK_RATIO","FQ2 2017","FQ2 2017","Currency=USD","Period=FQ","BEST_FPERIOD_OVERRIDE=FQ","FILING_STATUS=MR","Sort=A","Dates=H","DateFormat=P","Fill=—","Direction=H","UseDPDF=Y")</f>
        <v>1.0728</v>
      </c>
      <c r="AA8" s="21">
        <f>_xll.BDH("AAPL US Equity","QUICK_RATIO","FQ3 2017","FQ3 2017","Currency=USD","Period=FQ","BEST_FPERIOD_OVERRIDE=FQ","FILING_STATUS=MR","Sort=A","Dates=H","DateFormat=P","Fill=—","Direction=H","UseDPDF=Y")</f>
        <v>1.0966</v>
      </c>
      <c r="AB8" s="21">
        <f>_xll.BDH("AAPL US Equity","QUICK_RATIO","FQ4 2017","FQ4 2017","Currency=USD","Period=FQ","BEST_FPERIOD_OVERRIDE=FQ","FILING_STATUS=MR","Sort=A","Dates=H","DateFormat=P","Fill=—","Direction=H","UseDPDF=Y")</f>
        <v>0.91310000000000002</v>
      </c>
      <c r="AC8" s="21">
        <f>_xll.BDH("AAPL US Equity","QUICK_RATIO","FQ1 2018","FQ1 2018","Currency=USD","Period=FQ","BEST_FPERIOD_OVERRIDE=FQ","FILING_STATUS=MR","Sort=A","Dates=H","DateFormat=P","Fill=—","Direction=H","UseDPDF=Y")</f>
        <v>0.86880000000000002</v>
      </c>
      <c r="AD8" s="21">
        <f>_xll.BDH("AAPL US Equity","QUICK_RATIO","FQ2 2018","FQ2 2018","Currency=USD","Period=FQ","BEST_FPERIOD_OVERRIDE=FQ","FILING_STATUS=MR","Sort=A","Dates=H","DateFormat=P","Fill=—","Direction=H","UseDPDF=Y")</f>
        <v>1.1449</v>
      </c>
      <c r="AE8" s="21">
        <f>_xll.BDH("AAPL US Equity","QUICK_RATIO","FQ3 2018","FQ3 2018","Currency=USD","Period=FQ","BEST_FPERIOD_OVERRIDE=FQ","FILING_STATUS=MR","Sort=A","Dates=H","DateFormat=P","Fill=—","Direction=H","UseDPDF=Y")</f>
        <v>0.96079999999999999</v>
      </c>
      <c r="AF8" s="21">
        <f>_xll.BDH("AAPL US Equity","QUICK_RATIO","FQ4 2018","FQ4 2018","Currency=USD","Period=FQ","BEST_FPERIOD_OVERRIDE=FQ","FILING_STATUS=MR","Sort=A","Dates=H","DateFormat=P","Fill=—","Direction=H","UseDPDF=Y")</f>
        <v>0.77190000000000003</v>
      </c>
      <c r="AG8" s="21">
        <f>_xll.BDH("AAPL US Equity","QUICK_RATIO","FQ1 2019","FQ1 2019","Currency=USD","Period=FQ","BEST_FPERIOD_OVERRIDE=FQ","FILING_STATUS=MR","Sort=A","Dates=H","DateFormat=P","Fill=—","Direction=H","UseDPDF=Y")</f>
        <v>0.96509999999999996</v>
      </c>
      <c r="AH8" s="21">
        <f>_xll.BDH("AAPL US Equity","QUICK_RATIO","FQ2 2019","FQ2 2019","Currency=USD","Period=FQ","BEST_FPERIOD_OVERRIDE=FQ","FILING_STATUS=MR","Sort=A","Dates=H","DateFormat=P","Fill=—","Direction=H","UseDPDF=Y")</f>
        <v>1.0149999999999999</v>
      </c>
      <c r="AI8" s="21">
        <f>_xll.BDH("AAPL US Equity","QUICK_RATIO","FQ3 2019","FQ3 2019","Currency=USD","Period=FQ","BEST_FPERIOD_OVERRIDE=FQ","FILING_STATUS=MR","Sort=A","Dates=H","DateFormat=P","Fill=—","Direction=H","UseDPDF=Y")</f>
        <v>1.2124999999999999</v>
      </c>
      <c r="AJ8" s="21">
        <f>_xll.BDH("AAPL US Equity","QUICK_RATIO","FQ4 2019","FQ4 2019","Currency=USD","Period=FQ","BEST_FPERIOD_OVERRIDE=FQ","FILING_STATUS=MR","Sort=A","Dates=H","DateFormat=P","Fill=—","Direction=H","UseDPDF=Y")</f>
        <v>1.1679999999999999</v>
      </c>
      <c r="AK8" s="21">
        <f>_xll.BDH("AAPL US Equity","QUICK_RATIO","FQ1 2020","FQ1 2020","Currency=USD","Period=FQ","BEST_FPERIOD_OVERRIDE=FQ","FILING_STATUS=MR","Sort=A","Dates=H","DateFormat=P","Fill=—","Direction=H","UseDPDF=Y")</f>
        <v>1.2542</v>
      </c>
      <c r="AL8" s="21">
        <f>_xll.BDH("AAPL US Equity","QUICK_RATIO","FQ2 2020","FQ2 2020","Currency=USD","Period=FQ","BEST_FPERIOD_OVERRIDE=FQ","FILING_STATUS=MR","Sort=A","Dates=H","DateFormat=P","Fill=—","Direction=H","UseDPDF=Y")</f>
        <v>1.1424000000000001</v>
      </c>
      <c r="AM8" s="21">
        <f>_xll.BDH("AAPL US Equity","QUICK_RATIO","FQ3 2020","FQ3 2020","Currency=USD","Period=FQ","BEST_FPERIOD_OVERRIDE=FQ","FILING_STATUS=MR","Sort=A","Dates=H","DateFormat=P","Fill=—","Direction=H","UseDPDF=Y")</f>
        <v>1.1635</v>
      </c>
      <c r="AN8" s="21">
        <f>_xll.BDH("AAPL US Equity","QUICK_RATIO","FQ4 2020","FQ4 2020","Currency=USD","Period=FQ","BEST_FPERIOD_OVERRIDE=FQ","FILING_STATUS=MR","Sort=A","Dates=H","DateFormat=P","Fill=—","Direction=H","UseDPDF=Y")</f>
        <v>1.0159</v>
      </c>
      <c r="AO8" s="21">
        <f>_xll.BDH("AAPL US Equity","QUICK_RATIO","FQ1 2021","FQ1 2021","Currency=USD","Period=FQ","BEST_FPERIOD_OVERRIDE=FQ","FILING_STATUS=MR","Sort=A","Dates=H","DateFormat=P","Fill=—","Direction=H","UseDPDF=Y")</f>
        <v>0.7843</v>
      </c>
      <c r="AP8" s="21">
        <f>_xll.BDH("AAPL US Equity","QUICK_RATIO","FQ2 2021","FQ2 2021","Currency=USD","Period=FQ","BEST_FPERIOD_OVERRIDE=FQ","FILING_STATUS=MR","Sort=A","Dates=H","DateFormat=P","Fill=—","Direction=H","UseDPDF=Y")</f>
        <v>0.83040000000000003</v>
      </c>
    </row>
    <row r="9" spans="1:42" x14ac:dyDescent="0.25">
      <c r="A9" s="8" t="s">
        <v>187</v>
      </c>
      <c r="B9" s="8" t="s">
        <v>186</v>
      </c>
      <c r="C9" s="21">
        <f>_xll.BDH("AAPL US Equity","CFO_TO_AVG_CURRENT_LIABILITIES","FQ3 2011","FQ3 2011","Currency=USD","Period=FQ","BEST_FPERIOD_OVERRIDE=FQ","FILING_STATUS=MR","Sort=A","Dates=H","DateFormat=P","Fill=—","Direction=H","UseDPDF=Y")</f>
        <v>1.5438000000000001</v>
      </c>
      <c r="D9" s="21">
        <f>_xll.BDH("AAPL US Equity","CFO_TO_AVG_CURRENT_LIABILITIES","FQ4 2011","FQ4 2011","Currency=USD","Period=FQ","BEST_FPERIOD_OVERRIDE=FQ","FILING_STATUS=MR","Sort=A","Dates=H","DateFormat=P","Fill=—","Direction=H","UseDPDF=Y")</f>
        <v>1.5415000000000001</v>
      </c>
      <c r="E9" s="21">
        <f>_xll.BDH("AAPL US Equity","CFO_TO_AVG_CURRENT_LIABILITIES","FQ1 2012","FQ1 2012","Currency=USD","Period=FQ","BEST_FPERIOD_OVERRIDE=FQ","FILING_STATUS=MR","Sort=A","Dates=H","DateFormat=P","Fill=—","Direction=H","UseDPDF=Y")</f>
        <v>1.5516999999999999</v>
      </c>
      <c r="F9" s="21">
        <f>_xll.BDH("AAPL US Equity","CFO_TO_AVG_CURRENT_LIABILITIES","FQ2 2012","FQ2 2012","Currency=USD","Period=FQ","BEST_FPERIOD_OVERRIDE=FQ","FILING_STATUS=MR","Sort=A","Dates=H","DateFormat=P","Fill=—","Direction=H","UseDPDF=Y")</f>
        <v>1.8831</v>
      </c>
      <c r="G9" s="21">
        <f>_xll.BDH("AAPL US Equity","CFO_TO_AVG_CURRENT_LIABILITIES","FQ3 2012","FQ3 2012","Currency=USD","Period=FQ","BEST_FPERIOD_OVERRIDE=FQ","FILING_STATUS=MR","Sort=A","Dates=H","DateFormat=P","Fill=—","Direction=H","UseDPDF=Y")</f>
        <v>1.7406000000000001</v>
      </c>
      <c r="H9" s="21">
        <f>_xll.BDH("AAPL US Equity","CFO_TO_AVG_CURRENT_LIABILITIES","FQ4 2012","FQ4 2012","Currency=USD","Period=FQ","BEST_FPERIOD_OVERRIDE=FQ","FILING_STATUS=MR","Sort=A","Dates=H","DateFormat=P","Fill=—","Direction=H","UseDPDF=Y")</f>
        <v>1.5291999999999999</v>
      </c>
      <c r="I9" s="21">
        <f>_xll.BDH("AAPL US Equity","CFO_TO_AVG_CURRENT_LIABILITIES","FQ1 2013","FQ1 2013","Currency=USD","Period=FQ","BEST_FPERIOD_OVERRIDE=FQ","FILING_STATUS=MR","Sort=A","Dates=H","DateFormat=P","Fill=—","Direction=H","UseDPDF=Y")</f>
        <v>1.3923000000000001</v>
      </c>
      <c r="J9" s="21">
        <f>_xll.BDH("AAPL US Equity","CFO_TO_AVG_CURRENT_LIABILITIES","FQ2 2013","FQ2 2013","Currency=USD","Period=FQ","BEST_FPERIOD_OVERRIDE=FQ","FILING_STATUS=MR","Sort=A","Dates=H","DateFormat=P","Fill=—","Direction=H","UseDPDF=Y")</f>
        <v>1.6360999999999999</v>
      </c>
      <c r="K9" s="21">
        <f>_xll.BDH("AAPL US Equity","CFO_TO_AVG_CURRENT_LIABILITIES","FQ3 2013","FQ3 2013","Currency=USD","Period=FQ","BEST_FPERIOD_OVERRIDE=FQ","FILING_STATUS=MR","Sort=A","Dates=H","DateFormat=P","Fill=—","Direction=H","UseDPDF=Y")</f>
        <v>1.5247999999999999</v>
      </c>
      <c r="L9" s="21">
        <f>_xll.BDH("AAPL US Equity","CFO_TO_AVG_CURRENT_LIABILITIES","FQ4 2013","FQ4 2013","Currency=USD","Period=FQ","BEST_FPERIOD_OVERRIDE=FQ","FILING_STATUS=MR","Sort=A","Dates=H","DateFormat=P","Fill=—","Direction=H","UseDPDF=Y")</f>
        <v>1.3057000000000001</v>
      </c>
      <c r="M9" s="21">
        <f>_xll.BDH("AAPL US Equity","CFO_TO_AVG_CURRENT_LIABILITIES","FQ1 2014","FQ1 2014","Currency=USD","Period=FQ","BEST_FPERIOD_OVERRIDE=FQ","FILING_STATUS=MR","Sort=A","Dates=H","DateFormat=P","Fill=—","Direction=H","UseDPDF=Y")</f>
        <v>1.0514000000000001</v>
      </c>
      <c r="N9" s="21">
        <f>_xll.BDH("AAPL US Equity","CFO_TO_AVG_CURRENT_LIABILITIES","FQ2 2014","FQ2 2014","Currency=USD","Period=FQ","BEST_FPERIOD_OVERRIDE=FQ","FILING_STATUS=MR","Sort=A","Dates=H","DateFormat=P","Fill=—","Direction=H","UseDPDF=Y")</f>
        <v>1.3706</v>
      </c>
      <c r="O9" s="21">
        <f>_xll.BDH("AAPL US Equity","CFO_TO_AVG_CURRENT_LIABILITIES","FQ3 2014","FQ3 2014","Currency=USD","Period=FQ","BEST_FPERIOD_OVERRIDE=FQ","FILING_STATUS=MR","Sort=A","Dates=H","DateFormat=P","Fill=—","Direction=H","UseDPDF=Y")</f>
        <v>1.3662000000000001</v>
      </c>
      <c r="P9" s="21">
        <f>_xll.BDH("AAPL US Equity","CFO_TO_AVG_CURRENT_LIABILITIES","FQ4 2014","FQ4 2014","Currency=USD","Period=FQ","BEST_FPERIOD_OVERRIDE=FQ","FILING_STATUS=MR","Sort=A","Dates=H","DateFormat=P","Fill=—","Direction=H","UseDPDF=Y")</f>
        <v>1.115</v>
      </c>
      <c r="Q9" s="21">
        <f>_xll.BDH("AAPL US Equity","CFO_TO_AVG_CURRENT_LIABILITIES","FQ1 2015","FQ1 2015","Currency=USD","Period=FQ","BEST_FPERIOD_OVERRIDE=FQ","FILING_STATUS=MR","Sort=A","Dates=H","DateFormat=P","Fill=—","Direction=H","UseDPDF=Y")</f>
        <v>1.1111</v>
      </c>
      <c r="R9" s="21">
        <f>_xll.BDH("AAPL US Equity","CFO_TO_AVG_CURRENT_LIABILITIES","FQ2 2015","FQ2 2015","Currency=USD","Period=FQ","BEST_FPERIOD_OVERRIDE=FQ","FILING_STATUS=MR","Sort=A","Dates=H","DateFormat=P","Fill=—","Direction=H","UseDPDF=Y")</f>
        <v>1.4971999999999999</v>
      </c>
      <c r="S9" s="21">
        <f>_xll.BDH("AAPL US Equity","CFO_TO_AVG_CURRENT_LIABILITIES","FQ3 2015","FQ3 2015","Currency=USD","Period=FQ","BEST_FPERIOD_OVERRIDE=FQ","FILING_STATUS=MR","Sort=A","Dates=H","DateFormat=P","Fill=—","Direction=H","UseDPDF=Y")</f>
        <v>1.4538</v>
      </c>
      <c r="T9" s="21">
        <f>_xll.BDH("AAPL US Equity","CFO_TO_AVG_CURRENT_LIABILITIES","FQ4 2015","FQ4 2015","Currency=USD","Period=FQ","BEST_FPERIOD_OVERRIDE=FQ","FILING_STATUS=MR","Sort=A","Dates=H","DateFormat=P","Fill=—","Direction=H","UseDPDF=Y")</f>
        <v>1.1282000000000001</v>
      </c>
      <c r="U9" s="21">
        <f>_xll.BDH("AAPL US Equity","CFO_TO_AVG_CURRENT_LIABILITIES","FQ1 2016","FQ1 2016","Currency=USD","Period=FQ","BEST_FPERIOD_OVERRIDE=FQ","FILING_STATUS=MR","Sort=A","Dates=H","DateFormat=P","Fill=—","Direction=H","UseDPDF=Y")</f>
        <v>1.0021</v>
      </c>
      <c r="V9" s="21">
        <f>_xll.BDH("AAPL US Equity","CFO_TO_AVG_CURRENT_LIABILITIES","FQ2 2016","FQ2 2016","Currency=USD","Period=FQ","BEST_FPERIOD_OVERRIDE=FQ","FILING_STATUS=MR","Sort=A","Dates=H","DateFormat=P","Fill=—","Direction=H","UseDPDF=Y")</f>
        <v>1.0634999999999999</v>
      </c>
      <c r="W9" s="21">
        <f>_xll.BDH("AAPL US Equity","CFO_TO_AVG_CURRENT_LIABILITIES","FQ3 2016","FQ3 2016","Currency=USD","Period=FQ","BEST_FPERIOD_OVERRIDE=FQ","FILING_STATUS=MR","Sort=A","Dates=H","DateFormat=P","Fill=—","Direction=H","UseDPDF=Y")</f>
        <v>0.92379999999999995</v>
      </c>
      <c r="X9" s="21">
        <f>_xll.BDH("AAPL US Equity","CFO_TO_AVG_CURRENT_LIABILITIES","FQ4 2016","FQ4 2016","Currency=USD","Period=FQ","BEST_FPERIOD_OVERRIDE=FQ","FILING_STATUS=MR","Sort=A","Dates=H","DateFormat=P","Fill=—","Direction=H","UseDPDF=Y")</f>
        <v>0.82479999999999998</v>
      </c>
      <c r="Y9" s="21">
        <f>_xll.BDH("AAPL US Equity","CFO_TO_AVG_CURRENT_LIABILITIES","FQ1 2017","FQ1 2017","Currency=USD","Period=FQ","BEST_FPERIOD_OVERRIDE=FQ","FILING_STATUS=MR","Sort=A","Dates=H","DateFormat=P","Fill=—","Direction=H","UseDPDF=Y")</f>
        <v>0.81879999999999997</v>
      </c>
      <c r="Z9" s="21">
        <f>_xll.BDH("AAPL US Equity","CFO_TO_AVG_CURRENT_LIABILITIES","FQ2 2017","FQ2 2017","Currency=USD","Period=FQ","BEST_FPERIOD_OVERRIDE=FQ","FILING_STATUS=MR","Sort=A","Dates=H","DateFormat=P","Fill=—","Direction=H","UseDPDF=Y")</f>
        <v>1.3216000000000001</v>
      </c>
      <c r="AA9" s="21">
        <f>_xll.BDH("AAPL US Equity","CFO_TO_AVG_CURRENT_LIABILITIES","FQ3 2017","FQ3 2017","Currency=USD","Period=FQ","BEST_FPERIOD_OVERRIDE=FQ","FILING_STATUS=MR","Sort=A","Dates=H","DateFormat=P","Fill=—","Direction=H","UseDPDF=Y")</f>
        <v>1.2020999999999999</v>
      </c>
      <c r="AB9" s="21">
        <f>_xll.BDH("AAPL US Equity","CFO_TO_AVG_CURRENT_LIABILITIES","FQ4 2017","FQ4 2017","Currency=USD","Period=FQ","BEST_FPERIOD_OVERRIDE=FQ","FILING_STATUS=MR","Sort=A","Dates=H","DateFormat=P","Fill=—","Direction=H","UseDPDF=Y")</f>
        <v>1.0172000000000001</v>
      </c>
      <c r="AC9" s="21">
        <f>_xll.BDH("AAPL US Equity","CFO_TO_AVG_CURRENT_LIABILITIES","FQ1 2018","FQ1 2018","Currency=USD","Period=FQ","BEST_FPERIOD_OVERRIDE=FQ","FILING_STATUS=MR","Sort=A","Dates=H","DateFormat=P","Fill=—","Direction=H","UseDPDF=Y")</f>
        <v>0.92559999999999998</v>
      </c>
      <c r="AD9" s="21">
        <f>_xll.BDH("AAPL US Equity","CFO_TO_AVG_CURRENT_LIABILITIES","FQ2 2018","FQ2 2018","Currency=USD","Period=FQ","BEST_FPERIOD_OVERRIDE=FQ","FILING_STATUS=MR","Sort=A","Dates=H","DateFormat=P","Fill=—","Direction=H","UseDPDF=Y")</f>
        <v>0.83689999999999998</v>
      </c>
      <c r="AE9" s="21">
        <f>_xll.BDH("AAPL US Equity","CFO_TO_AVG_CURRENT_LIABILITIES","FQ3 2018","FQ3 2018","Currency=USD","Period=FQ","BEST_FPERIOD_OVERRIDE=FQ","FILING_STATUS=MR","Sort=A","Dates=H","DateFormat=P","Fill=—","Direction=H","UseDPDF=Y")</f>
        <v>0.86739999999999995</v>
      </c>
      <c r="AF9" s="21">
        <f>_xll.BDH("AAPL US Equity","CFO_TO_AVG_CURRENT_LIABILITIES","FQ4 2018","FQ4 2018","Currency=USD","Period=FQ","BEST_FPERIOD_OVERRIDE=FQ","FILING_STATUS=MR","Sort=A","Dates=H","DateFormat=P","Fill=—","Direction=H","UseDPDF=Y")</f>
        <v>0.71450000000000002</v>
      </c>
      <c r="AG9" s="21">
        <f>_xll.BDH("AAPL US Equity","CFO_TO_AVG_CURRENT_LIABILITIES","FQ1 2019","FQ1 2019","Currency=USD","Period=FQ","BEST_FPERIOD_OVERRIDE=FQ","FILING_STATUS=MR","Sort=A","Dates=H","DateFormat=P","Fill=—","Direction=H","UseDPDF=Y")</f>
        <v>0.67679999999999996</v>
      </c>
      <c r="AH9" s="21">
        <f>_xll.BDH("AAPL US Equity","CFO_TO_AVG_CURRENT_LIABILITIES","FQ2 2019","FQ2 2019","Currency=USD","Period=FQ","BEST_FPERIOD_OVERRIDE=FQ","FILING_STATUS=MR","Sort=A","Dates=H","DateFormat=P","Fill=—","Direction=H","UseDPDF=Y")</f>
        <v>0.78490000000000004</v>
      </c>
      <c r="AI9" s="21">
        <f>_xll.BDH("AAPL US Equity","CFO_TO_AVG_CURRENT_LIABILITIES","FQ3 2019","FQ3 2019","Currency=USD","Period=FQ","BEST_FPERIOD_OVERRIDE=FQ","FILING_STATUS=MR","Sort=A","Dates=H","DateFormat=P","Fill=—","Direction=H","UseDPDF=Y")</f>
        <v>0.7742</v>
      </c>
      <c r="AJ9" s="21">
        <f>_xll.BDH("AAPL US Equity","CFO_TO_AVG_CURRENT_LIABILITIES","FQ4 2019","FQ4 2019","Currency=USD","Period=FQ","BEST_FPERIOD_OVERRIDE=FQ","FILING_STATUS=MR","Sort=A","Dates=H","DateFormat=P","Fill=—","Direction=H","UseDPDF=Y")</f>
        <v>0.62609999999999999</v>
      </c>
      <c r="AK9" s="21">
        <f>_xll.BDH("AAPL US Equity","CFO_TO_AVG_CURRENT_LIABILITIES","FQ1 2020","FQ1 2020","Currency=USD","Period=FQ","BEST_FPERIOD_OVERRIDE=FQ","FILING_STATUS=MR","Sort=A","Dates=H","DateFormat=P","Fill=—","Direction=H","UseDPDF=Y")</f>
        <v>0.69579999999999997</v>
      </c>
      <c r="AL9" s="21">
        <f>_xll.BDH("AAPL US Equity","CFO_TO_AVG_CURRENT_LIABILITIES","FQ2 2020","FQ2 2020","Currency=USD","Period=FQ","BEST_FPERIOD_OVERRIDE=FQ","FILING_STATUS=MR","Sort=A","Dates=H","DateFormat=P","Fill=—","Direction=H","UseDPDF=Y")</f>
        <v>0.79400000000000004</v>
      </c>
      <c r="AM9" s="21">
        <f>_xll.BDH("AAPL US Equity","CFO_TO_AVG_CURRENT_LIABILITIES","FQ3 2020","FQ3 2020","Currency=USD","Period=FQ","BEST_FPERIOD_OVERRIDE=FQ","FILING_STATUS=MR","Sort=A","Dates=H","DateFormat=P","Fill=—","Direction=H","UseDPDF=Y")</f>
        <v>0.86480000000000001</v>
      </c>
      <c r="AN9" s="21">
        <f>_xll.BDH("AAPL US Equity","CFO_TO_AVG_CURRENT_LIABILITIES","FQ4 2020","FQ4 2020","Currency=USD","Period=FQ","BEST_FPERIOD_OVERRIDE=FQ","FILING_STATUS=MR","Sort=A","Dates=H","DateFormat=P","Fill=—","Direction=H","UseDPDF=Y")</f>
        <v>0.76429999999999998</v>
      </c>
      <c r="AO9" s="21">
        <f>_xll.BDH("AAPL US Equity","CFO_TO_AVG_CURRENT_LIABILITIES","FQ1 2021","FQ1 2021","Currency=USD","Period=FQ","BEST_FPERIOD_OVERRIDE=FQ","FILING_STATUS=MR","Sort=A","Dates=H","DateFormat=P","Fill=—","Direction=H","UseDPDF=Y")</f>
        <v>0.75780000000000003</v>
      </c>
      <c r="AP9" s="21">
        <f>_xll.BDH("AAPL US Equity","CFO_TO_AVG_CURRENT_LIABILITIES","FQ2 2021","FQ2 2021","Currency=USD","Period=FQ","BEST_FPERIOD_OVERRIDE=FQ","FILING_STATUS=MR","Sort=A","Dates=H","DateFormat=P","Fill=—","Direction=H","UseDPDF=Y")</f>
        <v>0.98370000000000002</v>
      </c>
    </row>
    <row r="10" spans="1:42" x14ac:dyDescent="0.25">
      <c r="A10" s="8" t="s">
        <v>185</v>
      </c>
      <c r="B10" s="8" t="s">
        <v>184</v>
      </c>
      <c r="C10" s="21">
        <f>_xll.BDH("AAPL US Equity","COM_EQY_TO_TOT_ASSET","FQ3 2011","FQ3 2011","Currency=USD","Period=FQ","BEST_FPERIOD_OVERRIDE=FQ","FILING_STATUS=MR","Sort=A","Dates=H","DateFormat=P","Fill=—","Direction=H","UseDPDF=Y")</f>
        <v>64.953400000000002</v>
      </c>
      <c r="D10" s="21">
        <f>_xll.BDH("AAPL US Equity","COM_EQY_TO_TOT_ASSET","FQ4 2011","FQ4 2011","Currency=USD","Period=FQ","BEST_FPERIOD_OVERRIDE=FQ","FILING_STATUS=MR","Sort=A","Dates=H","DateFormat=P","Fill=—","Direction=H","UseDPDF=Y")</f>
        <v>65.836799999999997</v>
      </c>
      <c r="E10" s="21">
        <f>_xll.BDH("AAPL US Equity","COM_EQY_TO_TOT_ASSET","FQ1 2012","FQ1 2012","Currency=USD","Period=FQ","BEST_FPERIOD_OVERRIDE=FQ","FILING_STATUS=MR","Sort=A","Dates=H","DateFormat=P","Fill=—","Direction=H","UseDPDF=Y")</f>
        <v>64.936099999999996</v>
      </c>
      <c r="F10" s="21">
        <f>_xll.BDH("AAPL US Equity","COM_EQY_TO_TOT_ASSET","FQ2 2012","FQ2 2012","Currency=USD","Period=FQ","BEST_FPERIOD_OVERRIDE=FQ","FILING_STATUS=MR","Sort=A","Dates=H","DateFormat=P","Fill=—","Direction=H","UseDPDF=Y")</f>
        <v>67.909199999999998</v>
      </c>
      <c r="G10" s="21">
        <f>_xll.BDH("AAPL US Equity","COM_EQY_TO_TOT_ASSET","FQ3 2012","FQ3 2012","Currency=USD","Period=FQ","BEST_FPERIOD_OVERRIDE=FQ","FILING_STATUS=MR","Sort=A","Dates=H","DateFormat=P","Fill=—","Direction=H","UseDPDF=Y")</f>
        <v>68.599599999999995</v>
      </c>
      <c r="H10" s="21">
        <f>_xll.BDH("AAPL US Equity","COM_EQY_TO_TOT_ASSET","FQ4 2012","FQ4 2012","Currency=USD","Period=FQ","BEST_FPERIOD_OVERRIDE=FQ","FILING_STATUS=MR","Sort=A","Dates=H","DateFormat=P","Fill=—","Direction=H","UseDPDF=Y")</f>
        <v>67.1404</v>
      </c>
      <c r="I10" s="21">
        <f>_xll.BDH("AAPL US Equity","COM_EQY_TO_TOT_ASSET","FQ1 2013","FQ1 2013","Currency=USD","Period=FQ","BEST_FPERIOD_OVERRIDE=FQ","FILING_STATUS=MR","Sort=A","Dates=H","DateFormat=P","Fill=—","Direction=H","UseDPDF=Y")</f>
        <v>64.943299999999994</v>
      </c>
      <c r="J10" s="21">
        <f>_xll.BDH("AAPL US Equity","COM_EQY_TO_TOT_ASSET","FQ2 2013","FQ2 2013","Currency=USD","Period=FQ","BEST_FPERIOD_OVERRIDE=FQ","FILING_STATUS=MR","Sort=A","Dates=H","DateFormat=P","Fill=—","Direction=H","UseDPDF=Y")</f>
        <v>69.573700000000002</v>
      </c>
      <c r="K10" s="21">
        <f>_xll.BDH("AAPL US Equity","COM_EQY_TO_TOT_ASSET","FQ3 2013","FQ3 2013","Currency=USD","Period=FQ","BEST_FPERIOD_OVERRIDE=FQ","FILING_STATUS=MR","Sort=A","Dates=H","DateFormat=P","Fill=—","Direction=H","UseDPDF=Y")</f>
        <v>61.721400000000003</v>
      </c>
      <c r="L10" s="21">
        <f>_xll.BDH("AAPL US Equity","COM_EQY_TO_TOT_ASSET","FQ4 2013","FQ4 2013","Currency=USD","Period=FQ","BEST_FPERIOD_OVERRIDE=FQ","FILING_STATUS=MR","Sort=A","Dates=H","DateFormat=P","Fill=—","Direction=H","UseDPDF=Y")</f>
        <v>59.685499999999998</v>
      </c>
      <c r="M10" s="21">
        <f>_xll.BDH("AAPL US Equity","COM_EQY_TO_TOT_ASSET","FQ1 2014","FQ1 2014","Currency=USD","Period=FQ","BEST_FPERIOD_OVERRIDE=FQ","FILING_STATUS=MR","Sort=A","Dates=H","DateFormat=P","Fill=—","Direction=H","UseDPDF=Y")</f>
        <v>57.590200000000003</v>
      </c>
      <c r="N10" s="21">
        <f>_xll.BDH("AAPL US Equity","COM_EQY_TO_TOT_ASSET","FQ2 2014","FQ2 2014","Currency=USD","Period=FQ","BEST_FPERIOD_OVERRIDE=FQ","FILING_STATUS=MR","Sort=A","Dates=H","DateFormat=P","Fill=—","Direction=H","UseDPDF=Y")</f>
        <v>58.342399999999998</v>
      </c>
      <c r="O10" s="21">
        <f>_xll.BDH("AAPL US Equity","COM_EQY_TO_TOT_ASSET","FQ3 2014","FQ3 2014","Currency=USD","Period=FQ","BEST_FPERIOD_OVERRIDE=FQ","FILING_STATUS=MR","Sort=A","Dates=H","DateFormat=P","Fill=—","Direction=H","UseDPDF=Y")</f>
        <v>54.350200000000001</v>
      </c>
      <c r="P10" s="21">
        <f>_xll.BDH("AAPL US Equity","COM_EQY_TO_TOT_ASSET","FQ4 2014","FQ4 2014","Currency=USD","Period=FQ","BEST_FPERIOD_OVERRIDE=FQ","FILING_STATUS=MR","Sort=A","Dates=H","DateFormat=P","Fill=—","Direction=H","UseDPDF=Y")</f>
        <v>48.113999999999997</v>
      </c>
      <c r="Q10" s="21">
        <f>_xll.BDH("AAPL US Equity","COM_EQY_TO_TOT_ASSET","FQ1 2015","FQ1 2015","Currency=USD","Period=FQ","BEST_FPERIOD_OVERRIDE=FQ","FILING_STATUS=MR","Sort=A","Dates=H","DateFormat=P","Fill=—","Direction=H","UseDPDF=Y")</f>
        <v>47.090800000000002</v>
      </c>
      <c r="R10" s="21">
        <f>_xll.BDH("AAPL US Equity","COM_EQY_TO_TOT_ASSET","FQ2 2015","FQ2 2015","Currency=USD","Period=FQ","BEST_FPERIOD_OVERRIDE=FQ","FILING_STATUS=MR","Sort=A","Dates=H","DateFormat=P","Fill=—","Direction=H","UseDPDF=Y")</f>
        <v>49.390900000000002</v>
      </c>
      <c r="S10" s="21">
        <f>_xll.BDH("AAPL US Equity","COM_EQY_TO_TOT_ASSET","FQ3 2015","FQ3 2015","Currency=USD","Period=FQ","BEST_FPERIOD_OVERRIDE=FQ","FILING_STATUS=MR","Sort=A","Dates=H","DateFormat=P","Fill=—","Direction=H","UseDPDF=Y")</f>
        <v>46.010100000000001</v>
      </c>
      <c r="T10" s="21">
        <f>_xll.BDH("AAPL US Equity","COM_EQY_TO_TOT_ASSET","FQ4 2015","FQ4 2015","Currency=USD","Period=FQ","BEST_FPERIOD_OVERRIDE=FQ","FILING_STATUS=MR","Sort=A","Dates=H","DateFormat=P","Fill=—","Direction=H","UseDPDF=Y")</f>
        <v>41.107999999999997</v>
      </c>
      <c r="U10" s="21">
        <f>_xll.BDH("AAPL US Equity","COM_EQY_TO_TOT_ASSET","FQ1 2016","FQ1 2016","Currency=USD","Period=FQ","BEST_FPERIOD_OVERRIDE=FQ","FILING_STATUS=MR","Sort=A","Dates=H","DateFormat=P","Fill=—","Direction=H","UseDPDF=Y")</f>
        <v>43.734699999999997</v>
      </c>
      <c r="V10" s="21">
        <f>_xll.BDH("AAPL US Equity","COM_EQY_TO_TOT_ASSET","FQ2 2016","FQ2 2016","Currency=USD","Period=FQ","BEST_FPERIOD_OVERRIDE=FQ","FILING_STATUS=MR","Sort=A","Dates=H","DateFormat=P","Fill=—","Direction=H","UseDPDF=Y")</f>
        <v>42.734000000000002</v>
      </c>
      <c r="W10" s="21">
        <f>_xll.BDH("AAPL US Equity","COM_EQY_TO_TOT_ASSET","FQ3 2016","FQ3 2016","Currency=USD","Period=FQ","BEST_FPERIOD_OVERRIDE=FQ","FILING_STATUS=MR","Sort=A","Dates=H","DateFormat=P","Fill=—","Direction=H","UseDPDF=Y")</f>
        <v>41.4071</v>
      </c>
      <c r="X10" s="21">
        <f>_xll.BDH("AAPL US Equity","COM_EQY_TO_TOT_ASSET","FQ4 2016","FQ4 2016","Currency=USD","Period=FQ","BEST_FPERIOD_OVERRIDE=FQ","FILING_STATUS=MR","Sort=A","Dates=H","DateFormat=P","Fill=—","Direction=H","UseDPDF=Y")</f>
        <v>39.867800000000003</v>
      </c>
      <c r="Y10" s="21">
        <f>_xll.BDH("AAPL US Equity","COM_EQY_TO_TOT_ASSET","FQ1 2017","FQ1 2017","Currency=USD","Period=FQ","BEST_FPERIOD_OVERRIDE=FQ","FILING_STATUS=MR","Sort=A","Dates=H","DateFormat=P","Fill=—","Direction=H","UseDPDF=Y")</f>
        <v>39.979900000000001</v>
      </c>
      <c r="Z10" s="21">
        <f>_xll.BDH("AAPL US Equity","COM_EQY_TO_TOT_ASSET","FQ2 2017","FQ2 2017","Currency=USD","Period=FQ","BEST_FPERIOD_OVERRIDE=FQ","FILING_STATUS=MR","Sort=A","Dates=H","DateFormat=P","Fill=—","Direction=H","UseDPDF=Y")</f>
        <v>40.080500000000001</v>
      </c>
      <c r="AA10" s="21">
        <f>_xll.BDH("AAPL US Equity","COM_EQY_TO_TOT_ASSET","FQ3 2017","FQ3 2017","Currency=USD","Period=FQ","BEST_FPERIOD_OVERRIDE=FQ","FILING_STATUS=MR","Sort=A","Dates=H","DateFormat=P","Fill=—","Direction=H","UseDPDF=Y")</f>
        <v>38.364800000000002</v>
      </c>
      <c r="AB10" s="21">
        <f>_xll.BDH("AAPL US Equity","COM_EQY_TO_TOT_ASSET","FQ4 2017","FQ4 2017","Currency=USD","Period=FQ","BEST_FPERIOD_OVERRIDE=FQ","FILING_STATUS=MR","Sort=A","Dates=H","DateFormat=P","Fill=—","Direction=H","UseDPDF=Y")</f>
        <v>35.715499999999999</v>
      </c>
      <c r="AC10" s="21">
        <f>_xll.BDH("AAPL US Equity","COM_EQY_TO_TOT_ASSET","FQ1 2018","FQ1 2018","Currency=USD","Period=FQ","BEST_FPERIOD_OVERRIDE=FQ","FILING_STATUS=MR","Sort=A","Dates=H","DateFormat=P","Fill=—","Direction=H","UseDPDF=Y")</f>
        <v>34.464399999999998</v>
      </c>
      <c r="AD10" s="21">
        <f>_xll.BDH("AAPL US Equity","COM_EQY_TO_TOT_ASSET","FQ2 2018","FQ2 2018","Currency=USD","Period=FQ","BEST_FPERIOD_OVERRIDE=FQ","FILING_STATUS=MR","Sort=A","Dates=H","DateFormat=P","Fill=—","Direction=H","UseDPDF=Y")</f>
        <v>34.5244</v>
      </c>
      <c r="AE10" s="21">
        <f>_xll.BDH("AAPL US Equity","COM_EQY_TO_TOT_ASSET","FQ3 2018","FQ3 2018","Currency=USD","Period=FQ","BEST_FPERIOD_OVERRIDE=FQ","FILING_STATUS=MR","Sort=A","Dates=H","DateFormat=P","Fill=—","Direction=H","UseDPDF=Y")</f>
        <v>32.918100000000003</v>
      </c>
      <c r="AF10" s="21">
        <f>_xll.BDH("AAPL US Equity","COM_EQY_TO_TOT_ASSET","FQ4 2018","FQ4 2018","Currency=USD","Period=FQ","BEST_FPERIOD_OVERRIDE=FQ","FILING_STATUS=MR","Sort=A","Dates=H","DateFormat=P","Fill=—","Direction=H","UseDPDF=Y")</f>
        <v>29.2971</v>
      </c>
      <c r="AG10" s="21">
        <f>_xll.BDH("AAPL US Equity","COM_EQY_TO_TOT_ASSET","FQ1 2019","FQ1 2019","Currency=USD","Period=FQ","BEST_FPERIOD_OVERRIDE=FQ","FILING_STATUS=MR","Sort=A","Dates=H","DateFormat=P","Fill=—","Direction=H","UseDPDF=Y")</f>
        <v>31.5456</v>
      </c>
      <c r="AH10" s="21">
        <f>_xll.BDH("AAPL US Equity","COM_EQY_TO_TOT_ASSET","FQ2 2019","FQ2 2019","Currency=USD","Period=FQ","BEST_FPERIOD_OVERRIDE=FQ","FILING_STATUS=MR","Sort=A","Dates=H","DateFormat=P","Fill=—","Direction=H","UseDPDF=Y")</f>
        <v>30.953399999999998</v>
      </c>
      <c r="AI10" s="21">
        <f>_xll.BDH("AAPL US Equity","COM_EQY_TO_TOT_ASSET","FQ3 2019","FQ3 2019","Currency=USD","Period=FQ","BEST_FPERIOD_OVERRIDE=FQ","FILING_STATUS=MR","Sort=A","Dates=H","DateFormat=P","Fill=—","Direction=H","UseDPDF=Y")</f>
        <v>29.9331</v>
      </c>
      <c r="AJ10" s="21">
        <f>_xll.BDH("AAPL US Equity","COM_EQY_TO_TOT_ASSET","FQ4 2019","FQ4 2019","Currency=USD","Period=FQ","BEST_FPERIOD_OVERRIDE=FQ","FILING_STATUS=MR","Sort=A","Dates=H","DateFormat=P","Fill=—","Direction=H","UseDPDF=Y")</f>
        <v>26.730799999999999</v>
      </c>
      <c r="AK10" s="21">
        <f>_xll.BDH("AAPL US Equity","COM_EQY_TO_TOT_ASSET","FQ1 2020","FQ1 2020","Currency=USD","Period=FQ","BEST_FPERIOD_OVERRIDE=FQ","FILING_STATUS=MR","Sort=A","Dates=H","DateFormat=P","Fill=—","Direction=H","UseDPDF=Y")</f>
        <v>26.2849</v>
      </c>
      <c r="AL10" s="21">
        <f>_xll.BDH("AAPL US Equity","COM_EQY_TO_TOT_ASSET","FQ2 2020","FQ2 2020","Currency=USD","Period=FQ","BEST_FPERIOD_OVERRIDE=FQ","FILING_STATUS=MR","Sort=A","Dates=H","DateFormat=P","Fill=—","Direction=H","UseDPDF=Y")</f>
        <v>24.4772</v>
      </c>
      <c r="AM10" s="21">
        <f>_xll.BDH("AAPL US Equity","COM_EQY_TO_TOT_ASSET","FQ3 2020","FQ3 2020","Currency=USD","Period=FQ","BEST_FPERIOD_OVERRIDE=FQ","FILING_STATUS=MR","Sort=A","Dates=H","DateFormat=P","Fill=—","Direction=H","UseDPDF=Y")</f>
        <v>22.777200000000001</v>
      </c>
      <c r="AN10" s="21">
        <f>_xll.BDH("AAPL US Equity","COM_EQY_TO_TOT_ASSET","FQ4 2020","FQ4 2020","Currency=USD","Period=FQ","BEST_FPERIOD_OVERRIDE=FQ","FILING_STATUS=MR","Sort=A","Dates=H","DateFormat=P","Fill=—","Direction=H","UseDPDF=Y")</f>
        <v>20.173300000000001</v>
      </c>
      <c r="AO10" s="21">
        <f>_xll.BDH("AAPL US Equity","COM_EQY_TO_TOT_ASSET","FQ1 2021","FQ1 2021","Currency=USD","Period=FQ","BEST_FPERIOD_OVERRIDE=FQ","FILING_STATUS=MR","Sort=A","Dates=H","DateFormat=P","Fill=—","Direction=H","UseDPDF=Y")</f>
        <v>18.704499999999999</v>
      </c>
      <c r="AP10" s="21">
        <f>_xll.BDH("AAPL US Equity","COM_EQY_TO_TOT_ASSET","FQ2 2021","FQ2 2021","Currency=USD","Period=FQ","BEST_FPERIOD_OVERRIDE=FQ","FILING_STATUS=MR","Sort=A","Dates=H","DateFormat=P","Fill=—","Direction=H","UseDPDF=Y")</f>
        <v>20.518000000000001</v>
      </c>
    </row>
    <row r="11" spans="1:42" x14ac:dyDescent="0.25">
      <c r="A11" s="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8" t="s">
        <v>183</v>
      </c>
      <c r="B12" s="8" t="s">
        <v>182</v>
      </c>
      <c r="C12" s="21">
        <f>_xll.BDH("AAPL US Equity","LT_DEBT_TO_TOT_EQY","FQ3 2011","FQ3 2011","Currency=USD","Period=FQ","BEST_FPERIOD_OVERRIDE=FQ","FILING_STATUS=MR","Sort=A","Dates=H","DateFormat=P","Fill=—","Direction=H","UseDPDF=Y")</f>
        <v>0</v>
      </c>
      <c r="D12" s="21">
        <f>_xll.BDH("AAPL US Equity","LT_DEBT_TO_TOT_EQY","FQ4 2011","FQ4 2011","Currency=USD","Period=FQ","BEST_FPERIOD_OVERRIDE=FQ","FILING_STATUS=MR","Sort=A","Dates=H","DateFormat=P","Fill=—","Direction=H","UseDPDF=Y")</f>
        <v>0</v>
      </c>
      <c r="E12" s="21">
        <f>_xll.BDH("AAPL US Equity","LT_DEBT_TO_TOT_EQY","FQ1 2012","FQ1 2012","Currency=USD","Period=FQ","BEST_FPERIOD_OVERRIDE=FQ","FILING_STATUS=MR","Sort=A","Dates=H","DateFormat=P","Fill=—","Direction=H","UseDPDF=Y")</f>
        <v>0</v>
      </c>
      <c r="F12" s="21">
        <f>_xll.BDH("AAPL US Equity","LT_DEBT_TO_TOT_EQY","FQ2 2012","FQ2 2012","Currency=USD","Period=FQ","BEST_FPERIOD_OVERRIDE=FQ","FILING_STATUS=MR","Sort=A","Dates=H","DateFormat=P","Fill=—","Direction=H","UseDPDF=Y")</f>
        <v>0</v>
      </c>
      <c r="G12" s="21">
        <f>_xll.BDH("AAPL US Equity","LT_DEBT_TO_TOT_EQY","FQ3 2012","FQ3 2012","Currency=USD","Period=FQ","BEST_FPERIOD_OVERRIDE=FQ","FILING_STATUS=MR","Sort=A","Dates=H","DateFormat=P","Fill=—","Direction=H","UseDPDF=Y")</f>
        <v>0</v>
      </c>
      <c r="H12" s="21">
        <f>_xll.BDH("AAPL US Equity","LT_DEBT_TO_TOT_EQY","FQ4 2012","FQ4 2012","Currency=USD","Period=FQ","BEST_FPERIOD_OVERRIDE=FQ","FILING_STATUS=MR","Sort=A","Dates=H","DateFormat=P","Fill=—","Direction=H","UseDPDF=Y")</f>
        <v>0</v>
      </c>
      <c r="I12" s="21">
        <f>_xll.BDH("AAPL US Equity","LT_DEBT_TO_TOT_EQY","FQ1 2013","FQ1 2013","Currency=USD","Period=FQ","BEST_FPERIOD_OVERRIDE=FQ","FILING_STATUS=MR","Sort=A","Dates=H","DateFormat=P","Fill=—","Direction=H","UseDPDF=Y")</f>
        <v>0</v>
      </c>
      <c r="J12" s="21">
        <f>_xll.BDH("AAPL US Equity","LT_DEBT_TO_TOT_EQY","FQ2 2013","FQ2 2013","Currency=USD","Period=FQ","BEST_FPERIOD_OVERRIDE=FQ","FILING_STATUS=MR","Sort=A","Dates=H","DateFormat=P","Fill=—","Direction=H","UseDPDF=Y")</f>
        <v>0</v>
      </c>
      <c r="K12" s="21">
        <f>_xll.BDH("AAPL US Equity","LT_DEBT_TO_TOT_EQY","FQ3 2013","FQ3 2013","Currency=USD","Period=FQ","BEST_FPERIOD_OVERRIDE=FQ","FILING_STATUS=MR","Sort=A","Dates=H","DateFormat=P","Fill=—","Direction=H","UseDPDF=Y")</f>
        <v>13.747400000000001</v>
      </c>
      <c r="L12" s="21">
        <f>_xll.BDH("AAPL US Equity","LT_DEBT_TO_TOT_EQY","FQ4 2013","FQ4 2013","Currency=USD","Period=FQ","BEST_FPERIOD_OVERRIDE=FQ","FILING_STATUS=MR","Sort=A","Dates=H","DateFormat=P","Fill=—","Direction=H","UseDPDF=Y")</f>
        <v>13.7273</v>
      </c>
      <c r="M12" s="21">
        <f>_xll.BDH("AAPL US Equity","LT_DEBT_TO_TOT_EQY","FQ1 2014","FQ1 2014","Currency=USD","Period=FQ","BEST_FPERIOD_OVERRIDE=FQ","FILING_STATUS=MR","Sort=A","Dates=H","DateFormat=P","Fill=—","Direction=H","UseDPDF=Y")</f>
        <v>13.0787</v>
      </c>
      <c r="N12" s="21">
        <f>_xll.BDH("AAPL US Equity","LT_DEBT_TO_TOT_EQY","FQ2 2014","FQ2 2014","Currency=USD","Period=FQ","BEST_FPERIOD_OVERRIDE=FQ","FILING_STATUS=MR","Sort=A","Dates=H","DateFormat=P","Fill=—","Direction=H","UseDPDF=Y")</f>
        <v>14.113899999999999</v>
      </c>
      <c r="O12" s="21">
        <f>_xll.BDH("AAPL US Equity","LT_DEBT_TO_TOT_EQY","FQ3 2014","FQ3 2014","Currency=USD","Period=FQ","BEST_FPERIOD_OVERRIDE=FQ","FILING_STATUS=MR","Sort=A","Dates=H","DateFormat=P","Fill=—","Direction=H","UseDPDF=Y")</f>
        <v>24.003599999999999</v>
      </c>
      <c r="P12" s="21">
        <f>_xll.BDH("AAPL US Equity","LT_DEBT_TO_TOT_EQY","FQ4 2014","FQ4 2014","Currency=USD","Period=FQ","BEST_FPERIOD_OVERRIDE=FQ","FILING_STATUS=MR","Sort=A","Dates=H","DateFormat=P","Fill=—","Direction=H","UseDPDF=Y")</f>
        <v>25.9864</v>
      </c>
      <c r="Q12" s="21">
        <f>_xll.BDH("AAPL US Equity","LT_DEBT_TO_TOT_EQY","FQ1 2015","FQ1 2015","Currency=USD","Period=FQ","BEST_FPERIOD_OVERRIDE=FQ","FILING_STATUS=MR","Sort=A","Dates=H","DateFormat=P","Fill=—","Direction=H","UseDPDF=Y")</f>
        <v>26.355699999999999</v>
      </c>
      <c r="R12" s="21">
        <f>_xll.BDH("AAPL US Equity","LT_DEBT_TO_TOT_EQY","FQ2 2015","FQ2 2015","Currency=USD","Period=FQ","BEST_FPERIOD_OVERRIDE=FQ","FILING_STATUS=MR","Sort=A","Dates=H","DateFormat=P","Fill=—","Direction=H","UseDPDF=Y")</f>
        <v>31.062100000000001</v>
      </c>
      <c r="S12" s="21">
        <f>_xll.BDH("AAPL US Equity","LT_DEBT_TO_TOT_EQY","FQ3 2015","FQ3 2015","Currency=USD","Period=FQ","BEST_FPERIOD_OVERRIDE=FQ","FILING_STATUS=MR","Sort=A","Dates=H","DateFormat=P","Fill=—","Direction=H","UseDPDF=Y")</f>
        <v>37.730800000000002</v>
      </c>
      <c r="T12" s="21">
        <f>_xll.BDH("AAPL US Equity","LT_DEBT_TO_TOT_EQY","FQ4 2015","FQ4 2015","Currency=USD","Period=FQ","BEST_FPERIOD_OVERRIDE=FQ","FILING_STATUS=MR","Sort=A","Dates=H","DateFormat=P","Fill=—","Direction=H","UseDPDF=Y")</f>
        <v>44.680999999999997</v>
      </c>
      <c r="U12" s="21">
        <f>_xll.BDH("AAPL US Equity","LT_DEBT_TO_TOT_EQY","FQ1 2016","FQ1 2016","Currency=USD","Period=FQ","BEST_FPERIOD_OVERRIDE=FQ","FILING_STATUS=MR","Sort=A","Dates=H","DateFormat=P","Fill=—","Direction=H","UseDPDF=Y")</f>
        <v>41.479100000000003</v>
      </c>
      <c r="V12" s="21">
        <f>_xll.BDH("AAPL US Equity","LT_DEBT_TO_TOT_EQY","FQ2 2016","FQ2 2016","Currency=USD","Period=FQ","BEST_FPERIOD_OVERRIDE=FQ","FILING_STATUS=MR","Sort=A","Dates=H","DateFormat=P","Fill=—","Direction=H","UseDPDF=Y")</f>
        <v>53.177700000000002</v>
      </c>
      <c r="W12" s="21">
        <f>_xll.BDH("AAPL US Equity","LT_DEBT_TO_TOT_EQY","FQ3 2016","FQ3 2016","Currency=USD","Period=FQ","BEST_FPERIOD_OVERRIDE=FQ","FILING_STATUS=MR","Sort=A","Dates=H","DateFormat=P","Fill=—","Direction=H","UseDPDF=Y")</f>
        <v>54.479599999999998</v>
      </c>
      <c r="X12" s="21">
        <f>_xll.BDH("AAPL US Equity","LT_DEBT_TO_TOT_EQY","FQ4 2016","FQ4 2016","Currency=USD","Period=FQ","BEST_FPERIOD_OVERRIDE=FQ","FILING_STATUS=MR","Sort=A","Dates=H","DateFormat=P","Fill=—","Direction=H","UseDPDF=Y")</f>
        <v>58.812899999999999</v>
      </c>
      <c r="Y12" s="21">
        <f>_xll.BDH("AAPL US Equity","LT_DEBT_TO_TOT_EQY","FQ1 2017","FQ1 2017","Currency=USD","Period=FQ","BEST_FPERIOD_OVERRIDE=FQ","FILING_STATUS=MR","Sort=A","Dates=H","DateFormat=P","Fill=—","Direction=H","UseDPDF=Y")</f>
        <v>55.5608</v>
      </c>
      <c r="Z12" s="21">
        <f>_xll.BDH("AAPL US Equity","LT_DEBT_TO_TOT_EQY","FQ2 2017","FQ2 2017","Currency=USD","Period=FQ","BEST_FPERIOD_OVERRIDE=FQ","FILING_STATUS=MR","Sort=A","Dates=H","DateFormat=P","Fill=—","Direction=H","UseDPDF=Y")</f>
        <v>63.0443</v>
      </c>
      <c r="AA12" s="21">
        <f>_xll.BDH("AAPL US Equity","LT_DEBT_TO_TOT_EQY","FQ3 2017","FQ3 2017","Currency=USD","Period=FQ","BEST_FPERIOD_OVERRIDE=FQ","FILING_STATUS=MR","Sort=A","Dates=H","DateFormat=P","Fill=—","Direction=H","UseDPDF=Y")</f>
        <v>67.860299999999995</v>
      </c>
      <c r="AB12" s="21">
        <f>_xll.BDH("AAPL US Equity","LT_DEBT_TO_TOT_EQY","FQ4 2017","FQ4 2017","Currency=USD","Period=FQ","BEST_FPERIOD_OVERRIDE=FQ","FILING_STATUS=MR","Sort=A","Dates=H","DateFormat=P","Fill=—","Direction=H","UseDPDF=Y")</f>
        <v>72.517099999999999</v>
      </c>
      <c r="AC12" s="21">
        <f>_xll.BDH("AAPL US Equity","LT_DEBT_TO_TOT_EQY","FQ1 2018","FQ1 2018","Currency=USD","Period=FQ","BEST_FPERIOD_OVERRIDE=FQ","FILING_STATUS=MR","Sort=A","Dates=H","DateFormat=P","Fill=—","Direction=H","UseDPDF=Y")</f>
        <v>74.124600000000001</v>
      </c>
      <c r="AD12" s="21">
        <f>_xll.BDH("AAPL US Equity","LT_DEBT_TO_TOT_EQY","FQ2 2018","FQ2 2018","Currency=USD","Period=FQ","BEST_FPERIOD_OVERRIDE=FQ","FILING_STATUS=MR","Sort=A","Dates=H","DateFormat=P","Fill=—","Direction=H","UseDPDF=Y")</f>
        <v>79.889300000000006</v>
      </c>
      <c r="AE12" s="21">
        <f>_xll.BDH("AAPL US Equity","LT_DEBT_TO_TOT_EQY","FQ3 2018","FQ3 2018","Currency=USD","Period=FQ","BEST_FPERIOD_OVERRIDE=FQ","FILING_STATUS=MR","Sort=A","Dates=H","DateFormat=P","Fill=—","Direction=H","UseDPDF=Y")</f>
        <v>84.496600000000001</v>
      </c>
      <c r="AF12" s="21">
        <f>_xll.BDH("AAPL US Equity","LT_DEBT_TO_TOT_EQY","FQ4 2018","FQ4 2018","Currency=USD","Period=FQ","BEST_FPERIOD_OVERRIDE=FQ","FILING_STATUS=MR","Sort=A","Dates=H","DateFormat=P","Fill=—","Direction=H","UseDPDF=Y")</f>
        <v>87.482600000000005</v>
      </c>
      <c r="AG12" s="21">
        <f>_xll.BDH("AAPL US Equity","LT_DEBT_TO_TOT_EQY","FQ1 2019","FQ1 2019","Currency=USD","Period=FQ","BEST_FPERIOD_OVERRIDE=FQ","FILING_STATUS=MR","Sort=A","Dates=H","DateFormat=P","Fill=—","Direction=H","UseDPDF=Y")</f>
        <v>78.876400000000004</v>
      </c>
      <c r="AH12" s="21">
        <f>_xll.BDH("AAPL US Equity","LT_DEBT_TO_TOT_EQY","FQ2 2019","FQ2 2019","Currency=USD","Period=FQ","BEST_FPERIOD_OVERRIDE=FQ","FILING_STATUS=MR","Sort=A","Dates=H","DateFormat=P","Fill=—","Direction=H","UseDPDF=Y")</f>
        <v>85.207800000000006</v>
      </c>
      <c r="AI12" s="21">
        <f>_xll.BDH("AAPL US Equity","LT_DEBT_TO_TOT_EQY","FQ3 2019","FQ3 2019","Currency=USD","Period=FQ","BEST_FPERIOD_OVERRIDE=FQ","FILING_STATUS=MR","Sort=A","Dates=H","DateFormat=P","Fill=—","Direction=H","UseDPDF=Y")</f>
        <v>88.056700000000006</v>
      </c>
      <c r="AJ12" s="21">
        <f>_xll.BDH("AAPL US Equity","LT_DEBT_TO_TOT_EQY","FQ4 2019","FQ4 2019","Currency=USD","Period=FQ","BEST_FPERIOD_OVERRIDE=FQ","FILING_STATUS=MR","Sort=A","Dates=H","DateFormat=P","Fill=—","Direction=H","UseDPDF=Y")</f>
        <v>101.4577</v>
      </c>
      <c r="AK12" s="21">
        <f>_xll.BDH("AAPL US Equity","LT_DEBT_TO_TOT_EQY","FQ1 2020","FQ1 2020","Currency=USD","Period=FQ","BEST_FPERIOD_OVERRIDE=FQ","FILING_STATUS=MR","Sort=A","Dates=H","DateFormat=P","Fill=—","Direction=H","UseDPDF=Y")</f>
        <v>112.00369999999999</v>
      </c>
      <c r="AL12" s="21">
        <f>_xll.BDH("AAPL US Equity","LT_DEBT_TO_TOT_EQY","FQ2 2020","FQ2 2020","Currency=USD","Period=FQ","BEST_FPERIOD_OVERRIDE=FQ","FILING_STATUS=MR","Sort=A","Dates=H","DateFormat=P","Fill=—","Direction=H","UseDPDF=Y")</f>
        <v>123.85850000000001</v>
      </c>
      <c r="AM12" s="21">
        <f>_xll.BDH("AAPL US Equity","LT_DEBT_TO_TOT_EQY","FQ3 2020","FQ3 2020","Currency=USD","Period=FQ","BEST_FPERIOD_OVERRIDE=FQ","FILING_STATUS=MR","Sort=A","Dates=H","DateFormat=P","Fill=—","Direction=H","UseDPDF=Y")</f>
        <v>141.3049</v>
      </c>
      <c r="AN12" s="21">
        <f>_xll.BDH("AAPL US Equity","LT_DEBT_TO_TOT_EQY","FQ4 2020","FQ4 2020","Currency=USD","Period=FQ","BEST_FPERIOD_OVERRIDE=FQ","FILING_STATUS=MR","Sort=A","Dates=H","DateFormat=P","Fill=—","Direction=H","UseDPDF=Y")</f>
        <v>163.83629999999999</v>
      </c>
      <c r="AO12" s="21">
        <f>_xll.BDH("AAPL US Equity","LT_DEBT_TO_TOT_EQY","FQ1 2021","FQ1 2021","Currency=USD","Period=FQ","BEST_FPERIOD_OVERRIDE=FQ","FILING_STATUS=MR","Sort=A","Dates=H","DateFormat=P","Fill=—","Direction=H","UseDPDF=Y")</f>
        <v>149.9169</v>
      </c>
      <c r="AP12" s="21">
        <f>_xll.BDH("AAPL US Equity","LT_DEBT_TO_TOT_EQY","FQ2 2021","FQ2 2021","Currency=USD","Period=FQ","BEST_FPERIOD_OVERRIDE=FQ","FILING_STATUS=MR","Sort=A","Dates=H","DateFormat=P","Fill=—","Direction=H","UseDPDF=Y")</f>
        <v>157.047</v>
      </c>
    </row>
    <row r="13" spans="1:42" x14ac:dyDescent="0.25">
      <c r="A13" s="8" t="s">
        <v>181</v>
      </c>
      <c r="B13" s="8" t="s">
        <v>180</v>
      </c>
      <c r="C13" s="21">
        <f>_xll.BDH("AAPL US Equity","LT_DEBT_TO_TOT_CAP","FQ3 2011","FQ3 2011","Currency=USD","Period=FQ","BEST_FPERIOD_OVERRIDE=FQ","FILING_STATUS=MR","Sort=A","Dates=H","DateFormat=P","Fill=—","Direction=H","UseDPDF=Y")</f>
        <v>0</v>
      </c>
      <c r="D13" s="21">
        <f>_xll.BDH("AAPL US Equity","LT_DEBT_TO_TOT_CAP","FQ4 2011","FQ4 2011","Currency=USD","Period=FQ","BEST_FPERIOD_OVERRIDE=FQ","FILING_STATUS=MR","Sort=A","Dates=H","DateFormat=P","Fill=—","Direction=H","UseDPDF=Y")</f>
        <v>0</v>
      </c>
      <c r="E13" s="21">
        <f>_xll.BDH("AAPL US Equity","LT_DEBT_TO_TOT_CAP","FQ1 2012","FQ1 2012","Currency=USD","Period=FQ","BEST_FPERIOD_OVERRIDE=FQ","FILING_STATUS=MR","Sort=A","Dates=H","DateFormat=P","Fill=—","Direction=H","UseDPDF=Y")</f>
        <v>0</v>
      </c>
      <c r="F13" s="21">
        <f>_xll.BDH("AAPL US Equity","LT_DEBT_TO_TOT_CAP","FQ2 2012","FQ2 2012","Currency=USD","Period=FQ","BEST_FPERIOD_OVERRIDE=FQ","FILING_STATUS=MR","Sort=A","Dates=H","DateFormat=P","Fill=—","Direction=H","UseDPDF=Y")</f>
        <v>0</v>
      </c>
      <c r="G13" s="21">
        <f>_xll.BDH("AAPL US Equity","LT_DEBT_TO_TOT_CAP","FQ3 2012","FQ3 2012","Currency=USD","Period=FQ","BEST_FPERIOD_OVERRIDE=FQ","FILING_STATUS=MR","Sort=A","Dates=H","DateFormat=P","Fill=—","Direction=H","UseDPDF=Y")</f>
        <v>0</v>
      </c>
      <c r="H13" s="21">
        <f>_xll.BDH("AAPL US Equity","LT_DEBT_TO_TOT_CAP","FQ4 2012","FQ4 2012","Currency=USD","Period=FQ","BEST_FPERIOD_OVERRIDE=FQ","FILING_STATUS=MR","Sort=A","Dates=H","DateFormat=P","Fill=—","Direction=H","UseDPDF=Y")</f>
        <v>0</v>
      </c>
      <c r="I13" s="21">
        <f>_xll.BDH("AAPL US Equity","LT_DEBT_TO_TOT_CAP","FQ1 2013","FQ1 2013","Currency=USD","Period=FQ","BEST_FPERIOD_OVERRIDE=FQ","FILING_STATUS=MR","Sort=A","Dates=H","DateFormat=P","Fill=—","Direction=H","UseDPDF=Y")</f>
        <v>0</v>
      </c>
      <c r="J13" s="21">
        <f>_xll.BDH("AAPL US Equity","LT_DEBT_TO_TOT_CAP","FQ2 2013","FQ2 2013","Currency=USD","Period=FQ","BEST_FPERIOD_OVERRIDE=FQ","FILING_STATUS=MR","Sort=A","Dates=H","DateFormat=P","Fill=—","Direction=H","UseDPDF=Y")</f>
        <v>0</v>
      </c>
      <c r="K13" s="21">
        <f>_xll.BDH("AAPL US Equity","LT_DEBT_TO_TOT_CAP","FQ3 2013","FQ3 2013","Currency=USD","Period=FQ","BEST_FPERIOD_OVERRIDE=FQ","FILING_STATUS=MR","Sort=A","Dates=H","DateFormat=P","Fill=—","Direction=H","UseDPDF=Y")</f>
        <v>12.085900000000001</v>
      </c>
      <c r="L13" s="21">
        <f>_xll.BDH("AAPL US Equity","LT_DEBT_TO_TOT_CAP","FQ4 2013","FQ4 2013","Currency=USD","Period=FQ","BEST_FPERIOD_OVERRIDE=FQ","FILING_STATUS=MR","Sort=A","Dates=H","DateFormat=P","Fill=—","Direction=H","UseDPDF=Y")</f>
        <v>12.070399999999999</v>
      </c>
      <c r="M13" s="21">
        <f>_xll.BDH("AAPL US Equity","LT_DEBT_TO_TOT_CAP","FQ1 2014","FQ1 2014","Currency=USD","Period=FQ","BEST_FPERIOD_OVERRIDE=FQ","FILING_STATUS=MR","Sort=A","Dates=H","DateFormat=P","Fill=—","Direction=H","UseDPDF=Y")</f>
        <v>11.566000000000001</v>
      </c>
      <c r="N13" s="21">
        <f>_xll.BDH("AAPL US Equity","LT_DEBT_TO_TOT_CAP","FQ2 2014","FQ2 2014","Currency=USD","Period=FQ","BEST_FPERIOD_OVERRIDE=FQ","FILING_STATUS=MR","Sort=A","Dates=H","DateFormat=P","Fill=—","Direction=H","UseDPDF=Y")</f>
        <v>12.3683</v>
      </c>
      <c r="O13" s="21">
        <f>_xll.BDH("AAPL US Equity","LT_DEBT_TO_TOT_CAP","FQ3 2014","FQ3 2014","Currency=USD","Period=FQ","BEST_FPERIOD_OVERRIDE=FQ","FILING_STATUS=MR","Sort=A","Dates=H","DateFormat=P","Fill=—","Direction=H","UseDPDF=Y")</f>
        <v>19.101199999999999</v>
      </c>
      <c r="P13" s="21">
        <f>_xll.BDH("AAPL US Equity","LT_DEBT_TO_TOT_CAP","FQ4 2014","FQ4 2014","Currency=USD","Period=FQ","BEST_FPERIOD_OVERRIDE=FQ","FILING_STATUS=MR","Sort=A","Dates=H","DateFormat=P","Fill=—","Direction=H","UseDPDF=Y")</f>
        <v>19.740300000000001</v>
      </c>
      <c r="Q13" s="21">
        <f>_xll.BDH("AAPL US Equity","LT_DEBT_TO_TOT_CAP","FQ1 2015","FQ1 2015","Currency=USD","Period=FQ","BEST_FPERIOD_OVERRIDE=FQ","FILING_STATUS=MR","Sort=A","Dates=H","DateFormat=P","Fill=—","Direction=H","UseDPDF=Y")</f>
        <v>20.3492</v>
      </c>
      <c r="R13" s="21">
        <f>_xll.BDH("AAPL US Equity","LT_DEBT_TO_TOT_CAP","FQ2 2015","FQ2 2015","Currency=USD","Period=FQ","BEST_FPERIOD_OVERRIDE=FQ","FILING_STATUS=MR","Sort=A","Dates=H","DateFormat=P","Fill=—","Direction=H","UseDPDF=Y")</f>
        <v>23.179500000000001</v>
      </c>
      <c r="S13" s="21">
        <f>_xll.BDH("AAPL US Equity","LT_DEBT_TO_TOT_CAP","FQ3 2015","FQ3 2015","Currency=USD","Period=FQ","BEST_FPERIOD_OVERRIDE=FQ","FILING_STATUS=MR","Sort=A","Dates=H","DateFormat=P","Fill=—","Direction=H","UseDPDF=Y")</f>
        <v>26.33</v>
      </c>
      <c r="T13" s="21">
        <f>_xll.BDH("AAPL US Equity","LT_DEBT_TO_TOT_CAP","FQ4 2015","FQ4 2015","Currency=USD","Period=FQ","BEST_FPERIOD_OVERRIDE=FQ","FILING_STATUS=MR","Sort=A","Dates=H","DateFormat=P","Fill=—","Direction=H","UseDPDF=Y")</f>
        <v>29.033200000000001</v>
      </c>
      <c r="U13" s="21">
        <f>_xll.BDH("AAPL US Equity","LT_DEBT_TO_TOT_CAP","FQ1 2016","FQ1 2016","Currency=USD","Period=FQ","BEST_FPERIOD_OVERRIDE=FQ","FILING_STATUS=MR","Sort=A","Dates=H","DateFormat=P","Fill=—","Direction=H","UseDPDF=Y")</f>
        <v>27.821999999999999</v>
      </c>
      <c r="V13" s="21">
        <f>_xll.BDH("AAPL US Equity","LT_DEBT_TO_TOT_CAP","FQ2 2016","FQ2 2016","Currency=USD","Period=FQ","BEST_FPERIOD_OVERRIDE=FQ","FILING_STATUS=MR","Sort=A","Dates=H","DateFormat=P","Fill=—","Direction=H","UseDPDF=Y")</f>
        <v>32.983600000000003</v>
      </c>
      <c r="W13" s="21">
        <f>_xll.BDH("AAPL US Equity","LT_DEBT_TO_TOT_CAP","FQ3 2016","FQ3 2016","Currency=USD","Period=FQ","BEST_FPERIOD_OVERRIDE=FQ","FILING_STATUS=MR","Sort=A","Dates=H","DateFormat=P","Fill=—","Direction=H","UseDPDF=Y")</f>
        <v>32.598999999999997</v>
      </c>
      <c r="X13" s="21">
        <f>_xll.BDH("AAPL US Equity","LT_DEBT_TO_TOT_CAP","FQ4 2016","FQ4 2016","Currency=USD","Period=FQ","BEST_FPERIOD_OVERRIDE=FQ","FILING_STATUS=MR","Sort=A","Dates=H","DateFormat=P","Fill=—","Direction=H","UseDPDF=Y")</f>
        <v>35.036499999999997</v>
      </c>
      <c r="Y13" s="21">
        <f>_xll.BDH("AAPL US Equity","LT_DEBT_TO_TOT_CAP","FQ1 2017","FQ1 2017","Currency=USD","Period=FQ","BEST_FPERIOD_OVERRIDE=FQ","FILING_STATUS=MR","Sort=A","Dates=H","DateFormat=P","Fill=—","Direction=H","UseDPDF=Y")</f>
        <v>33.444299999999998</v>
      </c>
      <c r="Z13" s="21">
        <f>_xll.BDH("AAPL US Equity","LT_DEBT_TO_TOT_CAP","FQ2 2017","FQ2 2017","Currency=USD","Period=FQ","BEST_FPERIOD_OVERRIDE=FQ","FILING_STATUS=MR","Sort=A","Dates=H","DateFormat=P","Fill=—","Direction=H","UseDPDF=Y")</f>
        <v>36.341200000000001</v>
      </c>
      <c r="AA13" s="21">
        <f>_xll.BDH("AAPL US Equity","LT_DEBT_TO_TOT_CAP","FQ3 2017","FQ3 2017","Currency=USD","Period=FQ","BEST_FPERIOD_OVERRIDE=FQ","FILING_STATUS=MR","Sort=A","Dates=H","DateFormat=P","Fill=—","Direction=H","UseDPDF=Y")</f>
        <v>37.3245</v>
      </c>
      <c r="AB13" s="21">
        <f>_xll.BDH("AAPL US Equity","LT_DEBT_TO_TOT_CAP","FQ4 2017","FQ4 2017","Currency=USD","Period=FQ","BEST_FPERIOD_OVERRIDE=FQ","FILING_STATUS=MR","Sort=A","Dates=H","DateFormat=P","Fill=—","Direction=H","UseDPDF=Y")</f>
        <v>38.9253</v>
      </c>
      <c r="AC13" s="21">
        <f>_xll.BDH("AAPL US Equity","LT_DEBT_TO_TOT_CAP","FQ1 2018","FQ1 2018","Currency=USD","Period=FQ","BEST_FPERIOD_OVERRIDE=FQ","FILING_STATUS=MR","Sort=A","Dates=H","DateFormat=P","Fill=—","Direction=H","UseDPDF=Y")</f>
        <v>39.574399999999997</v>
      </c>
      <c r="AD13" s="21">
        <f>_xll.BDH("AAPL US Equity","LT_DEBT_TO_TOT_CAP","FQ2 2018","FQ2 2018","Currency=USD","Period=FQ","BEST_FPERIOD_OVERRIDE=FQ","FILING_STATUS=MR","Sort=A","Dates=H","DateFormat=P","Fill=—","Direction=H","UseDPDF=Y")</f>
        <v>40.753799999999998</v>
      </c>
      <c r="AE13" s="21">
        <f>_xll.BDH("AAPL US Equity","LT_DEBT_TO_TOT_CAP","FQ3 2018","FQ3 2018","Currency=USD","Period=FQ","BEST_FPERIOD_OVERRIDE=FQ","FILING_STATUS=MR","Sort=A","Dates=H","DateFormat=P","Fill=—","Direction=H","UseDPDF=Y")</f>
        <v>42.3125</v>
      </c>
      <c r="AF13" s="21">
        <f>_xll.BDH("AAPL US Equity","LT_DEBT_TO_TOT_CAP","FQ4 2018","FQ4 2018","Currency=USD","Period=FQ","BEST_FPERIOD_OVERRIDE=FQ","FILING_STATUS=MR","Sort=A","Dates=H","DateFormat=P","Fill=—","Direction=H","UseDPDF=Y")</f>
        <v>42.293500000000002</v>
      </c>
      <c r="AG13" s="21">
        <f>_xll.BDH("AAPL US Equity","LT_DEBT_TO_TOT_CAP","FQ1 2019","FQ1 2019","Currency=USD","Period=FQ","BEST_FPERIOD_OVERRIDE=FQ","FILING_STATUS=MR","Sort=A","Dates=H","DateFormat=P","Fill=—","Direction=H","UseDPDF=Y")</f>
        <v>39.974299999999999</v>
      </c>
      <c r="AH13" s="21">
        <f>_xll.BDH("AAPL US Equity","LT_DEBT_TO_TOT_CAP","FQ2 2019","FQ2 2019","Currency=USD","Period=FQ","BEST_FPERIOD_OVERRIDE=FQ","FILING_STATUS=MR","Sort=A","Dates=H","DateFormat=P","Fill=—","Direction=H","UseDPDF=Y")</f>
        <v>41.283799999999999</v>
      </c>
      <c r="AI13" s="21">
        <f>_xll.BDH("AAPL US Equity","LT_DEBT_TO_TOT_CAP","FQ3 2019","FQ3 2019","Currency=USD","Period=FQ","BEST_FPERIOD_OVERRIDE=FQ","FILING_STATUS=MR","Sort=A","Dates=H","DateFormat=P","Fill=—","Direction=H","UseDPDF=Y")</f>
        <v>41.457700000000003</v>
      </c>
      <c r="AJ13" s="21">
        <f>_xll.BDH("AAPL US Equity","LT_DEBT_TO_TOT_CAP","FQ4 2019","FQ4 2019","Currency=USD","Period=FQ","BEST_FPERIOD_OVERRIDE=FQ","FILING_STATUS=MR","Sort=A","Dates=H","DateFormat=P","Fill=—","Direction=H","UseDPDF=Y")</f>
        <v>46.242199999999997</v>
      </c>
      <c r="AK13" s="21">
        <f>_xll.BDH("AAPL US Equity","LT_DEBT_TO_TOT_CAP","FQ1 2020","FQ1 2020","Currency=USD","Period=FQ","BEST_FPERIOD_OVERRIDE=FQ","FILING_STATUS=MR","Sort=A","Dates=H","DateFormat=P","Fill=—","Direction=H","UseDPDF=Y")</f>
        <v>48.612099999999998</v>
      </c>
      <c r="AL13" s="21">
        <f>_xll.BDH("AAPL US Equity","LT_DEBT_TO_TOT_CAP","FQ2 2020","FQ2 2020","Currency=USD","Period=FQ","BEST_FPERIOD_OVERRIDE=FQ","FILING_STATUS=MR","Sort=A","Dates=H","DateFormat=P","Fill=—","Direction=H","UseDPDF=Y")</f>
        <v>49.261099999999999</v>
      </c>
      <c r="AM13" s="21">
        <f>_xll.BDH("AAPL US Equity","LT_DEBT_TO_TOT_CAP","FQ3 2020","FQ3 2020","Currency=USD","Period=FQ","BEST_FPERIOD_OVERRIDE=FQ","FILING_STATUS=MR","Sort=A","Dates=H","DateFormat=P","Fill=—","Direction=H","UseDPDF=Y")</f>
        <v>52.521799999999999</v>
      </c>
      <c r="AN13" s="21">
        <f>_xll.BDH("AAPL US Equity","LT_DEBT_TO_TOT_CAP","FQ4 2020","FQ4 2020","Currency=USD","Period=FQ","BEST_FPERIOD_OVERRIDE=FQ","FILING_STATUS=MR","Sort=A","Dates=H","DateFormat=P","Fill=—","Direction=H","UseDPDF=Y")</f>
        <v>57.057200000000002</v>
      </c>
      <c r="AO13" s="21">
        <f>_xll.BDH("AAPL US Equity","LT_DEBT_TO_TOT_CAP","FQ1 2021","FQ1 2021","Currency=USD","Period=FQ","BEST_FPERIOD_OVERRIDE=FQ","FILING_STATUS=MR","Sort=A","Dates=H","DateFormat=P","Fill=—","Direction=H","UseDPDF=Y")</f>
        <v>55.692300000000003</v>
      </c>
      <c r="AP13" s="21">
        <f>_xll.BDH("AAPL US Equity","LT_DEBT_TO_TOT_CAP","FQ2 2021","FQ2 2021","Currency=USD","Period=FQ","BEST_FPERIOD_OVERRIDE=FQ","FILING_STATUS=MR","Sort=A","Dates=H","DateFormat=P","Fill=—","Direction=H","UseDPDF=Y")</f>
        <v>56.933399999999999</v>
      </c>
    </row>
    <row r="14" spans="1:42" x14ac:dyDescent="0.25">
      <c r="A14" s="8" t="s">
        <v>179</v>
      </c>
      <c r="B14" s="8" t="s">
        <v>178</v>
      </c>
      <c r="C14" s="21">
        <f>_xll.BDH("AAPL US Equity","LT_DEBT_TO_TOT_ASSET","FQ3 2011","FQ3 2011","Currency=USD","Period=FQ","BEST_FPERIOD_OVERRIDE=FQ","FILING_STATUS=MR","Sort=A","Dates=H","DateFormat=P","Fill=—","Direction=H","UseDPDF=Y")</f>
        <v>0</v>
      </c>
      <c r="D14" s="21">
        <f>_xll.BDH("AAPL US Equity","LT_DEBT_TO_TOT_ASSET","FQ4 2011","FQ4 2011","Currency=USD","Period=FQ","BEST_FPERIOD_OVERRIDE=FQ","FILING_STATUS=MR","Sort=A","Dates=H","DateFormat=P","Fill=—","Direction=H","UseDPDF=Y")</f>
        <v>0</v>
      </c>
      <c r="E14" s="21">
        <f>_xll.BDH("AAPL US Equity","LT_DEBT_TO_TOT_ASSET","FQ1 2012","FQ1 2012","Currency=USD","Period=FQ","BEST_FPERIOD_OVERRIDE=FQ","FILING_STATUS=MR","Sort=A","Dates=H","DateFormat=P","Fill=—","Direction=H","UseDPDF=Y")</f>
        <v>0</v>
      </c>
      <c r="F14" s="21">
        <f>_xll.BDH("AAPL US Equity","LT_DEBT_TO_TOT_ASSET","FQ2 2012","FQ2 2012","Currency=USD","Period=FQ","BEST_FPERIOD_OVERRIDE=FQ","FILING_STATUS=MR","Sort=A","Dates=H","DateFormat=P","Fill=—","Direction=H","UseDPDF=Y")</f>
        <v>0</v>
      </c>
      <c r="G14" s="21">
        <f>_xll.BDH("AAPL US Equity","LT_DEBT_TO_TOT_ASSET","FQ3 2012","FQ3 2012","Currency=USD","Period=FQ","BEST_FPERIOD_OVERRIDE=FQ","FILING_STATUS=MR","Sort=A","Dates=H","DateFormat=P","Fill=—","Direction=H","UseDPDF=Y")</f>
        <v>0</v>
      </c>
      <c r="H14" s="21">
        <f>_xll.BDH("AAPL US Equity","LT_DEBT_TO_TOT_ASSET","FQ4 2012","FQ4 2012","Currency=USD","Period=FQ","BEST_FPERIOD_OVERRIDE=FQ","FILING_STATUS=MR","Sort=A","Dates=H","DateFormat=P","Fill=—","Direction=H","UseDPDF=Y")</f>
        <v>0</v>
      </c>
      <c r="I14" s="21">
        <f>_xll.BDH("AAPL US Equity","LT_DEBT_TO_TOT_ASSET","FQ1 2013","FQ1 2013","Currency=USD","Period=FQ","BEST_FPERIOD_OVERRIDE=FQ","FILING_STATUS=MR","Sort=A","Dates=H","DateFormat=P","Fill=—","Direction=H","UseDPDF=Y")</f>
        <v>0</v>
      </c>
      <c r="J14" s="21">
        <f>_xll.BDH("AAPL US Equity","LT_DEBT_TO_TOT_ASSET","FQ2 2013","FQ2 2013","Currency=USD","Period=FQ","BEST_FPERIOD_OVERRIDE=FQ","FILING_STATUS=MR","Sort=A","Dates=H","DateFormat=P","Fill=—","Direction=H","UseDPDF=Y")</f>
        <v>0</v>
      </c>
      <c r="K14" s="21">
        <f>_xll.BDH("AAPL US Equity","LT_DEBT_TO_TOT_ASSET","FQ3 2013","FQ3 2013","Currency=USD","Period=FQ","BEST_FPERIOD_OVERRIDE=FQ","FILING_STATUS=MR","Sort=A","Dates=H","DateFormat=P","Fill=—","Direction=H","UseDPDF=Y")</f>
        <v>8.4850999999999992</v>
      </c>
      <c r="L14" s="21">
        <f>_xll.BDH("AAPL US Equity","LT_DEBT_TO_TOT_ASSET","FQ4 2013","FQ4 2013","Currency=USD","Period=FQ","BEST_FPERIOD_OVERRIDE=FQ","FILING_STATUS=MR","Sort=A","Dates=H","DateFormat=P","Fill=—","Direction=H","UseDPDF=Y")</f>
        <v>8.1931999999999992</v>
      </c>
      <c r="M14" s="21">
        <f>_xll.BDH("AAPL US Equity","LT_DEBT_TO_TOT_ASSET","FQ1 2014","FQ1 2014","Currency=USD","Period=FQ","BEST_FPERIOD_OVERRIDE=FQ","FILING_STATUS=MR","Sort=A","Dates=H","DateFormat=P","Fill=—","Direction=H","UseDPDF=Y")</f>
        <v>7.5320999999999998</v>
      </c>
      <c r="N14" s="21">
        <f>_xll.BDH("AAPL US Equity","LT_DEBT_TO_TOT_ASSET","FQ2 2014","FQ2 2014","Currency=USD","Period=FQ","BEST_FPERIOD_OVERRIDE=FQ","FILING_STATUS=MR","Sort=A","Dates=H","DateFormat=P","Fill=—","Direction=H","UseDPDF=Y")</f>
        <v>8.2344000000000008</v>
      </c>
      <c r="O14" s="21">
        <f>_xll.BDH("AAPL US Equity","LT_DEBT_TO_TOT_ASSET","FQ3 2014","FQ3 2014","Currency=USD","Period=FQ","BEST_FPERIOD_OVERRIDE=FQ","FILING_STATUS=MR","Sort=A","Dates=H","DateFormat=P","Fill=—","Direction=H","UseDPDF=Y")</f>
        <v>13.045999999999999</v>
      </c>
      <c r="P14" s="21">
        <f>_xll.BDH("AAPL US Equity","LT_DEBT_TO_TOT_ASSET","FQ4 2014","FQ4 2014","Currency=USD","Period=FQ","BEST_FPERIOD_OVERRIDE=FQ","FILING_STATUS=MR","Sort=A","Dates=H","DateFormat=P","Fill=—","Direction=H","UseDPDF=Y")</f>
        <v>12.5031</v>
      </c>
      <c r="Q14" s="21">
        <f>_xll.BDH("AAPL US Equity","LT_DEBT_TO_TOT_ASSET","FQ1 2015","FQ1 2015","Currency=USD","Period=FQ","BEST_FPERIOD_OVERRIDE=FQ","FILING_STATUS=MR","Sort=A","Dates=H","DateFormat=P","Fill=—","Direction=H","UseDPDF=Y")</f>
        <v>12.411099999999999</v>
      </c>
      <c r="R14" s="21">
        <f>_xll.BDH("AAPL US Equity","LT_DEBT_TO_TOT_ASSET","FQ2 2015","FQ2 2015","Currency=USD","Period=FQ","BEST_FPERIOD_OVERRIDE=FQ","FILING_STATUS=MR","Sort=A","Dates=H","DateFormat=P","Fill=—","Direction=H","UseDPDF=Y")</f>
        <v>15.341900000000001</v>
      </c>
      <c r="S14" s="21">
        <f>_xll.BDH("AAPL US Equity","LT_DEBT_TO_TOT_ASSET","FQ3 2015","FQ3 2015","Currency=USD","Period=FQ","BEST_FPERIOD_OVERRIDE=FQ","FILING_STATUS=MR","Sort=A","Dates=H","DateFormat=P","Fill=—","Direction=H","UseDPDF=Y")</f>
        <v>17.36</v>
      </c>
      <c r="T14" s="21">
        <f>_xll.BDH("AAPL US Equity","LT_DEBT_TO_TOT_ASSET","FQ4 2015","FQ4 2015","Currency=USD","Period=FQ","BEST_FPERIOD_OVERRIDE=FQ","FILING_STATUS=MR","Sort=A","Dates=H","DateFormat=P","Fill=—","Direction=H","UseDPDF=Y")</f>
        <v>18.3675</v>
      </c>
      <c r="U14" s="21">
        <f>_xll.BDH("AAPL US Equity","LT_DEBT_TO_TOT_ASSET","FQ1 2016","FQ1 2016","Currency=USD","Period=FQ","BEST_FPERIOD_OVERRIDE=FQ","FILING_STATUS=MR","Sort=A","Dates=H","DateFormat=P","Fill=—","Direction=H","UseDPDF=Y")</f>
        <v>18.140799999999999</v>
      </c>
      <c r="V14" s="21">
        <f>_xll.BDH("AAPL US Equity","LT_DEBT_TO_TOT_ASSET","FQ2 2016","FQ2 2016","Currency=USD","Period=FQ","BEST_FPERIOD_OVERRIDE=FQ","FILING_STATUS=MR","Sort=A","Dates=H","DateFormat=P","Fill=—","Direction=H","UseDPDF=Y")</f>
        <v>22.724900000000002</v>
      </c>
      <c r="W14" s="21">
        <f>_xll.BDH("AAPL US Equity","LT_DEBT_TO_TOT_ASSET","FQ3 2016","FQ3 2016","Currency=USD","Period=FQ","BEST_FPERIOD_OVERRIDE=FQ","FILING_STATUS=MR","Sort=A","Dates=H","DateFormat=P","Fill=—","Direction=H","UseDPDF=Y")</f>
        <v>22.558399999999999</v>
      </c>
      <c r="X14" s="21">
        <f>_xll.BDH("AAPL US Equity","LT_DEBT_TO_TOT_ASSET","FQ4 2016","FQ4 2016","Currency=USD","Period=FQ","BEST_FPERIOD_OVERRIDE=FQ","FILING_STATUS=MR","Sort=A","Dates=H","DateFormat=P","Fill=—","Direction=H","UseDPDF=Y")</f>
        <v>23.447400000000002</v>
      </c>
      <c r="Y14" s="21">
        <f>_xll.BDH("AAPL US Equity","LT_DEBT_TO_TOT_ASSET","FQ1 2017","FQ1 2017","Currency=USD","Period=FQ","BEST_FPERIOD_OVERRIDE=FQ","FILING_STATUS=MR","Sort=A","Dates=H","DateFormat=P","Fill=—","Direction=H","UseDPDF=Y")</f>
        <v>22.213200000000001</v>
      </c>
      <c r="Z14" s="21">
        <f>_xll.BDH("AAPL US Equity","LT_DEBT_TO_TOT_ASSET","FQ2 2017","FQ2 2017","Currency=USD","Period=FQ","BEST_FPERIOD_OVERRIDE=FQ","FILING_STATUS=MR","Sort=A","Dates=H","DateFormat=P","Fill=—","Direction=H","UseDPDF=Y")</f>
        <v>25.2684</v>
      </c>
      <c r="AA14" s="21">
        <f>_xll.BDH("AAPL US Equity","LT_DEBT_TO_TOT_ASSET","FQ3 2017","FQ3 2017","Currency=USD","Period=FQ","BEST_FPERIOD_OVERRIDE=FQ","FILING_STATUS=MR","Sort=A","Dates=H","DateFormat=P","Fill=—","Direction=H","UseDPDF=Y")</f>
        <v>26.034500000000001</v>
      </c>
      <c r="AB14" s="21">
        <f>_xll.BDH("AAPL US Equity","LT_DEBT_TO_TOT_ASSET","FQ4 2017","FQ4 2017","Currency=USD","Period=FQ","BEST_FPERIOD_OVERRIDE=FQ","FILING_STATUS=MR","Sort=A","Dates=H","DateFormat=P","Fill=—","Direction=H","UseDPDF=Y")</f>
        <v>25.899799999999999</v>
      </c>
      <c r="AC14" s="21">
        <f>_xll.BDH("AAPL US Equity","LT_DEBT_TO_TOT_ASSET","FQ1 2018","FQ1 2018","Currency=USD","Period=FQ","BEST_FPERIOD_OVERRIDE=FQ","FILING_STATUS=MR","Sort=A","Dates=H","DateFormat=P","Fill=—","Direction=H","UseDPDF=Y")</f>
        <v>25.546600000000002</v>
      </c>
      <c r="AD14" s="21">
        <f>_xll.BDH("AAPL US Equity","LT_DEBT_TO_TOT_ASSET","FQ2 2018","FQ2 2018","Currency=USD","Period=FQ","BEST_FPERIOD_OVERRIDE=FQ","FILING_STATUS=MR","Sort=A","Dates=H","DateFormat=P","Fill=—","Direction=H","UseDPDF=Y")</f>
        <v>27.581299999999999</v>
      </c>
      <c r="AE14" s="21">
        <f>_xll.BDH("AAPL US Equity","LT_DEBT_TO_TOT_ASSET","FQ3 2018","FQ3 2018","Currency=USD","Period=FQ","BEST_FPERIOD_OVERRIDE=FQ","FILING_STATUS=MR","Sort=A","Dates=H","DateFormat=P","Fill=—","Direction=H","UseDPDF=Y")</f>
        <v>27.814699999999998</v>
      </c>
      <c r="AF14" s="21">
        <f>_xll.BDH("AAPL US Equity","LT_DEBT_TO_TOT_ASSET","FQ4 2018","FQ4 2018","Currency=USD","Period=FQ","BEST_FPERIOD_OVERRIDE=FQ","FILING_STATUS=MR","Sort=A","Dates=H","DateFormat=P","Fill=—","Direction=H","UseDPDF=Y")</f>
        <v>25.629899999999999</v>
      </c>
      <c r="AG14" s="21">
        <f>_xll.BDH("AAPL US Equity","LT_DEBT_TO_TOT_ASSET","FQ1 2019","FQ1 2019","Currency=USD","Period=FQ","BEST_FPERIOD_OVERRIDE=FQ","FILING_STATUS=MR","Sort=A","Dates=H","DateFormat=P","Fill=—","Direction=H","UseDPDF=Y")</f>
        <v>24.882100000000001</v>
      </c>
      <c r="AH14" s="21">
        <f>_xll.BDH("AAPL US Equity","LT_DEBT_TO_TOT_ASSET","FQ2 2019","FQ2 2019","Currency=USD","Period=FQ","BEST_FPERIOD_OVERRIDE=FQ","FILING_STATUS=MR","Sort=A","Dates=H","DateFormat=P","Fill=—","Direction=H","UseDPDF=Y")</f>
        <v>26.374700000000001</v>
      </c>
      <c r="AI14" s="21">
        <f>_xll.BDH("AAPL US Equity","LT_DEBT_TO_TOT_ASSET","FQ3 2019","FQ3 2019","Currency=USD","Period=FQ","BEST_FPERIOD_OVERRIDE=FQ","FILING_STATUS=MR","Sort=A","Dates=H","DateFormat=P","Fill=—","Direction=H","UseDPDF=Y")</f>
        <v>26.3581</v>
      </c>
      <c r="AJ14" s="21">
        <f>_xll.BDH("AAPL US Equity","LT_DEBT_TO_TOT_ASSET","FQ4 2019","FQ4 2019","Currency=USD","Period=FQ","BEST_FPERIOD_OVERRIDE=FQ","FILING_STATUS=MR","Sort=A","Dates=H","DateFormat=P","Fill=—","Direction=H","UseDPDF=Y")</f>
        <v>27.1204</v>
      </c>
      <c r="AK14" s="21">
        <f>_xll.BDH("AAPL US Equity","LT_DEBT_TO_TOT_ASSET","FQ1 2020","FQ1 2020","Currency=USD","Period=FQ","BEST_FPERIOD_OVERRIDE=FQ","FILING_STATUS=MR","Sort=A","Dates=H","DateFormat=P","Fill=—","Direction=H","UseDPDF=Y")</f>
        <v>29.44</v>
      </c>
      <c r="AL14" s="21">
        <f>_xll.BDH("AAPL US Equity","LT_DEBT_TO_TOT_ASSET","FQ2 2020","FQ2 2020","Currency=USD","Period=FQ","BEST_FPERIOD_OVERRIDE=FQ","FILING_STATUS=MR","Sort=A","Dates=H","DateFormat=P","Fill=—","Direction=H","UseDPDF=Y")</f>
        <v>30.3171</v>
      </c>
      <c r="AM14" s="21">
        <f>_xll.BDH("AAPL US Equity","LT_DEBT_TO_TOT_ASSET","FQ3 2020","FQ3 2020","Currency=USD","Period=FQ","BEST_FPERIOD_OVERRIDE=FQ","FILING_STATUS=MR","Sort=A","Dates=H","DateFormat=P","Fill=—","Direction=H","UseDPDF=Y")</f>
        <v>32.185299999999998</v>
      </c>
      <c r="AN14" s="21">
        <f>_xll.BDH("AAPL US Equity","LT_DEBT_TO_TOT_ASSET","FQ4 2020","FQ4 2020","Currency=USD","Period=FQ","BEST_FPERIOD_OVERRIDE=FQ","FILING_STATUS=MR","Sort=A","Dates=H","DateFormat=P","Fill=—","Direction=H","UseDPDF=Y")</f>
        <v>33.051200000000001</v>
      </c>
      <c r="AO14" s="21">
        <f>_xll.BDH("AAPL US Equity","LT_DEBT_TO_TOT_ASSET","FQ1 2021","FQ1 2021","Currency=USD","Period=FQ","BEST_FPERIOD_OVERRIDE=FQ","FILING_STATUS=MR","Sort=A","Dates=H","DateFormat=P","Fill=—","Direction=H","UseDPDF=Y")</f>
        <v>28.0412</v>
      </c>
      <c r="AP14" s="21">
        <f>_xll.BDH("AAPL US Equity","LT_DEBT_TO_TOT_ASSET","FQ2 2021","FQ2 2021","Currency=USD","Period=FQ","BEST_FPERIOD_OVERRIDE=FQ","FILING_STATUS=MR","Sort=A","Dates=H","DateFormat=P","Fill=—","Direction=H","UseDPDF=Y")</f>
        <v>32.222900000000003</v>
      </c>
    </row>
    <row r="15" spans="1:42" x14ac:dyDescent="0.25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5">
      <c r="A16" s="8" t="s">
        <v>177</v>
      </c>
      <c r="B16" s="8" t="s">
        <v>176</v>
      </c>
      <c r="C16" s="21">
        <f>_xll.BDH("AAPL US Equity","TOT_DEBT_TO_TOT_EQY","FQ3 2011","FQ3 2011","Currency=USD","Period=FQ","BEST_FPERIOD_OVERRIDE=FQ","FILING_STATUS=MR","Sort=A","Dates=H","DateFormat=P","Fill=—","Direction=H","UseDPDF=Y")</f>
        <v>0</v>
      </c>
      <c r="D16" s="21">
        <f>_xll.BDH("AAPL US Equity","TOT_DEBT_TO_TOT_EQY","FQ4 2011","FQ4 2011","Currency=USD","Period=FQ","BEST_FPERIOD_OVERRIDE=FQ","FILING_STATUS=MR","Sort=A","Dates=H","DateFormat=P","Fill=—","Direction=H","UseDPDF=Y")</f>
        <v>0</v>
      </c>
      <c r="E16" s="21">
        <f>_xll.BDH("AAPL US Equity","TOT_DEBT_TO_TOT_EQY","FQ1 2012","FQ1 2012","Currency=USD","Period=FQ","BEST_FPERIOD_OVERRIDE=FQ","FILING_STATUS=MR","Sort=A","Dates=H","DateFormat=P","Fill=—","Direction=H","UseDPDF=Y")</f>
        <v>0</v>
      </c>
      <c r="F16" s="21">
        <f>_xll.BDH("AAPL US Equity","TOT_DEBT_TO_TOT_EQY","FQ2 2012","FQ2 2012","Currency=USD","Period=FQ","BEST_FPERIOD_OVERRIDE=FQ","FILING_STATUS=MR","Sort=A","Dates=H","DateFormat=P","Fill=—","Direction=H","UseDPDF=Y")</f>
        <v>0</v>
      </c>
      <c r="G16" s="21">
        <f>_xll.BDH("AAPL US Equity","TOT_DEBT_TO_TOT_EQY","FQ3 2012","FQ3 2012","Currency=USD","Period=FQ","BEST_FPERIOD_OVERRIDE=FQ","FILING_STATUS=MR","Sort=A","Dates=H","DateFormat=P","Fill=—","Direction=H","UseDPDF=Y")</f>
        <v>0</v>
      </c>
      <c r="H16" s="21">
        <f>_xll.BDH("AAPL US Equity","TOT_DEBT_TO_TOT_EQY","FQ4 2012","FQ4 2012","Currency=USD","Period=FQ","BEST_FPERIOD_OVERRIDE=FQ","FILING_STATUS=MR","Sort=A","Dates=H","DateFormat=P","Fill=—","Direction=H","UseDPDF=Y")</f>
        <v>0</v>
      </c>
      <c r="I16" s="21">
        <f>_xll.BDH("AAPL US Equity","TOT_DEBT_TO_TOT_EQY","FQ1 2013","FQ1 2013","Currency=USD","Period=FQ","BEST_FPERIOD_OVERRIDE=FQ","FILING_STATUS=MR","Sort=A","Dates=H","DateFormat=P","Fill=—","Direction=H","UseDPDF=Y")</f>
        <v>0</v>
      </c>
      <c r="J16" s="21">
        <f>_xll.BDH("AAPL US Equity","TOT_DEBT_TO_TOT_EQY","FQ2 2013","FQ2 2013","Currency=USD","Period=FQ","BEST_FPERIOD_OVERRIDE=FQ","FILING_STATUS=MR","Sort=A","Dates=H","DateFormat=P","Fill=—","Direction=H","UseDPDF=Y")</f>
        <v>0</v>
      </c>
      <c r="K16" s="21">
        <f>_xll.BDH("AAPL US Equity","TOT_DEBT_TO_TOT_EQY","FQ3 2013","FQ3 2013","Currency=USD","Period=FQ","BEST_FPERIOD_OVERRIDE=FQ","FILING_STATUS=MR","Sort=A","Dates=H","DateFormat=P","Fill=—","Direction=H","UseDPDF=Y")</f>
        <v>13.747400000000001</v>
      </c>
      <c r="L16" s="21">
        <f>_xll.BDH("AAPL US Equity","TOT_DEBT_TO_TOT_EQY","FQ4 2013","FQ4 2013","Currency=USD","Period=FQ","BEST_FPERIOD_OVERRIDE=FQ","FILING_STATUS=MR","Sort=A","Dates=H","DateFormat=P","Fill=—","Direction=H","UseDPDF=Y")</f>
        <v>13.7273</v>
      </c>
      <c r="M16" s="21">
        <f>_xll.BDH("AAPL US Equity","TOT_DEBT_TO_TOT_EQY","FQ1 2014","FQ1 2014","Currency=USD","Period=FQ","BEST_FPERIOD_OVERRIDE=FQ","FILING_STATUS=MR","Sort=A","Dates=H","DateFormat=P","Fill=—","Direction=H","UseDPDF=Y")</f>
        <v>13.0787</v>
      </c>
      <c r="N16" s="21">
        <f>_xll.BDH("AAPL US Equity","TOT_DEBT_TO_TOT_EQY","FQ2 2014","FQ2 2014","Currency=USD","Period=FQ","BEST_FPERIOD_OVERRIDE=FQ","FILING_STATUS=MR","Sort=A","Dates=H","DateFormat=P","Fill=—","Direction=H","UseDPDF=Y")</f>
        <v>14.113899999999999</v>
      </c>
      <c r="O16" s="21">
        <f>_xll.BDH("AAPL US Equity","TOT_DEBT_TO_TOT_EQY","FQ3 2014","FQ3 2014","Currency=USD","Period=FQ","BEST_FPERIOD_OVERRIDE=FQ","FILING_STATUS=MR","Sort=A","Dates=H","DateFormat=P","Fill=—","Direction=H","UseDPDF=Y")</f>
        <v>25.665600000000001</v>
      </c>
      <c r="P16" s="21">
        <f>_xll.BDH("AAPL US Equity","TOT_DEBT_TO_TOT_EQY","FQ4 2014","FQ4 2014","Currency=USD","Period=FQ","BEST_FPERIOD_OVERRIDE=FQ","FILING_STATUS=MR","Sort=A","Dates=H","DateFormat=P","Fill=—","Direction=H","UseDPDF=Y")</f>
        <v>31.641400000000001</v>
      </c>
      <c r="Q16" s="21">
        <f>_xll.BDH("AAPL US Equity","TOT_DEBT_TO_TOT_EQY","FQ1 2015","FQ1 2015","Currency=USD","Period=FQ","BEST_FPERIOD_OVERRIDE=FQ","FILING_STATUS=MR","Sort=A","Dates=H","DateFormat=P","Fill=—","Direction=H","UseDPDF=Y")</f>
        <v>29.517199999999999</v>
      </c>
      <c r="R16" s="21">
        <f>_xll.BDH("AAPL US Equity","TOT_DEBT_TO_TOT_EQY","FQ2 2015","FQ2 2015","Currency=USD","Period=FQ","BEST_FPERIOD_OVERRIDE=FQ","FILING_STATUS=MR","Sort=A","Dates=H","DateFormat=P","Fill=—","Direction=H","UseDPDF=Y")</f>
        <v>34.006900000000002</v>
      </c>
      <c r="S16" s="21">
        <f>_xll.BDH("AAPL US Equity","TOT_DEBT_TO_TOT_EQY","FQ3 2015","FQ3 2015","Currency=USD","Period=FQ","BEST_FPERIOD_OVERRIDE=FQ","FILING_STATUS=MR","Sort=A","Dates=H","DateFormat=P","Fill=—","Direction=H","UseDPDF=Y")</f>
        <v>43.299900000000001</v>
      </c>
      <c r="T16" s="21">
        <f>_xll.BDH("AAPL US Equity","TOT_DEBT_TO_TOT_EQY","FQ4 2015","FQ4 2015","Currency=USD","Period=FQ","BEST_FPERIOD_OVERRIDE=FQ","FILING_STATUS=MR","Sort=A","Dates=H","DateFormat=P","Fill=—","Direction=H","UseDPDF=Y")</f>
        <v>53.8964</v>
      </c>
      <c r="U16" s="21">
        <f>_xll.BDH("AAPL US Equity","TOT_DEBT_TO_TOT_EQY","FQ1 2016","FQ1 2016","Currency=USD","Period=FQ","BEST_FPERIOD_OVERRIDE=FQ","FILING_STATUS=MR","Sort=A","Dates=H","DateFormat=P","Fill=—","Direction=H","UseDPDF=Y")</f>
        <v>49.087499999999999</v>
      </c>
      <c r="V16" s="21">
        <f>_xll.BDH("AAPL US Equity","TOT_DEBT_TO_TOT_EQY","FQ2 2016","FQ2 2016","Currency=USD","Period=FQ","BEST_FPERIOD_OVERRIDE=FQ","FILING_STATUS=MR","Sort=A","Dates=H","DateFormat=P","Fill=—","Direction=H","UseDPDF=Y")</f>
        <v>61.224800000000002</v>
      </c>
      <c r="W16" s="21">
        <f>_xll.BDH("AAPL US Equity","TOT_DEBT_TO_TOT_EQY","FQ3 2016","FQ3 2016","Currency=USD","Period=FQ","BEST_FPERIOD_OVERRIDE=FQ","FILING_STATUS=MR","Sort=A","Dates=H","DateFormat=P","Fill=—","Direction=H","UseDPDF=Y")</f>
        <v>67.120500000000007</v>
      </c>
      <c r="X16" s="21">
        <f>_xll.BDH("AAPL US Equity","TOT_DEBT_TO_TOT_EQY","FQ4 2016","FQ4 2016","Currency=USD","Period=FQ","BEST_FPERIOD_OVERRIDE=FQ","FILING_STATUS=MR","Sort=A","Dates=H","DateFormat=P","Fill=—","Direction=H","UseDPDF=Y")</f>
        <v>67.861699999999999</v>
      </c>
      <c r="Y16" s="21">
        <f>_xll.BDH("AAPL US Equity","TOT_DEBT_TO_TOT_EQY","FQ1 2017","FQ1 2017","Currency=USD","Period=FQ","BEST_FPERIOD_OVERRIDE=FQ","FILING_STATUS=MR","Sort=A","Dates=H","DateFormat=P","Fill=—","Direction=H","UseDPDF=Y")</f>
        <v>66.129599999999996</v>
      </c>
      <c r="Z16" s="21">
        <f>_xll.BDH("AAPL US Equity","TOT_DEBT_TO_TOT_EQY","FQ2 2017","FQ2 2017","Currency=USD","Period=FQ","BEST_FPERIOD_OVERRIDE=FQ","FILING_STATUS=MR","Sort=A","Dates=H","DateFormat=P","Fill=—","Direction=H","UseDPDF=Y")</f>
        <v>73.478899999999996</v>
      </c>
      <c r="AA16" s="21">
        <f>_xll.BDH("AAPL US Equity","TOT_DEBT_TO_TOT_EQY","FQ3 2017","FQ3 2017","Currency=USD","Period=FQ","BEST_FPERIOD_OVERRIDE=FQ","FILING_STATUS=MR","Sort=A","Dates=H","DateFormat=P","Fill=—","Direction=H","UseDPDF=Y")</f>
        <v>81.811599999999999</v>
      </c>
      <c r="AB16" s="21">
        <f>_xll.BDH("AAPL US Equity","TOT_DEBT_TO_TOT_EQY","FQ4 2017","FQ4 2017","Currency=USD","Period=FQ","BEST_FPERIOD_OVERRIDE=FQ","FILING_STATUS=MR","Sort=A","Dates=H","DateFormat=P","Fill=—","Direction=H","UseDPDF=Y")</f>
        <v>86.298100000000005</v>
      </c>
      <c r="AC16" s="21">
        <f>_xll.BDH("AAPL US Equity","TOT_DEBT_TO_TOT_EQY","FQ1 2018","FQ1 2018","Currency=USD","Period=FQ","BEST_FPERIOD_OVERRIDE=FQ","FILING_STATUS=MR","Sort=A","Dates=H","DateFormat=P","Fill=—","Direction=H","UseDPDF=Y")</f>
        <v>87.304500000000004</v>
      </c>
      <c r="AD16" s="21">
        <f>_xll.BDH("AAPL US Equity","TOT_DEBT_TO_TOT_EQY","FQ2 2018","FQ2 2018","Currency=USD","Period=FQ","BEST_FPERIOD_OVERRIDE=FQ","FILING_STATUS=MR","Sort=A","Dates=H","DateFormat=P","Fill=—","Direction=H","UseDPDF=Y")</f>
        <v>96.029300000000006</v>
      </c>
      <c r="AE16" s="21">
        <f>_xll.BDH("AAPL US Equity","TOT_DEBT_TO_TOT_EQY","FQ3 2018","FQ3 2018","Currency=USD","Period=FQ","BEST_FPERIOD_OVERRIDE=FQ","FILING_STATUS=MR","Sort=A","Dates=H","DateFormat=P","Fill=—","Direction=H","UseDPDF=Y")</f>
        <v>99.696399999999997</v>
      </c>
      <c r="AF16" s="21">
        <f>_xll.BDH("AAPL US Equity","TOT_DEBT_TO_TOT_EQY","FQ4 2018","FQ4 2018","Currency=USD","Period=FQ","BEST_FPERIOD_OVERRIDE=FQ","FILING_STATUS=MR","Sort=A","Dates=H","DateFormat=P","Fill=—","Direction=H","UseDPDF=Y")</f>
        <v>106.8467</v>
      </c>
      <c r="AG16" s="21">
        <f>_xll.BDH("AAPL US Equity","TOT_DEBT_TO_TOT_EQY","FQ1 2019","FQ1 2019","Currency=USD","Period=FQ","BEST_FPERIOD_OVERRIDE=FQ","FILING_STATUS=MR","Sort=A","Dates=H","DateFormat=P","Fill=—","Direction=H","UseDPDF=Y")</f>
        <v>97.317899999999995</v>
      </c>
      <c r="AH16" s="21">
        <f>_xll.BDH("AAPL US Equity","TOT_DEBT_TO_TOT_EQY","FQ2 2019","FQ2 2019","Currency=USD","Period=FQ","BEST_FPERIOD_OVERRIDE=FQ","FILING_STATUS=MR","Sort=A","Dates=H","DateFormat=P","Fill=—","Direction=H","UseDPDF=Y")</f>
        <v>106.3952</v>
      </c>
      <c r="AI16" s="21">
        <f>_xll.BDH("AAPL US Equity","TOT_DEBT_TO_TOT_EQY","FQ3 2019","FQ3 2019","Currency=USD","Period=FQ","BEST_FPERIOD_OVERRIDE=FQ","FILING_STATUS=MR","Sort=A","Dates=H","DateFormat=P","Fill=—","Direction=H","UseDPDF=Y")</f>
        <v>112.4015</v>
      </c>
      <c r="AJ16" s="21">
        <f>_xll.BDH("AAPL US Equity","TOT_DEBT_TO_TOT_EQY","FQ4 2019","FQ4 2019","Currency=USD","Period=FQ","BEST_FPERIOD_OVERRIDE=FQ","FILING_STATUS=MR","Sort=A","Dates=H","DateFormat=P","Fill=—","Direction=H","UseDPDF=Y")</f>
        <v>119.40479999999999</v>
      </c>
      <c r="AK16" s="21">
        <f>_xll.BDH("AAPL US Equity","TOT_DEBT_TO_TOT_EQY","FQ1 2020","FQ1 2020","Currency=USD","Period=FQ","BEST_FPERIOD_OVERRIDE=FQ","FILING_STATUS=MR","Sort=A","Dates=H","DateFormat=P","Fill=—","Direction=H","UseDPDF=Y")</f>
        <v>130.40289999999999</v>
      </c>
      <c r="AL16" s="21">
        <f>_xll.BDH("AAPL US Equity","TOT_DEBT_TO_TOT_EQY","FQ2 2020","FQ2 2020","Currency=USD","Period=FQ","BEST_FPERIOD_OVERRIDE=FQ","FILING_STATUS=MR","Sort=A","Dates=H","DateFormat=P","Fill=—","Direction=H","UseDPDF=Y")</f>
        <v>151.43260000000001</v>
      </c>
      <c r="AM16" s="21">
        <f>_xll.BDH("AAPL US Equity","TOT_DEBT_TO_TOT_EQY","FQ3 2020","FQ3 2020","Currency=USD","Period=FQ","BEST_FPERIOD_OVERRIDE=FQ","FILING_STATUS=MR","Sort=A","Dates=H","DateFormat=P","Fill=—","Direction=H","UseDPDF=Y")</f>
        <v>169.04069999999999</v>
      </c>
      <c r="AN16" s="21">
        <f>_xll.BDH("AAPL US Equity","TOT_DEBT_TO_TOT_EQY","FQ4 2020","FQ4 2020","Currency=USD","Period=FQ","BEST_FPERIOD_OVERRIDE=FQ","FILING_STATUS=MR","Sort=A","Dates=H","DateFormat=P","Fill=—","Direction=H","UseDPDF=Y")</f>
        <v>187.14400000000001</v>
      </c>
      <c r="AO16" s="21">
        <f>_xll.BDH("AAPL US Equity","TOT_DEBT_TO_TOT_EQY","FQ1 2021","FQ1 2021","Currency=USD","Period=FQ","BEST_FPERIOD_OVERRIDE=FQ","FILING_STATUS=MR","Sort=A","Dates=H","DateFormat=P","Fill=—","Direction=H","UseDPDF=Y")</f>
        <v>169.18790000000001</v>
      </c>
      <c r="AP16" s="21">
        <f>_xll.BDH("AAPL US Equity","TOT_DEBT_TO_TOT_EQY","FQ2 2021","FQ2 2021","Currency=USD","Period=FQ","BEST_FPERIOD_OVERRIDE=FQ","FILING_STATUS=MR","Sort=A","Dates=H","DateFormat=P","Fill=—","Direction=H","UseDPDF=Y")</f>
        <v>175.84350000000001</v>
      </c>
    </row>
    <row r="17" spans="1:42" x14ac:dyDescent="0.25">
      <c r="A17" s="8" t="s">
        <v>175</v>
      </c>
      <c r="B17" s="8" t="s">
        <v>174</v>
      </c>
      <c r="C17" s="21">
        <f>_xll.BDH("AAPL US Equity","TOT_DEBT_TO_TOT_CAP","FQ3 2011","FQ3 2011","Currency=USD","Period=FQ","BEST_FPERIOD_OVERRIDE=FQ","FILING_STATUS=MR","Sort=A","Dates=H","DateFormat=P","Fill=—","Direction=H","UseDPDF=Y")</f>
        <v>0</v>
      </c>
      <c r="D17" s="21">
        <f>_xll.BDH("AAPL US Equity","TOT_DEBT_TO_TOT_CAP","FQ4 2011","FQ4 2011","Currency=USD","Period=FQ","BEST_FPERIOD_OVERRIDE=FQ","FILING_STATUS=MR","Sort=A","Dates=H","DateFormat=P","Fill=—","Direction=H","UseDPDF=Y")</f>
        <v>0</v>
      </c>
      <c r="E17" s="21">
        <f>_xll.BDH("AAPL US Equity","TOT_DEBT_TO_TOT_CAP","FQ1 2012","FQ1 2012","Currency=USD","Period=FQ","BEST_FPERIOD_OVERRIDE=FQ","FILING_STATUS=MR","Sort=A","Dates=H","DateFormat=P","Fill=—","Direction=H","UseDPDF=Y")</f>
        <v>0</v>
      </c>
      <c r="F17" s="21">
        <f>_xll.BDH("AAPL US Equity","TOT_DEBT_TO_TOT_CAP","FQ2 2012","FQ2 2012","Currency=USD","Period=FQ","BEST_FPERIOD_OVERRIDE=FQ","FILING_STATUS=MR","Sort=A","Dates=H","DateFormat=P","Fill=—","Direction=H","UseDPDF=Y")</f>
        <v>0</v>
      </c>
      <c r="G17" s="21">
        <f>_xll.BDH("AAPL US Equity","TOT_DEBT_TO_TOT_CAP","FQ3 2012","FQ3 2012","Currency=USD","Period=FQ","BEST_FPERIOD_OVERRIDE=FQ","FILING_STATUS=MR","Sort=A","Dates=H","DateFormat=P","Fill=—","Direction=H","UseDPDF=Y")</f>
        <v>0</v>
      </c>
      <c r="H17" s="21">
        <f>_xll.BDH("AAPL US Equity","TOT_DEBT_TO_TOT_CAP","FQ4 2012","FQ4 2012","Currency=USD","Period=FQ","BEST_FPERIOD_OVERRIDE=FQ","FILING_STATUS=MR","Sort=A","Dates=H","DateFormat=P","Fill=—","Direction=H","UseDPDF=Y")</f>
        <v>0</v>
      </c>
      <c r="I17" s="21">
        <f>_xll.BDH("AAPL US Equity","TOT_DEBT_TO_TOT_CAP","FQ1 2013","FQ1 2013","Currency=USD","Period=FQ","BEST_FPERIOD_OVERRIDE=FQ","FILING_STATUS=MR","Sort=A","Dates=H","DateFormat=P","Fill=—","Direction=H","UseDPDF=Y")</f>
        <v>0</v>
      </c>
      <c r="J17" s="21">
        <f>_xll.BDH("AAPL US Equity","TOT_DEBT_TO_TOT_CAP","FQ2 2013","FQ2 2013","Currency=USD","Period=FQ","BEST_FPERIOD_OVERRIDE=FQ","FILING_STATUS=MR","Sort=A","Dates=H","DateFormat=P","Fill=—","Direction=H","UseDPDF=Y")</f>
        <v>0</v>
      </c>
      <c r="K17" s="21">
        <f>_xll.BDH("AAPL US Equity","TOT_DEBT_TO_TOT_CAP","FQ3 2013","FQ3 2013","Currency=USD","Period=FQ","BEST_FPERIOD_OVERRIDE=FQ","FILING_STATUS=MR","Sort=A","Dates=H","DateFormat=P","Fill=—","Direction=H","UseDPDF=Y")</f>
        <v>12.085900000000001</v>
      </c>
      <c r="L17" s="21">
        <f>_xll.BDH("AAPL US Equity","TOT_DEBT_TO_TOT_CAP","FQ4 2013","FQ4 2013","Currency=USD","Period=FQ","BEST_FPERIOD_OVERRIDE=FQ","FILING_STATUS=MR","Sort=A","Dates=H","DateFormat=P","Fill=—","Direction=H","UseDPDF=Y")</f>
        <v>12.070399999999999</v>
      </c>
      <c r="M17" s="21">
        <f>_xll.BDH("AAPL US Equity","TOT_DEBT_TO_TOT_CAP","FQ1 2014","FQ1 2014","Currency=USD","Period=FQ","BEST_FPERIOD_OVERRIDE=FQ","FILING_STATUS=MR","Sort=A","Dates=H","DateFormat=P","Fill=—","Direction=H","UseDPDF=Y")</f>
        <v>11.566000000000001</v>
      </c>
      <c r="N17" s="21">
        <f>_xll.BDH("AAPL US Equity","TOT_DEBT_TO_TOT_CAP","FQ2 2014","FQ2 2014","Currency=USD","Period=FQ","BEST_FPERIOD_OVERRIDE=FQ","FILING_STATUS=MR","Sort=A","Dates=H","DateFormat=P","Fill=—","Direction=H","UseDPDF=Y")</f>
        <v>12.3683</v>
      </c>
      <c r="O17" s="21">
        <f>_xll.BDH("AAPL US Equity","TOT_DEBT_TO_TOT_CAP","FQ3 2014","FQ3 2014","Currency=USD","Period=FQ","BEST_FPERIOD_OVERRIDE=FQ","FILING_STATUS=MR","Sort=A","Dates=H","DateFormat=P","Fill=—","Direction=H","UseDPDF=Y")</f>
        <v>20.4237</v>
      </c>
      <c r="P17" s="21">
        <f>_xll.BDH("AAPL US Equity","TOT_DEBT_TO_TOT_CAP","FQ4 2014","FQ4 2014","Currency=USD","Period=FQ","BEST_FPERIOD_OVERRIDE=FQ","FILING_STATUS=MR","Sort=A","Dates=H","DateFormat=P","Fill=—","Direction=H","UseDPDF=Y")</f>
        <v>24.036000000000001</v>
      </c>
      <c r="Q17" s="21">
        <f>_xll.BDH("AAPL US Equity","TOT_DEBT_TO_TOT_CAP","FQ1 2015","FQ1 2015","Currency=USD","Period=FQ","BEST_FPERIOD_OVERRIDE=FQ","FILING_STATUS=MR","Sort=A","Dates=H","DateFormat=P","Fill=—","Direction=H","UseDPDF=Y")</f>
        <v>22.790199999999999</v>
      </c>
      <c r="R17" s="21">
        <f>_xll.BDH("AAPL US Equity","TOT_DEBT_TO_TOT_CAP","FQ2 2015","FQ2 2015","Currency=USD","Period=FQ","BEST_FPERIOD_OVERRIDE=FQ","FILING_STATUS=MR","Sort=A","Dates=H","DateFormat=P","Fill=—","Direction=H","UseDPDF=Y")</f>
        <v>25.376999999999999</v>
      </c>
      <c r="S17" s="21">
        <f>_xll.BDH("AAPL US Equity","TOT_DEBT_TO_TOT_CAP","FQ3 2015","FQ3 2015","Currency=USD","Period=FQ","BEST_FPERIOD_OVERRIDE=FQ","FILING_STATUS=MR","Sort=A","Dates=H","DateFormat=P","Fill=—","Direction=H","UseDPDF=Y")</f>
        <v>30.2163</v>
      </c>
      <c r="T17" s="21">
        <f>_xll.BDH("AAPL US Equity","TOT_DEBT_TO_TOT_CAP","FQ4 2015","FQ4 2015","Currency=USD","Period=FQ","BEST_FPERIOD_OVERRIDE=FQ","FILING_STATUS=MR","Sort=A","Dates=H","DateFormat=P","Fill=—","Direction=H","UseDPDF=Y")</f>
        <v>35.0212</v>
      </c>
      <c r="U17" s="21">
        <f>_xll.BDH("AAPL US Equity","TOT_DEBT_TO_TOT_CAP","FQ1 2016","FQ1 2016","Currency=USD","Period=FQ","BEST_FPERIOD_OVERRIDE=FQ","FILING_STATUS=MR","Sort=A","Dates=H","DateFormat=P","Fill=—","Direction=H","UseDPDF=Y")</f>
        <v>32.9253</v>
      </c>
      <c r="V17" s="21">
        <f>_xll.BDH("AAPL US Equity","TOT_DEBT_TO_TOT_CAP","FQ2 2016","FQ2 2016","Currency=USD","Period=FQ","BEST_FPERIOD_OVERRIDE=FQ","FILING_STATUS=MR","Sort=A","Dates=H","DateFormat=P","Fill=—","Direction=H","UseDPDF=Y")</f>
        <v>37.974800000000002</v>
      </c>
      <c r="W17" s="21">
        <f>_xll.BDH("AAPL US Equity","TOT_DEBT_TO_TOT_CAP","FQ3 2016","FQ3 2016","Currency=USD","Period=FQ","BEST_FPERIOD_OVERRIDE=FQ","FILING_STATUS=MR","Sort=A","Dates=H","DateFormat=P","Fill=—","Direction=H","UseDPDF=Y")</f>
        <v>40.1629</v>
      </c>
      <c r="X17" s="21">
        <f>_xll.BDH("AAPL US Equity","TOT_DEBT_TO_TOT_CAP","FQ4 2016","FQ4 2016","Currency=USD","Period=FQ","BEST_FPERIOD_OVERRIDE=FQ","FILING_STATUS=MR","Sort=A","Dates=H","DateFormat=P","Fill=—","Direction=H","UseDPDF=Y")</f>
        <v>40.427199999999999</v>
      </c>
      <c r="Y17" s="21">
        <f>_xll.BDH("AAPL US Equity","TOT_DEBT_TO_TOT_CAP","FQ1 2017","FQ1 2017","Currency=USD","Period=FQ","BEST_FPERIOD_OVERRIDE=FQ","FILING_STATUS=MR","Sort=A","Dates=H","DateFormat=P","Fill=—","Direction=H","UseDPDF=Y")</f>
        <v>39.805999999999997</v>
      </c>
      <c r="Z17" s="21">
        <f>_xll.BDH("AAPL US Equity","TOT_DEBT_TO_TOT_CAP","FQ2 2017","FQ2 2017","Currency=USD","Period=FQ","BEST_FPERIOD_OVERRIDE=FQ","FILING_STATUS=MR","Sort=A","Dates=H","DateFormat=P","Fill=—","Direction=H","UseDPDF=Y")</f>
        <v>42.356099999999998</v>
      </c>
      <c r="AA17" s="21">
        <f>_xll.BDH("AAPL US Equity","TOT_DEBT_TO_TOT_CAP","FQ3 2017","FQ3 2017","Currency=USD","Period=FQ","BEST_FPERIOD_OVERRIDE=FQ","FILING_STATUS=MR","Sort=A","Dates=H","DateFormat=P","Fill=—","Direction=H","UseDPDF=Y")</f>
        <v>44.997999999999998</v>
      </c>
      <c r="AB17" s="21">
        <f>_xll.BDH("AAPL US Equity","TOT_DEBT_TO_TOT_CAP","FQ4 2017","FQ4 2017","Currency=USD","Period=FQ","BEST_FPERIOD_OVERRIDE=FQ","FILING_STATUS=MR","Sort=A","Dates=H","DateFormat=P","Fill=—","Direction=H","UseDPDF=Y")</f>
        <v>46.322600000000001</v>
      </c>
      <c r="AC17" s="21">
        <f>_xll.BDH("AAPL US Equity","TOT_DEBT_TO_TOT_CAP","FQ1 2018","FQ1 2018","Currency=USD","Period=FQ","BEST_FPERIOD_OVERRIDE=FQ","FILING_STATUS=MR","Sort=A","Dates=H","DateFormat=P","Fill=—","Direction=H","UseDPDF=Y")</f>
        <v>46.610999999999997</v>
      </c>
      <c r="AD17" s="21">
        <f>_xll.BDH("AAPL US Equity","TOT_DEBT_TO_TOT_CAP","FQ2 2018","FQ2 2018","Currency=USD","Period=FQ","BEST_FPERIOD_OVERRIDE=FQ","FILING_STATUS=MR","Sort=A","Dates=H","DateFormat=P","Fill=—","Direction=H","UseDPDF=Y")</f>
        <v>48.987200000000001</v>
      </c>
      <c r="AE17" s="21">
        <f>_xll.BDH("AAPL US Equity","TOT_DEBT_TO_TOT_CAP","FQ3 2018","FQ3 2018","Currency=USD","Period=FQ","BEST_FPERIOD_OVERRIDE=FQ","FILING_STATUS=MR","Sort=A","Dates=H","DateFormat=P","Fill=—","Direction=H","UseDPDF=Y")</f>
        <v>49.923999999999999</v>
      </c>
      <c r="AF17" s="21">
        <f>_xll.BDH("AAPL US Equity","TOT_DEBT_TO_TOT_CAP","FQ4 2018","FQ4 2018","Currency=USD","Period=FQ","BEST_FPERIOD_OVERRIDE=FQ","FILING_STATUS=MR","Sort=A","Dates=H","DateFormat=P","Fill=—","Direction=H","UseDPDF=Y")</f>
        <v>51.655000000000001</v>
      </c>
      <c r="AG17" s="21">
        <f>_xll.BDH("AAPL US Equity","TOT_DEBT_TO_TOT_CAP","FQ1 2019","FQ1 2019","Currency=USD","Period=FQ","BEST_FPERIOD_OVERRIDE=FQ","FILING_STATUS=MR","Sort=A","Dates=H","DateFormat=P","Fill=—","Direction=H","UseDPDF=Y")</f>
        <v>49.320399999999999</v>
      </c>
      <c r="AH17" s="21">
        <f>_xll.BDH("AAPL US Equity","TOT_DEBT_TO_TOT_CAP","FQ2 2019","FQ2 2019","Currency=USD","Period=FQ","BEST_FPERIOD_OVERRIDE=FQ","FILING_STATUS=MR","Sort=A","Dates=H","DateFormat=P","Fill=—","Direction=H","UseDPDF=Y")</f>
        <v>51.549300000000002</v>
      </c>
      <c r="AI17" s="21">
        <f>_xll.BDH("AAPL US Equity","TOT_DEBT_TO_TOT_CAP","FQ3 2019","FQ3 2019","Currency=USD","Period=FQ","BEST_FPERIOD_OVERRIDE=FQ","FILING_STATUS=MR","Sort=A","Dates=H","DateFormat=P","Fill=—","Direction=H","UseDPDF=Y")</f>
        <v>52.919400000000003</v>
      </c>
      <c r="AJ17" s="21">
        <f>_xll.BDH("AAPL US Equity","TOT_DEBT_TO_TOT_CAP","FQ4 2019","FQ4 2019","Currency=USD","Period=FQ","BEST_FPERIOD_OVERRIDE=FQ","FILING_STATUS=MR","Sort=A","Dates=H","DateFormat=P","Fill=—","Direction=H","UseDPDF=Y")</f>
        <v>54.4221</v>
      </c>
      <c r="AK17" s="21">
        <f>_xll.BDH("AAPL US Equity","TOT_DEBT_TO_TOT_CAP","FQ1 2020","FQ1 2020","Currency=USD","Period=FQ","BEST_FPERIOD_OVERRIDE=FQ","FILING_STATUS=MR","Sort=A","Dates=H","DateFormat=P","Fill=—","Direction=H","UseDPDF=Y")</f>
        <v>56.597799999999999</v>
      </c>
      <c r="AL17" s="21">
        <f>_xll.BDH("AAPL US Equity","TOT_DEBT_TO_TOT_CAP","FQ2 2020","FQ2 2020","Currency=USD","Period=FQ","BEST_FPERIOD_OVERRIDE=FQ","FILING_STATUS=MR","Sort=A","Dates=H","DateFormat=P","Fill=—","Direction=H","UseDPDF=Y")</f>
        <v>60.227899999999998</v>
      </c>
      <c r="AM17" s="21">
        <f>_xll.BDH("AAPL US Equity","TOT_DEBT_TO_TOT_CAP","FQ3 2020","FQ3 2020","Currency=USD","Period=FQ","BEST_FPERIOD_OVERRIDE=FQ","FILING_STATUS=MR","Sort=A","Dates=H","DateFormat=P","Fill=—","Direction=H","UseDPDF=Y")</f>
        <v>62.8309</v>
      </c>
      <c r="AN17" s="21">
        <f>_xll.BDH("AAPL US Equity","TOT_DEBT_TO_TOT_CAP","FQ4 2020","FQ4 2020","Currency=USD","Period=FQ","BEST_FPERIOD_OVERRIDE=FQ","FILING_STATUS=MR","Sort=A","Dates=H","DateFormat=P","Fill=—","Direction=H","UseDPDF=Y")</f>
        <v>65.174300000000002</v>
      </c>
      <c r="AO17" s="21">
        <f>_xll.BDH("AAPL US Equity","TOT_DEBT_TO_TOT_CAP","FQ1 2021","FQ1 2021","Currency=USD","Period=FQ","BEST_FPERIOD_OVERRIDE=FQ","FILING_STATUS=MR","Sort=A","Dates=H","DateFormat=P","Fill=—","Direction=H","UseDPDF=Y")</f>
        <v>62.851199999999999</v>
      </c>
      <c r="AP17" s="21">
        <f>_xll.BDH("AAPL US Equity","TOT_DEBT_TO_TOT_CAP","FQ2 2021","FQ2 2021","Currency=USD","Period=FQ","BEST_FPERIOD_OVERRIDE=FQ","FILING_STATUS=MR","Sort=A","Dates=H","DateFormat=P","Fill=—","Direction=H","UseDPDF=Y")</f>
        <v>63.747599999999998</v>
      </c>
    </row>
    <row r="18" spans="1:42" x14ac:dyDescent="0.25">
      <c r="A18" s="8" t="s">
        <v>173</v>
      </c>
      <c r="B18" s="8" t="s">
        <v>172</v>
      </c>
      <c r="C18" s="21">
        <f>_xll.BDH("AAPL US Equity","TOT_DEBT_TO_TOT_ASSET","FQ3 2011","FQ3 2011","Currency=USD","Period=FQ","BEST_FPERIOD_OVERRIDE=FQ","FILING_STATUS=MR","Sort=A","Dates=H","DateFormat=P","Fill=—","Direction=H","UseDPDF=Y")</f>
        <v>0</v>
      </c>
      <c r="D18" s="21">
        <f>_xll.BDH("AAPL US Equity","TOT_DEBT_TO_TOT_ASSET","FQ4 2011","FQ4 2011","Currency=USD","Period=FQ","BEST_FPERIOD_OVERRIDE=FQ","FILING_STATUS=MR","Sort=A","Dates=H","DateFormat=P","Fill=—","Direction=H","UseDPDF=Y")</f>
        <v>0</v>
      </c>
      <c r="E18" s="21">
        <f>_xll.BDH("AAPL US Equity","TOT_DEBT_TO_TOT_ASSET","FQ1 2012","FQ1 2012","Currency=USD","Period=FQ","BEST_FPERIOD_OVERRIDE=FQ","FILING_STATUS=MR","Sort=A","Dates=H","DateFormat=P","Fill=—","Direction=H","UseDPDF=Y")</f>
        <v>0</v>
      </c>
      <c r="F18" s="21">
        <f>_xll.BDH("AAPL US Equity","TOT_DEBT_TO_TOT_ASSET","FQ2 2012","FQ2 2012","Currency=USD","Period=FQ","BEST_FPERIOD_OVERRIDE=FQ","FILING_STATUS=MR","Sort=A","Dates=H","DateFormat=P","Fill=—","Direction=H","UseDPDF=Y")</f>
        <v>0</v>
      </c>
      <c r="G18" s="21">
        <f>_xll.BDH("AAPL US Equity","TOT_DEBT_TO_TOT_ASSET","FQ3 2012","FQ3 2012","Currency=USD","Period=FQ","BEST_FPERIOD_OVERRIDE=FQ","FILING_STATUS=MR","Sort=A","Dates=H","DateFormat=P","Fill=—","Direction=H","UseDPDF=Y")</f>
        <v>0</v>
      </c>
      <c r="H18" s="21">
        <f>_xll.BDH("AAPL US Equity","TOT_DEBT_TO_TOT_ASSET","FQ4 2012","FQ4 2012","Currency=USD","Period=FQ","BEST_FPERIOD_OVERRIDE=FQ","FILING_STATUS=MR","Sort=A","Dates=H","DateFormat=P","Fill=—","Direction=H","UseDPDF=Y")</f>
        <v>0</v>
      </c>
      <c r="I18" s="21">
        <f>_xll.BDH("AAPL US Equity","TOT_DEBT_TO_TOT_ASSET","FQ1 2013","FQ1 2013","Currency=USD","Period=FQ","BEST_FPERIOD_OVERRIDE=FQ","FILING_STATUS=MR","Sort=A","Dates=H","DateFormat=P","Fill=—","Direction=H","UseDPDF=Y")</f>
        <v>0</v>
      </c>
      <c r="J18" s="21">
        <f>_xll.BDH("AAPL US Equity","TOT_DEBT_TO_TOT_ASSET","FQ2 2013","FQ2 2013","Currency=USD","Period=FQ","BEST_FPERIOD_OVERRIDE=FQ","FILING_STATUS=MR","Sort=A","Dates=H","DateFormat=P","Fill=—","Direction=H","UseDPDF=Y")</f>
        <v>0</v>
      </c>
      <c r="K18" s="21">
        <f>_xll.BDH("AAPL US Equity","TOT_DEBT_TO_TOT_ASSET","FQ3 2013","FQ3 2013","Currency=USD","Period=FQ","BEST_FPERIOD_OVERRIDE=FQ","FILING_STATUS=MR","Sort=A","Dates=H","DateFormat=P","Fill=—","Direction=H","UseDPDF=Y")</f>
        <v>8.4850999999999992</v>
      </c>
      <c r="L18" s="21">
        <f>_xll.BDH("AAPL US Equity","TOT_DEBT_TO_TOT_ASSET","FQ4 2013","FQ4 2013","Currency=USD","Period=FQ","BEST_FPERIOD_OVERRIDE=FQ","FILING_STATUS=MR","Sort=A","Dates=H","DateFormat=P","Fill=—","Direction=H","UseDPDF=Y")</f>
        <v>8.1931999999999992</v>
      </c>
      <c r="M18" s="21">
        <f>_xll.BDH("AAPL US Equity","TOT_DEBT_TO_TOT_ASSET","FQ1 2014","FQ1 2014","Currency=USD","Period=FQ","BEST_FPERIOD_OVERRIDE=FQ","FILING_STATUS=MR","Sort=A","Dates=H","DateFormat=P","Fill=—","Direction=H","UseDPDF=Y")</f>
        <v>7.5320999999999998</v>
      </c>
      <c r="N18" s="21">
        <f>_xll.BDH("AAPL US Equity","TOT_DEBT_TO_TOT_ASSET","FQ2 2014","FQ2 2014","Currency=USD","Period=FQ","BEST_FPERIOD_OVERRIDE=FQ","FILING_STATUS=MR","Sort=A","Dates=H","DateFormat=P","Fill=—","Direction=H","UseDPDF=Y")</f>
        <v>8.2344000000000008</v>
      </c>
      <c r="O18" s="21">
        <f>_xll.BDH("AAPL US Equity","TOT_DEBT_TO_TOT_ASSET","FQ3 2014","FQ3 2014","Currency=USD","Period=FQ","BEST_FPERIOD_OVERRIDE=FQ","FILING_STATUS=MR","Sort=A","Dates=H","DateFormat=P","Fill=—","Direction=H","UseDPDF=Y")</f>
        <v>13.949300000000001</v>
      </c>
      <c r="P18" s="21">
        <f>_xll.BDH("AAPL US Equity","TOT_DEBT_TO_TOT_ASSET","FQ4 2014","FQ4 2014","Currency=USD","Period=FQ","BEST_FPERIOD_OVERRIDE=FQ","FILING_STATUS=MR","Sort=A","Dates=H","DateFormat=P","Fill=—","Direction=H","UseDPDF=Y")</f>
        <v>15.2239</v>
      </c>
      <c r="Q18" s="21">
        <f>_xll.BDH("AAPL US Equity","TOT_DEBT_TO_TOT_ASSET","FQ1 2015","FQ1 2015","Currency=USD","Period=FQ","BEST_FPERIOD_OVERRIDE=FQ","FILING_STATUS=MR","Sort=A","Dates=H","DateFormat=P","Fill=—","Direction=H","UseDPDF=Y")</f>
        <v>13.899900000000001</v>
      </c>
      <c r="R18" s="21">
        <f>_xll.BDH("AAPL US Equity","TOT_DEBT_TO_TOT_ASSET","FQ2 2015","FQ2 2015","Currency=USD","Period=FQ","BEST_FPERIOD_OVERRIDE=FQ","FILING_STATUS=MR","Sort=A","Dates=H","DateFormat=P","Fill=—","Direction=H","UseDPDF=Y")</f>
        <v>16.796299999999999</v>
      </c>
      <c r="S18" s="21">
        <f>_xll.BDH("AAPL US Equity","TOT_DEBT_TO_TOT_ASSET","FQ3 2015","FQ3 2015","Currency=USD","Period=FQ","BEST_FPERIOD_OVERRIDE=FQ","FILING_STATUS=MR","Sort=A","Dates=H","DateFormat=P","Fill=—","Direction=H","UseDPDF=Y")</f>
        <v>19.9223</v>
      </c>
      <c r="T18" s="21">
        <f>_xll.BDH("AAPL US Equity","TOT_DEBT_TO_TOT_ASSET","FQ4 2015","FQ4 2015","Currency=USD","Period=FQ","BEST_FPERIOD_OVERRIDE=FQ","FILING_STATUS=MR","Sort=A","Dates=H","DateFormat=P","Fill=—","Direction=H","UseDPDF=Y")</f>
        <v>22.1557</v>
      </c>
      <c r="U18" s="21">
        <f>_xll.BDH("AAPL US Equity","TOT_DEBT_TO_TOT_ASSET","FQ1 2016","FQ1 2016","Currency=USD","Period=FQ","BEST_FPERIOD_OVERRIDE=FQ","FILING_STATUS=MR","Sort=A","Dates=H","DateFormat=P","Fill=—","Direction=H","UseDPDF=Y")</f>
        <v>21.468299999999999</v>
      </c>
      <c r="V18" s="21">
        <f>_xll.BDH("AAPL US Equity","TOT_DEBT_TO_TOT_ASSET","FQ2 2016","FQ2 2016","Currency=USD","Period=FQ","BEST_FPERIOD_OVERRIDE=FQ","FILING_STATUS=MR","Sort=A","Dates=H","DateFormat=P","Fill=—","Direction=H","UseDPDF=Y")</f>
        <v>26.163799999999998</v>
      </c>
      <c r="W18" s="21">
        <f>_xll.BDH("AAPL US Equity","TOT_DEBT_TO_TOT_ASSET","FQ3 2016","FQ3 2016","Currency=USD","Period=FQ","BEST_FPERIOD_OVERRIDE=FQ","FILING_STATUS=MR","Sort=A","Dates=H","DateFormat=P","Fill=—","Direction=H","UseDPDF=Y")</f>
        <v>27.7927</v>
      </c>
      <c r="X18" s="21">
        <f>_xll.BDH("AAPL US Equity","TOT_DEBT_TO_TOT_ASSET","FQ4 2016","FQ4 2016","Currency=USD","Period=FQ","BEST_FPERIOD_OVERRIDE=FQ","FILING_STATUS=MR","Sort=A","Dates=H","DateFormat=P","Fill=—","Direction=H","UseDPDF=Y")</f>
        <v>27.055</v>
      </c>
      <c r="Y18" s="21">
        <f>_xll.BDH("AAPL US Equity","TOT_DEBT_TO_TOT_ASSET","FQ1 2017","FQ1 2017","Currency=USD","Period=FQ","BEST_FPERIOD_OVERRIDE=FQ","FILING_STATUS=MR","Sort=A","Dates=H","DateFormat=P","Fill=—","Direction=H","UseDPDF=Y")</f>
        <v>26.438600000000001</v>
      </c>
      <c r="Z18" s="21">
        <f>_xll.BDH("AAPL US Equity","TOT_DEBT_TO_TOT_ASSET","FQ2 2017","FQ2 2017","Currency=USD","Period=FQ","BEST_FPERIOD_OVERRIDE=FQ","FILING_STATUS=MR","Sort=A","Dates=H","DateFormat=P","Fill=—","Direction=H","UseDPDF=Y")</f>
        <v>29.450700000000001</v>
      </c>
      <c r="AA18" s="21">
        <f>_xll.BDH("AAPL US Equity","TOT_DEBT_TO_TOT_ASSET","FQ3 2017","FQ3 2017","Currency=USD","Period=FQ","BEST_FPERIOD_OVERRIDE=FQ","FILING_STATUS=MR","Sort=A","Dates=H","DateFormat=P","Fill=—","Direction=H","UseDPDF=Y")</f>
        <v>31.386900000000001</v>
      </c>
      <c r="AB18" s="21">
        <f>_xll.BDH("AAPL US Equity","TOT_DEBT_TO_TOT_ASSET","FQ4 2017","FQ4 2017","Currency=USD","Period=FQ","BEST_FPERIOD_OVERRIDE=FQ","FILING_STATUS=MR","Sort=A","Dates=H","DateFormat=P","Fill=—","Direction=H","UseDPDF=Y")</f>
        <v>30.8218</v>
      </c>
      <c r="AC18" s="21">
        <f>_xll.BDH("AAPL US Equity","TOT_DEBT_TO_TOT_ASSET","FQ1 2018","FQ1 2018","Currency=USD","Period=FQ","BEST_FPERIOD_OVERRIDE=FQ","FILING_STATUS=MR","Sort=A","Dates=H","DateFormat=P","Fill=—","Direction=H","UseDPDF=Y")</f>
        <v>30.088899999999999</v>
      </c>
      <c r="AD18" s="21">
        <f>_xll.BDH("AAPL US Equity","TOT_DEBT_TO_TOT_ASSET","FQ2 2018","FQ2 2018","Currency=USD","Period=FQ","BEST_FPERIOD_OVERRIDE=FQ","FILING_STATUS=MR","Sort=A","Dates=H","DateFormat=P","Fill=—","Direction=H","UseDPDF=Y")</f>
        <v>33.153599999999997</v>
      </c>
      <c r="AE18" s="21">
        <f>_xll.BDH("AAPL US Equity","TOT_DEBT_TO_TOT_ASSET","FQ3 2018","FQ3 2018","Currency=USD","Period=FQ","BEST_FPERIOD_OVERRIDE=FQ","FILING_STATUS=MR","Sort=A","Dates=H","DateFormat=P","Fill=—","Direction=H","UseDPDF=Y")</f>
        <v>32.818199999999997</v>
      </c>
      <c r="AF18" s="21">
        <f>_xll.BDH("AAPL US Equity","TOT_DEBT_TO_TOT_ASSET","FQ4 2018","FQ4 2018","Currency=USD","Period=FQ","BEST_FPERIOD_OVERRIDE=FQ","FILING_STATUS=MR","Sort=A","Dates=H","DateFormat=P","Fill=—","Direction=H","UseDPDF=Y")</f>
        <v>31.303000000000001</v>
      </c>
      <c r="AG18" s="21">
        <f>_xll.BDH("AAPL US Equity","TOT_DEBT_TO_TOT_ASSET","FQ1 2019","FQ1 2019","Currency=USD","Period=FQ","BEST_FPERIOD_OVERRIDE=FQ","FILING_STATUS=MR","Sort=A","Dates=H","DateFormat=P","Fill=—","Direction=H","UseDPDF=Y")</f>
        <v>30.6995</v>
      </c>
      <c r="AH18" s="21">
        <f>_xll.BDH("AAPL US Equity","TOT_DEBT_TO_TOT_ASSET","FQ2 2019","FQ2 2019","Currency=USD","Period=FQ","BEST_FPERIOD_OVERRIDE=FQ","FILING_STATUS=MR","Sort=A","Dates=H","DateFormat=P","Fill=—","Direction=H","UseDPDF=Y")</f>
        <v>32.932899999999997</v>
      </c>
      <c r="AI18" s="21">
        <f>_xll.BDH("AAPL US Equity","TOT_DEBT_TO_TOT_ASSET","FQ3 2019","FQ3 2019","Currency=USD","Period=FQ","BEST_FPERIOD_OVERRIDE=FQ","FILING_STATUS=MR","Sort=A","Dates=H","DateFormat=P","Fill=—","Direction=H","UseDPDF=Y")</f>
        <v>33.645200000000003</v>
      </c>
      <c r="AJ18" s="21">
        <f>_xll.BDH("AAPL US Equity","TOT_DEBT_TO_TOT_ASSET","FQ4 2019","FQ4 2019","Currency=USD","Period=FQ","BEST_FPERIOD_OVERRIDE=FQ","FILING_STATUS=MR","Sort=A","Dates=H","DateFormat=P","Fill=—","Direction=H","UseDPDF=Y")</f>
        <v>31.9178</v>
      </c>
      <c r="AK18" s="21">
        <f>_xll.BDH("AAPL US Equity","TOT_DEBT_TO_TOT_ASSET","FQ1 2020","FQ1 2020","Currency=USD","Period=FQ","BEST_FPERIOD_OVERRIDE=FQ","FILING_STATUS=MR","Sort=A","Dates=H","DateFormat=P","Fill=—","Direction=H","UseDPDF=Y")</f>
        <v>34.276200000000003</v>
      </c>
      <c r="AL18" s="21">
        <f>_xll.BDH("AAPL US Equity","TOT_DEBT_TO_TOT_ASSET","FQ2 2020","FQ2 2020","Currency=USD","Period=FQ","BEST_FPERIOD_OVERRIDE=FQ","FILING_STATUS=MR","Sort=A","Dates=H","DateFormat=P","Fill=—","Direction=H","UseDPDF=Y")</f>
        <v>37.066499999999998</v>
      </c>
      <c r="AM18" s="21">
        <f>_xll.BDH("AAPL US Equity","TOT_DEBT_TO_TOT_ASSET","FQ3 2020","FQ3 2020","Currency=USD","Period=FQ","BEST_FPERIOD_OVERRIDE=FQ","FILING_STATUS=MR","Sort=A","Dates=H","DateFormat=P","Fill=—","Direction=H","UseDPDF=Y")</f>
        <v>38.502699999999997</v>
      </c>
      <c r="AN18" s="21">
        <f>_xll.BDH("AAPL US Equity","TOT_DEBT_TO_TOT_ASSET","FQ4 2020","FQ4 2020","Currency=USD","Period=FQ","BEST_FPERIOD_OVERRIDE=FQ","FILING_STATUS=MR","Sort=A","Dates=H","DateFormat=P","Fill=—","Direction=H","UseDPDF=Y")</f>
        <v>37.7532</v>
      </c>
      <c r="AO18" s="21">
        <f>_xll.BDH("AAPL US Equity","TOT_DEBT_TO_TOT_ASSET","FQ1 2021","FQ1 2021","Currency=USD","Period=FQ","BEST_FPERIOD_OVERRIDE=FQ","FILING_STATUS=MR","Sort=A","Dates=H","DateFormat=P","Fill=—","Direction=H","UseDPDF=Y")</f>
        <v>31.645700000000001</v>
      </c>
      <c r="AP18" s="21">
        <f>_xll.BDH("AAPL US Equity","TOT_DEBT_TO_TOT_ASSET","FQ2 2021","FQ2 2021","Currency=USD","Period=FQ","BEST_FPERIOD_OVERRIDE=FQ","FILING_STATUS=MR","Sort=A","Dates=H","DateFormat=P","Fill=—","Direction=H","UseDPDF=Y")</f>
        <v>36.079500000000003</v>
      </c>
    </row>
    <row r="19" spans="1:42" x14ac:dyDescent="0.25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1:42" x14ac:dyDescent="0.25">
      <c r="A20" s="8" t="s">
        <v>171</v>
      </c>
      <c r="B20" s="8" t="s">
        <v>170</v>
      </c>
      <c r="C20" s="21">
        <f>_xll.BDH("AAPL US Equity","CASH_FLOW_TO_TOT_LIAB","FQ3 2011","FQ3 2011","Currency=USD","Period=FQ","BEST_FPERIOD_OVERRIDE=FQ","FILING_STATUS=MR","Sort=A","Dates=H","DateFormat=P","Fill=—","Direction=H","UseDPDF=Y")</f>
        <v>87.619900000000001</v>
      </c>
      <c r="D20" s="21">
        <f>_xll.BDH("AAPL US Equity","CASH_FLOW_TO_TOT_LIAB","FQ4 2011","FQ4 2011","Currency=USD","Period=FQ","BEST_FPERIOD_OVERRIDE=FQ","FILING_STATUS=MR","Sort=A","Dates=H","DateFormat=P","Fill=—","Direction=H","UseDPDF=Y")</f>
        <v>94.398300000000006</v>
      </c>
      <c r="E20" s="21">
        <f>_xll.BDH("AAPL US Equity","CASH_FLOW_TO_TOT_LIAB","FQ1 2012","FQ1 2012","Currency=USD","Period=FQ","BEST_FPERIOD_OVERRIDE=FQ","FILING_STATUS=MR","Sort=A","Dates=H","DateFormat=P","Fill=—","Direction=H","UseDPDF=Y")</f>
        <v>93.178700000000006</v>
      </c>
      <c r="F20" s="21">
        <f>_xll.BDH("AAPL US Equity","CASH_FLOW_TO_TOT_LIAB","FQ2 2012","FQ2 2012","Currency=USD","Period=FQ","BEST_FPERIOD_OVERRIDE=FQ","FILING_STATUS=MR","Sort=A","Dates=H","DateFormat=P","Fill=—","Direction=H","UseDPDF=Y")</f>
        <v>109.56310000000001</v>
      </c>
      <c r="G20" s="21">
        <f>_xll.BDH("AAPL US Equity","CASH_FLOW_TO_TOT_LIAB","FQ3 2012","FQ3 2012","Currency=USD","Period=FQ","BEST_FPERIOD_OVERRIDE=FQ","FILING_STATUS=MR","Sort=A","Dates=H","DateFormat=P","Fill=—","Direction=H","UseDPDF=Y")</f>
        <v>101.95310000000001</v>
      </c>
      <c r="H20" s="21">
        <f>_xll.BDH("AAPL US Equity","CASH_FLOW_TO_TOT_LIAB","FQ4 2012","FQ4 2012","Currency=USD","Period=FQ","BEST_FPERIOD_OVERRIDE=FQ","FILING_STATUS=MR","Sort=A","Dates=H","DateFormat=P","Fill=—","Direction=H","UseDPDF=Y")</f>
        <v>87.903999999999996</v>
      </c>
      <c r="I20" s="21">
        <f>_xll.BDH("AAPL US Equity","CASH_FLOW_TO_TOT_LIAB","FQ1 2013","FQ1 2013","Currency=USD","Period=FQ","BEST_FPERIOD_OVERRIDE=FQ","FILING_STATUS=MR","Sort=A","Dates=H","DateFormat=P","Fill=—","Direction=H","UseDPDF=Y")</f>
        <v>82.523099999999999</v>
      </c>
      <c r="J20" s="21">
        <f>_xll.BDH("AAPL US Equity","CASH_FLOW_TO_TOT_LIAB","FQ2 2013","FQ2 2013","Currency=USD","Period=FQ","BEST_FPERIOD_OVERRIDE=FQ","FILING_STATUS=MR","Sort=A","Dates=H","DateFormat=P","Fill=—","Direction=H","UseDPDF=Y")</f>
        <v>93.252700000000004</v>
      </c>
      <c r="K20" s="21">
        <f>_xll.BDH("AAPL US Equity","CASH_FLOW_TO_TOT_LIAB","FQ3 2013","FQ3 2013","Currency=USD","Period=FQ","BEST_FPERIOD_OVERRIDE=FQ","FILING_STATUS=MR","Sort=A","Dates=H","DateFormat=P","Fill=—","Direction=H","UseDPDF=Y")</f>
        <v>69.140699999999995</v>
      </c>
      <c r="L20" s="21">
        <f>_xll.BDH("AAPL US Equity","CASH_FLOW_TO_TOT_LIAB","FQ4 2013","FQ4 2013","Currency=USD","Period=FQ","BEST_FPERIOD_OVERRIDE=FQ","FILING_STATUS=MR","Sort=A","Dates=H","DateFormat=P","Fill=—","Direction=H","UseDPDF=Y")</f>
        <v>64.308400000000006</v>
      </c>
      <c r="M20" s="21">
        <f>_xll.BDH("AAPL US Equity","CASH_FLOW_TO_TOT_LIAB","FQ1 2014","FQ1 2014","Currency=USD","Period=FQ","BEST_FPERIOD_OVERRIDE=FQ","FILING_STATUS=MR","Sort=A","Dates=H","DateFormat=P","Fill=—","Direction=H","UseDPDF=Y")</f>
        <v>55.403100000000002</v>
      </c>
      <c r="N20" s="21">
        <f>_xll.BDH("AAPL US Equity","CASH_FLOW_TO_TOT_LIAB","FQ2 2014","FQ2 2014","Currency=USD","Period=FQ","BEST_FPERIOD_OVERRIDE=FQ","FILING_STATUS=MR","Sort=A","Dates=H","DateFormat=P","Fill=—","Direction=H","UseDPDF=Y")</f>
        <v>62.8645</v>
      </c>
      <c r="O20" s="21">
        <f>_xll.BDH("AAPL US Equity","CASH_FLOW_TO_TOT_LIAB","FQ3 2014","FQ3 2014","Currency=USD","Period=FQ","BEST_FPERIOD_OVERRIDE=FQ","FILING_STATUS=MR","Sort=A","Dates=H","DateFormat=P","Fill=—","Direction=H","UseDPDF=Y")</f>
        <v>55.494199999999999</v>
      </c>
      <c r="P20" s="21">
        <f>_xll.BDH("AAPL US Equity","CASH_FLOW_TO_TOT_LIAB","FQ4 2014","FQ4 2014","Currency=USD","Period=FQ","BEST_FPERIOD_OVERRIDE=FQ","FILING_STATUS=MR","Sort=A","Dates=H","DateFormat=P","Fill=—","Direction=H","UseDPDF=Y")</f>
        <v>49.64</v>
      </c>
      <c r="Q20" s="21">
        <f>_xll.BDH("AAPL US Equity","CASH_FLOW_TO_TOT_LIAB","FQ1 2015","FQ1 2015","Currency=USD","Period=FQ","BEST_FPERIOD_OVERRIDE=FQ","FILING_STATUS=MR","Sort=A","Dates=H","DateFormat=P","Fill=—","Direction=H","UseDPDF=Y")</f>
        <v>51.069499999999998</v>
      </c>
      <c r="R20" s="21">
        <f>_xll.BDH("AAPL US Equity","CASH_FLOW_TO_TOT_LIAB","FQ2 2015","FQ2 2015","Currency=USD","Period=FQ","BEST_FPERIOD_OVERRIDE=FQ","FILING_STATUS=MR","Sort=A","Dates=H","DateFormat=P","Fill=—","Direction=H","UseDPDF=Y")</f>
        <v>57.726900000000001</v>
      </c>
      <c r="S20" s="21">
        <f>_xll.BDH("AAPL US Equity","CASH_FLOW_TO_TOT_LIAB","FQ3 2015","FQ3 2015","Currency=USD","Period=FQ","BEST_FPERIOD_OVERRIDE=FQ","FILING_STATUS=MR","Sort=A","Dates=H","DateFormat=P","Fill=—","Direction=H","UseDPDF=Y")</f>
        <v>54.9527</v>
      </c>
      <c r="T20" s="21">
        <f>_xll.BDH("AAPL US Equity","CASH_FLOW_TO_TOT_LIAB","FQ4 2015","FQ4 2015","Currency=USD","Period=FQ","BEST_FPERIOD_OVERRIDE=FQ","FILING_STATUS=MR","Sort=A","Dates=H","DateFormat=P","Fill=—","Direction=H","UseDPDF=Y")</f>
        <v>47.526800000000001</v>
      </c>
      <c r="U20" s="21">
        <f>_xll.BDH("AAPL US Equity","CASH_FLOW_TO_TOT_LIAB","FQ1 2016","FQ1 2016","Currency=USD","Period=FQ","BEST_FPERIOD_OVERRIDE=FQ","FILING_STATUS=MR","Sort=A","Dates=H","DateFormat=P","Fill=—","Direction=H","UseDPDF=Y")</f>
        <v>45.454099999999997</v>
      </c>
      <c r="V20" s="21">
        <f>_xll.BDH("AAPL US Equity","CASH_FLOW_TO_TOT_LIAB","FQ2 2016","FQ2 2016","Currency=USD","Period=FQ","BEST_FPERIOD_OVERRIDE=FQ","FILING_STATUS=MR","Sort=A","Dates=H","DateFormat=P","Fill=—","Direction=H","UseDPDF=Y")</f>
        <v>38.626600000000003</v>
      </c>
      <c r="W20" s="21">
        <f>_xll.BDH("AAPL US Equity","CASH_FLOW_TO_TOT_LIAB","FQ3 2016","FQ3 2016","Currency=USD","Period=FQ","BEST_FPERIOD_OVERRIDE=FQ","FILING_STATUS=MR","Sort=A","Dates=H","DateFormat=P","Fill=—","Direction=H","UseDPDF=Y")</f>
        <v>35.280200000000001</v>
      </c>
      <c r="X20" s="21">
        <f>_xll.BDH("AAPL US Equity","CASH_FLOW_TO_TOT_LIAB","FQ4 2016","FQ4 2016","Currency=USD","Period=FQ","BEST_FPERIOD_OVERRIDE=FQ","FILING_STATUS=MR","Sort=A","Dates=H","DateFormat=P","Fill=—","Direction=H","UseDPDF=Y")</f>
        <v>34.028700000000001</v>
      </c>
      <c r="Y20" s="21">
        <f>_xll.BDH("AAPL US Equity","CASH_FLOW_TO_TOT_LIAB","FQ1 2017","FQ1 2017","Currency=USD","Period=FQ","BEST_FPERIOD_OVERRIDE=FQ","FILING_STATUS=MR","Sort=A","Dates=H","DateFormat=P","Fill=—","Direction=H","UseDPDF=Y")</f>
        <v>33.003599999999999</v>
      </c>
      <c r="Z20" s="21">
        <f>_xll.BDH("AAPL US Equity","CASH_FLOW_TO_TOT_LIAB","FQ2 2017","FQ2 2017","Currency=USD","Period=FQ","BEST_FPERIOD_OVERRIDE=FQ","FILING_STATUS=MR","Sort=A","Dates=H","DateFormat=P","Fill=—","Direction=H","UseDPDF=Y")</f>
        <v>46.6815</v>
      </c>
      <c r="AA20" s="21">
        <f>_xll.BDH("AAPL US Equity","CASH_FLOW_TO_TOT_LIAB","FQ3 2017","FQ3 2017","Currency=USD","Period=FQ","BEST_FPERIOD_OVERRIDE=FQ","FILING_STATUS=MR","Sort=A","Dates=H","DateFormat=P","Fill=—","Direction=H","UseDPDF=Y")</f>
        <v>43.166600000000003</v>
      </c>
      <c r="AB20" s="21">
        <f>_xll.BDH("AAPL US Equity","CASH_FLOW_TO_TOT_LIAB","FQ4 2017","FQ4 2017","Currency=USD","Period=FQ","BEST_FPERIOD_OVERRIDE=FQ","FILING_STATUS=MR","Sort=A","Dates=H","DateFormat=P","Fill=—","Direction=H","UseDPDF=Y")</f>
        <v>37.906999999999996</v>
      </c>
      <c r="AC20" s="21">
        <f>_xll.BDH("AAPL US Equity","CASH_FLOW_TO_TOT_LIAB","FQ1 2018","FQ1 2018","Currency=USD","Period=FQ","BEST_FPERIOD_OVERRIDE=FQ","FILING_STATUS=MR","Sort=A","Dates=H","DateFormat=P","Fill=—","Direction=H","UseDPDF=Y")</f>
        <v>34.703600000000002</v>
      </c>
      <c r="AD20" s="21">
        <f>_xll.BDH("AAPL US Equity","CASH_FLOW_TO_TOT_LIAB","FQ2 2018","FQ2 2018","Currency=USD","Period=FQ","BEST_FPERIOD_OVERRIDE=FQ","FILING_STATUS=MR","Sort=A","Dates=H","DateFormat=P","Fill=—","Direction=H","UseDPDF=Y")</f>
        <v>28.288499999999999</v>
      </c>
      <c r="AE20" s="21">
        <f>_xll.BDH("AAPL US Equity","CASH_FLOW_TO_TOT_LIAB","FQ3 2018","FQ3 2018","Currency=USD","Period=FQ","BEST_FPERIOD_OVERRIDE=FQ","FILING_STATUS=MR","Sort=A","Dates=H","DateFormat=P","Fill=—","Direction=H","UseDPDF=Y")</f>
        <v>31.4453</v>
      </c>
      <c r="AF20" s="21">
        <f>_xll.BDH("AAPL US Equity","CASH_FLOW_TO_TOT_LIAB","FQ4 2018","FQ4 2018","Currency=USD","Period=FQ","BEST_FPERIOD_OVERRIDE=FQ","FILING_STATUS=MR","Sort=A","Dates=H","DateFormat=P","Fill=—","Direction=H","UseDPDF=Y")</f>
        <v>29.946100000000001</v>
      </c>
      <c r="AG20" s="21">
        <f>_xll.BDH("AAPL US Equity","CASH_FLOW_TO_TOT_LIAB","FQ1 2019","FQ1 2019","Currency=USD","Period=FQ","BEST_FPERIOD_OVERRIDE=FQ","FILING_STATUS=MR","Sort=A","Dates=H","DateFormat=P","Fill=—","Direction=H","UseDPDF=Y")</f>
        <v>29.641500000000001</v>
      </c>
      <c r="AH20" s="21">
        <f>_xll.BDH("AAPL US Equity","CASH_FLOW_TO_TOT_LIAB","FQ2 2019","FQ2 2019","Currency=USD","Period=FQ","BEST_FPERIOD_OVERRIDE=FQ","FILING_STATUS=MR","Sort=A","Dates=H","DateFormat=P","Fill=—","Direction=H","UseDPDF=Y")</f>
        <v>30.4297</v>
      </c>
      <c r="AI20" s="21">
        <f>_xll.BDH("AAPL US Equity","CASH_FLOW_TO_TOT_LIAB","FQ3 2019","FQ3 2019","Currency=USD","Period=FQ","BEST_FPERIOD_OVERRIDE=FQ","FILING_STATUS=MR","Sort=A","Dates=H","DateFormat=P","Fill=—","Direction=H","UseDPDF=Y")</f>
        <v>30.562100000000001</v>
      </c>
      <c r="AJ20" s="21">
        <f>_xll.BDH("AAPL US Equity","CASH_FLOW_TO_TOT_LIAB","FQ4 2019","FQ4 2019","Currency=USD","Period=FQ","BEST_FPERIOD_OVERRIDE=FQ","FILING_STATUS=MR","Sort=A","Dates=H","DateFormat=P","Fill=—","Direction=H","UseDPDF=Y")</f>
        <v>27.9771</v>
      </c>
      <c r="AK20" s="21">
        <f>_xll.BDH("AAPL US Equity","CASH_FLOW_TO_TOT_LIAB","FQ1 2020","FQ1 2020","Currency=USD","Period=FQ","BEST_FPERIOD_OVERRIDE=FQ","FILING_STATUS=MR","Sort=A","Dates=H","DateFormat=P","Fill=—","Direction=H","UseDPDF=Y")</f>
        <v>29.16</v>
      </c>
      <c r="AL20" s="21">
        <f>_xll.BDH("AAPL US Equity","CASH_FLOW_TO_TOT_LIAB","FQ2 2020","FQ2 2020","Currency=USD","Period=FQ","BEST_FPERIOD_OVERRIDE=FQ","FILING_STATUS=MR","Sort=A","Dates=H","DateFormat=P","Fill=—","Direction=H","UseDPDF=Y")</f>
        <v>31.149100000000001</v>
      </c>
      <c r="AM20" s="21">
        <f>_xll.BDH("AAPL US Equity","CASH_FLOW_TO_TOT_LIAB","FQ3 2020","FQ3 2020","Currency=USD","Period=FQ","BEST_FPERIOD_OVERRIDE=FQ","FILING_STATUS=MR","Sort=A","Dates=H","DateFormat=P","Fill=—","Direction=H","UseDPDF=Y")</f>
        <v>32.648099999999999</v>
      </c>
      <c r="AN20" s="21">
        <f>_xll.BDH("AAPL US Equity","CASH_FLOW_TO_TOT_LIAB","FQ4 2020","FQ4 2020","Currency=USD","Period=FQ","BEST_FPERIOD_OVERRIDE=FQ","FILING_STATUS=MR","Sort=A","Dates=H","DateFormat=P","Fill=—","Direction=H","UseDPDF=Y")</f>
        <v>31.2026</v>
      </c>
      <c r="AO20" s="21">
        <f>_xll.BDH("AAPL US Equity","CASH_FLOW_TO_TOT_LIAB","FQ1 2021","FQ1 2021","Currency=USD","Period=FQ","BEST_FPERIOD_OVERRIDE=FQ","FILING_STATUS=MR","Sort=A","Dates=H","DateFormat=P","Fill=—","Direction=H","UseDPDF=Y")</f>
        <v>30.893599999999999</v>
      </c>
      <c r="AP20" s="21">
        <f>_xll.BDH("AAPL US Equity","CASH_FLOW_TO_TOT_LIAB","FQ2 2021","FQ2 2021","Currency=USD","Period=FQ","BEST_FPERIOD_OVERRIDE=FQ","FILING_STATUS=MR","Sort=A","Dates=H","DateFormat=P","Fill=—","Direction=H","UseDPDF=Y")</f>
        <v>37.163600000000002</v>
      </c>
    </row>
    <row r="21" spans="1:42" x14ac:dyDescent="0.25">
      <c r="A21" s="8" t="s">
        <v>169</v>
      </c>
      <c r="B21" s="8" t="s">
        <v>168</v>
      </c>
      <c r="C21" s="21">
        <f>_xll.BDH("AAPL US Equity","CAP_EXPEND_RATIO","FQ3 2011","FQ3 2011","Currency=USD","Period=FQ","BEST_FPERIOD_OVERRIDE=FQ","FILING_STATUS=MR","Sort=A","Dates=H","DateFormat=P","Fill=—","Direction=H","UseDPDF=Y")</f>
        <v>14.295999999999999</v>
      </c>
      <c r="D21" s="21">
        <f>_xll.BDH("AAPL US Equity","CAP_EXPEND_RATIO","FQ4 2011","FQ4 2011","Currency=USD","Period=FQ","BEST_FPERIOD_OVERRIDE=FQ","FILING_STATUS=MR","Sort=A","Dates=H","DateFormat=P","Fill=—","Direction=H","UseDPDF=Y")</f>
        <v>6.3398000000000003</v>
      </c>
      <c r="E21" s="21">
        <f>_xll.BDH("AAPL US Equity","CAP_EXPEND_RATIO","FQ1 2012","FQ1 2012","Currency=USD","Period=FQ","BEST_FPERIOD_OVERRIDE=FQ","FILING_STATUS=MR","Sort=A","Dates=H","DateFormat=P","Fill=—","Direction=H","UseDPDF=Y")</f>
        <v>13.288399999999999</v>
      </c>
      <c r="F21" s="21">
        <f>_xll.BDH("AAPL US Equity","CAP_EXPEND_RATIO","FQ2 2012","FQ2 2012","Currency=USD","Period=FQ","BEST_FPERIOD_OVERRIDE=FQ","FILING_STATUS=MR","Sort=A","Dates=H","DateFormat=P","Fill=—","Direction=H","UseDPDF=Y")</f>
        <v>9.593</v>
      </c>
      <c r="G21" s="21">
        <f>_xll.BDH("AAPL US Equity","CAP_EXPEND_RATIO","FQ3 2012","FQ3 2012","Currency=USD","Period=FQ","BEST_FPERIOD_OVERRIDE=FQ","FILING_STATUS=MR","Sort=A","Dates=H","DateFormat=P","Fill=—","Direction=H","UseDPDF=Y")</f>
        <v>4.9557000000000002</v>
      </c>
      <c r="H21" s="21">
        <f>_xll.BDH("AAPL US Equity","CAP_EXPEND_RATIO","FQ4 2012","FQ4 2012","Currency=USD","Period=FQ","BEST_FPERIOD_OVERRIDE=FQ","FILING_STATUS=MR","Sort=A","Dates=H","DateFormat=P","Fill=—","Direction=H","UseDPDF=Y")</f>
        <v>2.6396999999999999</v>
      </c>
      <c r="I21" s="21">
        <f>_xll.BDH("AAPL US Equity","CAP_EXPEND_RATIO","FQ1 2013","FQ1 2013","Currency=USD","Period=FQ","BEST_FPERIOD_OVERRIDE=FQ","FILING_STATUS=MR","Sort=A","Dates=H","DateFormat=P","Fill=—","Direction=H","UseDPDF=Y")</f>
        <v>10.1105</v>
      </c>
      <c r="J21" s="21">
        <f>_xll.BDH("AAPL US Equity","CAP_EXPEND_RATIO","FQ2 2013","FQ2 2013","Currency=USD","Period=FQ","BEST_FPERIOD_OVERRIDE=FQ","FILING_STATUS=MR","Sort=A","Dates=H","DateFormat=P","Fill=—","Direction=H","UseDPDF=Y")</f>
        <v>6.2271000000000001</v>
      </c>
      <c r="K21" s="21">
        <f>_xll.BDH("AAPL US Equity","CAP_EXPEND_RATIO","FQ3 2013","FQ3 2013","Currency=USD","Period=FQ","BEST_FPERIOD_OVERRIDE=FQ","FILING_STATUS=MR","Sort=A","Dates=H","DateFormat=P","Fill=—","Direction=H","UseDPDF=Y")</f>
        <v>4.1528</v>
      </c>
      <c r="L21" s="21">
        <f>_xll.BDH("AAPL US Equity","CAP_EXPEND_RATIO","FQ4 2013","FQ4 2013","Currency=USD","Period=FQ","BEST_FPERIOD_OVERRIDE=FQ","FILING_STATUS=MR","Sort=A","Dates=H","DateFormat=P","Fill=—","Direction=H","UseDPDF=Y")</f>
        <v>5.0679999999999996</v>
      </c>
      <c r="M21" s="21">
        <f>_xll.BDH("AAPL US Equity","CAP_EXPEND_RATIO","FQ1 2014","FQ1 2014","Currency=USD","Period=FQ","BEST_FPERIOD_OVERRIDE=FQ","FILING_STATUS=MR","Sort=A","Dates=H","DateFormat=P","Fill=—","Direction=H","UseDPDF=Y")</f>
        <v>11.4207</v>
      </c>
      <c r="N21" s="21">
        <f>_xll.BDH("AAPL US Equity","CAP_EXPEND_RATIO","FQ2 2014","FQ2 2014","Currency=USD","Period=FQ","BEST_FPERIOD_OVERRIDE=FQ","FILING_STATUS=MR","Sort=A","Dates=H","DateFormat=P","Fill=—","Direction=H","UseDPDF=Y")</f>
        <v>9.7958999999999996</v>
      </c>
      <c r="O21" s="21">
        <f>_xll.BDH("AAPL US Equity","CAP_EXPEND_RATIO","FQ3 2014","FQ3 2014","Currency=USD","Period=FQ","BEST_FPERIOD_OVERRIDE=FQ","FILING_STATUS=MR","Sort=A","Dates=H","DateFormat=P","Fill=—","Direction=H","UseDPDF=Y")</f>
        <v>4.3124000000000002</v>
      </c>
      <c r="P21" s="21">
        <f>_xll.BDH("AAPL US Equity","CAP_EXPEND_RATIO","FQ4 2014","FQ4 2014","Currency=USD","Period=FQ","BEST_FPERIOD_OVERRIDE=FQ","FILING_STATUS=MR","Sort=A","Dates=H","DateFormat=P","Fill=—","Direction=H","UseDPDF=Y")</f>
        <v>3.4630999999999998</v>
      </c>
      <c r="Q21" s="21">
        <f>_xll.BDH("AAPL US Equity","CAP_EXPEND_RATIO","FQ1 2015","FQ1 2015","Currency=USD","Period=FQ","BEST_FPERIOD_OVERRIDE=FQ","FILING_STATUS=MR","Sort=A","Dates=H","DateFormat=P","Fill=—","Direction=H","UseDPDF=Y")</f>
        <v>10.4824</v>
      </c>
      <c r="R21" s="21">
        <f>_xll.BDH("AAPL US Equity","CAP_EXPEND_RATIO","FQ2 2015","FQ2 2015","Currency=USD","Period=FQ","BEST_FPERIOD_OVERRIDE=FQ","FILING_STATUS=MR","Sort=A","Dates=H","DateFormat=P","Fill=—","Direction=H","UseDPDF=Y")</f>
        <v>8.0545000000000009</v>
      </c>
      <c r="S21" s="21">
        <f>_xll.BDH("AAPL US Equity","CAP_EXPEND_RATIO","FQ3 2015","FQ3 2015","Currency=USD","Period=FQ","BEST_FPERIOD_OVERRIDE=FQ","FILING_STATUS=MR","Sort=A","Dates=H","DateFormat=P","Fill=—","Direction=H","UseDPDF=Y")</f>
        <v>7.3362999999999996</v>
      </c>
      <c r="T21" s="21">
        <f>_xll.BDH("AAPL US Equity","CAP_EXPEND_RATIO","FQ4 2015","FQ4 2015","Currency=USD","Period=FQ","BEST_FPERIOD_OVERRIDE=FQ","FILING_STATUS=MR","Sort=A","Dates=H","DateFormat=P","Fill=—","Direction=H","UseDPDF=Y")</f>
        <v>3.7244000000000002</v>
      </c>
      <c r="U21" s="21">
        <f>_xll.BDH("AAPL US Equity","CAP_EXPEND_RATIO","FQ1 2016","FQ1 2016","Currency=USD","Period=FQ","BEST_FPERIOD_OVERRIDE=FQ","FILING_STATUS=MR","Sort=A","Dates=H","DateFormat=P","Fill=—","Direction=H","UseDPDF=Y")</f>
        <v>7.6032999999999999</v>
      </c>
      <c r="V21" s="21">
        <f>_xll.BDH("AAPL US Equity","CAP_EXPEND_RATIO","FQ2 2016","FQ2 2016","Currency=USD","Period=FQ","BEST_FPERIOD_OVERRIDE=FQ","FILING_STATUS=MR","Sort=A","Dates=H","DateFormat=P","Fill=—","Direction=H","UseDPDF=Y")</f>
        <v>4.9661999999999997</v>
      </c>
      <c r="W21" s="21">
        <f>_xll.BDH("AAPL US Equity","CAP_EXPEND_RATIO","FQ3 2016","FQ3 2016","Currency=USD","Period=FQ","BEST_FPERIOD_OVERRIDE=FQ","FILING_STATUS=MR","Sort=A","Dates=H","DateFormat=P","Fill=—","Direction=H","UseDPDF=Y")</f>
        <v>3.7856999999999998</v>
      </c>
      <c r="X21" s="21">
        <f>_xll.BDH("AAPL US Equity","CAP_EXPEND_RATIO","FQ4 2016","FQ4 2016","Currency=USD","Period=FQ","BEST_FPERIOD_OVERRIDE=FQ","FILING_STATUS=MR","Sort=A","Dates=H","DateFormat=P","Fill=—","Direction=H","UseDPDF=Y")</f>
        <v>4.0548000000000002</v>
      </c>
      <c r="Y21" s="21">
        <f>_xll.BDH("AAPL US Equity","CAP_EXPEND_RATIO","FQ1 2017","FQ1 2017","Currency=USD","Period=FQ","BEST_FPERIOD_OVERRIDE=FQ","FILING_STATUS=MR","Sort=A","Dates=H","DateFormat=P","Fill=—","Direction=H","UseDPDF=Y")</f>
        <v>8.1685999999999996</v>
      </c>
      <c r="Z21" s="21">
        <f>_xll.BDH("AAPL US Equity","CAP_EXPEND_RATIO","FQ2 2017","FQ2 2017","Currency=USD","Period=FQ","BEST_FPERIOD_OVERRIDE=FQ","FILING_STATUS=MR","Sort=A","Dates=H","DateFormat=P","Fill=—","Direction=H","UseDPDF=Y")</f>
        <v>6.2733999999999996</v>
      </c>
      <c r="AA21" s="21">
        <f>_xll.BDH("AAPL US Equity","CAP_EXPEND_RATIO","FQ3 2017","FQ3 2017","Currency=USD","Period=FQ","BEST_FPERIOD_OVERRIDE=FQ","FILING_STATUS=MR","Sort=A","Dates=H","DateFormat=P","Fill=—","Direction=H","UseDPDF=Y")</f>
        <v>4.1361999999999997</v>
      </c>
      <c r="AB21" s="21">
        <f>_xll.BDH("AAPL US Equity","CAP_EXPEND_RATIO","FQ4 2017","FQ4 2017","Currency=USD","Period=FQ","BEST_FPERIOD_OVERRIDE=FQ","FILING_STATUS=MR","Sort=A","Dates=H","DateFormat=P","Fill=—","Direction=H","UseDPDF=Y")</f>
        <v>4.0747999999999998</v>
      </c>
      <c r="AC21" s="21">
        <f>_xll.BDH("AAPL US Equity","CAP_EXPEND_RATIO","FQ1 2018","FQ1 2018","Currency=USD","Period=FQ","BEST_FPERIOD_OVERRIDE=FQ","FILING_STATUS=MR","Sort=A","Dates=H","DateFormat=P","Fill=—","Direction=H","UseDPDF=Y")</f>
        <v>10.0687</v>
      </c>
      <c r="AD21" s="21">
        <f>_xll.BDH("AAPL US Equity","CAP_EXPEND_RATIO","FQ2 2018","FQ2 2018","Currency=USD","Period=FQ","BEST_FPERIOD_OVERRIDE=FQ","FILING_STATUS=MR","Sort=A","Dates=H","DateFormat=P","Fill=—","Direction=H","UseDPDF=Y")</f>
        <v>3.6067</v>
      </c>
      <c r="AE21" s="21">
        <f>_xll.BDH("AAPL US Equity","CAP_EXPEND_RATIO","FQ3 2018","FQ3 2018","Currency=USD","Period=FQ","BEST_FPERIOD_OVERRIDE=FQ","FILING_STATUS=MR","Sort=A","Dates=H","DateFormat=P","Fill=—","Direction=H","UseDPDF=Y")</f>
        <v>4.4345999999999997</v>
      </c>
      <c r="AF21" s="21">
        <f>_xll.BDH("AAPL US Equity","CAP_EXPEND_RATIO","FQ4 2018","FQ4 2018","Currency=USD","Period=FQ","BEST_FPERIOD_OVERRIDE=FQ","FILING_STATUS=MR","Sort=A","Dates=H","DateFormat=P","Fill=—","Direction=H","UseDPDF=Y")</f>
        <v>6.4199000000000002</v>
      </c>
      <c r="AG21" s="21">
        <f>_xll.BDH("AAPL US Equity","CAP_EXPEND_RATIO","FQ1 2019","FQ1 2019","Currency=USD","Period=FQ","BEST_FPERIOD_OVERRIDE=FQ","FILING_STATUS=MR","Sort=A","Dates=H","DateFormat=P","Fill=—","Direction=H","UseDPDF=Y")</f>
        <v>7.9553000000000003</v>
      </c>
      <c r="AH21" s="21">
        <f>_xll.BDH("AAPL US Equity","CAP_EXPEND_RATIO","FQ2 2019","FQ2 2019","Currency=USD","Period=FQ","BEST_FPERIOD_OVERRIDE=FQ","FILING_STATUS=MR","Sort=A","Dates=H","DateFormat=P","Fill=—","Direction=H","UseDPDF=Y")</f>
        <v>4.7206999999999999</v>
      </c>
      <c r="AI21" s="21">
        <f>_xll.BDH("AAPL US Equity","CAP_EXPEND_RATIO","FQ3 2019","FQ3 2019","Currency=USD","Period=FQ","BEST_FPERIOD_OVERRIDE=FQ","FILING_STATUS=MR","Sort=A","Dates=H","DateFormat=P","Fill=—","Direction=H","UseDPDF=Y")</f>
        <v>5.8179999999999996</v>
      </c>
      <c r="AJ21" s="21">
        <f>_xll.BDH("AAPL US Equity","CAP_EXPEND_RATIO","FQ4 2019","FQ4 2019","Currency=USD","Period=FQ","BEST_FPERIOD_OVERRIDE=FQ","FILING_STATUS=MR","Sort=A","Dates=H","DateFormat=P","Fill=—","Direction=H","UseDPDF=Y")</f>
        <v>7.1696</v>
      </c>
      <c r="AK21" s="21">
        <f>_xll.BDH("AAPL US Equity","CAP_EXPEND_RATIO","FQ1 2020","FQ1 2020","Currency=USD","Period=FQ","BEST_FPERIOD_OVERRIDE=FQ","FILING_STATUS=MR","Sort=A","Dates=H","DateFormat=P","Fill=—","Direction=H","UseDPDF=Y")</f>
        <v>14.4832</v>
      </c>
      <c r="AL21" s="21">
        <f>_xll.BDH("AAPL US Equity","CAP_EXPEND_RATIO","FQ2 2020","FQ2 2020","Currency=USD","Period=FQ","BEST_FPERIOD_OVERRIDE=FQ","FILING_STATUS=MR","Sort=A","Dates=H","DateFormat=P","Fill=—","Direction=H","UseDPDF=Y")</f>
        <v>7.1835000000000004</v>
      </c>
      <c r="AM21" s="21">
        <f>_xll.BDH("AAPL US Equity","CAP_EXPEND_RATIO","FQ3 2020","FQ3 2020","Currency=USD","Period=FQ","BEST_FPERIOD_OVERRIDE=FQ","FILING_STATUS=MR","Sort=A","Dates=H","DateFormat=P","Fill=—","Direction=H","UseDPDF=Y")</f>
        <v>10.396800000000001</v>
      </c>
      <c r="AN21" s="21">
        <f>_xll.BDH("AAPL US Equity","CAP_EXPEND_RATIO","FQ4 2020","FQ4 2020","Currency=USD","Period=FQ","BEST_FPERIOD_OVERRIDE=FQ","FILING_STATUS=MR","Sort=A","Dates=H","DateFormat=P","Fill=—","Direction=H","UseDPDF=Y")</f>
        <v>11.5336</v>
      </c>
      <c r="AO21" s="21">
        <f>_xll.BDH("AAPL US Equity","CAP_EXPEND_RATIO","FQ1 2021","FQ1 2021","Currency=USD","Period=FQ","BEST_FPERIOD_OVERRIDE=FQ","FILING_STATUS=MR","Sort=A","Dates=H","DateFormat=P","Fill=—","Direction=H","UseDPDF=Y")</f>
        <v>11.075100000000001</v>
      </c>
      <c r="AP21" s="21">
        <f>_xll.BDH("AAPL US Equity","CAP_EXPEND_RATIO","FQ2 2021","FQ2 2021","Currency=USD","Period=FQ","BEST_FPERIOD_OVERRIDE=FQ","FILING_STATUS=MR","Sort=A","Dates=H","DateFormat=P","Fill=—","Direction=H","UseDPDF=Y")</f>
        <v>10.568999999999999</v>
      </c>
    </row>
    <row r="22" spans="1:42" x14ac:dyDescent="0.25">
      <c r="A22" s="8" t="s">
        <v>167</v>
      </c>
      <c r="B22" s="8" t="s">
        <v>166</v>
      </c>
      <c r="C22" s="21">
        <f>_xll.BDH("AAPL US Equity","ALTMAN_Z_SCORE","FQ3 2011","FQ3 2011","Currency=USD","Period=FQ","BEST_FPERIOD_OVERRIDE=FQ","FILING_STATUS=MR","Sort=A","Dates=H","DateFormat=P","Fill=—","Direction=H","UseDPDF=Y")</f>
        <v>7.7376000000000005</v>
      </c>
      <c r="D22" s="21">
        <f>_xll.BDH("AAPL US Equity","ALTMAN_Z_SCORE","FQ4 2011","FQ4 2011","Currency=USD","Period=FQ","BEST_FPERIOD_OVERRIDE=FQ","FILING_STATUS=MR","Sort=A","Dates=H","DateFormat=P","Fill=—","Direction=H","UseDPDF=Y")</f>
        <v>8.5884</v>
      </c>
      <c r="E22" s="21">
        <f>_xll.BDH("AAPL US Equity","ALTMAN_Z_SCORE","FQ1 2012","FQ1 2012","Currency=USD","Period=FQ","BEST_FPERIOD_OVERRIDE=FQ","FILING_STATUS=MR","Sort=A","Dates=H","DateFormat=P","Fill=—","Direction=H","UseDPDF=Y")</f>
        <v>7.6295000000000002</v>
      </c>
      <c r="F22" s="21">
        <f>_xll.BDH("AAPL US Equity","ALTMAN_Z_SCORE","FQ2 2012","FQ2 2012","Currency=USD","Period=FQ","BEST_FPERIOD_OVERRIDE=FQ","FILING_STATUS=MR","Sort=A","Dates=H","DateFormat=P","Fill=—","Direction=H","UseDPDF=Y")</f>
        <v>10.033099999999999</v>
      </c>
      <c r="G22" s="21">
        <f>_xll.BDH("AAPL US Equity","ALTMAN_Z_SCORE","FQ3 2012","FQ3 2012","Currency=USD","Period=FQ","BEST_FPERIOD_OVERRIDE=FQ","FILING_STATUS=MR","Sort=A","Dates=H","DateFormat=P","Fill=—","Direction=H","UseDPDF=Y")</f>
        <v>9.4563000000000006</v>
      </c>
      <c r="H22" s="21">
        <f>_xll.BDH("AAPL US Equity","ALTMAN_Z_SCORE","FQ4 2012","FQ4 2012","Currency=USD","Period=FQ","BEST_FPERIOD_OVERRIDE=FQ","FILING_STATUS=MR","Sort=A","Dates=H","DateFormat=P","Fill=—","Direction=H","UseDPDF=Y")</f>
        <v>9.4352</v>
      </c>
      <c r="I22" s="21">
        <f>_xll.BDH("AAPL US Equity","ALTMAN_Z_SCORE","FQ1 2013","FQ1 2013","Currency=USD","Period=FQ","BEST_FPERIOD_OVERRIDE=FQ","FILING_STATUS=MR","Sort=A","Dates=H","DateFormat=P","Fill=—","Direction=H","UseDPDF=Y")</f>
        <v>6.9725999999999999</v>
      </c>
      <c r="J22" s="21">
        <f>_xll.BDH("AAPL US Equity","ALTMAN_Z_SCORE","FQ2 2013","FQ2 2013","Currency=USD","Period=FQ","BEST_FPERIOD_OVERRIDE=FQ","FILING_STATUS=MR","Sort=A","Dates=H","DateFormat=P","Fill=—","Direction=H","UseDPDF=Y")</f>
        <v>7.0540000000000003</v>
      </c>
      <c r="K22" s="21">
        <f>_xll.BDH("AAPL US Equity","ALTMAN_Z_SCORE","FQ3 2013","FQ3 2013","Currency=USD","Period=FQ","BEST_FPERIOD_OVERRIDE=FQ","FILING_STATUS=MR","Sort=A","Dates=H","DateFormat=P","Fill=—","Direction=H","UseDPDF=Y")</f>
        <v>5.5936000000000003</v>
      </c>
      <c r="L22" s="21">
        <f>_xll.BDH("AAPL US Equity","ALTMAN_Z_SCORE","FQ4 2013","FQ4 2013","Currency=USD","Period=FQ","BEST_FPERIOD_OVERRIDE=FQ","FILING_STATUS=MR","Sort=A","Dates=H","DateFormat=P","Fill=—","Direction=H","UseDPDF=Y")</f>
        <v>5.7080000000000002</v>
      </c>
      <c r="M22" s="21">
        <f>_xll.BDH("AAPL US Equity","ALTMAN_Z_SCORE","FQ1 2014","FQ1 2014","Currency=USD","Period=FQ","BEST_FPERIOD_OVERRIDE=FQ","FILING_STATUS=MR","Sort=A","Dates=H","DateFormat=P","Fill=—","Direction=H","UseDPDF=Y")</f>
        <v>5.5472999999999999</v>
      </c>
      <c r="N22" s="21">
        <f>_xll.BDH("AAPL US Equity","ALTMAN_Z_SCORE","FQ2 2014","FQ2 2014","Currency=USD","Period=FQ","BEST_FPERIOD_OVERRIDE=FQ","FILING_STATUS=MR","Sort=A","Dates=H","DateFormat=P","Fill=—","Direction=H","UseDPDF=Y")</f>
        <v>5.9146999999999998</v>
      </c>
      <c r="O22" s="21">
        <f>_xll.BDH("AAPL US Equity","ALTMAN_Z_SCORE","FQ3 2014","FQ3 2014","Currency=USD","Period=FQ","BEST_FPERIOD_OVERRIDE=FQ","FILING_STATUS=MR","Sort=A","Dates=H","DateFormat=P","Fill=—","Direction=H","UseDPDF=Y")</f>
        <v>5.6418999999999997</v>
      </c>
      <c r="P22" s="21">
        <f>_xll.BDH("AAPL US Equity","ALTMAN_Z_SCORE","FQ4 2014","FQ4 2014","Currency=USD","Period=FQ","BEST_FPERIOD_OVERRIDE=FQ","FILING_STATUS=MR","Sort=A","Dates=H","DateFormat=P","Fill=—","Direction=H","UseDPDF=Y")</f>
        <v>5.1794000000000002</v>
      </c>
      <c r="Q22" s="21">
        <f>_xll.BDH("AAPL US Equity","ALTMAN_Z_SCORE","FQ1 2015","FQ1 2015","Currency=USD","Period=FQ","BEST_FPERIOD_OVERRIDE=FQ","FILING_STATUS=MR","Sort=A","Dates=H","DateFormat=P","Fill=—","Direction=H","UseDPDF=Y")</f>
        <v>5.0429000000000004</v>
      </c>
      <c r="R22" s="21">
        <f>_xll.BDH("AAPL US Equity","ALTMAN_Z_SCORE","FQ2 2015","FQ2 2015","Currency=USD","Period=FQ","BEST_FPERIOD_OVERRIDE=FQ","FILING_STATUS=MR","Sort=A","Dates=H","DateFormat=P","Fill=—","Direction=H","UseDPDF=Y")</f>
        <v>5.5387000000000004</v>
      </c>
      <c r="S22" s="21">
        <f>_xll.BDH("AAPL US Equity","ALTMAN_Z_SCORE","FQ3 2015","FQ3 2015","Currency=USD","Period=FQ","BEST_FPERIOD_OVERRIDE=FQ","FILING_STATUS=MR","Sort=A","Dates=H","DateFormat=P","Fill=—","Direction=H","UseDPDF=Y")</f>
        <v>5.2118000000000002</v>
      </c>
      <c r="T22" s="21">
        <f>_xll.BDH("AAPL US Equity","ALTMAN_Z_SCORE","FQ4 2015","FQ4 2015","Currency=USD","Period=FQ","BEST_FPERIOD_OVERRIDE=FQ","FILING_STATUS=MR","Sort=A","Dates=H","DateFormat=P","Fill=—","Direction=H","UseDPDF=Y")</f>
        <v>4.4583000000000004</v>
      </c>
      <c r="U22" s="21">
        <f>_xll.BDH("AAPL US Equity","ALTMAN_Z_SCORE","FQ1 2016","FQ1 2016","Currency=USD","Period=FQ","BEST_FPERIOD_OVERRIDE=FQ","FILING_STATUS=MR","Sort=A","Dates=H","DateFormat=P","Fill=—","Direction=H","UseDPDF=Y")</f>
        <v>4.3438999999999997</v>
      </c>
      <c r="V22" s="21">
        <f>_xll.BDH("AAPL US Equity","ALTMAN_Z_SCORE","FQ2 2016","FQ2 2016","Currency=USD","Period=FQ","BEST_FPERIOD_OVERRIDE=FQ","FILING_STATUS=MR","Sort=A","Dates=H","DateFormat=P","Fill=—","Direction=H","UseDPDF=Y")</f>
        <v>4.0846</v>
      </c>
      <c r="W22" s="21">
        <f>_xll.BDH("AAPL US Equity","ALTMAN_Z_SCORE","FQ3 2016","FQ3 2016","Currency=USD","Period=FQ","BEST_FPERIOD_OVERRIDE=FQ","FILING_STATUS=MR","Sort=A","Dates=H","DateFormat=P","Fill=—","Direction=H","UseDPDF=Y")</f>
        <v>3.7008999999999999</v>
      </c>
      <c r="X22" s="21">
        <f>_xll.BDH("AAPL US Equity","ALTMAN_Z_SCORE","FQ4 2016","FQ4 2016","Currency=USD","Period=FQ","BEST_FPERIOD_OVERRIDE=FQ","FILING_STATUS=MR","Sort=A","Dates=H","DateFormat=P","Fill=—","Direction=H","UseDPDF=Y")</f>
        <v>3.7429999999999999</v>
      </c>
      <c r="Y22" s="21">
        <f>_xll.BDH("AAPL US Equity","ALTMAN_Z_SCORE","FQ1 2017","FQ1 2017","Currency=USD","Period=FQ","BEST_FPERIOD_OVERRIDE=FQ","FILING_STATUS=MR","Sort=A","Dates=H","DateFormat=P","Fill=—","Direction=H","UseDPDF=Y")</f>
        <v>3.6501000000000001</v>
      </c>
      <c r="Z22" s="21">
        <f>_xll.BDH("AAPL US Equity","ALTMAN_Z_SCORE","FQ2 2017","FQ2 2017","Currency=USD","Period=FQ","BEST_FPERIOD_OVERRIDE=FQ","FILING_STATUS=MR","Sort=A","Dates=H","DateFormat=P","Fill=—","Direction=H","UseDPDF=Y")</f>
        <v>4.0692000000000004</v>
      </c>
      <c r="AA22" s="21">
        <f>_xll.BDH("AAPL US Equity","ALTMAN_Z_SCORE","FQ3 2017","FQ3 2017","Currency=USD","Period=FQ","BEST_FPERIOD_OVERRIDE=FQ","FILING_STATUS=MR","Sort=A","Dates=H","DateFormat=P","Fill=—","Direction=H","UseDPDF=Y")</f>
        <v>3.8896999999999999</v>
      </c>
      <c r="AB22" s="21">
        <f>_xll.BDH("AAPL US Equity","ALTMAN_Z_SCORE","FQ4 2017","FQ4 2017","Currency=USD","Period=FQ","BEST_FPERIOD_OVERRIDE=FQ","FILING_STATUS=MR","Sort=A","Dates=H","DateFormat=P","Fill=—","Direction=H","UseDPDF=Y")</f>
        <v>3.6206</v>
      </c>
      <c r="AC22" s="21">
        <f>_xll.BDH("AAPL US Equity","ALTMAN_Z_SCORE","FQ1 2018","FQ1 2018","Currency=USD","Period=FQ","BEST_FPERIOD_OVERRIDE=FQ","FILING_STATUS=MR","Sort=A","Dates=H","DateFormat=P","Fill=—","Direction=H","UseDPDF=Y")</f>
        <v>3.5206</v>
      </c>
      <c r="AD22" s="21">
        <f>_xll.BDH("AAPL US Equity","ALTMAN_Z_SCORE","FQ2 2018","FQ2 2018","Currency=USD","Period=FQ","BEST_FPERIOD_OVERRIDE=FQ","FILING_STATUS=MR","Sort=A","Dates=H","DateFormat=P","Fill=—","Direction=H","UseDPDF=Y")</f>
        <v>3.9114</v>
      </c>
      <c r="AE22" s="21">
        <f>_xll.BDH("AAPL US Equity","ALTMAN_Z_SCORE","FQ3 2018","FQ3 2018","Currency=USD","Period=FQ","BEST_FPERIOD_OVERRIDE=FQ","FILING_STATUS=MR","Sort=A","Dates=H","DateFormat=P","Fill=—","Direction=H","UseDPDF=Y")</f>
        <v>4.1571999999999996</v>
      </c>
      <c r="AF22" s="21">
        <f>_xll.BDH("AAPL US Equity","ALTMAN_Z_SCORE","FQ4 2018","FQ4 2018","Currency=USD","Period=FQ","BEST_FPERIOD_OVERRIDE=FQ","FILING_STATUS=MR","Sort=A","Dates=H","DateFormat=P","Fill=—","Direction=H","UseDPDF=Y")</f>
        <v>4.2159000000000004</v>
      </c>
      <c r="AG22" s="21">
        <f>_xll.BDH("AAPL US Equity","ALTMAN_Z_SCORE","FQ1 2019","FQ1 2019","Currency=USD","Period=FQ","BEST_FPERIOD_OVERRIDE=FQ","FILING_STATUS=MR","Sort=A","Dates=H","DateFormat=P","Fill=—","Direction=H","UseDPDF=Y")</f>
        <v>3.4451000000000001</v>
      </c>
      <c r="AH22" s="21">
        <f>_xll.BDH("AAPL US Equity","ALTMAN_Z_SCORE","FQ2 2019","FQ2 2019","Currency=USD","Period=FQ","BEST_FPERIOD_OVERRIDE=FQ","FILING_STATUS=MR","Sort=A","Dates=H","DateFormat=P","Fill=—","Direction=H","UseDPDF=Y")</f>
        <v>4.0316000000000001</v>
      </c>
      <c r="AI22" s="21">
        <f>_xll.BDH("AAPL US Equity","ALTMAN_Z_SCORE","FQ3 2019","FQ3 2019","Currency=USD","Period=FQ","BEST_FPERIOD_OVERRIDE=FQ","FILING_STATUS=MR","Sort=A","Dates=H","DateFormat=P","Fill=—","Direction=H","UseDPDF=Y")</f>
        <v>4.2855999999999996</v>
      </c>
      <c r="AJ22" s="21">
        <f>_xll.BDH("AAPL US Equity","ALTMAN_Z_SCORE","FQ4 2019","FQ4 2019","Currency=USD","Period=FQ","BEST_FPERIOD_OVERRIDE=FQ","FILING_STATUS=MR","Sort=A","Dates=H","DateFormat=P","Fill=—","Direction=H","UseDPDF=Y")</f>
        <v>4.1761999999999997</v>
      </c>
      <c r="AK22" s="21">
        <f>_xll.BDH("AAPL US Equity","ALTMAN_Z_SCORE","FQ1 2020","FQ1 2020","Currency=USD","Period=FQ","BEST_FPERIOD_OVERRIDE=FQ","FILING_STATUS=MR","Sort=A","Dates=H","DateFormat=P","Fill=—","Direction=H","UseDPDF=Y")</f>
        <v>4.8997000000000002</v>
      </c>
      <c r="AL22" s="21">
        <f>_xll.BDH("AAPL US Equity","ALTMAN_Z_SCORE","FQ2 2020","FQ2 2020","Currency=USD","Period=FQ","BEST_FPERIOD_OVERRIDE=FQ","FILING_STATUS=MR","Sort=A","Dates=H","DateFormat=P","Fill=—","Direction=H","UseDPDF=Y")</f>
        <v>4.5232999999999999</v>
      </c>
      <c r="AM22" s="21">
        <f>_xll.BDH("AAPL US Equity","ALTMAN_Z_SCORE","FQ3 2020","FQ3 2020","Currency=USD","Period=FQ","BEST_FPERIOD_OVERRIDE=FQ","FILING_STATUS=MR","Sort=A","Dates=H","DateFormat=P","Fill=—","Direction=H","UseDPDF=Y")</f>
        <v>5.5895000000000001</v>
      </c>
      <c r="AN22" s="21">
        <f>_xll.BDH("AAPL US Equity","ALTMAN_Z_SCORE","FQ4 2020","FQ4 2020","Currency=USD","Period=FQ","BEST_FPERIOD_OVERRIDE=FQ","FILING_STATUS=MR","Sort=A","Dates=H","DateFormat=P","Fill=—","Direction=H","UseDPDF=Y")</f>
        <v>6.1859000000000002</v>
      </c>
      <c r="AO22" s="21">
        <f>_xll.BDH("AAPL US Equity","ALTMAN_Z_SCORE","FQ1 2021","FQ1 2021","Currency=USD","Period=FQ","BEST_FPERIOD_OVERRIDE=FQ","FILING_STATUS=MR","Sort=A","Dates=H","DateFormat=P","Fill=—","Direction=H","UseDPDF=Y")</f>
        <v>6.3297999999999996</v>
      </c>
      <c r="AP22" s="21">
        <f>_xll.BDH("AAPL US Equity","ALTMAN_Z_SCORE","FQ2 2021","FQ2 2021","Currency=USD","Period=FQ","BEST_FPERIOD_OVERRIDE=FQ","FILING_STATUS=MR","Sort=A","Dates=H","DateFormat=P","Fill=—","Direction=H","UseDPDF=Y")</f>
        <v>6.5084</v>
      </c>
    </row>
    <row r="23" spans="1:42" x14ac:dyDescent="0.25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x14ac:dyDescent="0.25">
      <c r="A24" s="8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</row>
    <row r="25" spans="1:42" x14ac:dyDescent="0.25">
      <c r="A25" s="8" t="s">
        <v>165</v>
      </c>
      <c r="B25" s="8" t="s">
        <v>164</v>
      </c>
      <c r="C25" s="1" t="str">
        <f>_xll.BDH("AAPL US Equity","BS_TOT_COM_PAPER_ISSUED","FQ3 2011","FQ3 2011","Currency=USD","Period=FQ","BEST_FPERIOD_OVERRIDE=FQ","FILING_STATUS=MR","SCALING_FORMAT=MLN","Sort=A","Dates=H","DateFormat=P","Fill=—","Direction=H","UseDPDF=Y")</f>
        <v>—</v>
      </c>
      <c r="D25" s="1" t="str">
        <f>_xll.BDH("AAPL US Equity","BS_TOT_COM_PAPER_ISSUED","FQ4 2011","FQ4 2011","Currency=USD","Period=FQ","BEST_FPERIOD_OVERRIDE=FQ","FILING_STATUS=MR","SCALING_FORMAT=MLN","Sort=A","Dates=H","DateFormat=P","Fill=—","Direction=H","UseDPDF=Y")</f>
        <v>—</v>
      </c>
      <c r="E25" s="1" t="str">
        <f>_xll.BDH("AAPL US Equity","BS_TOT_COM_PAPER_ISSUED","FQ1 2012","FQ1 2012","Currency=USD","Period=FQ","BEST_FPERIOD_OVERRIDE=FQ","FILING_STATUS=MR","SCALING_FORMAT=MLN","Sort=A","Dates=H","DateFormat=P","Fill=—","Direction=H","UseDPDF=Y")</f>
        <v>—</v>
      </c>
      <c r="F25" s="1" t="str">
        <f>_xll.BDH("AAPL US Equity","BS_TOT_COM_PAPER_ISSUED","FQ2 2012","FQ2 2012","Currency=USD","Period=FQ","BEST_FPERIOD_OVERRIDE=FQ","FILING_STATUS=MR","SCALING_FORMAT=MLN","Sort=A","Dates=H","DateFormat=P","Fill=—","Direction=H","UseDPDF=Y")</f>
        <v>—</v>
      </c>
      <c r="G25" s="1" t="str">
        <f>_xll.BDH("AAPL US Equity","BS_TOT_COM_PAPER_ISSUED","FQ3 2012","FQ3 2012","Currency=USD","Period=FQ","BEST_FPERIOD_OVERRIDE=FQ","FILING_STATUS=MR","SCALING_FORMAT=MLN","Sort=A","Dates=H","DateFormat=P","Fill=—","Direction=H","UseDPDF=Y")</f>
        <v>—</v>
      </c>
      <c r="H25" s="1" t="str">
        <f>_xll.BDH("AAPL US Equity","BS_TOT_COM_PAPER_ISSUED","FQ4 2012","FQ4 2012","Currency=USD","Period=FQ","BEST_FPERIOD_OVERRIDE=FQ","FILING_STATUS=MR","SCALING_FORMAT=MLN","Sort=A","Dates=H","DateFormat=P","Fill=—","Direction=H","UseDPDF=Y")</f>
        <v>—</v>
      </c>
      <c r="I25" s="1" t="str">
        <f>_xll.BDH("AAPL US Equity","BS_TOT_COM_PAPER_ISSUED","FQ1 2013","FQ1 2013","Currency=USD","Period=FQ","BEST_FPERIOD_OVERRIDE=FQ","FILING_STATUS=MR","SCALING_FORMAT=MLN","Sort=A","Dates=H","DateFormat=P","Fill=—","Direction=H","UseDPDF=Y")</f>
        <v>—</v>
      </c>
      <c r="J25" s="1" t="str">
        <f>_xll.BDH("AAPL US Equity","BS_TOT_COM_PAPER_ISSUED","FQ2 2013","FQ2 2013","Currency=USD","Period=FQ","BEST_FPERIOD_OVERRIDE=FQ","FILING_STATUS=MR","SCALING_FORMAT=MLN","Sort=A","Dates=H","DateFormat=P","Fill=—","Direction=H","UseDPDF=Y")</f>
        <v>—</v>
      </c>
      <c r="K25" s="1" t="str">
        <f>_xll.BDH("AAPL US Equity","BS_TOT_COM_PAPER_ISSUED","FQ3 2013","FQ3 2013","Currency=USD","Period=FQ","BEST_FPERIOD_OVERRIDE=FQ","FILING_STATUS=MR","SCALING_FORMAT=MLN","Sort=A","Dates=H","DateFormat=P","Fill=—","Direction=H","UseDPDF=Y")</f>
        <v>—</v>
      </c>
      <c r="L25" s="1">
        <f>_xll.BDH("AAPL US Equity","BS_TOT_COM_PAPER_ISSUED","FQ4 2013","FQ4 2013","Currency=USD","Period=FQ","BEST_FPERIOD_OVERRIDE=FQ","FILING_STATUS=MR","SCALING_FORMAT=MLN","Sort=A","Dates=H","DateFormat=P","Fill=—","Direction=H","UseDPDF=Y")</f>
        <v>0</v>
      </c>
      <c r="M25" s="1" t="str">
        <f>_xll.BDH("AAPL US Equity","BS_TOT_COM_PAPER_ISSUED","FQ1 2014","FQ1 2014","Currency=USD","Period=FQ","BEST_FPERIOD_OVERRIDE=FQ","FILING_STATUS=MR","SCALING_FORMAT=MLN","Sort=A","Dates=H","DateFormat=P","Fill=—","Direction=H","UseDPDF=Y")</f>
        <v>—</v>
      </c>
      <c r="N25" s="1" t="str">
        <f>_xll.BDH("AAPL US Equity","BS_TOT_COM_PAPER_ISSUED","FQ2 2014","FQ2 2014","Currency=USD","Period=FQ","BEST_FPERIOD_OVERRIDE=FQ","FILING_STATUS=MR","SCALING_FORMAT=MLN","Sort=A","Dates=H","DateFormat=P","Fill=—","Direction=H","UseDPDF=Y")</f>
        <v>—</v>
      </c>
      <c r="O25" s="1">
        <f>_xll.BDH("AAPL US Equity","BS_TOT_COM_PAPER_ISSUED","FQ3 2014","FQ3 2014","Currency=USD","Period=FQ","BEST_FPERIOD_OVERRIDE=FQ","FILING_STATUS=MR","SCALING_FORMAT=MLN","Sort=A","Dates=H","DateFormat=P","Fill=—","Direction=H","UseDPDF=Y")</f>
        <v>2010</v>
      </c>
      <c r="P25" s="1">
        <f>_xll.BDH("AAPL US Equity","BS_TOT_COM_PAPER_ISSUED","FQ4 2014","FQ4 2014","Currency=USD","Period=FQ","BEST_FPERIOD_OVERRIDE=FQ","FILING_STATUS=MR","SCALING_FORMAT=MLN","Sort=A","Dates=H","DateFormat=P","Fill=—","Direction=H","UseDPDF=Y")</f>
        <v>6308</v>
      </c>
      <c r="Q25" s="1">
        <f>_xll.BDH("AAPL US Equity","BS_TOT_COM_PAPER_ISSUED","FQ1 2015","FQ1 2015","Currency=USD","Period=FQ","BEST_FPERIOD_OVERRIDE=FQ","FILING_STATUS=MR","SCALING_FORMAT=MLN","Sort=A","Dates=H","DateFormat=P","Fill=—","Direction=H","UseDPDF=Y")</f>
        <v>3899</v>
      </c>
      <c r="R25" s="1">
        <f>_xll.BDH("AAPL US Equity","BS_TOT_COM_PAPER_ISSUED","FQ2 2015","FQ2 2015","Currency=USD","Period=FQ","BEST_FPERIOD_OVERRIDE=FQ","FILING_STATUS=MR","SCALING_FORMAT=MLN","Sort=A","Dates=H","DateFormat=P","Fill=—","Direction=H","UseDPDF=Y")</f>
        <v>3799</v>
      </c>
      <c r="S25" s="1">
        <f>_xll.BDH("AAPL US Equity","BS_TOT_COM_PAPER_ISSUED","FQ3 2015","FQ3 2015","Currency=USD","Period=FQ","BEST_FPERIOD_OVERRIDE=FQ","FILING_STATUS=MR","SCALING_FORMAT=MLN","Sort=A","Dates=H","DateFormat=P","Fill=—","Direction=H","UseDPDF=Y")</f>
        <v>4499</v>
      </c>
      <c r="T25" s="1">
        <f>_xll.BDH("AAPL US Equity","BS_TOT_COM_PAPER_ISSUED","FQ4 2015","FQ4 2015","Currency=USD","Period=FQ","BEST_FPERIOD_OVERRIDE=FQ","FILING_STATUS=MR","SCALING_FORMAT=MLN","Sort=A","Dates=H","DateFormat=P","Fill=—","Direction=H","UseDPDF=Y")</f>
        <v>8499</v>
      </c>
      <c r="U25" s="1">
        <f>_xll.BDH("AAPL US Equity","BS_TOT_COM_PAPER_ISSUED","FQ1 2016","FQ1 2016","Currency=USD","Period=FQ","BEST_FPERIOD_OVERRIDE=FQ","FILING_STATUS=MR","SCALING_FORMAT=MLN","Sort=A","Dates=H","DateFormat=P","Fill=—","Direction=H","UseDPDF=Y")</f>
        <v>7259</v>
      </c>
      <c r="V25" s="1">
        <f>_xll.BDH("AAPL US Equity","BS_TOT_COM_PAPER_ISSUED","FQ2 2016","FQ2 2016","Currency=USD","Period=FQ","BEST_FPERIOD_OVERRIDE=FQ","FILING_STATUS=MR","SCALING_FORMAT=MLN","Sort=A","Dates=H","DateFormat=P","Fill=—","Direction=H","UseDPDF=Y")</f>
        <v>7998</v>
      </c>
      <c r="W25" s="1">
        <f>_xll.BDH("AAPL US Equity","BS_TOT_COM_PAPER_ISSUED","FQ3 2016","FQ3 2016","Currency=USD","Period=FQ","BEST_FPERIOD_OVERRIDE=FQ","FILING_STATUS=MR","SCALING_FORMAT=MLN","Sort=A","Dates=H","DateFormat=P","Fill=—","Direction=H","UseDPDF=Y")</f>
        <v>12496</v>
      </c>
      <c r="X25" s="1">
        <f>_xll.BDH("AAPL US Equity","BS_TOT_COM_PAPER_ISSUED","FQ4 2016","FQ4 2016","Currency=USD","Period=FQ","BEST_FPERIOD_OVERRIDE=FQ","FILING_STATUS=MR","SCALING_FORMAT=MLN","Sort=A","Dates=H","DateFormat=P","Fill=—","Direction=H","UseDPDF=Y")</f>
        <v>8105</v>
      </c>
      <c r="Y25" s="1">
        <f>_xll.BDH("AAPL US Equity","BS_TOT_COM_PAPER_ISSUED","FQ1 2017","FQ1 2017","Currency=USD","Period=FQ","BEST_FPERIOD_OVERRIDE=FQ","FILING_STATUS=MR","SCALING_FORMAT=MLN","Sort=A","Dates=H","DateFormat=P","Fill=—","Direction=H","UseDPDF=Y")</f>
        <v>10493</v>
      </c>
      <c r="Z25" s="1">
        <f>_xll.BDH("AAPL US Equity","BS_TOT_COM_PAPER_ISSUED","FQ2 2017","FQ2 2017","Currency=USD","Period=FQ","BEST_FPERIOD_OVERRIDE=FQ","FILING_STATUS=MR","SCALING_FORMAT=MLN","Sort=A","Dates=H","DateFormat=P","Fill=—","Direction=H","UseDPDF=Y")</f>
        <v>9992</v>
      </c>
      <c r="AA25" s="1">
        <f>_xll.BDH("AAPL US Equity","BS_TOT_COM_PAPER_ISSUED","FQ3 2017","FQ3 2017","Currency=USD","Period=FQ","BEST_FPERIOD_OVERRIDE=FQ","FILING_STATUS=MR","SCALING_FORMAT=MLN","Sort=A","Dates=H","DateFormat=P","Fill=—","Direction=H","UseDPDF=Y")</f>
        <v>11980</v>
      </c>
      <c r="AB25" s="1">
        <f>_xll.BDH("AAPL US Equity","BS_TOT_COM_PAPER_ISSUED","FQ4 2017","FQ4 2017","Currency=USD","Period=FQ","BEST_FPERIOD_OVERRIDE=FQ","FILING_STATUS=MR","SCALING_FORMAT=MLN","Sort=A","Dates=H","DateFormat=P","Fill=—","Direction=H","UseDPDF=Y")</f>
        <v>11977</v>
      </c>
      <c r="AC25" s="1">
        <f>_xll.BDH("AAPL US Equity","BS_TOT_COM_PAPER_ISSUED","FQ1 2018","FQ1 2018","Currency=USD","Period=FQ","BEST_FPERIOD_OVERRIDE=FQ","FILING_STATUS=MR","SCALING_FORMAT=MLN","Sort=A","Dates=H","DateFormat=P","Fill=—","Direction=H","UseDPDF=Y")</f>
        <v>11980</v>
      </c>
      <c r="AD25" s="1">
        <f>_xll.BDH("AAPL US Equity","BS_TOT_COM_PAPER_ISSUED","FQ2 2018","FQ2 2018","Currency=USD","Period=FQ","BEST_FPERIOD_OVERRIDE=FQ","FILING_STATUS=MR","SCALING_FORMAT=MLN","Sort=A","Dates=H","DateFormat=P","Fill=—","Direction=H","UseDPDF=Y")</f>
        <v>11977</v>
      </c>
      <c r="AE25" s="1">
        <f>_xll.BDH("AAPL US Equity","BS_TOT_COM_PAPER_ISSUED","FQ3 2018","FQ3 2018","Currency=USD","Period=FQ","BEST_FPERIOD_OVERRIDE=FQ","FILING_STATUS=MR","SCALING_FORMAT=MLN","Sort=A","Dates=H","DateFormat=P","Fill=—","Direction=H","UseDPDF=Y")</f>
        <v>11974</v>
      </c>
      <c r="AF25" s="1">
        <f>_xll.BDH("AAPL US Equity","BS_TOT_COM_PAPER_ISSUED","FQ4 2018","FQ4 2018","Currency=USD","Period=FQ","BEST_FPERIOD_OVERRIDE=FQ","FILING_STATUS=MR","SCALING_FORMAT=MLN","Sort=A","Dates=H","DateFormat=P","Fill=—","Direction=H","UseDPDF=Y")</f>
        <v>11964</v>
      </c>
      <c r="AG25" s="1">
        <f>_xll.BDH("AAPL US Equity","BS_TOT_COM_PAPER_ISSUED","FQ1 2019","FQ1 2019","Currency=USD","Period=FQ","BEST_FPERIOD_OVERRIDE=FQ","FILING_STATUS=MR","SCALING_FORMAT=MLN","Sort=A","Dates=H","DateFormat=P","Fill=—","Direction=H","UseDPDF=Y")</f>
        <v>11969</v>
      </c>
      <c r="AH25" s="1">
        <f>_xll.BDH("AAPL US Equity","BS_TOT_COM_PAPER_ISSUED","FQ2 2019","FQ2 2019","Currency=USD","Period=FQ","BEST_FPERIOD_OVERRIDE=FQ","FILING_STATUS=MR","SCALING_FORMAT=MLN","Sort=A","Dates=H","DateFormat=P","Fill=—","Direction=H","UseDPDF=Y")</f>
        <v>11924</v>
      </c>
      <c r="AI25" s="1">
        <f>_xll.BDH("AAPL US Equity","BS_TOT_COM_PAPER_ISSUED","FQ3 2019","FQ3 2019","Currency=USD","Period=FQ","BEST_FPERIOD_OVERRIDE=FQ","FILING_STATUS=MR","SCALING_FORMAT=MLN","Sort=A","Dates=H","DateFormat=P","Fill=—","Direction=H","UseDPDF=Y")</f>
        <v>9953</v>
      </c>
      <c r="AJ25" s="1">
        <f>_xll.BDH("AAPL US Equity","BS_TOT_COM_PAPER_ISSUED","FQ4 2019","FQ4 2019","Currency=USD","Period=FQ","BEST_FPERIOD_OVERRIDE=FQ","FILING_STATUS=MR","SCALING_FORMAT=MLN","Sort=A","Dates=H","DateFormat=P","Fill=—","Direction=H","UseDPDF=Y")</f>
        <v>5980</v>
      </c>
      <c r="AK25" s="1">
        <f>_xll.BDH("AAPL US Equity","BS_TOT_COM_PAPER_ISSUED","FQ1 2020","FQ1 2020","Currency=USD","Period=FQ","BEST_FPERIOD_OVERRIDE=FQ","FILING_STATUS=MR","SCALING_FORMAT=MLN","Sort=A","Dates=H","DateFormat=P","Fill=—","Direction=H","UseDPDF=Y")</f>
        <v>4990</v>
      </c>
      <c r="AL25" s="1">
        <f>_xll.BDH("AAPL US Equity","BS_TOT_COM_PAPER_ISSUED","FQ2 2020","FQ2 2020","Currency=USD","Period=FQ","BEST_FPERIOD_OVERRIDE=FQ","FILING_STATUS=MR","SCALING_FORMAT=MLN","Sort=A","Dates=H","DateFormat=P","Fill=—","Direction=H","UseDPDF=Y")</f>
        <v>10029</v>
      </c>
      <c r="AM25" s="1">
        <f>_xll.BDH("AAPL US Equity","BS_TOT_COM_PAPER_ISSUED","FQ3 2020","FQ3 2020","Currency=USD","Period=FQ","BEST_FPERIOD_OVERRIDE=FQ","FILING_STATUS=MR","SCALING_FORMAT=MLN","Sort=A","Dates=H","DateFormat=P","Fill=—","Direction=H","UseDPDF=Y")</f>
        <v>11166</v>
      </c>
      <c r="AN25" s="1">
        <f>_xll.BDH("AAPL US Equity","BS_TOT_COM_PAPER_ISSUED","FQ4 2020","FQ4 2020","Currency=USD","Period=FQ","BEST_FPERIOD_OVERRIDE=FQ","FILING_STATUS=MR","SCALING_FORMAT=MLN","Sort=A","Dates=H","DateFormat=P","Fill=—","Direction=H","UseDPDF=Y")</f>
        <v>4996</v>
      </c>
      <c r="AO25" s="1">
        <f>_xll.BDH("AAPL US Equity","BS_TOT_COM_PAPER_ISSUED","FQ1 2021","FQ1 2021","Currency=USD","Period=FQ","BEST_FPERIOD_OVERRIDE=FQ","FILING_STATUS=MR","SCALING_FORMAT=MLN","Sort=A","Dates=H","DateFormat=P","Fill=—","Direction=H","UseDPDF=Y")</f>
        <v>5000</v>
      </c>
      <c r="AP25" s="1">
        <f>_xll.BDH("AAPL US Equity","BS_TOT_COM_PAPER_ISSUED","FQ2 2021","FQ2 2021","Currency=USD","Period=FQ","BEST_FPERIOD_OVERRIDE=FQ","FILING_STATUS=MR","SCALING_FORMAT=MLN","Sort=A","Dates=H","DateFormat=P","Fill=—","Direction=H","UseDPDF=Y")</f>
        <v>5000</v>
      </c>
    </row>
    <row r="26" spans="1:42" x14ac:dyDescent="0.25">
      <c r="A26" s="15" t="s">
        <v>122</v>
      </c>
      <c r="B26" s="15"/>
      <c r="C26" s="15" t="s">
        <v>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Profitability (2)</vt:lpstr>
      <vt:lpstr>Liquidity</vt:lpstr>
      <vt:lpstr>Liquidity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SUHARDJO, Johanes</cp:lastModifiedBy>
  <dcterms:created xsi:type="dcterms:W3CDTF">2013-04-03T15:49:21Z</dcterms:created>
  <dcterms:modified xsi:type="dcterms:W3CDTF">2021-07-07T12:48:16Z</dcterms:modified>
</cp:coreProperties>
</file>