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2"/>
  </bookViews>
  <sheets>
    <sheet name="Profitability" sheetId="2" r:id="rId1"/>
    <sheet name="Profitability (2)" sheetId="3" r:id="rId2"/>
    <sheet name="Liquidity" sheetId="4" r:id="rId3"/>
  </sheets>
  <calcPr calcId="162913"/>
</workbook>
</file>

<file path=xl/calcChain.xml><?xml version="1.0" encoding="utf-8"?>
<calcChain xmlns="http://schemas.openxmlformats.org/spreadsheetml/2006/main">
  <c r="M7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7" i="4"/>
  <c r="D7" i="4"/>
  <c r="E7" i="4"/>
  <c r="F7" i="4"/>
  <c r="G7" i="4"/>
  <c r="H7" i="4"/>
  <c r="I7" i="4"/>
  <c r="J7" i="4"/>
  <c r="K7" i="4"/>
  <c r="L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L13" i="2"/>
  <c r="AF32" i="2"/>
  <c r="AJ26" i="2"/>
  <c r="AL13" i="2"/>
  <c r="O7" i="2"/>
  <c r="S9" i="2"/>
  <c r="K13" i="2"/>
  <c r="Z23" i="2"/>
  <c r="AE20" i="2"/>
  <c r="S24" i="2"/>
  <c r="AJ8" i="2"/>
  <c r="K23" i="2"/>
  <c r="AA25" i="2"/>
  <c r="K31" i="2"/>
  <c r="AB7" i="2"/>
  <c r="P7" i="2"/>
  <c r="S27" i="2"/>
  <c r="L8" i="2"/>
  <c r="AN7" i="2"/>
  <c r="X8" i="2"/>
  <c r="K9" i="2"/>
  <c r="H9" i="2"/>
  <c r="AB10" i="2"/>
  <c r="C13" i="2"/>
  <c r="T9" i="2"/>
  <c r="P10" i="2"/>
  <c r="D10" i="2"/>
  <c r="AF9" i="2"/>
  <c r="AN10" i="2"/>
  <c r="X13" i="2"/>
  <c r="AJ23" i="2"/>
  <c r="AJ13" i="2"/>
  <c r="H20" i="2"/>
  <c r="D22" i="2"/>
  <c r="AB22" i="2"/>
  <c r="AF20" i="2"/>
  <c r="T20" i="2"/>
  <c r="P22" i="2"/>
  <c r="AN22" i="2"/>
  <c r="L23" i="2"/>
  <c r="AF24" i="2"/>
  <c r="X23" i="2"/>
  <c r="T24" i="2"/>
  <c r="D25" i="2"/>
  <c r="H24" i="2"/>
  <c r="AB25" i="2"/>
  <c r="L26" i="2"/>
  <c r="P25" i="2"/>
  <c r="D30" i="2"/>
  <c r="X26" i="2"/>
  <c r="T27" i="2"/>
  <c r="AN25" i="2"/>
  <c r="AF27" i="2"/>
  <c r="H27" i="2"/>
  <c r="P30" i="2"/>
  <c r="AB30" i="2"/>
  <c r="T32" i="2"/>
  <c r="L31" i="2"/>
  <c r="AN30" i="2"/>
  <c r="X31" i="2"/>
  <c r="H32" i="2"/>
  <c r="AJ31" i="2"/>
  <c r="C10" i="2"/>
  <c r="AM7" i="2"/>
  <c r="E10" i="2"/>
  <c r="AA22" i="2"/>
  <c r="G20" i="2"/>
  <c r="AE24" i="2"/>
  <c r="O30" i="2"/>
  <c r="W26" i="2"/>
  <c r="AI31" i="2"/>
  <c r="E7" i="2"/>
  <c r="AC7" i="2"/>
  <c r="AO7" i="2"/>
  <c r="I9" i="2"/>
  <c r="M8" i="2"/>
  <c r="Y8" i="2"/>
  <c r="AK8" i="2"/>
  <c r="U9" i="2"/>
  <c r="AG9" i="2"/>
  <c r="AG20" i="2"/>
  <c r="Q10" i="2"/>
  <c r="AC10" i="2"/>
  <c r="AO10" i="2"/>
  <c r="M13" i="2"/>
  <c r="I20" i="2"/>
  <c r="AK13" i="2"/>
  <c r="Y13" i="2"/>
  <c r="U20" i="2"/>
  <c r="W8" i="2"/>
  <c r="AC22" i="2"/>
  <c r="E22" i="2"/>
  <c r="AO22" i="2"/>
  <c r="Q22" i="2"/>
  <c r="Y23" i="2"/>
  <c r="I24" i="2"/>
  <c r="M23" i="2"/>
  <c r="U24" i="2"/>
  <c r="E25" i="2"/>
  <c r="AK23" i="2"/>
  <c r="AO25" i="2"/>
  <c r="AG24" i="2"/>
  <c r="Q25" i="2"/>
  <c r="AE27" i="2"/>
  <c r="AC25" i="2"/>
  <c r="Y26" i="2"/>
  <c r="M26" i="2"/>
  <c r="AK26" i="2"/>
  <c r="I27" i="2"/>
  <c r="U27" i="2"/>
  <c r="AG27" i="2"/>
  <c r="E30" i="2"/>
  <c r="R31" i="2"/>
  <c r="Q30" i="2"/>
  <c r="AC30" i="2"/>
  <c r="K7" i="2"/>
  <c r="AO30" i="2"/>
  <c r="M31" i="2"/>
  <c r="I32" i="2"/>
  <c r="AK31" i="2"/>
  <c r="C9" i="2"/>
  <c r="Y31" i="2"/>
  <c r="U32" i="2"/>
  <c r="AE9" i="2"/>
  <c r="AA7" i="2"/>
  <c r="AG32" i="2"/>
  <c r="O22" i="2"/>
  <c r="K26" i="2"/>
  <c r="W13" i="2"/>
  <c r="E27" i="2"/>
  <c r="G24" i="2"/>
  <c r="R7" i="2"/>
  <c r="W31" i="2"/>
  <c r="E32" i="2"/>
  <c r="F7" i="2"/>
  <c r="D7" i="2"/>
  <c r="AD7" i="2"/>
  <c r="AP7" i="2"/>
  <c r="N8" i="2"/>
  <c r="Z8" i="2"/>
  <c r="AL8" i="2"/>
  <c r="V9" i="2"/>
  <c r="AD20" i="2"/>
  <c r="N13" i="2"/>
  <c r="J9" i="2"/>
  <c r="R10" i="2"/>
  <c r="F10" i="2"/>
  <c r="AP10" i="2"/>
  <c r="AH9" i="2"/>
  <c r="AD10" i="2"/>
  <c r="V20" i="2"/>
  <c r="Z13" i="2"/>
  <c r="J20" i="2"/>
  <c r="F22" i="2"/>
  <c r="R22" i="2"/>
  <c r="AH20" i="2"/>
  <c r="AD22" i="2"/>
  <c r="AP22" i="2"/>
  <c r="AL23" i="2"/>
  <c r="N23" i="2"/>
  <c r="J24" i="2"/>
  <c r="V24" i="2"/>
  <c r="AH24" i="2"/>
  <c r="F25" i="2"/>
  <c r="R25" i="2"/>
  <c r="AD25" i="2"/>
  <c r="AL26" i="2"/>
  <c r="Z26" i="2"/>
  <c r="N26" i="2"/>
  <c r="AP25" i="2"/>
  <c r="AH27" i="2"/>
  <c r="J27" i="2"/>
  <c r="C8" i="2"/>
  <c r="V27" i="2"/>
  <c r="F30" i="2"/>
  <c r="R30" i="2"/>
  <c r="N31" i="2"/>
  <c r="AP30" i="2"/>
  <c r="AD30" i="2"/>
  <c r="AL31" i="2"/>
  <c r="Z31" i="2"/>
  <c r="W23" i="2"/>
  <c r="J32" i="2"/>
  <c r="V32" i="2"/>
  <c r="AH32" i="2"/>
  <c r="AI8" i="2"/>
  <c r="AA10" i="2"/>
  <c r="AI26" i="2"/>
  <c r="S20" i="2"/>
  <c r="AA30" i="2"/>
  <c r="Q7" i="2"/>
  <c r="O25" i="2"/>
  <c r="G32" i="2"/>
  <c r="S7" i="2"/>
  <c r="G7" i="2"/>
  <c r="AE7" i="2"/>
  <c r="O8" i="2"/>
  <c r="AI27" i="2"/>
  <c r="AA8" i="2"/>
  <c r="AM8" i="2"/>
  <c r="W9" i="2"/>
  <c r="AI9" i="2"/>
  <c r="G10" i="2"/>
  <c r="S10" i="2"/>
  <c r="AE10" i="2"/>
  <c r="O23" i="2"/>
  <c r="O13" i="2"/>
  <c r="AA13" i="2"/>
  <c r="AM13" i="2"/>
  <c r="C23" i="2"/>
  <c r="K20" i="2"/>
  <c r="G22" i="2"/>
  <c r="AE22" i="2"/>
  <c r="AI20" i="2"/>
  <c r="W20" i="2"/>
  <c r="S22" i="2"/>
  <c r="AA23" i="2"/>
  <c r="AM23" i="2"/>
  <c r="K24" i="2"/>
  <c r="C26" i="2"/>
  <c r="G25" i="2"/>
  <c r="W24" i="2"/>
  <c r="AI24" i="2"/>
  <c r="O26" i="2"/>
  <c r="AE25" i="2"/>
  <c r="S25" i="2"/>
  <c r="AA26" i="2"/>
  <c r="W27" i="2"/>
  <c r="AM26" i="2"/>
  <c r="K27" i="2"/>
  <c r="AE30" i="2"/>
  <c r="G30" i="2"/>
  <c r="S30" i="2"/>
  <c r="O31" i="2"/>
  <c r="C31" i="2"/>
  <c r="AA31" i="2"/>
  <c r="W32" i="2"/>
  <c r="K32" i="2"/>
  <c r="AI32" i="2"/>
  <c r="AM31" i="2"/>
  <c r="G9" i="2"/>
  <c r="M7" i="2"/>
  <c r="AM10" i="2"/>
  <c r="AI23" i="2"/>
  <c r="C30" i="2"/>
  <c r="C22" i="2"/>
  <c r="H7" i="2"/>
  <c r="S32" i="2"/>
  <c r="T7" i="2"/>
  <c r="AM25" i="2"/>
  <c r="AF7" i="2"/>
  <c r="D8" i="2"/>
  <c r="P8" i="2"/>
  <c r="AB8" i="2"/>
  <c r="X9" i="2"/>
  <c r="H10" i="2"/>
  <c r="T10" i="2"/>
  <c r="AN8" i="2"/>
  <c r="L9" i="2"/>
  <c r="AJ9" i="2"/>
  <c r="AF10" i="2"/>
  <c r="AB13" i="2"/>
  <c r="H22" i="2"/>
  <c r="AN13" i="2"/>
  <c r="D13" i="2"/>
  <c r="P13" i="2"/>
  <c r="X20" i="2"/>
  <c r="AJ20" i="2"/>
  <c r="L20" i="2"/>
  <c r="AF22" i="2"/>
  <c r="AB23" i="2"/>
  <c r="T22" i="2"/>
  <c r="P23" i="2"/>
  <c r="AN23" i="2"/>
  <c r="D23" i="2"/>
  <c r="X24" i="2"/>
  <c r="AJ24" i="2"/>
  <c r="L24" i="2"/>
  <c r="H25" i="2"/>
  <c r="P26" i="2"/>
  <c r="D26" i="2"/>
  <c r="T25" i="2"/>
  <c r="AF25" i="2"/>
  <c r="AN26" i="2"/>
  <c r="P31" i="2"/>
  <c r="L27" i="2"/>
  <c r="X27" i="2"/>
  <c r="T30" i="2"/>
  <c r="AB26" i="2"/>
  <c r="AJ27" i="2"/>
  <c r="AF30" i="2"/>
  <c r="D31" i="2"/>
  <c r="H30" i="2"/>
  <c r="X32" i="2"/>
  <c r="AN31" i="2"/>
  <c r="Q8" i="2"/>
  <c r="AM22" i="2"/>
  <c r="L32" i="2"/>
  <c r="AB31" i="2"/>
  <c r="AJ32" i="2"/>
  <c r="O10" i="2"/>
  <c r="AI13" i="2"/>
  <c r="E8" i="2"/>
  <c r="C25" i="2"/>
  <c r="AE32" i="2"/>
  <c r="AM30" i="2"/>
  <c r="G27" i="2"/>
  <c r="AG7" i="2"/>
  <c r="Y9" i="2"/>
  <c r="U7" i="2"/>
  <c r="I7" i="2"/>
  <c r="AC8" i="2"/>
  <c r="AO8" i="2"/>
  <c r="U10" i="2"/>
  <c r="M9" i="2"/>
  <c r="I10" i="2"/>
  <c r="AK9" i="2"/>
  <c r="E13" i="2"/>
  <c r="AG10" i="2"/>
  <c r="AC13" i="2"/>
  <c r="Q13" i="2"/>
  <c r="M20" i="2"/>
  <c r="AK20" i="2"/>
  <c r="AO13" i="2"/>
  <c r="Y20" i="2"/>
  <c r="I22" i="2"/>
  <c r="AC23" i="2"/>
  <c r="AG22" i="2"/>
  <c r="E23" i="2"/>
  <c r="U22" i="2"/>
  <c r="M24" i="2"/>
  <c r="AC31" i="2"/>
  <c r="Q23" i="2"/>
  <c r="AO23" i="2"/>
  <c r="Y24" i="2"/>
  <c r="I25" i="2"/>
  <c r="AK24" i="2"/>
  <c r="E26" i="2"/>
  <c r="AC26" i="2"/>
  <c r="U25" i="2"/>
  <c r="Q26" i="2"/>
  <c r="AG25" i="2"/>
  <c r="M27" i="2"/>
  <c r="Y27" i="2"/>
  <c r="AO26" i="2"/>
  <c r="AG30" i="2"/>
  <c r="U30" i="2"/>
  <c r="AK27" i="2"/>
  <c r="E31" i="2"/>
  <c r="Q31" i="2"/>
  <c r="I30" i="2"/>
  <c r="AO31" i="2"/>
  <c r="Y32" i="2"/>
  <c r="M32" i="2"/>
  <c r="AK32" i="2"/>
  <c r="V7" i="2"/>
  <c r="I8" i="2"/>
  <c r="N9" i="2"/>
  <c r="AD13" i="2"/>
  <c r="AL9" i="2"/>
  <c r="AH10" i="2"/>
  <c r="R8" i="2"/>
  <c r="AD23" i="2"/>
  <c r="Z20" i="2"/>
  <c r="AL24" i="2"/>
  <c r="AP23" i="2"/>
  <c r="V22" i="2"/>
  <c r="Z24" i="2"/>
  <c r="N24" i="2"/>
  <c r="AH22" i="2"/>
  <c r="AL32" i="2"/>
  <c r="J25" i="2"/>
  <c r="V25" i="2"/>
  <c r="AH25" i="2"/>
  <c r="R26" i="2"/>
  <c r="AD26" i="2"/>
  <c r="F26" i="2"/>
  <c r="AP26" i="2"/>
  <c r="Z27" i="2"/>
  <c r="N27" i="2"/>
  <c r="AL27" i="2"/>
  <c r="AA24" i="2"/>
  <c r="J30" i="2"/>
  <c r="AH30" i="2"/>
  <c r="F31" i="2"/>
  <c r="N32" i="2"/>
  <c r="AD31" i="2"/>
  <c r="V30" i="2"/>
  <c r="AP31" i="2"/>
  <c r="Z32" i="2"/>
  <c r="AP8" i="2"/>
  <c r="J7" i="2"/>
  <c r="F13" i="2"/>
  <c r="F8" i="2"/>
  <c r="C7" i="2"/>
  <c r="AP13" i="2"/>
  <c r="AL20" i="2"/>
  <c r="J10" i="2"/>
  <c r="G8" i="2"/>
  <c r="F23" i="2"/>
  <c r="AI7" i="2"/>
  <c r="S8" i="2"/>
  <c r="AE8" i="2"/>
  <c r="C27" i="2"/>
  <c r="O9" i="2"/>
  <c r="AM9" i="2"/>
  <c r="AI10" i="2"/>
  <c r="W10" i="2"/>
  <c r="AA9" i="2"/>
  <c r="K10" i="2"/>
  <c r="AE13" i="2"/>
  <c r="S13" i="2"/>
  <c r="C20" i="2"/>
  <c r="AI22" i="2"/>
  <c r="G23" i="2"/>
  <c r="G13" i="2"/>
  <c r="O20" i="2"/>
  <c r="K22" i="2"/>
  <c r="K25" i="2"/>
  <c r="AA20" i="2"/>
  <c r="AM20" i="2"/>
  <c r="AE23" i="2"/>
  <c r="W22" i="2"/>
  <c r="AM24" i="2"/>
  <c r="C24" i="2"/>
  <c r="S23" i="2"/>
  <c r="O24" i="2"/>
  <c r="W25" i="2"/>
  <c r="AI25" i="2"/>
  <c r="L7" i="2"/>
  <c r="G26" i="2"/>
  <c r="S26" i="2"/>
  <c r="AE26" i="2"/>
  <c r="O27" i="2"/>
  <c r="C32" i="2"/>
  <c r="AA27" i="2"/>
  <c r="W30" i="2"/>
  <c r="AA32" i="2"/>
  <c r="K30" i="2"/>
  <c r="AI30" i="2"/>
  <c r="AM27" i="2"/>
  <c r="O32" i="2"/>
  <c r="G31" i="2"/>
  <c r="AE31" i="2"/>
  <c r="S31" i="2"/>
  <c r="K8" i="2"/>
  <c r="R23" i="2"/>
  <c r="AH7" i="2"/>
  <c r="AD8" i="2"/>
  <c r="N20" i="2"/>
  <c r="R13" i="2"/>
  <c r="W7" i="2"/>
  <c r="AM32" i="2"/>
  <c r="Z9" i="2"/>
  <c r="V10" i="2"/>
  <c r="J22" i="2"/>
  <c r="X7" i="2"/>
  <c r="H8" i="2"/>
  <c r="AJ7" i="2"/>
  <c r="T8" i="2"/>
  <c r="AF8" i="2"/>
  <c r="D9" i="2"/>
  <c r="H23" i="2"/>
  <c r="P9" i="2"/>
  <c r="AN9" i="2"/>
  <c r="AB9" i="2"/>
  <c r="T13" i="2"/>
  <c r="AF13" i="2"/>
  <c r="L10" i="2"/>
  <c r="X10" i="2"/>
  <c r="D20" i="2"/>
  <c r="P20" i="2"/>
  <c r="H13" i="2"/>
  <c r="AJ10" i="2"/>
  <c r="AB20" i="2"/>
  <c r="T23" i="2"/>
  <c r="AN20" i="2"/>
  <c r="D24" i="2"/>
  <c r="L22" i="2"/>
  <c r="X22" i="2"/>
  <c r="AJ22" i="2"/>
  <c r="P24" i="2"/>
  <c r="AF23" i="2"/>
  <c r="AN24" i="2"/>
  <c r="AB24" i="2"/>
  <c r="L25" i="2"/>
  <c r="AC9" i="2"/>
  <c r="X25" i="2"/>
  <c r="P27" i="2"/>
  <c r="AJ25" i="2"/>
  <c r="AO32" i="2"/>
  <c r="T26" i="2"/>
  <c r="L30" i="2"/>
  <c r="AF26" i="2"/>
  <c r="Y7" i="2"/>
  <c r="AJ30" i="2"/>
  <c r="H26" i="2"/>
  <c r="X30" i="2"/>
  <c r="AB27" i="2"/>
  <c r="D27" i="2"/>
  <c r="H31" i="2"/>
  <c r="AN32" i="2"/>
  <c r="AN27" i="2"/>
  <c r="AB32" i="2"/>
  <c r="P32" i="2"/>
  <c r="T31" i="2"/>
  <c r="AF31" i="2"/>
  <c r="U8" i="2"/>
  <c r="AO9" i="2"/>
  <c r="I13" i="2"/>
  <c r="D32" i="2"/>
  <c r="M10" i="2"/>
  <c r="E9" i="2"/>
  <c r="AG13" i="2"/>
  <c r="E20" i="2"/>
  <c r="AC20" i="2"/>
  <c r="I23" i="2"/>
  <c r="Y22" i="2"/>
  <c r="AG23" i="2"/>
  <c r="E24" i="2"/>
  <c r="AO24" i="2"/>
  <c r="M30" i="2"/>
  <c r="M25" i="2"/>
  <c r="AK25" i="2"/>
  <c r="AK30" i="2"/>
  <c r="AO27" i="2"/>
  <c r="I26" i="2"/>
  <c r="I31" i="2"/>
  <c r="AC24" i="2"/>
  <c r="Y30" i="2"/>
  <c r="Y25" i="2"/>
  <c r="U31" i="2"/>
  <c r="AC27" i="2"/>
  <c r="AC32" i="2"/>
  <c r="U26" i="2"/>
  <c r="AG26" i="2"/>
  <c r="AK7" i="2"/>
  <c r="Q27" i="2"/>
  <c r="AG31" i="2"/>
  <c r="Q32" i="2"/>
  <c r="AG8" i="2"/>
  <c r="Q9" i="2"/>
  <c r="Y10" i="2"/>
  <c r="AK10" i="2"/>
  <c r="AO20" i="2"/>
  <c r="U23" i="2"/>
  <c r="U13" i="2"/>
  <c r="Q20" i="2"/>
  <c r="J13" i="2"/>
  <c r="N10" i="2"/>
  <c r="J8" i="2"/>
  <c r="M22" i="2"/>
  <c r="AL7" i="2"/>
  <c r="AH8" i="2"/>
  <c r="F20" i="2"/>
  <c r="AH31" i="2"/>
  <c r="N7" i="2"/>
  <c r="AK22" i="2"/>
  <c r="Q24" i="2"/>
  <c r="F9" i="2"/>
  <c r="V8" i="2"/>
  <c r="AL10" i="2"/>
  <c r="AD9" i="2"/>
  <c r="R9" i="2"/>
  <c r="J31" i="2"/>
  <c r="Z10" i="2"/>
  <c r="AH13" i="2"/>
  <c r="Z7" i="2"/>
  <c r="AP9" i="2"/>
  <c r="R20" i="2"/>
  <c r="AL22" i="2"/>
  <c r="V13" i="2"/>
  <c r="AH23" i="2"/>
  <c r="R24" i="2"/>
  <c r="R32" i="2"/>
  <c r="Z25" i="2"/>
  <c r="Z22" i="2"/>
  <c r="J26" i="2"/>
  <c r="V26" i="2"/>
  <c r="AP20" i="2"/>
  <c r="AP24" i="2"/>
  <c r="AP27" i="2"/>
  <c r="R27" i="2"/>
  <c r="V23" i="2"/>
  <c r="F32" i="2"/>
  <c r="N30" i="2"/>
  <c r="AD32" i="2"/>
  <c r="N22" i="2"/>
  <c r="AD24" i="2"/>
  <c r="AL25" i="2"/>
  <c r="Z30" i="2"/>
  <c r="F24" i="2"/>
  <c r="AH26" i="2"/>
  <c r="AP32" i="2"/>
  <c r="F27" i="2"/>
  <c r="AL30" i="2"/>
  <c r="AD27" i="2"/>
  <c r="J23" i="2"/>
  <c r="V31" i="2"/>
  <c r="N25" i="2"/>
</calcChain>
</file>

<file path=xl/sharedStrings.xml><?xml version="1.0" encoding="utf-8"?>
<sst xmlns="http://schemas.openxmlformats.org/spreadsheetml/2006/main" count="696" uniqueCount="203">
  <si>
    <t>Right click to show data transparency (not supported for all values)</t>
  </si>
  <si>
    <t>Adobe Inc (ADBE US) - Profitability</t>
  </si>
  <si>
    <t>In Millions of USD except Per Share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</si>
  <si>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</si>
  <si>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</si>
  <si>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</si>
  <si>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</si>
  <si>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</si>
  <si>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</si>
  <si>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</si>
  <si>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</si>
  <si>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</si>
  <si>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</si>
  <si>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</si>
  <si>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</si>
  <si>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</si>
  <si>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</si>
  <si>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</si>
  <si>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</si>
  <si>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</si>
  <si>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</si>
  <si>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</si>
  <si>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</si>
  <si>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</si>
  <si>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</si>
  <si>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</si>
  <si>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</si>
  <si>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</si>
  <si>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</si>
  <si>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</si>
  <si>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</si>
  <si>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</si>
  <si>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</si>
  <si>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</si>
  <si>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</si>
  <si>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</si>
  <si>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</si>
  <si>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</si>
  <si>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</si>
  <si>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</si>
  <si>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</si>
  <si>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</si>
  <si>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</si>
  <si>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3 Months Ending</t>
  </si>
  <si>
    <t>09/02/2011</t>
  </si>
  <si>
    <t>12/02/2011</t>
  </si>
  <si>
    <t>03/02/2012</t>
  </si>
  <si>
    <t>06/01/2012</t>
  </si>
  <si>
    <t>08/31/2012</t>
  </si>
  <si>
    <t>11/30/2012</t>
  </si>
  <si>
    <t>03/01/2013</t>
  </si>
  <si>
    <t>05/31/2013</t>
  </si>
  <si>
    <t>08/30/2013</t>
  </si>
  <si>
    <t>11/29/2013</t>
  </si>
  <si>
    <t>02/28/2014</t>
  </si>
  <si>
    <t>05/30/2014</t>
  </si>
  <si>
    <t>08/29/2014</t>
  </si>
  <si>
    <t>11/28/2014</t>
  </si>
  <si>
    <t>02/27/2015</t>
  </si>
  <si>
    <t>05/29/2015</t>
  </si>
  <si>
    <t>08/28/2015</t>
  </si>
  <si>
    <t>11/27/2015</t>
  </si>
  <si>
    <t>03/04/2016</t>
  </si>
  <si>
    <t>06/03/2016</t>
  </si>
  <si>
    <t>09/02/2016</t>
  </si>
  <si>
    <t>12/02/2016</t>
  </si>
  <si>
    <t>03/03/2017</t>
  </si>
  <si>
    <t>06/02/2017</t>
  </si>
  <si>
    <t>09/01/2017</t>
  </si>
  <si>
    <t>12/01/2017</t>
  </si>
  <si>
    <t>03/02/2018</t>
  </si>
  <si>
    <t>06/01/2018</t>
  </si>
  <si>
    <t>08/31/2018</t>
  </si>
  <si>
    <t>11/30/2018</t>
  </si>
  <si>
    <t>03/01/2019</t>
  </si>
  <si>
    <t>05/31/2019</t>
  </si>
  <si>
    <t>08/30/2019</t>
  </si>
  <si>
    <t>11/29/2019</t>
  </si>
  <si>
    <t>02/28/2020</t>
  </si>
  <si>
    <t>05/29/2020</t>
  </si>
  <si>
    <t>08/28/2020</t>
  </si>
  <si>
    <t>11/27/2020</t>
  </si>
  <si>
    <t>03/05/2021</t>
  </si>
  <si>
    <t>06/04/2021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</si>
  <si>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</si>
  <si>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</si>
  <si>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</si>
  <si>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</si>
  <si>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</si>
  <si>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</si>
  <si>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</si>
  <si>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</si>
  <si>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</si>
  <si>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</si>
  <si>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</si>
  <si>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</si>
  <si>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 xml:space="preserve">  Product/Brand Segments</t>
  </si>
  <si>
    <t>—</t>
  </si>
  <si>
    <t xml:space="preserve">    Digital Media</t>
  </si>
  <si>
    <t xml:space="preserve">    Digital Experience</t>
  </si>
  <si>
    <t xml:space="preserve">    Publishing</t>
  </si>
  <si>
    <t xml:space="preserve">    Print and Publishing</t>
  </si>
  <si>
    <t xml:space="preserve">    Digital Marketing</t>
  </si>
  <si>
    <t>EBITDA Margin</t>
  </si>
  <si>
    <t>EBITDA_TO_REVENUE</t>
  </si>
  <si>
    <t xml:space="preserve">    Growth (YoY)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</si>
  <si>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</si>
  <si>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</si>
  <si>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</si>
  <si>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</si>
  <si>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</si>
  <si>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</si>
  <si>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</si>
  <si>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</si>
  <si>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</si>
  <si>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</si>
  <si>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</si>
  <si>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</si>
  <si>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</si>
  <si>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</si>
  <si>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</si>
  <si>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</si>
  <si>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</si>
  <si>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</si>
  <si>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</si>
  <si>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</si>
  <si>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 xml:space="preserve">      Document Cloud</t>
  </si>
  <si>
    <t>Period ending</t>
  </si>
  <si>
    <t>CQ2 2021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</si>
  <si>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</si>
  <si>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</si>
  <si>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</si>
  <si>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</si>
  <si>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</si>
  <si>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</si>
  <si>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</si>
  <si>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</si>
  <si>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</si>
  <si>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</si>
  <si>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</si>
  <si>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</si>
  <si>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</si>
  <si>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</si>
  <si>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</si>
  <si>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</si>
  <si>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</si>
  <si>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</si>
  <si>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</si>
  <si>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</si>
  <si>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</si>
  <si>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</si>
  <si>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</si>
  <si>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</si>
  <si>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</si>
  <si>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</si>
  <si>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</si>
  <si>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</si>
  <si>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</si>
  <si>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</si>
  <si>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</si>
  <si>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</si>
  <si>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</si>
  <si>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</si>
  <si>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</si>
  <si>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</si>
  <si>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CQ1 2012</t>
  </si>
  <si>
    <t>CQ4 2011</t>
  </si>
  <si>
    <t>CQ3 2011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</si>
  <si>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</si>
  <si>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</si>
  <si>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</si>
  <si>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</si>
  <si>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</si>
  <si>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</si>
  <si>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</si>
  <si>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</si>
  <si>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</si>
  <si>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</si>
  <si>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</si>
  <si>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</si>
  <si>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</si>
  <si>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</si>
  <si>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</si>
  <si>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</si>
  <si>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</si>
  <si>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</si>
  <si>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</si>
  <si>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</si>
  <si>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</si>
  <si>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</si>
  <si>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</si>
  <si>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</si>
  <si>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</si>
  <si>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</si>
  <si>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</si>
  <si>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</si>
  <si>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</si>
  <si>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</si>
  <si>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</si>
  <si>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</si>
  <si>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</si>
  <si>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</si>
  <si>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Adobe Inc (ADBE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</si>
</sst>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6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171" fontId="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0" fontId="3" fillId="34" borderId="18"/>
  </cellStyleXfs>
  <cellXfs count="25">
    <xf numFmtId="0" fontId="0" fillId="0" borderId="0" xfId="0"/>
    <xf numFmtId="171" fontId="1" fillId="34" borderId="2" xfId="58" applyNumberFormat="1" applyFont="1" applyFill="1" applyBorder="1" applyAlignment="1" applyProtection="1">
      <alignment horizontal="right"/>
    </xf>
    <xf numFmtId="0" fontId="7" fillId="33" borderId="16" xfId="59" applyNumberFormat="1" applyFont="1" applyFill="1" applyBorder="1" applyAlignment="1" applyProtection="1">
      <alignment horizontal="left"/>
    </xf>
    <xf numFmtId="0" fontId="7" fillId="33" borderId="16" xfId="60" applyNumberFormat="1" applyFont="1" applyFill="1" applyBorder="1" applyAlignment="1" applyProtection="1">
      <alignment horizontal="right"/>
    </xf>
    <xf numFmtId="0" fontId="7" fillId="33" borderId="17" xfId="61">
      <alignment horizontal="left"/>
    </xf>
    <xf numFmtId="0" fontId="7" fillId="33" borderId="17" xfId="62" applyNumberFormat="1" applyFont="1" applyFill="1" applyBorder="1" applyAlignment="1" applyProtection="1">
      <alignment horizontal="right"/>
    </xf>
    <xf numFmtId="0" fontId="4" fillId="34" borderId="18" xfId="63" applyNumberFormat="1" applyFont="1" applyFill="1" applyBorder="1" applyAlignment="1" applyProtection="1"/>
    <xf numFmtId="0" fontId="8" fillId="34" borderId="18" xfId="64" applyNumberFormat="1" applyFont="1" applyFill="1" applyBorder="1" applyAlignment="1" applyProtection="1"/>
    <xf numFmtId="0" fontId="3" fillId="34" borderId="18" xfId="65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4" fontId="8" fillId="34" borderId="2" xfId="56" applyNumberFormat="1" applyFont="1" applyFill="1" applyBorder="1" applyAlignment="1" applyProtection="1">
      <alignment horizontal="right"/>
    </xf>
    <xf numFmtId="171" fontId="11" fillId="34" borderId="2" xfId="57" applyNumberFormat="1" applyFont="1" applyFill="1" applyBorder="1" applyAlignment="1" applyProtection="1">
      <alignment horizontal="right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2"/>
    <cellStyle name="fa_column_header_bottom_left" xfId="52"/>
    <cellStyle name="fa_column_header_bottom_left 2" xfId="61"/>
    <cellStyle name="fa_column_header_empty" xfId="31"/>
    <cellStyle name="fa_column_header_top" xfId="32"/>
    <cellStyle name="fa_column_header_top 2" xfId="60"/>
    <cellStyle name="fa_column_header_top_left" xfId="33"/>
    <cellStyle name="fa_column_header_top_left 2" xfId="59"/>
    <cellStyle name="fa_data_bold_0_grouped" xfId="55"/>
    <cellStyle name="fa_data_bold_2_grouped" xfId="56"/>
    <cellStyle name="fa_data_italic_1_grouped" xfId="57"/>
    <cellStyle name="fa_data_standard_0_grouped" xfId="53"/>
    <cellStyle name="fa_data_standard_1_grouped" xfId="58"/>
    <cellStyle name="fa_data_standard_2_grouped" xfId="54"/>
    <cellStyle name="fa_footer_italic" xfId="34"/>
    <cellStyle name="fa_row_header_bold" xfId="35"/>
    <cellStyle name="fa_row_header_bold 2" xfId="64"/>
    <cellStyle name="fa_row_header_italic" xfId="36"/>
    <cellStyle name="fa_row_header_italic 2" xfId="63"/>
    <cellStyle name="fa_row_header_standard" xfId="37"/>
    <cellStyle name="fa_row_header_standard 2" xfId="65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BDP|16444412589514193441</stp>
        <tr r="F17" s="3"/>
      </tp>
      <tp t="s">
        <v>#N/A N/A</v>
        <stp/>
        <stp>BDP|14052921859583111104</stp>
        <tr r="AM20" s="3"/>
      </tp>
      <tp t="s">
        <v>#N/A N/A</v>
        <stp/>
        <stp>BDP|14283352731937953920</stp>
        <tr r="H17" s="3"/>
      </tp>
      <tp t="s">
        <v>#N/A N/A</v>
        <stp/>
        <stp>BDH|12193445675353116813</stp>
        <tr r="AM25" s="2"/>
      </tp>
      <tp t="s">
        <v>#N/A N/A</v>
        <stp/>
        <stp>BDH|17415459595614284459</stp>
        <tr r="AB8" s="4"/>
      </tp>
      <tp t="s">
        <v>#N/A N/A</v>
        <stp/>
        <stp>BDH|15104903695966347942</stp>
        <tr r="AP10" s="2"/>
      </tp>
      <tp t="s">
        <v>#N/A N/A</v>
        <stp/>
        <stp>BDH|11792234713668265076</stp>
        <tr r="AC26" s="2"/>
      </tp>
      <tp t="s">
        <v>#N/A N/A</v>
        <stp/>
        <stp>BDH|12612025681789622917</stp>
        <tr r="G18" s="4"/>
      </tp>
      <tp t="s">
        <v>#N/A N/A</v>
        <stp/>
        <stp>BDH|12303503620268760762</stp>
        <tr r="AE10" s="2"/>
      </tp>
      <tp t="s">
        <v>#N/A N/A</v>
        <stp/>
        <stp>BDH|13310563378619830272</stp>
        <tr r="AB10" s="2"/>
      </tp>
      <tp t="s">
        <v>#N/A N/A</v>
        <stp/>
        <stp>BDH|14917302141118812157</stp>
        <tr r="N24" s="4"/>
      </tp>
      <tp t="s">
        <v>#N/A N/A</v>
        <stp/>
        <stp>BDH|17882117526757164992</stp>
        <tr r="Y26" s="4"/>
      </tp>
      <tp t="s">
        <v>#N/A N/A</v>
        <stp/>
        <stp>BDH|13130469227846766901</stp>
        <tr r="AD24" s="4"/>
      </tp>
      <tp t="s">
        <v>#N/A N/A</v>
        <stp/>
        <stp>BDH|16739921230585787340</stp>
        <tr r="Y25" s="4"/>
      </tp>
      <tp t="s">
        <v>#N/A N/A</v>
        <stp/>
        <stp>BDH|11767576899103056414</stp>
        <tr r="AK10" s="4"/>
      </tp>
      <tp t="s">
        <v>#N/A N/A</v>
        <stp/>
        <stp>BDH|10607487650372600903</stp>
        <tr r="AB9" s="2"/>
      </tp>
      <tp t="s">
        <v>#N/A N/A</v>
        <stp/>
        <stp>BDH|16827095040729817114</stp>
        <tr r="H23" s="2"/>
      </tp>
      <tp t="s">
        <v>#N/A N/A</v>
        <stp/>
        <stp>BDH|14477588770984395843</stp>
        <tr r="AN17" s="4"/>
      </tp>
      <tp t="s">
        <v>#N/A N/A</v>
        <stp/>
        <stp>BDH|12783139834768382282</stp>
        <tr r="AO8" s="2"/>
      </tp>
      <tp t="s">
        <v>#N/A N/A</v>
        <stp/>
        <stp>BDH|13835917627320243277</stp>
        <tr r="M12" s="4"/>
      </tp>
      <tp t="s">
        <v>#N/A N/A</v>
        <stp/>
        <stp>BDH|14907122597795822394</stp>
        <tr r="E20" s="4"/>
      </tp>
      <tp t="s">
        <v>#N/A N/A</v>
        <stp/>
        <stp>BDH|14001144379591649961</stp>
        <tr r="I30" s="2"/>
      </tp>
      <tp t="s">
        <v>#N/A N/A</v>
        <stp/>
        <stp>BDH|17988279414376092863</stp>
        <tr r="X24" s="4"/>
      </tp>
      <tp t="s">
        <v>#N/A N/A</v>
        <stp/>
        <stp>BDH|15668615011138831027</stp>
        <tr r="Q13" s="2"/>
      </tp>
      <tp t="s">
        <v>#N/A N/A</v>
        <stp/>
        <stp>BDH|17232226746478258382</stp>
        <tr r="AG6" s="4"/>
      </tp>
      <tp t="s">
        <v>#N/A N/A</v>
        <stp/>
        <stp>BDH|13807346684586779405</stp>
        <tr r="AL25" s="2"/>
      </tp>
      <tp t="s">
        <v>#N/A N/A</v>
        <stp/>
        <stp>BDH|12639941059847101345</stp>
        <tr r="F25" s="4"/>
      </tp>
      <tp t="s">
        <v>#N/A N/A</v>
        <stp/>
        <stp>BDH|18168510518192760417</stp>
        <tr r="Z17" s="4"/>
      </tp>
      <tp t="s">
        <v>#N/A N/A</v>
        <stp/>
        <stp>BDP|14125441561694626993</stp>
        <tr r="AN24" s="3"/>
      </tp>
      <tp t="s">
        <v>#N/A N/A</v>
        <stp/>
        <stp>BDP|18147534172024707590</stp>
        <tr r="AM9" s="3"/>
      </tp>
      <tp t="s">
        <v>#N/A N/A</v>
        <stp/>
        <stp>BDP|16480803307192448725</stp>
        <tr r="O20" s="3"/>
      </tp>
      <tp t="s">
        <v>#N/A N/A</v>
        <stp/>
        <stp>BDH|10823418689586397126</stp>
        <tr r="AA9" s="4"/>
      </tp>
      <tp t="s">
        <v>#N/A N/A</v>
        <stp/>
        <stp>BDH|14107335304575426935</stp>
        <tr r="W20" s="4"/>
      </tp>
      <tp t="s">
        <v>#N/A N/A</v>
        <stp/>
        <stp>BDH|13021226794992125169</stp>
        <tr r="AL9" s="2"/>
      </tp>
      <tp t="s">
        <v>#N/A N/A</v>
        <stp/>
        <stp>BDH|16212076336938642654</stp>
        <tr r="AP26" s="4"/>
      </tp>
      <tp t="s">
        <v>#N/A N/A</v>
        <stp/>
        <stp>BDH|10193276481177508629</stp>
        <tr r="AE14" s="4"/>
      </tp>
      <tp t="s">
        <v>#N/A N/A</v>
        <stp/>
        <stp>BDH|10065840408992678193</stp>
        <tr r="C16" s="4"/>
      </tp>
      <tp t="s">
        <v>#N/A N/A</v>
        <stp/>
        <stp>BDH|11407660097797095267</stp>
        <tr r="S25" s="2"/>
      </tp>
      <tp t="s">
        <v>#N/A N/A</v>
        <stp/>
        <stp>BDH|18265536506612091443</stp>
        <tr r="AL20" s="4"/>
      </tp>
      <tp t="s">
        <v>#N/A N/A</v>
        <stp/>
        <stp>BDH|14542306955429242017</stp>
        <tr r="G26" s="2"/>
      </tp>
      <tp t="s">
        <v>#N/A N/A</v>
        <stp/>
        <stp>BDH|15700479385851245341</stp>
        <tr r="AM17" s="4"/>
      </tp>
      <tp t="s">
        <v>#N/A N/A</v>
        <stp/>
        <stp>BDH|11785008801828257260</stp>
        <tr r="AI25" s="2"/>
      </tp>
      <tp t="s">
        <v>#N/A N/A</v>
        <stp/>
        <stp>BDH|10410811901597560433</stp>
        <tr r="AM13" s="4"/>
      </tp>
      <tp t="s">
        <v>#N/A N/A</v>
        <stp/>
        <stp>BDH|15203868518964854310</stp>
        <tr r="AC27" s="2"/>
      </tp>
      <tp t="s">
        <v>#N/A N/A</v>
        <stp/>
        <stp>BDH|18437980362274907839</stp>
        <tr r="AE22" s="4"/>
      </tp>
      <tp t="s">
        <v>#N/A N/A</v>
        <stp/>
        <stp>BDH|12344026086873610259</stp>
        <tr r="AI21" s="4"/>
      </tp>
      <tp t="s">
        <v>#N/A N/A</v>
        <stp/>
        <stp>BDH|16157355754068585332</stp>
        <tr r="Y9" s="2"/>
      </tp>
      <tp t="s">
        <v>#N/A N/A</v>
        <stp/>
        <stp>BDH|18106631326923733452</stp>
        <tr r="R31" s="2"/>
      </tp>
      <tp t="s">
        <v>#N/A N/A</v>
        <stp/>
        <stp>BDH|17970355248888050323</stp>
        <tr r="H6" s="4"/>
      </tp>
      <tp t="s">
        <v>#N/A N/A</v>
        <stp/>
        <stp>BDH|11296634349258556042</stp>
        <tr r="X20" s="4"/>
      </tp>
      <tp t="s">
        <v>#N/A N/A</v>
        <stp/>
        <stp>BDH|10604420386026249196</stp>
        <tr r="AM21" s="4"/>
      </tp>
      <tp t="s">
        <v>#N/A N/A</v>
        <stp/>
        <stp>BDH|17635897256696114709</stp>
        <tr r="AJ16" s="4"/>
      </tp>
      <tp t="s">
        <v>#N/A N/A</v>
        <stp/>
        <stp>BDH|18205220036956643481</stp>
        <tr r="AC9" s="4"/>
      </tp>
      <tp t="s">
        <v>#N/A N/A</v>
        <stp/>
        <stp>BDH|11487551793653954539</stp>
        <tr r="AE6" s="4"/>
      </tp>
      <tp t="s">
        <v>#N/A N/A</v>
        <stp/>
        <stp>BDH|17989607807363438905</stp>
        <tr r="T9" s="2"/>
      </tp>
      <tp t="s">
        <v>#N/A N/A</v>
        <stp/>
        <stp>BDH|14384438968264299908</stp>
        <tr r="AB20" s="4"/>
      </tp>
      <tp t="s">
        <v>#N/A N/A</v>
        <stp/>
        <stp>BDH|12476318468565084970</stp>
        <tr r="G7" s="4"/>
      </tp>
      <tp t="s">
        <v>#N/A N/A</v>
        <stp/>
        <stp>BDH|17037411281658900836</stp>
        <tr r="AO13" s="4"/>
      </tp>
      <tp t="s">
        <v>#N/A N/A</v>
        <stp/>
        <stp>BDH|15163002005638122688</stp>
        <tr r="Z23" s="2"/>
      </tp>
      <tp t="s">
        <v>#N/A N/A</v>
        <stp/>
        <stp>BDH|13309338187323864022</stp>
        <tr r="AE7" s="4"/>
      </tp>
      <tp t="s">
        <v>#N/A N/A</v>
        <stp/>
        <stp>BDH|16629224159182592853</stp>
        <tr r="G32" s="2"/>
      </tp>
      <tp t="s">
        <v>#N/A N/A</v>
        <stp/>
        <stp>BDH|17467496805051539904</stp>
        <tr r="U8" s="4"/>
      </tp>
      <tp t="s">
        <v>#N/A N/A</v>
        <stp/>
        <stp>BDH|15815710800220572905</stp>
        <tr r="Z7" s="4"/>
      </tp>
      <tp t="s">
        <v>#N/A N/A</v>
        <stp/>
        <stp>BDH|15626421085636930474</stp>
        <tr r="AH10" s="2"/>
      </tp>
      <tp t="s">
        <v>#N/A N/A</v>
        <stp/>
        <stp>BDH|14989881962762468392</stp>
        <tr r="D24" s="2"/>
      </tp>
      <tp t="s">
        <v>#N/A N/A</v>
        <stp/>
        <stp>BDH|13762647634298048593</stp>
        <tr r="K13" s="4"/>
      </tp>
      <tp t="s">
        <v>#N/A N/A</v>
        <stp/>
        <stp>BDP|14999617759286864944</stp>
        <tr r="R20" s="3"/>
      </tp>
      <tp t="s">
        <v>#N/A N/A</v>
        <stp/>
        <stp>BDP|16920740713378057027</stp>
        <tr r="U24" s="3"/>
      </tp>
      <tp t="s">
        <v>#N/A N/A</v>
        <stp/>
        <stp>BDP|14152603830740185915</stp>
        <tr r="V19" s="3"/>
      </tp>
      <tp t="s">
        <v>#N/A N/A</v>
        <stp/>
        <stp>BDP|18325362449801978663</stp>
        <tr r="C20" s="3"/>
      </tp>
      <tp t="s">
        <v>#N/A N/A</v>
        <stp/>
        <stp>BDP|10753753322789048456</stp>
        <tr r="V20" s="3"/>
      </tp>
      <tp t="s">
        <v>#N/A N/A</v>
        <stp/>
        <stp>BDH|14288339982853710452</stp>
        <tr r="F22" s="4"/>
      </tp>
      <tp t="s">
        <v>#N/A N/A</v>
        <stp/>
        <stp>BDH|16358556982973328061</stp>
        <tr r="M17" s="4"/>
      </tp>
      <tp t="s">
        <v>#N/A N/A</v>
        <stp/>
        <stp>BDH|10275824843991031528</stp>
        <tr r="AP14" s="4"/>
      </tp>
      <tp t="s">
        <v>#N/A N/A</v>
        <stp/>
        <stp>BDH|17581961604140165679</stp>
        <tr r="AA25" s="2"/>
      </tp>
      <tp t="s">
        <v>#N/A N/A</v>
        <stp/>
        <stp>BDH|13365449188553888479</stp>
        <tr r="N9" s="2"/>
      </tp>
      <tp t="s">
        <v>#N/A N/A</v>
        <stp/>
        <stp>BDH|14006951231867288162</stp>
        <tr r="AJ14" s="4"/>
      </tp>
      <tp t="s">
        <v>#N/A N/A</v>
        <stp/>
        <stp>BDH|15194659984646130513</stp>
        <tr r="AJ9" s="4"/>
      </tp>
      <tp t="s">
        <v>#N/A N/A</v>
        <stp/>
        <stp>BDH|17159496517312544896</stp>
        <tr r="S9" s="2"/>
      </tp>
      <tp t="s">
        <v>#N/A N/A</v>
        <stp/>
        <stp>BDH|12401973522088736957</stp>
        <tr r="Z31" s="2"/>
      </tp>
      <tp t="s">
        <v>#N/A N/A</v>
        <stp/>
        <stp>BDH|15174929647477421721</stp>
        <tr r="V13" s="2"/>
      </tp>
      <tp t="s">
        <v>#N/A N/A</v>
        <stp/>
        <stp>BDH|17255217167339988285</stp>
        <tr r="AA8" s="4"/>
      </tp>
      <tp t="s">
        <v>#N/A N/A</v>
        <stp/>
        <stp>BDH|17886180750182734929</stp>
        <tr r="Z20" s="2"/>
      </tp>
      <tp t="s">
        <v>#N/A N/A</v>
        <stp/>
        <stp>BDH|11035138452649325479</stp>
        <tr r="V17" s="4"/>
      </tp>
      <tp t="s">
        <v>#N/A N/A</v>
        <stp/>
        <stp>BDH|10155190571066805840</stp>
        <tr r="AE25" s="4"/>
      </tp>
      <tp t="s">
        <v>#N/A N/A</v>
        <stp/>
        <stp>BDH|12148539247882409941</stp>
        <tr r="AN26" s="4"/>
      </tp>
      <tp t="s">
        <v>#N/A N/A</v>
        <stp/>
        <stp>BDH|17206065400066719976</stp>
        <tr r="F20" s="4"/>
      </tp>
      <tp t="s">
        <v>#N/A N/A</v>
        <stp/>
        <stp>BDH|11195802170333226540</stp>
        <tr r="H7" s="4"/>
      </tp>
      <tp t="s">
        <v>#N/A N/A</v>
        <stp/>
        <stp>BDH|17977155554143901861</stp>
        <tr r="AK31" s="2"/>
      </tp>
      <tp t="s">
        <v>#N/A N/A</v>
        <stp/>
        <stp>BDH|18049637321001077553</stp>
        <tr r="AP21" s="4"/>
      </tp>
      <tp t="s">
        <v>#N/A N/A</v>
        <stp/>
        <stp>BDH|10727113405148378171</stp>
        <tr r="H8" s="4"/>
      </tp>
      <tp t="s">
        <v>#N/A N/A</v>
        <stp/>
        <stp>BDH|10935084030742567930</stp>
        <tr r="O23" s="2"/>
      </tp>
      <tp t="s">
        <v>#N/A N/A</v>
        <stp/>
        <stp>BDH|16812721465629849613</stp>
        <tr r="L9" s="2"/>
      </tp>
      <tp t="s">
        <v>#N/A N/A</v>
        <stp/>
        <stp>BDH|17027496132721654944</stp>
        <tr r="AE17" s="4"/>
      </tp>
      <tp t="s">
        <v>#N/A N/A</v>
        <stp/>
        <stp>BDH|14969711291784809692</stp>
        <tr r="P25" s="4"/>
      </tp>
      <tp t="s">
        <v>#N/A N/A</v>
        <stp/>
        <stp>BDH|12904837773537130236</stp>
        <tr r="T14" s="4"/>
      </tp>
      <tp t="s">
        <v>#N/A N/A</v>
        <stp/>
        <stp>BDH|16125661853255937874</stp>
        <tr r="N25" s="4"/>
      </tp>
      <tp t="s">
        <v>#N/A N/A</v>
        <stp/>
        <stp>BDH|16748357593522238693</stp>
        <tr r="M24" s="2"/>
      </tp>
      <tp t="s">
        <v>#N/A N/A</v>
        <stp/>
        <stp>BDH|16575556909379145259</stp>
        <tr r="AF10" s="4"/>
      </tp>
      <tp t="s">
        <v>#N/A N/A</v>
        <stp/>
        <stp>BDH|11672210233421008992</stp>
        <tr r="O25" s="2"/>
      </tp>
      <tp t="s">
        <v>#N/A N/A</v>
        <stp/>
        <stp>BDH|11153167225603615993</stp>
        <tr r="AJ21" s="4"/>
      </tp>
      <tp t="s">
        <v>#N/A N/A</v>
        <stp/>
        <stp>BDH|15190130997095891019</stp>
        <tr r="AP24" s="4"/>
      </tp>
      <tp t="s">
        <v>#N/A N/A</v>
        <stp/>
        <stp>BDH|12646889618305967639</stp>
        <tr r="X30" s="2"/>
      </tp>
      <tp t="s">
        <v>#N/A N/A</v>
        <stp/>
        <stp>BDH|16444291083103264725</stp>
        <tr r="AK24" s="4"/>
      </tp>
      <tp t="s">
        <v>#N/A N/A</v>
        <stp/>
        <stp>BDP|12011034385354858773</stp>
        <tr r="AH24" s="3"/>
      </tp>
      <tp t="s">
        <v>#N/A N/A</v>
        <stp/>
        <stp>BDP|13874739737349003771</stp>
        <tr r="Q20" s="3"/>
      </tp>
      <tp t="s">
        <v>#N/A N/A</v>
        <stp/>
        <stp>BDP|15864944985645505863</stp>
        <tr r="AG20" s="3"/>
      </tp>
      <tp t="s">
        <v>#N/A N/A</v>
        <stp/>
        <stp>BDP|17218832212891965646</stp>
        <tr r="AE17" s="3"/>
      </tp>
      <tp t="s">
        <v>#N/A N/A</v>
        <stp/>
        <stp>BDP|11253879300385922527</stp>
        <tr r="E24" s="3"/>
      </tp>
      <tp t="s">
        <v>#N/A N/A</v>
        <stp/>
        <stp>BDP|11653884653790005534</stp>
        <tr r="AJ9" s="3"/>
      </tp>
      <tp t="s">
        <v>#N/A N/A</v>
        <stp/>
        <stp>BDP|11029707062118881183</stp>
        <tr r="AM17" s="3"/>
      </tp>
      <tp t="s">
        <v>#N/A N/A</v>
        <stp/>
        <stp>BDP|14993267748459412277</stp>
        <tr r="E23" s="3"/>
      </tp>
      <tp t="s">
        <v>#N/A N/A</v>
        <stp/>
        <stp>BDH|11296505096937573308</stp>
        <tr r="L31" s="2"/>
      </tp>
      <tp t="s">
        <v>#N/A N/A</v>
        <stp/>
        <stp>BDH|17413356546538128176</stp>
        <tr r="G8" s="4"/>
      </tp>
      <tp t="s">
        <v>#N/A N/A</v>
        <stp/>
        <stp>BDH|16757650772258243621</stp>
        <tr r="I7" s="2"/>
      </tp>
      <tp t="s">
        <v>#N/A N/A</v>
        <stp/>
        <stp>BDH|18081593867201532380</stp>
        <tr r="H27" s="2"/>
      </tp>
      <tp t="s">
        <v>#N/A N/A</v>
        <stp/>
        <stp>BDH|18200815472718307611</stp>
        <tr r="Z21" s="4"/>
      </tp>
      <tp t="s">
        <v>#N/A N/A</v>
        <stp/>
        <stp>BDH|11503201696757164411</stp>
        <tr r="AI32" s="2"/>
      </tp>
      <tp t="s">
        <v>#N/A N/A</v>
        <stp/>
        <stp>BDH|16828899502063089402</stp>
        <tr r="AB23" s="2"/>
      </tp>
      <tp t="s">
        <v>#N/A N/A</v>
        <stp/>
        <stp>BDH|15706010932776150967</stp>
        <tr r="M10" s="2"/>
      </tp>
      <tp t="s">
        <v>#N/A N/A</v>
        <stp/>
        <stp>BDH|11175059926282209826</stp>
        <tr r="AI26" s="2"/>
      </tp>
      <tp t="s">
        <v>#N/A N/A</v>
        <stp/>
        <stp>BDH|16011566251596795921</stp>
        <tr r="F13" s="4"/>
      </tp>
      <tp t="s">
        <v>#N/A N/A</v>
        <stp/>
        <stp>BDH|10316421187867618251</stp>
        <tr r="AA14" s="4"/>
      </tp>
      <tp t="s">
        <v>#N/A N/A</v>
        <stp/>
        <stp>BDH|18347463524765537209</stp>
        <tr r="AE24" s="4"/>
      </tp>
      <tp t="s">
        <v>#N/A N/A</v>
        <stp/>
        <stp>BDH|12326139594051348236</stp>
        <tr r="AA9" s="2"/>
      </tp>
      <tp t="s">
        <v>#N/A N/A</v>
        <stp/>
        <stp>BDH|13436126877034299873</stp>
        <tr r="AL10" s="4"/>
      </tp>
      <tp t="s">
        <v>#N/A N/A</v>
        <stp/>
        <stp>BDH|17086570645079459614</stp>
        <tr r="AN9" s="4"/>
      </tp>
      <tp t="s">
        <v>#N/A N/A</v>
        <stp/>
        <stp>BDH|12859607738006407826</stp>
        <tr r="I18" s="4"/>
      </tp>
      <tp t="s">
        <v>#N/A N/A</v>
        <stp/>
        <stp>BDH|10960995189381248924</stp>
        <tr r="Z22" s="2"/>
      </tp>
      <tp t="s">
        <v>#N/A N/A</v>
        <stp/>
        <stp>BDH|13272647669423722910</stp>
        <tr r="R7" s="2"/>
      </tp>
      <tp t="s">
        <v>#N/A N/A</v>
        <stp/>
        <stp>BDH|18116357038338171958</stp>
        <tr r="Y24" s="4"/>
      </tp>
      <tp t="s">
        <v>#N/A N/A</v>
        <stp/>
        <stp>BDH|11236643288606744013</stp>
        <tr r="AM32" s="2"/>
      </tp>
      <tp t="s">
        <v>#N/A N/A</v>
        <stp/>
        <stp>BDH|11564311393495735780</stp>
        <tr r="N22" s="4"/>
      </tp>
      <tp t="s">
        <v>#N/A N/A</v>
        <stp/>
        <stp>BDH|14305876436716937035</stp>
        <tr r="R32" s="2"/>
      </tp>
      <tp t="s">
        <v>#N/A N/A</v>
        <stp/>
        <stp>BDH|18413290424942789366</stp>
        <tr r="C22" s="4"/>
      </tp>
      <tp t="s">
        <v>#N/A N/A</v>
        <stp/>
        <stp>BDH|10971867520370741303</stp>
        <tr r="AJ10" s="2"/>
      </tp>
      <tp t="s">
        <v>#N/A N/A</v>
        <stp/>
        <stp>BDH|10208269011072965877</stp>
        <tr r="AJ13" s="4"/>
      </tp>
      <tp t="s">
        <v>#N/A N/A</v>
        <stp/>
        <stp>BDH|11982970366584560367</stp>
        <tr r="AD23" s="2"/>
      </tp>
      <tp t="s">
        <v>#N/A N/A</v>
        <stp/>
        <stp>BDH|12808850222247328672</stp>
        <tr r="O22" s="4"/>
      </tp>
      <tp t="s">
        <v>#N/A N/A</v>
        <stp/>
        <stp>BDH|14941715990626569566</stp>
        <tr r="J24" s="4"/>
      </tp>
      <tp t="s">
        <v>#N/A N/A</v>
        <stp/>
        <stp>BDH|13984956670836481225</stp>
        <tr r="K21" s="4"/>
      </tp>
      <tp t="s">
        <v>#N/A N/A</v>
        <stp/>
        <stp>BDH|10800804836847342571</stp>
        <tr r="Y14" s="4"/>
      </tp>
      <tp t="s">
        <v>#N/A N/A</v>
        <stp/>
        <stp>BDH|13405879103976800428</stp>
        <tr r="AL20" s="2"/>
      </tp>
      <tp t="s">
        <v>#N/A N/A</v>
        <stp/>
        <stp>BDH|16292368933937824858</stp>
        <tr r="V10" s="4"/>
      </tp>
      <tp t="s">
        <v>#N/A N/A</v>
        <stp/>
        <stp>BDH|11287861753901940439</stp>
        <tr r="I23" s="2"/>
      </tp>
      <tp t="s">
        <v>#N/A N/A</v>
        <stp/>
        <stp>BDH|10639023001879028089</stp>
        <tr r="X7" s="4"/>
      </tp>
      <tp t="s">
        <v>#N/A N/A</v>
        <stp/>
        <stp>BDH|11395392632400082857</stp>
        <tr r="H20" s="2"/>
      </tp>
      <tp t="s">
        <v>#N/A N/A</v>
        <stp/>
        <stp>BDH|13938814641185700330</stp>
        <tr r="Z24" s="4"/>
      </tp>
      <tp t="s">
        <v>#N/A N/A</v>
        <stp/>
        <stp>BDH|13579940222649862862</stp>
        <tr r="L17" s="4"/>
      </tp>
      <tp t="s">
        <v>#N/A N/A</v>
        <stp/>
        <stp>BDH|13910428756462573940</stp>
        <tr r="Q20" s="2"/>
      </tp>
      <tp t="s">
        <v>#N/A N/A</v>
        <stp/>
        <stp>BDH|11053676271979340092</stp>
        <tr r="AE13" s="4"/>
      </tp>
      <tp t="s">
        <v>#N/A N/A</v>
        <stp/>
        <stp>BDH|15666480417748605108</stp>
        <tr r="O13" s="4"/>
      </tp>
      <tp t="s">
        <v>#N/A N/A</v>
        <stp/>
        <stp>BDH|14895237543393082875</stp>
        <tr r="T7" s="4"/>
      </tp>
      <tp t="s">
        <v>#N/A N/A</v>
        <stp/>
        <stp>BDH|15928802863423679120</stp>
        <tr r="AG9" s="4"/>
      </tp>
      <tp t="s">
        <v>#N/A N/A</v>
        <stp/>
        <stp>BDP|13335581436042425913</stp>
        <tr r="AC9" s="3"/>
      </tp>
      <tp t="s">
        <v>#N/A N/A</v>
        <stp/>
        <stp>BDP|13063487798197921728</stp>
        <tr r="N17" s="3"/>
      </tp>
      <tp t="s">
        <v>#N/A N/A</v>
        <stp/>
        <stp>BDP|11652229378359432332</stp>
        <tr r="S17" s="3"/>
      </tp>
      <tp t="s">
        <v>#N/A N/A</v>
        <stp/>
        <stp>BDP|11599144789992797457</stp>
        <tr r="C9" s="3"/>
      </tp>
      <tp t="s">
        <v>#N/A N/A</v>
        <stp/>
        <stp>BDP|12632242979030418956</stp>
        <tr r="AJ24" s="3"/>
      </tp>
      <tp t="s">
        <v>#N/A N/A</v>
        <stp/>
        <stp>BDP|17824034987426379706</stp>
        <tr r="AE9" s="3"/>
      </tp>
      <tp t="s">
        <v>#N/A N/A</v>
        <stp/>
        <stp>BDP|17967799618146086960</stp>
        <tr r="J9" s="3"/>
      </tp>
      <tp t="s">
        <v>#N/A N/A</v>
        <stp/>
        <stp>BDP|12087836274907200453</stp>
        <tr r="S9" s="3"/>
      </tp>
      <tp t="s">
        <v>#N/A N/A</v>
        <stp/>
        <stp>BDP|11760370694815310055</stp>
        <tr r="AK24" s="3"/>
      </tp>
      <tp t="s">
        <v>#N/A N/A</v>
        <stp/>
        <stp>BDP|12634954802632602727</stp>
        <tr r="L23" s="3"/>
      </tp>
      <tp t="s">
        <v>#N/A N/A</v>
        <stp/>
        <stp>BDH|11730775096310479139</stp>
        <tr r="T24" s="2"/>
      </tp>
      <tp t="s">
        <v>#N/A N/A</v>
        <stp/>
        <stp>BDH|15774309494610549179</stp>
        <tr r="Z10" s="2"/>
      </tp>
      <tp t="s">
        <v>#N/A N/A</v>
        <stp/>
        <stp>BDH|10500631084962769257</stp>
        <tr r="E12" s="4"/>
      </tp>
      <tp t="s">
        <v>#N/A N/A</v>
        <stp/>
        <stp>BDH|16977571723828548788</stp>
        <tr r="AD31" s="2"/>
      </tp>
      <tp t="s">
        <v>#N/A N/A</v>
        <stp/>
        <stp>BDH|17237956404597339707</stp>
        <tr r="L13" s="2"/>
      </tp>
      <tp t="s">
        <v>#N/A N/A</v>
        <stp/>
        <stp>BDH|18192311216567179355</stp>
        <tr r="AI13" s="4"/>
      </tp>
      <tp t="s">
        <v>#N/A N/A</v>
        <stp/>
        <stp>BDH|13806976698829348464</stp>
        <tr r="H10" s="2"/>
      </tp>
      <tp t="s">
        <v>#N/A N/A</v>
        <stp/>
        <stp>BDH|10697935407830410744</stp>
        <tr r="AG10" s="2"/>
      </tp>
      <tp t="s">
        <v>#N/A N/A</v>
        <stp/>
        <stp>BDH|10777937574492407264</stp>
        <tr r="AE26" s="4"/>
      </tp>
      <tp t="s">
        <v>#N/A N/A</v>
        <stp/>
        <stp>BDH|13356243085190278753</stp>
        <tr r="AB7" s="2"/>
      </tp>
      <tp t="s">
        <v>#N/A N/A</v>
        <stp/>
        <stp>BDH|11174667285868239947</stp>
        <tr r="AG20" s="4"/>
      </tp>
      <tp t="s">
        <v>#N/A N/A</v>
        <stp/>
        <stp>BDH|15702294869868696769</stp>
        <tr r="AI24" s="4"/>
      </tp>
      <tp t="s">
        <v>#N/A N/A</v>
        <stp/>
        <stp>BDH|14527151802798170342</stp>
        <tr r="P30" s="2"/>
      </tp>
      <tp t="s">
        <v>#N/A N/A</v>
        <stp/>
        <stp>BDH|16698735428208845537</stp>
        <tr r="P8" s="2"/>
      </tp>
      <tp t="s">
        <v>#N/A N/A</v>
        <stp/>
        <stp>BDH|15047159413499255220</stp>
        <tr r="O9" s="4"/>
      </tp>
      <tp t="s">
        <v>#N/A N/A</v>
        <stp/>
        <stp>BDH|15470800390282700852</stp>
        <tr r="AE16" s="4"/>
      </tp>
      <tp t="s">
        <v>#N/A N/A</v>
        <stp/>
        <stp>BDH|17729876715532520265</stp>
        <tr r="Y22" s="2"/>
      </tp>
      <tp t="s">
        <v>#N/A N/A</v>
        <stp/>
        <stp>BDH|14389805999183196828</stp>
        <tr r="AD8" s="4"/>
      </tp>
      <tp t="s">
        <v>#N/A N/A</v>
        <stp/>
        <stp>BDH|16662827993920832972</stp>
        <tr r="C14" s="4"/>
      </tp>
      <tp t="s">
        <v>#N/A N/A</v>
        <stp/>
        <stp>BDH|11245625149399437455</stp>
        <tr r="H20" s="4"/>
      </tp>
      <tp t="s">
        <v>#N/A N/A</v>
        <stp/>
        <stp>BDH|18032454280673922963</stp>
        <tr r="K16" s="4"/>
      </tp>
      <tp t="s">
        <v>#N/A N/A</v>
        <stp/>
        <stp>BDH|12776689756087552808</stp>
        <tr r="AE20" s="4"/>
      </tp>
      <tp t="s">
        <v>#N/A N/A</v>
        <stp/>
        <stp>BDH|12236022490933641696</stp>
        <tr r="S22" s="2"/>
      </tp>
      <tp t="s">
        <v>#N/A N/A</v>
        <stp/>
        <stp>BDH|16712031937849507281</stp>
        <tr r="L18" s="4"/>
      </tp>
      <tp t="s">
        <v>#N/A N/A</v>
        <stp/>
        <stp>BDH|12706150381292586783</stp>
        <tr r="Q26" s="4"/>
      </tp>
      <tp t="s">
        <v>#N/A N/A</v>
        <stp/>
        <stp>BDH|18177088546125628773</stp>
        <tr r="AA22" s="4"/>
      </tp>
      <tp t="s">
        <v>#N/A N/A</v>
        <stp/>
        <stp>BDH|16030714890994635290</stp>
        <tr r="U27" s="2"/>
      </tp>
      <tp t="s">
        <v>#N/A N/A</v>
        <stp/>
        <stp>BDH|11517856460516808762</stp>
        <tr r="AO9" s="4"/>
      </tp>
      <tp t="s">
        <v>#N/A N/A</v>
        <stp/>
        <stp>BDH|11623458372599888572</stp>
        <tr r="W20" s="2"/>
      </tp>
    </main>
    <main first="bofaddin.rtdserver">
      <tp t="s">
        <v>#N/A N/A</v>
        <stp/>
        <stp>BDP|16578119446498205482</stp>
        <tr r="AI9" s="3"/>
      </tp>
      <tp t="s">
        <v>#N/A N/A</v>
        <stp/>
        <stp>BDP|10011043398396674064</stp>
        <tr r="Q17" s="3"/>
      </tp>
      <tp t="s">
        <v>#N/A N/A</v>
        <stp/>
        <stp>BDP|16744109078627844887</stp>
        <tr r="AG19" s="3"/>
      </tp>
      <tp t="s">
        <v>#N/A N/A</v>
        <stp/>
        <stp>BDP|15036054519008551365</stp>
        <tr r="AN17" s="3"/>
      </tp>
      <tp t="s">
        <v>#N/A N/A</v>
        <stp/>
        <stp>BDP|13121608650469306633</stp>
        <tr r="I9" s="3"/>
      </tp>
      <tp t="s">
        <v>#N/A N/A</v>
        <stp/>
        <stp>BDP|12926963448981475103</stp>
        <tr r="Z23" s="3"/>
      </tp>
      <tp t="s">
        <v>#N/A N/A</v>
        <stp/>
        <stp>BDP|16755991856025866023</stp>
        <tr r="H19" s="3"/>
      </tp>
      <tp t="s">
        <v>#N/A N/A</v>
        <stp/>
        <stp>BDH|12808796413293069839</stp>
        <tr r="AD22" s="2"/>
      </tp>
      <tp t="s">
        <v>#N/A N/A</v>
        <stp/>
        <stp>BDH|13531207030654719937</stp>
        <tr r="AO8" s="4"/>
      </tp>
      <tp t="s">
        <v>#N/A N/A</v>
        <stp/>
        <stp>BDH|14508473041259197225</stp>
        <tr r="W27" s="2"/>
      </tp>
      <tp t="s">
        <v>#N/A N/A</v>
        <stp/>
        <stp>BDH|15076935140570539764</stp>
        <tr r="P27" s="2"/>
      </tp>
      <tp t="s">
        <v>#N/A N/A</v>
        <stp/>
        <stp>BDH|13699678168224016895</stp>
        <tr r="AG13" s="2"/>
      </tp>
      <tp t="s">
        <v>#N/A N/A</v>
        <stp/>
        <stp>BDH|15543463056812303957</stp>
        <tr r="AJ12" s="4"/>
      </tp>
      <tp t="s">
        <v>#N/A N/A</v>
        <stp/>
        <stp>BDH|17162663503607520931</stp>
        <tr r="S8" s="4"/>
      </tp>
      <tp t="s">
        <v>#N/A N/A</v>
        <stp/>
        <stp>BDH|12634977566461715354</stp>
        <tr r="D26" s="2"/>
      </tp>
    </main>
    <main first="bofaddin.rtdserver">
      <tp t="s">
        <v>#N/A N/A</v>
        <stp/>
        <stp>BDH|16917632938499742529</stp>
        <tr r="G20" s="2"/>
      </tp>
      <tp t="s">
        <v>#N/A N/A</v>
        <stp/>
        <stp>BDH|10219616080082790331</stp>
        <tr r="M27" s="2"/>
      </tp>
      <tp t="s">
        <v>#N/A N/A</v>
        <stp/>
        <stp>BDH|14328567394411301651</stp>
        <tr r="AD26" s="4"/>
      </tp>
      <tp t="s">
        <v>#N/A N/A</v>
        <stp/>
        <stp>BDH|17062221355299815683</stp>
        <tr r="AD7" s="4"/>
      </tp>
      <tp t="s">
        <v>#N/A N/A</v>
        <stp/>
        <stp>BDH|12957800303855435082</stp>
        <tr r="AJ6" s="4"/>
      </tp>
      <tp t="s">
        <v>#N/A N/A</v>
        <stp/>
        <stp>BDH|12709548743585366957</stp>
        <tr r="N17" s="4"/>
      </tp>
      <tp t="s">
        <v>#N/A N/A</v>
        <stp/>
        <stp>BDH|13541207886203710520</stp>
        <tr r="H16" s="4"/>
      </tp>
      <tp t="s">
        <v>#N/A N/A</v>
        <stp/>
        <stp>BDH|17756591257571684961</stp>
        <tr r="V27" s="2"/>
      </tp>
      <tp t="s">
        <v>#N/A N/A</v>
        <stp/>
        <stp>BDH|12141131971988891320</stp>
        <tr r="N26" s="2"/>
      </tp>
      <tp t="s">
        <v>#N/A N/A</v>
        <stp/>
        <stp>BDH|18061422084053612888</stp>
        <tr r="N7" s="4"/>
      </tp>
      <tp t="s">
        <v>#N/A N/A</v>
        <stp/>
        <stp>BDH|13519367282955880213</stp>
        <tr r="E25" s="4"/>
      </tp>
      <tp t="s">
        <v>#N/A N/A</v>
        <stp/>
        <stp>BDH|18084894987217699027</stp>
        <tr r="X9" s="4"/>
      </tp>
      <tp t="s">
        <v>#N/A N/A</v>
        <stp/>
        <stp>BDH|12388087170618479229</stp>
        <tr r="AN10" s="2"/>
      </tp>
      <tp t="s">
        <v>#N/A N/A</v>
        <stp/>
        <stp>BDH|16025310834471166894</stp>
        <tr r="AI13" s="2"/>
      </tp>
      <tp t="s">
        <v>#N/A N/A</v>
        <stp/>
        <stp>BDH|14022659169163569852</stp>
        <tr r="Q12" s="4"/>
      </tp>
      <tp t="s">
        <v>#N/A N/A</v>
        <stp/>
        <stp>BDH|15260532684676890118</stp>
        <tr r="P9" s="2"/>
      </tp>
      <tp t="s">
        <v>#N/A N/A</v>
        <stp/>
        <stp>BDH|13251400921949934358</stp>
        <tr r="AM22" s="2"/>
      </tp>
      <tp t="s">
        <v>#N/A N/A</v>
        <stp/>
        <stp>BDH|11344763532293834900</stp>
        <tr r="U20" s="4"/>
      </tp>
      <tp t="s">
        <v>#N/A N/A</v>
        <stp/>
        <stp>BDH|15365921330931735182</stp>
        <tr r="X17" s="4"/>
      </tp>
      <tp t="s">
        <v>#N/A N/A</v>
        <stp/>
        <stp>BDP|14773575529237003829</stp>
        <tr r="W17" s="3"/>
      </tp>
      <tp t="s">
        <v>#N/A N/A</v>
        <stp/>
        <stp>BDP|15342929482381662945</stp>
        <tr r="D24" s="3"/>
      </tp>
      <tp t="s">
        <v>#N/A N/A</v>
        <stp/>
        <stp>BDP|11030430883012552350</stp>
        <tr r="S20" s="3"/>
      </tp>
      <tp t="s">
        <v>#N/A N/A</v>
        <stp/>
        <stp>BDP|12143155916629564759</stp>
        <tr r="AI24" s="3"/>
      </tp>
      <tp t="s">
        <v>#N/A N/A</v>
        <stp/>
        <stp>BDP|13439844500657750009</stp>
        <tr r="V24" s="3"/>
      </tp>
      <tp t="s">
        <v>#N/A N/A</v>
        <stp/>
        <stp>BDH|10201018922286818883</stp>
        <tr r="E24" s="2"/>
      </tp>
      <tp t="s">
        <v>#N/A N/A</v>
        <stp/>
        <stp>BDH|15770955647522353676</stp>
        <tr r="AN22" s="2"/>
      </tp>
      <tp t="s">
        <v>#N/A N/A</v>
        <stp/>
        <stp>BDH|17702612397625287132</stp>
        <tr r="I8" s="4"/>
      </tp>
      <tp t="s">
        <v>#N/A N/A</v>
        <stp/>
        <stp>BDH|12417646045305264973</stp>
        <tr r="M9" s="4"/>
      </tp>
      <tp t="s">
        <v>#N/A N/A</v>
        <stp/>
        <stp>BDH|17536248502180395904</stp>
        <tr r="W31" s="2"/>
      </tp>
      <tp t="s">
        <v>#N/A N/A</v>
        <stp/>
        <stp>BDH|10421002601018531406</stp>
        <tr r="V32" s="2"/>
      </tp>
      <tp t="s">
        <v>#N/A N/A</v>
        <stp/>
        <stp>BDH|14958462704154118898</stp>
        <tr r="AC22" s="4"/>
      </tp>
      <tp t="s">
        <v>#N/A N/A</v>
        <stp/>
        <stp>BDH|11849206477680408888</stp>
        <tr r="Q9" s="2"/>
      </tp>
      <tp t="s">
        <v>#N/A N/A</v>
        <stp/>
        <stp>BDH|11712337265310727854</stp>
        <tr r="AF6" s="4"/>
      </tp>
      <tp t="s">
        <v>#N/A N/A</v>
        <stp/>
        <stp>BDH|13367165714668722756</stp>
        <tr r="O20" s="2"/>
      </tp>
      <tp t="s">
        <v>#N/A N/A</v>
        <stp/>
        <stp>BDH|10192431200349487129</stp>
        <tr r="G10" s="4"/>
      </tp>
      <tp t="s">
        <v>#N/A N/A</v>
        <stp/>
        <stp>BDH|15925554549259317125</stp>
        <tr r="Y6" s="4"/>
      </tp>
      <tp t="s">
        <v>#N/A N/A</v>
        <stp/>
        <stp>BDH|12314165737609674539</stp>
        <tr r="Z25" s="2"/>
      </tp>
      <tp t="s">
        <v>#N/A N/A</v>
        <stp/>
        <stp>BDH|14288054289149977909</stp>
        <tr r="Z8" s="2"/>
      </tp>
      <tp t="s">
        <v>#N/A N/A</v>
        <stp/>
        <stp>BDH|18278989215775181990</stp>
        <tr r="P14" s="4"/>
      </tp>
      <tp t="s">
        <v>#N/A N/A</v>
        <stp/>
        <stp>BDH|18326085554393841213</stp>
        <tr r="AI18" s="4"/>
      </tp>
      <tp t="s">
        <v>#N/A N/A</v>
        <stp/>
        <stp>BDH|13273518574854008917</stp>
        <tr r="G17" s="4"/>
      </tp>
      <tp t="s">
        <v>#N/A N/A</v>
        <stp/>
        <stp>BDH|10132573986385139474</stp>
        <tr r="C7" s="4"/>
      </tp>
      <tp t="s">
        <v>#N/A N/A</v>
        <stp/>
        <stp>BDH|13110629133259169387</stp>
        <tr r="AL32" s="2"/>
      </tp>
      <tp t="s">
        <v>#N/A N/A</v>
        <stp/>
        <stp>BDH|14024224036639807052</stp>
        <tr r="S32" s="2"/>
      </tp>
      <tp t="s">
        <v>#N/A N/A</v>
        <stp/>
        <stp>BDH|11166048036429380793</stp>
        <tr r="AK10" s="2"/>
      </tp>
      <tp t="s">
        <v>#N/A N/A</v>
        <stp/>
        <stp>BDH|15896742891263579406</stp>
        <tr r="AK9" s="4"/>
      </tp>
      <tp t="s">
        <v>#N/A N/A</v>
        <stp/>
        <stp>BDH|17040284737583142950</stp>
        <tr r="AP8" s="2"/>
      </tp>
      <tp t="s">
        <v>#N/A N/A</v>
        <stp/>
        <stp>BDH|15470959917473907253</stp>
        <tr r="X31" s="2"/>
      </tp>
      <tp t="s">
        <v>#N/A N/A</v>
        <stp/>
        <stp>BDH|17946284986980909141</stp>
        <tr r="F7" s="2"/>
      </tp>
      <tp t="s">
        <v>#N/A N/A</v>
        <stp/>
        <stp>BDH|16537296966737696933</stp>
        <tr r="F18" s="4"/>
      </tp>
      <tp t="s">
        <v>#N/A N/A</v>
        <stp/>
        <stp>BDH|13500114548952074835</stp>
        <tr r="AE13" s="2"/>
      </tp>
      <tp t="s">
        <v>#N/A N/A</v>
        <stp/>
        <stp>BDH|14611830030196368599</stp>
        <tr r="AI30" s="2"/>
      </tp>
      <tp t="s">
        <v>#N/A N/A</v>
        <stp/>
        <stp>BDH|14784981913541151125</stp>
        <tr r="Z13" s="4"/>
      </tp>
      <tp t="s">
        <v>#N/A N/A</v>
        <stp/>
        <stp>BDP|17892134800652102955</stp>
        <tr r="C24" s="3"/>
      </tp>
      <tp t="s">
        <v>#N/A N/A</v>
        <stp/>
        <stp>BDP|10657025529839684645</stp>
        <tr r="D20" s="3"/>
      </tp>
      <tp t="s">
        <v>#N/A N/A</v>
        <stp/>
        <stp>BDP|15849991704548237950</stp>
        <tr r="J20" s="3"/>
      </tp>
      <tp t="s">
        <v>#N/A N/A</v>
        <stp/>
        <stp>BDP|17603431692697148017</stp>
        <tr r="H24" s="3"/>
      </tp>
      <tp t="s">
        <v>#N/A N/A</v>
        <stp/>
        <stp>BDH|12677915617455473250</stp>
        <tr r="Y8" s="4"/>
      </tp>
      <tp t="s">
        <v>#N/A N/A</v>
        <stp/>
        <stp>BDH|14172973663945282361</stp>
        <tr r="AP32" s="2"/>
      </tp>
      <tp t="s">
        <v>#N/A N/A</v>
        <stp/>
        <stp>BDH|16076019183650612341</stp>
        <tr r="F6" s="4"/>
      </tp>
      <tp t="s">
        <v>#N/A N/A</v>
        <stp/>
        <stp>BDH|11103777431499501127</stp>
        <tr r="T8" s="2"/>
      </tp>
      <tp t="s">
        <v>#N/A N/A</v>
        <stp/>
        <stp>BDH|13985395728377370887</stp>
        <tr r="AM16" s="4"/>
      </tp>
      <tp t="s">
        <v>#N/A N/A</v>
        <stp/>
        <stp>BDH|12366724903019575156</stp>
        <tr r="E22" s="2"/>
      </tp>
      <tp t="s">
        <v>#N/A N/A</v>
        <stp/>
        <stp>BDH|15130702392512875491</stp>
        <tr r="AC16" s="4"/>
      </tp>
      <tp t="s">
        <v>#N/A N/A</v>
        <stp/>
        <stp>BDH|13771015132064552930</stp>
        <tr r="E26" s="2"/>
      </tp>
      <tp t="s">
        <v>#N/A N/A</v>
        <stp/>
        <stp>BDH|13195246796385815098</stp>
        <tr r="AP12" s="4"/>
      </tp>
      <tp t="s">
        <v>#N/A N/A</v>
        <stp/>
        <stp>BDH|17173819908057425597</stp>
        <tr r="AI8" s="2"/>
      </tp>
      <tp t="s">
        <v>#N/A N/A</v>
        <stp/>
        <stp>BDH|12520404393776201419</stp>
        <tr r="O8" s="4"/>
      </tp>
      <tp t="s">
        <v>#N/A N/A</v>
        <stp/>
        <stp>BDH|13350203145201717942</stp>
        <tr r="AO20" s="2"/>
      </tp>
      <tp t="s">
        <v>#N/A N/A</v>
        <stp/>
        <stp>BDH|13513579395150773240</stp>
        <tr r="F8" s="4"/>
      </tp>
      <tp t="s">
        <v>#N/A N/A</v>
        <stp/>
        <stp>BDH|16295719772483050851</stp>
        <tr r="D17" s="4"/>
      </tp>
      <tp t="s">
        <v>#N/A N/A</v>
        <stp/>
        <stp>BDH|16728223331593972993</stp>
        <tr r="P12" s="4"/>
      </tp>
      <tp t="s">
        <v>#N/A N/A</v>
        <stp/>
        <stp>BDH|14077877631083487157</stp>
        <tr r="C17" s="4"/>
      </tp>
      <tp t="s">
        <v>#N/A N/A</v>
        <stp/>
        <stp>BDH|16735460313368464616</stp>
        <tr r="AA7" s="2"/>
      </tp>
      <tp t="s">
        <v>#N/A N/A</v>
        <stp/>
        <stp>BDH|17815397195848048821</stp>
        <tr r="AP16" s="4"/>
      </tp>
      <tp t="s">
        <v>#N/A N/A</v>
        <stp/>
        <stp>BDH|17479949563972686736</stp>
        <tr r="N10" s="4"/>
      </tp>
      <tp t="s">
        <v>#N/A N/A</v>
        <stp/>
        <stp>BDH|14206624121615839832</stp>
        <tr r="Y30" s="2"/>
      </tp>
      <tp t="s">
        <v>#N/A N/A</v>
        <stp/>
        <stp>BDH|10983774455908646773</stp>
        <tr r="R27" s="2"/>
      </tp>
      <tp t="s">
        <v>#N/A N/A</v>
        <stp/>
        <stp>BDH|17887468877711347804</stp>
        <tr r="Y26" s="2"/>
      </tp>
      <tp t="s">
        <v>#N/A N/A</v>
        <stp/>
        <stp>BDH|15903045687096257627</stp>
        <tr r="AL21" s="4"/>
      </tp>
      <tp t="s">
        <v>#N/A N/A</v>
        <stp/>
        <stp>BDH|13157837885789204788</stp>
        <tr r="C23" s="2"/>
      </tp>
      <tp t="s">
        <v>#N/A N/A</v>
        <stp/>
        <stp>BDH|11959902935301792779</stp>
        <tr r="V18" s="4"/>
      </tp>
      <tp t="s">
        <v>#N/A N/A</v>
        <stp/>
        <stp>BDH|11869802606786117208</stp>
        <tr r="K17" s="4"/>
      </tp>
      <tp t="s">
        <v>#N/A N/A</v>
        <stp/>
        <stp>BDH|13718821993857874817</stp>
        <tr r="R22" s="4"/>
      </tp>
      <tp t="s">
        <v>#N/A N/A</v>
        <stp/>
        <stp>BDH|15145077182947939727</stp>
        <tr r="H13" s="4"/>
      </tp>
      <tp t="s">
        <v>#N/A N/A</v>
        <stp/>
        <stp>BDH|14262649480215894209</stp>
        <tr r="AG17" s="4"/>
      </tp>
      <tp t="s">
        <v>#N/A N/A</v>
        <stp/>
        <stp>BDH|16421679512179787582</stp>
        <tr r="AD13" s="4"/>
      </tp>
      <tp t="s">
        <v>#N/A N/A</v>
        <stp/>
        <stp>BDP|15860214836535120328</stp>
        <tr r="AB23" s="3"/>
      </tp>
      <tp t="s">
        <v>#N/A N/A</v>
        <stp/>
        <stp>BDP|17411378599576318963</stp>
        <tr r="I20" s="3"/>
      </tp>
      <tp t="s">
        <v>#N/A N/A</v>
        <stp/>
        <stp>BDP|18240212978469299669</stp>
        <tr r="AJ20" s="3"/>
      </tp>
      <tp t="s">
        <v>#N/A N/A</v>
        <stp/>
        <stp>BDP|10557997298200327271</stp>
        <tr r="AH19" s="3"/>
      </tp>
      <tp t="s">
        <v>#N/A N/A</v>
        <stp/>
        <stp>BDP|12335735876524766434</stp>
        <tr r="D19" s="3"/>
      </tp>
      <tp t="s">
        <v>#N/A N/A</v>
        <stp/>
        <stp>BDP|11706476557623260100</stp>
        <tr r="P23" s="3"/>
      </tp>
      <tp t="s">
        <v>#N/A N/A</v>
        <stp/>
        <stp>BDP|16360823340629461117</stp>
        <tr r="AF17" s="3"/>
      </tp>
      <tp t="s">
        <v>#N/A N/A</v>
        <stp/>
        <stp>BDH|14320316397764148842</stp>
        <tr r="Y23" s="2"/>
      </tp>
      <tp t="s">
        <v>#N/A N/A</v>
        <stp/>
        <stp>BDH|12266659611293742429</stp>
        <tr r="P26" s="4"/>
      </tp>
      <tp t="s">
        <v>#N/A N/A</v>
        <stp/>
        <stp>BDH|12222897731448811316</stp>
        <tr r="AA26" s="4"/>
      </tp>
      <tp t="s">
        <v>#N/A N/A</v>
        <stp/>
        <stp>BDH|12510213100114650612</stp>
        <tr r="W14" s="4"/>
      </tp>
      <tp t="s">
        <v>#N/A N/A</v>
        <stp/>
        <stp>BDH|15832634411962028284</stp>
        <tr r="U17" s="4"/>
      </tp>
      <tp t="s">
        <v>#N/A N/A</v>
        <stp/>
        <stp>BDH|15097163879211901047</stp>
        <tr r="S13" s="4"/>
      </tp>
      <tp t="s">
        <v>#N/A N/A</v>
        <stp/>
        <stp>BDH|16582227049634405684</stp>
        <tr r="H25" s="4"/>
      </tp>
      <tp t="s">
        <v>#N/A N/A</v>
        <stp/>
        <stp>BDH|12881406527270410691</stp>
        <tr r="AP25" s="2"/>
      </tp>
      <tp t="s">
        <v>#N/A N/A</v>
        <stp/>
        <stp>BDH|12468030030262722125</stp>
        <tr r="Q22" s="2"/>
      </tp>
      <tp t="s">
        <v>#N/A N/A</v>
        <stp/>
        <stp>BDH|15911293117633775759</stp>
        <tr r="U10" s="4"/>
      </tp>
      <tp t="s">
        <v>#N/A N/A</v>
        <stp/>
        <stp>BDH|10491552073992780207</stp>
        <tr r="AJ32" s="2"/>
      </tp>
      <tp t="s">
        <v>#N/A N/A</v>
        <stp/>
        <stp>BDH|11031515827631573560</stp>
        <tr r="Y10" s="2"/>
      </tp>
      <tp t="s">
        <v>#N/A N/A</v>
        <stp/>
        <stp>BDH|10556523470771606147</stp>
        <tr r="AB20" s="2"/>
      </tp>
      <tp t="s">
        <v>#N/A N/A</v>
        <stp/>
        <stp>BDH|18299028981397601526</stp>
        <tr r="L9" s="4"/>
      </tp>
      <tp t="s">
        <v>#N/A N/A</v>
        <stp/>
        <stp>BDH|10800765857482543291</stp>
        <tr r="U25" s="2"/>
      </tp>
      <tp t="s">
        <v>#N/A N/A</v>
        <stp/>
        <stp>BDH|12209400725706952098</stp>
        <tr r="Y12" s="4"/>
      </tp>
      <tp t="s">
        <v>#N/A N/A</v>
        <stp/>
        <stp>BDH|15886802110526614891</stp>
        <tr r="I12" s="4"/>
      </tp>
      <tp t="s">
        <v>#N/A N/A</v>
        <stp/>
        <stp>BDH|13704650397036503872</stp>
        <tr r="AP26" s="2"/>
      </tp>
      <tp t="s">
        <v>#N/A N/A</v>
        <stp/>
        <stp>BDH|13270272423979488851</stp>
        <tr r="AP22" s="2"/>
      </tp>
      <tp t="s">
        <v>#N/A N/A</v>
        <stp/>
        <stp>BDH|14595689227321984352</stp>
        <tr r="AE9" s="4"/>
      </tp>
      <tp t="s">
        <v>#N/A N/A</v>
        <stp/>
        <stp>BDH|17227979065999188375</stp>
        <tr r="Y7" s="4"/>
      </tp>
      <tp t="s">
        <v>#N/A N/A</v>
        <stp/>
        <stp>BDH|13525321967270484425</stp>
        <tr r="AM31" s="2"/>
      </tp>
      <tp t="s">
        <v>#N/A N/A</v>
        <stp/>
        <stp>BDH|10815712828843517426</stp>
        <tr r="O14" s="4"/>
      </tp>
      <tp t="s">
        <v>#N/A N/A</v>
        <stp/>
        <stp>BDH|18071530882923373445</stp>
        <tr r="AK22" s="2"/>
      </tp>
      <tp t="s">
        <v>#N/A N/A</v>
        <stp/>
        <stp>BDH|15330744157180266542</stp>
        <tr r="AA13" s="2"/>
      </tp>
      <tp t="s">
        <v>#N/A N/A</v>
        <stp/>
        <stp>BDH|13850632397896245876</stp>
        <tr r="G31" s="2"/>
      </tp>
      <tp t="s">
        <v>#N/A N/A</v>
        <stp/>
        <stp>BDH|12970303223560356108</stp>
        <tr r="T25" s="4"/>
      </tp>
      <tp t="s">
        <v>#N/A N/A</v>
        <stp/>
        <stp>BDH|10046565864162876334</stp>
        <tr r="AM23" s="2"/>
      </tp>
      <tp t="s">
        <v>#N/A N/A</v>
        <stp/>
        <stp>BDH|10398158978765479130</stp>
        <tr r="AJ10" s="4"/>
      </tp>
      <tp t="s">
        <v>#N/A N/A</v>
        <stp/>
        <stp>BDH|15980439506521494205</stp>
        <tr r="O24" s="2"/>
      </tp>
      <tp t="s">
        <v>#N/A N/A</v>
        <stp/>
        <stp>BDH|12380200628709772974</stp>
        <tr r="AG8" s="4"/>
      </tp>
      <tp t="s">
        <v>#N/A N/A</v>
        <stp/>
        <stp>BDH|15668642329655416641</stp>
        <tr r="AF27" s="2"/>
      </tp>
      <tp t="s">
        <v>#N/A N/A</v>
        <stp/>
        <stp>BDH|15511207853739525998</stp>
        <tr r="F30" s="2"/>
      </tp>
      <tp t="s">
        <v>#N/A N/A</v>
        <stp/>
        <stp>BDH|12680316330512861250</stp>
        <tr r="J22" s="2"/>
      </tp>
      <tp t="s">
        <v>#N/A N/A</v>
        <stp/>
        <stp>BDH|17137615343393910406</stp>
        <tr r="I26" s="2"/>
      </tp>
      <tp t="s">
        <v>#N/A N/A</v>
        <stp/>
        <stp>BDH|14523225316386910324</stp>
        <tr r="D8" s="2"/>
      </tp>
      <tp t="s">
        <v>#N/A N/A</v>
        <stp/>
        <stp>BDH|10615080025891148166</stp>
        <tr r="AK6" s="4"/>
      </tp>
      <tp t="s">
        <v>#N/A N/A</v>
        <stp/>
        <stp>BDH|13928215861733595603</stp>
        <tr r="AN20" s="2"/>
      </tp>
      <tp t="s">
        <v>#N/A N/A</v>
        <stp/>
        <stp>BDH|18005245860316088886</stp>
        <tr r="AB25" s="4"/>
      </tp>
      <tp t="s">
        <v>#N/A N/A</v>
        <stp/>
        <stp>BDH|16074559229490048306</stp>
        <tr r="T24" s="4"/>
      </tp>
      <tp t="s">
        <v>#N/A N/A</v>
        <stp/>
        <stp>BDH|17967768843155058305</stp>
        <tr r="K24" s="2"/>
      </tp>
      <tp t="s">
        <v>#N/A N/A</v>
        <stp/>
        <stp>BDH|12447413637676740191</stp>
        <tr r="V8" s="2"/>
      </tp>
      <tp t="s">
        <v>#N/A N/A</v>
        <stp/>
        <stp>BDH|16635182484089565409</stp>
        <tr r="R24" s="2"/>
      </tp>
      <tp t="s">
        <v>#N/A N/A</v>
        <stp/>
        <stp>BDH|15107006308561370650</stp>
        <tr r="N9" s="4"/>
      </tp>
      <tp t="s">
        <v>#N/A N/A</v>
        <stp/>
        <stp>BDH|14862894153292912955</stp>
        <tr r="N13" s="4"/>
      </tp>
      <tp t="s">
        <v>#N/A N/A</v>
        <stp/>
        <stp>BDP|13903943992308004863</stp>
        <tr r="AL17" s="3"/>
      </tp>
      <tp t="s">
        <v>#N/A N/A</v>
        <stp/>
        <stp>BDP|16317195949193221394</stp>
        <tr r="AL23" s="3"/>
      </tp>
      <tp t="s">
        <v>#N/A N/A</v>
        <stp/>
        <stp>BDP|18050777987784916065</stp>
        <tr r="N19" s="3"/>
      </tp>
      <tp t="s">
        <v>#N/A N/A</v>
        <stp/>
        <stp>BDP|12369614920950972556</stp>
        <tr r="L17" s="3"/>
      </tp>
      <tp t="s">
        <v>#N/A N/A</v>
        <stp/>
        <stp>BDP|15223927896206358041</stp>
        <tr r="AP23" s="3"/>
      </tp>
      <tp t="s">
        <v>#N/A N/A</v>
        <stp/>
        <stp>BDP|15554511593969097353</stp>
        <tr r="AN9" s="3"/>
      </tp>
      <tp t="s">
        <v>#N/A N/A</v>
        <stp/>
        <stp>BDP|13462056411005610432</stp>
        <tr r="X17" s="3"/>
      </tp>
      <tp t="s">
        <v>#N/A N/A</v>
        <stp/>
        <stp>BDP|17081621376547318234</stp>
        <tr r="W9" s="3"/>
      </tp>
      <tp t="s">
        <v>#N/A N/A</v>
        <stp/>
        <stp>BDP|10399437474457163731</stp>
        <tr r="Z9" s="3"/>
      </tp>
      <tp t="s">
        <v>#N/A N/A</v>
        <stp/>
        <stp>BDH|12784646306060611724</stp>
        <tr r="AH30" s="2"/>
      </tp>
      <tp t="s">
        <v>#N/A N/A</v>
        <stp/>
        <stp>BDH|15863640029835415706</stp>
        <tr r="T25" s="2"/>
      </tp>
      <tp t="s">
        <v>#N/A N/A</v>
        <stp/>
        <stp>BDH|12160000359745147188</stp>
        <tr r="AF7" s="2"/>
      </tp>
      <tp t="s">
        <v>#N/A N/A</v>
        <stp/>
        <stp>BDH|11791444439302218793</stp>
        <tr r="L13" s="4"/>
      </tp>
      <tp t="s">
        <v>#N/A N/A</v>
        <stp/>
        <stp>BDH|14918053665912930319</stp>
        <tr r="D20" s="4"/>
      </tp>
      <tp t="s">
        <v>#N/A N/A</v>
        <stp/>
        <stp>BDH|15198157715560733679</stp>
        <tr r="AA32" s="2"/>
      </tp>
      <tp t="s">
        <v>#N/A N/A</v>
        <stp/>
        <stp>BDH|17637429092010561929</stp>
        <tr r="V25" s="4"/>
      </tp>
      <tp t="s">
        <v>#N/A N/A</v>
        <stp/>
        <stp>BDH|15885298385045592910</stp>
        <tr r="AO6" s="4"/>
      </tp>
      <tp t="s">
        <v>#N/A N/A</v>
        <stp/>
        <stp>BDH|15593341182735460841</stp>
        <tr r="X16" s="4"/>
      </tp>
      <tp t="s">
        <v>#N/A N/A</v>
        <stp/>
        <stp>BDH|13631378055931654717</stp>
        <tr r="AP9" s="2"/>
      </tp>
      <tp t="s">
        <v>#N/A N/A</v>
        <stp/>
        <stp>BDH|17897089964717206551</stp>
        <tr r="R26" s="4"/>
      </tp>
      <tp t="s">
        <v>#N/A N/A</v>
        <stp/>
        <stp>BDH|17028643617556141508</stp>
        <tr r="Z16" s="4"/>
      </tp>
      <tp t="s">
        <v>#N/A N/A</v>
        <stp/>
        <stp>BDH|16559171011693897693</stp>
        <tr r="O22" s="2"/>
      </tp>
      <tp t="s">
        <v>#N/A N/A</v>
        <stp/>
        <stp>BDH|17473874305138158454</stp>
        <tr r="AG20" s="2"/>
      </tp>
      <tp t="s">
        <v>#N/A N/A</v>
        <stp/>
        <stp>BDH|14914370672132942171</stp>
        <tr r="AL26" s="4"/>
      </tp>
      <tp t="s">
        <v>#N/A N/A</v>
        <stp/>
        <stp>BDH|17269146631266653049</stp>
        <tr r="AA10" s="2"/>
      </tp>
      <tp t="s">
        <v>#N/A N/A</v>
        <stp/>
        <stp>BDH|14624471335806702666</stp>
        <tr r="N23" s="2"/>
      </tp>
      <tp t="s">
        <v>#N/A N/A</v>
        <stp/>
        <stp>BDH|12620452317403544742</stp>
        <tr r="M21" s="4"/>
      </tp>
      <tp t="s">
        <v>#N/A N/A</v>
        <stp/>
        <stp>BDH|11097067457821741632</stp>
        <tr r="P24" s="4"/>
      </tp>
      <tp t="s">
        <v>#N/A N/A</v>
        <stp/>
        <stp>BDH|10252834876884649856</stp>
        <tr r="AK25" s="4"/>
      </tp>
      <tp t="s">
        <v>#N/A N/A</v>
        <stp/>
        <stp>BDH|15003259075333515015</stp>
        <tr r="AG32" s="2"/>
      </tp>
      <tp t="s">
        <v>#N/A N/A</v>
        <stp/>
        <stp>BDH|11070641354599349879</stp>
        <tr r="P24" s="2"/>
      </tp>
      <tp t="s">
        <v>#N/A N/A</v>
        <stp/>
        <stp>BDH|10478008325900097190</stp>
        <tr r="U26" s="2"/>
      </tp>
      <tp t="s">
        <v>#N/A N/A</v>
        <stp/>
        <stp>BDH|10364459748254201741</stp>
        <tr r="AF13" s="2"/>
      </tp>
      <tp t="s">
        <v>#N/A N/A</v>
        <stp/>
        <stp>BDH|12694641736653898744</stp>
        <tr r="Y25" s="2"/>
      </tp>
      <tp t="s">
        <v>#N/A N/A</v>
        <stp/>
        <stp>BDH|10953071847707103003</stp>
        <tr r="E32" s="2"/>
      </tp>
      <tp t="s">
        <v>#N/A N/A</v>
        <stp/>
        <stp>BDH|10399774253579995865</stp>
        <tr r="M20" s="4"/>
      </tp>
      <tp t="s">
        <v>#N/A N/A</v>
        <stp/>
        <stp>BDH|13188506819002367600</stp>
        <tr r="U18" s="4"/>
      </tp>
      <tp t="s">
        <v>#N/A N/A</v>
        <stp/>
        <stp>BDH|18371358716981227898</stp>
        <tr r="AJ27" s="2"/>
      </tp>
      <tp t="s">
        <v>#N/A N/A</v>
        <stp/>
        <stp>BDH|16086530766625768381</stp>
        <tr r="O21" s="4"/>
      </tp>
      <tp t="s">
        <v>#N/A N/A</v>
        <stp/>
        <stp>BDH|12198181833437751475</stp>
        <tr r="G23" s="2"/>
      </tp>
      <tp t="s">
        <v>#N/A N/A</v>
        <stp/>
        <stp>BDH|10636380241117295302</stp>
        <tr r="R12" s="4"/>
      </tp>
      <tp t="s">
        <v>#N/A N/A</v>
        <stp/>
        <stp>BDH|17541499605935147543</stp>
        <tr r="AD9" s="4"/>
      </tp>
      <tp t="s">
        <v>#N/A N/A</v>
        <stp/>
        <stp>BDH|17962804417559653479</stp>
        <tr r="M8" s="2"/>
      </tp>
      <tp t="s">
        <v>#N/A N/A</v>
        <stp/>
        <stp>BDH|15423188631985451168</stp>
        <tr r="R13" s="2"/>
      </tp>
      <tp t="s">
        <v>#N/A N/A</v>
        <stp/>
        <stp>BDH|12867529921501242769</stp>
        <tr r="AA27" s="2"/>
      </tp>
      <tp t="s">
        <v>#N/A N/A</v>
        <stp/>
        <stp>BDH|13629799157312428020</stp>
        <tr r="O12" s="4"/>
      </tp>
      <tp t="s">
        <v>#N/A N/A</v>
        <stp/>
        <stp>BDH|13267096320243783123</stp>
        <tr r="AH7" s="2"/>
      </tp>
      <tp t="s">
        <v>#N/A N/A</v>
        <stp/>
        <stp>BDH|16799179847334996409</stp>
        <tr r="R30" s="2"/>
      </tp>
      <tp t="s">
        <v>#N/A N/A</v>
        <stp/>
        <stp>BDH|17841233907694633240</stp>
        <tr r="Y13" s="2"/>
      </tp>
      <tp t="s">
        <v>#N/A N/A</v>
        <stp/>
        <stp>BDH|14784208886738815577</stp>
        <tr r="AF22" s="4"/>
      </tp>
      <tp t="s">
        <v>#N/A N/A</v>
        <stp/>
        <stp>BDH|16997369845182144053</stp>
        <tr r="L12" s="4"/>
      </tp>
      <tp t="s">
        <v>#N/A N/A</v>
        <stp/>
        <stp>BDP|13487186734298855993</stp>
        <tr r="AD23" s="3"/>
      </tp>
      <tp t="s">
        <v>#N/A N/A</v>
        <stp/>
        <stp>BDP|15899164231353794439</stp>
        <tr r="AC17" s="3"/>
      </tp>
      <tp t="s">
        <v>#N/A N/A</v>
        <stp/>
        <stp>BDP|17104181193418823791</stp>
        <tr r="H9" s="3"/>
      </tp>
      <tp t="s">
        <v>#N/A N/A</v>
        <stp/>
        <stp>BDP|18010131412479867141</stp>
        <tr r="G17" s="3"/>
      </tp>
      <tp t="s">
        <v>#N/A N/A</v>
        <stp/>
        <stp>BDP|15052231025050939532</stp>
        <tr r="E20" s="3"/>
      </tp>
      <tp t="s">
        <v>#N/A N/A</v>
        <stp/>
        <stp>BDP|10125362900423077068</stp>
        <tr r="AC23" s="3"/>
      </tp>
      <tp t="s">
        <v>#N/A N/A</v>
        <stp/>
        <stp>BDP|14206385461313832222</stp>
        <tr r="T9" s="3"/>
      </tp>
      <tp t="s">
        <v>#N/A N/A</v>
        <stp/>
        <stp>BDP|14459677675763318662</stp>
        <tr r="K19" s="3"/>
      </tp>
      <tp t="s">
        <v>#N/A N/A</v>
        <stp/>
        <stp>BDP|14698214715683546412</stp>
        <tr r="O19" s="3"/>
      </tp>
      <tp t="s">
        <v>#N/A N/A</v>
        <stp/>
        <stp>BDH|15916109398739399439</stp>
        <tr r="V20" s="2"/>
      </tp>
      <tp t="s">
        <v>#N/A N/A</v>
        <stp/>
        <stp>BDH|10680640570405515462</stp>
        <tr r="W24" s="4"/>
      </tp>
      <tp t="s">
        <v>#N/A N/A</v>
        <stp/>
        <stp>BDH|17322922393715765241</stp>
        <tr r="AG25" s="2"/>
      </tp>
      <tp t="s">
        <v>#N/A N/A</v>
        <stp/>
        <stp>BDH|15373340406425583341</stp>
        <tr r="U13" s="2"/>
      </tp>
      <tp t="s">
        <v>#N/A N/A</v>
        <stp/>
        <stp>BDH|17283759457812773776</stp>
        <tr r="N14" s="4"/>
      </tp>
      <tp t="s">
        <v>#N/A N/A</v>
        <stp/>
        <stp>BDH|15965192120645459341</stp>
        <tr r="AD13" s="2"/>
      </tp>
      <tp t="s">
        <v>#N/A N/A</v>
        <stp/>
        <stp>BDH|15140341553504220768</stp>
        <tr r="T10" s="4"/>
      </tp>
      <tp t="s">
        <v>#N/A N/A</v>
        <stp/>
        <stp>BDH|17671478232965844597</stp>
        <tr r="AP25" s="4"/>
      </tp>
      <tp t="s">
        <v>#N/A N/A</v>
        <stp/>
        <stp>BDH|12214997544538472790</stp>
        <tr r="AF9" s="4"/>
      </tp>
      <tp t="s">
        <v>#N/A N/A</v>
        <stp/>
        <stp>BDH|11124072416224301469</stp>
        <tr r="J13" s="2"/>
      </tp>
      <tp t="s">
        <v>#N/A N/A</v>
        <stp/>
        <stp>BDH|17634189588458637654</stp>
        <tr r="AD10" s="2"/>
      </tp>
      <tp t="s">
        <v>#N/A N/A</v>
        <stp/>
        <stp>BDH|18247404393055163054</stp>
        <tr r="AJ17" s="4"/>
      </tp>
      <tp t="s">
        <v>#N/A N/A</v>
        <stp/>
        <stp>BDH|11206057490621676951</stp>
        <tr r="X13" s="2"/>
      </tp>
      <tp t="s">
        <v>#N/A N/A</v>
        <stp/>
        <stp>BDH|14032670752455498258</stp>
        <tr r="AB12" s="4"/>
      </tp>
      <tp t="s">
        <v>#N/A N/A</v>
        <stp/>
        <stp>BDH|15319632180413466804</stp>
        <tr r="G22" s="4"/>
      </tp>
      <tp t="s">
        <v>#N/A N/A</v>
        <stp/>
        <stp>BDH|15413560603987412726</stp>
        <tr r="AD32" s="2"/>
      </tp>
      <tp t="s">
        <v>#N/A N/A</v>
        <stp/>
        <stp>BDH|14790731963394587156</stp>
        <tr r="AH9" s="2"/>
      </tp>
      <tp t="s">
        <v>#N/A N/A</v>
        <stp/>
        <stp>BDH|11937022943110329527</stp>
        <tr r="K32" s="2"/>
      </tp>
      <tp t="s">
        <v>#N/A N/A</v>
        <stp/>
        <stp>BDH|12732557483179088694</stp>
        <tr r="Q14" s="4"/>
      </tp>
      <tp t="s">
        <v>#N/A N/A</v>
        <stp/>
        <stp>BDH|10547829698063511221</stp>
        <tr r="C27" s="2"/>
      </tp>
      <tp t="s">
        <v>#N/A N/A</v>
        <stp/>
        <stp>BDH|12794714504002278788</stp>
        <tr r="AC7" s="4"/>
      </tp>
      <tp t="s">
        <v>#N/A N/A</v>
        <stp/>
        <stp>BDH|17960968558553771889</stp>
        <tr r="AN20" s="4"/>
      </tp>
      <tp t="s">
        <v>#N/A N/A</v>
        <stp/>
        <stp>BDH|18089685511556217901</stp>
        <tr r="J31" s="2"/>
      </tp>
      <tp t="s">
        <v>#N/A N/A</v>
        <stp/>
        <stp>BDH|13184681863051541240</stp>
        <tr r="K7" s="2"/>
      </tp>
      <tp t="s">
        <v>#N/A N/A</v>
        <stp/>
        <stp>BDH|13581480047494635779</stp>
        <tr r="D14" s="4"/>
      </tp>
      <tp t="s">
        <v>#N/A N/A</v>
        <stp/>
        <stp>BDH|12651150955646946043</stp>
        <tr r="AL31" s="2"/>
      </tp>
      <tp t="s">
        <v>#N/A N/A</v>
        <stp/>
        <stp>BDH|12151770116562398692</stp>
        <tr r="I24" s="4"/>
      </tp>
      <tp t="s">
        <v>#N/A N/A</v>
        <stp/>
        <stp>BDH|12265584314754495203</stp>
        <tr r="F22" s="2"/>
      </tp>
      <tp t="s">
        <v>#N/A N/A</v>
        <stp/>
        <stp>BDH|12477271680018176082</stp>
        <tr r="AE12" s="4"/>
      </tp>
      <tp t="s">
        <v>#N/A N/A</v>
        <stp/>
        <stp>BDH|15653374879036617742</stp>
        <tr r="AM27" s="2"/>
      </tp>
      <tp t="s">
        <v>#N/A N/A</v>
        <stp/>
        <stp>BDH|16342780307569533830</stp>
        <tr r="AF30" s="2"/>
      </tp>
      <tp t="s">
        <v>#N/A N/A</v>
        <stp/>
        <stp>BDH|11771123931770778396</stp>
        <tr r="U7" s="2"/>
      </tp>
      <tp t="s">
        <v>#N/A N/A</v>
        <stp/>
        <stp>BDH|12935248332853284004</stp>
        <tr r="Y18" s="4"/>
      </tp>
      <tp t="s">
        <v>#N/A N/A</v>
        <stp/>
        <stp>BDH|11986638418803636595</stp>
        <tr r="AI24" s="2"/>
      </tp>
      <tp t="s">
        <v>#N/A N/A</v>
        <stp/>
        <stp>BDH|16224366244734457596</stp>
        <tr r="I8" s="2"/>
      </tp>
      <tp t="s">
        <v>#N/A N/A</v>
        <stp/>
        <stp>BDH|17321451756870925655</stp>
        <tr r="AE22" s="2"/>
      </tp>
      <tp t="s">
        <v>#N/A N/A</v>
        <stp/>
        <stp>BDH|18175450752270925934</stp>
        <tr r="AN31" s="2"/>
      </tp>
      <tp t="s">
        <v>#N/A N/A</v>
        <stp/>
        <stp>BDH|15983665093779149319</stp>
        <tr r="E26" s="4"/>
      </tp>
      <tp t="s">
        <v>#N/A N/A</v>
        <stp/>
        <stp>BDH|11934676861557560660</stp>
        <tr r="E7" s="2"/>
      </tp>
      <tp t="s">
        <v>#N/A N/A</v>
        <stp/>
        <stp>BDH|12291951569594029929</stp>
        <tr r="N25" s="2"/>
      </tp>
      <tp t="s">
        <v>#N/A N/A</v>
        <stp/>
        <stp>BDH|16832476861525897191</stp>
        <tr r="AA23" s="2"/>
      </tp>
      <tp t="s">
        <v>#N/A N/A</v>
        <stp/>
        <stp>BDH|15386147802421882520</stp>
        <tr r="U13" s="4"/>
      </tp>
      <tp t="s">
        <v>#N/A N/A</v>
        <stp/>
        <stp>BDH|12181641754095606490</stp>
        <tr r="AF10" s="2"/>
      </tp>
      <tp t="s">
        <v>#N/A N/A</v>
        <stp/>
        <stp>BDH|15280217258156516401</stp>
        <tr r="V9" s="4"/>
      </tp>
      <tp t="s">
        <v>#N/A N/A</v>
        <stp/>
        <stp>BDH|15744771576565104092</stp>
        <tr r="S12" s="4"/>
      </tp>
      <tp t="s">
        <v>#N/A N/A</v>
        <stp/>
        <stp>BDH|14910190338856291044</stp>
        <tr r="AH23" s="2"/>
      </tp>
    </main>
    <main first="bofaddin.rtdserver">
      <tp t="s">
        <v>#N/A N/A</v>
        <stp/>
        <stp>BDP|16777597376240918592</stp>
        <tr r="AK23" s="3"/>
      </tp>
      <tp t="s">
        <v>#N/A N/A</v>
        <stp/>
        <stp>BDP|12821337018535010481</stp>
        <tr r="AH9" s="3"/>
      </tp>
      <tp t="s">
        <v>#N/A N/A</v>
        <stp/>
        <stp>BDP|18131773823098003488</stp>
        <tr r="Z20" s="3"/>
      </tp>
    </main>
    <main first="bofaddin.rtdserver">
      <tp t="s">
        <v>#N/A N/A</v>
        <stp/>
        <stp>BDP|11416763633986331220</stp>
        <tr r="AJ23" s="3"/>
      </tp>
      <tp t="s">
        <v>#N/A N/A</v>
        <stp/>
        <stp>BDP|12094469113521500741</stp>
        <tr r="AK19" s="3"/>
      </tp>
      <tp t="s">
        <v>#N/A N/A</v>
        <stp/>
        <stp>BDP|10129417675785465765</stp>
        <tr r="AH23" s="3"/>
      </tp>
      <tp t="s">
        <v>#N/A N/A</v>
        <stp/>
        <stp>BDP|13260577302060694768</stp>
        <tr r="AG9" s="3"/>
      </tp>
      <tp t="s">
        <v>#N/A N/A</v>
        <stp/>
        <stp>BDP|15188612954631693641</stp>
        <tr r="AC20" s="3"/>
      </tp>
      <tp t="s">
        <v>#N/A N/A</v>
        <stp/>
        <stp>BDH|12528303592901703817</stp>
        <tr r="AP23" s="2"/>
      </tp>
      <tp t="s">
        <v>#N/A N/A</v>
        <stp/>
        <stp>BDH|13419620215143467666</stp>
        <tr r="U30" s="2"/>
      </tp>
      <tp t="s">
        <v>#N/A N/A</v>
        <stp/>
        <stp>BDH|16216426805443666036</stp>
        <tr r="AD25" s="4"/>
      </tp>
      <tp t="s">
        <v>#N/A N/A</v>
        <stp/>
        <stp>BDH|14565000044557867691</stp>
        <tr r="N18" s="4"/>
      </tp>
      <tp t="s">
        <v>#N/A N/A</v>
        <stp/>
        <stp>BDH|10263532482708786478</stp>
        <tr r="AG14" s="4"/>
      </tp>
      <tp t="s">
        <v>#N/A N/A</v>
        <stp/>
        <stp>BDH|15935193546378125940</stp>
        <tr r="N7" s="2"/>
      </tp>
      <tp t="s">
        <v>#N/A N/A</v>
        <stp/>
        <stp>BDH|14258175300117718308</stp>
        <tr r="AB8" s="2"/>
      </tp>
      <tp t="s">
        <v>#N/A N/A</v>
        <stp/>
        <stp>BDH|16607701504914525455</stp>
        <tr r="R9" s="4"/>
      </tp>
      <tp t="s">
        <v>#N/A N/A</v>
        <stp/>
        <stp>BDH|14560338932193416652</stp>
        <tr r="E25" s="2"/>
      </tp>
      <tp t="s">
        <v>#N/A N/A</v>
        <stp/>
        <stp>BDH|16231420724170658177</stp>
        <tr r="AE30" s="2"/>
      </tp>
      <tp t="s">
        <v>#N/A N/A</v>
        <stp/>
        <stp>BDH|11213994238748032272</stp>
        <tr r="AC30" s="2"/>
      </tp>
      <tp t="s">
        <v>#N/A N/A</v>
        <stp/>
        <stp>BDH|17000742652230636478</stp>
        <tr r="M22" s="2"/>
      </tp>
      <tp t="s">
        <v>#N/A N/A</v>
        <stp/>
        <stp>BDH|12117376963480349615</stp>
        <tr r="AJ26" s="2"/>
      </tp>
      <tp t="s">
        <v>#N/A N/A</v>
        <stp/>
        <stp>BDH|15320837786465868197</stp>
        <tr r="AI25" s="4"/>
      </tp>
      <tp t="s">
        <v>#N/A N/A</v>
        <stp/>
        <stp>BDH|16340455862031003431</stp>
        <tr r="M9" s="2"/>
      </tp>
      <tp t="s">
        <v>#N/A N/A</v>
        <stp/>
        <stp>BDH|13418617248525258581</stp>
        <tr r="S10" s="2"/>
      </tp>
      <tp t="s">
        <v>#N/A N/A</v>
        <stp/>
        <stp>BDH|17994149846324537796</stp>
        <tr r="AM26" s="4"/>
      </tp>
      <tp t="s">
        <v>#N/A N/A</v>
        <stp/>
        <stp>BDH|18130826615703169310</stp>
        <tr r="AP20" s="2"/>
      </tp>
      <tp t="s">
        <v>#N/A N/A</v>
        <stp/>
        <stp>BDH|12600879193011300383</stp>
        <tr r="I13" s="2"/>
      </tp>
      <tp t="s">
        <v>#N/A N/A</v>
        <stp/>
        <stp>BDH|13092237855761892468</stp>
        <tr r="H18" s="4"/>
      </tp>
      <tp t="s">
        <v>#N/A N/A</v>
        <stp/>
        <stp>BDH|17083361837240010695</stp>
        <tr r="AP22" s="4"/>
      </tp>
      <tp t="s">
        <v>#N/A N/A</v>
        <stp/>
        <stp>BDH|13699424306616092089</stp>
        <tr r="AB21" s="4"/>
      </tp>
      <tp t="s">
        <v>#N/A N/A</v>
        <stp/>
        <stp>BDH|10267938115528601182</stp>
        <tr r="AF24" s="4"/>
      </tp>
      <tp t="s">
        <v>#N/A N/A</v>
        <stp/>
        <stp>BDH|11862619102246214057</stp>
        <tr r="AM18" s="4"/>
      </tp>
      <tp t="s">
        <v>#N/A N/A</v>
        <stp/>
        <stp>BDH|14376422538764691633</stp>
        <tr r="Y13" s="4"/>
      </tp>
      <tp t="s">
        <v>#N/A N/A</v>
        <stp/>
        <stp>BDH|13247900633271989949</stp>
        <tr r="R10" s="4"/>
      </tp>
      <tp t="s">
        <v>#N/A N/A</v>
        <stp/>
        <stp>BDH|13625592201862666572</stp>
        <tr r="M18" s="4"/>
      </tp>
      <tp t="s">
        <v>#N/A N/A</v>
        <stp/>
        <stp>BDH|18023987196270926984</stp>
        <tr r="AF22" s="2"/>
      </tp>
      <tp t="s">
        <v>#N/A N/A</v>
        <stp/>
        <stp>BDH|13770127630547265786</stp>
        <tr r="W30" s="2"/>
      </tp>
      <tp t="s">
        <v>#N/A N/A</v>
        <stp/>
        <stp>BDH|13190431779499328864</stp>
        <tr r="Y7" s="2"/>
      </tp>
      <tp t="s">
        <v>#N/A N/A</v>
        <stp/>
        <stp>BDH|18248658284085987245</stp>
        <tr r="AI6" s="4"/>
      </tp>
      <tp t="s">
        <v>#N/A N/A</v>
        <stp/>
        <stp>BDP|16460564243240885124</stp>
        <tr r="J24" s="3"/>
      </tp>
      <tp t="s">
        <v>#N/A N/A</v>
        <stp/>
        <stp>BDP|13778986452089222047</stp>
        <tr r="T23" s="3"/>
      </tp>
      <tp t="s">
        <v>#N/A N/A</v>
        <stp/>
        <stp>BDP|13837753131753180279</stp>
        <tr r="P19" s="3"/>
      </tp>
      <tp t="s">
        <v>#N/A N/A</v>
        <stp/>
        <stp>BDP|12829750026898000948</stp>
        <tr r="AL20" s="3"/>
      </tp>
      <tp t="s">
        <v>#N/A N/A</v>
        <stp/>
        <stp>BDP|17515437377397458544</stp>
        <tr r="AA23" s="3"/>
      </tp>
      <tp t="s">
        <v>#N/A N/A</v>
        <stp/>
        <stp>BDP|10179193644392974160</stp>
        <tr r="Y24" s="3"/>
      </tp>
      <tp t="s">
        <v>#N/A N/A</v>
        <stp/>
        <stp>BDP|17874495424796726108</stp>
        <tr r="S23" s="3"/>
      </tp>
      <tp t="s">
        <v>#N/A N/A</v>
        <stp/>
        <stp>BDP|10744768037460186223</stp>
        <tr r="U23" s="3"/>
      </tp>
      <tp t="s">
        <v>#N/A N/A</v>
        <stp/>
        <stp>BDP|17882488796155635956</stp>
        <tr r="AO24" s="3"/>
      </tp>
      <tp t="s">
        <v>#N/A N/A</v>
        <stp/>
        <stp>BDH|14867998891884389626</stp>
        <tr r="P22" s="2"/>
      </tp>
      <tp t="s">
        <v>#N/A N/A</v>
        <stp/>
        <stp>BDH|17200663837066340218</stp>
        <tr r="W23" s="2"/>
      </tp>
      <tp t="s">
        <v>#N/A N/A</v>
        <stp/>
        <stp>BDH|15724127643892112461</stp>
        <tr r="AH16" s="4"/>
      </tp>
      <tp t="s">
        <v>#N/A N/A</v>
        <stp/>
        <stp>BDH|14925070844566303087</stp>
        <tr r="AL26" s="2"/>
      </tp>
      <tp t="s">
        <v>#N/A N/A</v>
        <stp/>
        <stp>BDH|13806888060169709240</stp>
        <tr r="AM6" s="4"/>
      </tp>
      <tp t="s">
        <v>#N/A N/A</v>
        <stp/>
        <stp>BDH|13640047243534719559</stp>
        <tr r="C7" s="2"/>
      </tp>
      <tp t="s">
        <v>#N/A N/A</v>
        <stp/>
        <stp>BDH|17779042029163077093</stp>
        <tr r="AC8" s="4"/>
      </tp>
    </main>
    <main first="bofaddin.rtdserver">
      <tp t="s">
        <v>#N/A N/A</v>
        <stp/>
        <stp>BDH|11030740335882791147</stp>
        <tr r="AA21" s="4"/>
      </tp>
      <tp t="s">
        <v>#N/A N/A</v>
        <stp/>
        <stp>BDH|15381514525925146145</stp>
        <tr r="O13" s="2"/>
      </tp>
      <tp t="s">
        <v>#N/A N/A</v>
        <stp/>
        <stp>BDH|14975071131837993639</stp>
        <tr r="N20" s="2"/>
      </tp>
      <tp t="s">
        <v>#N/A N/A</v>
        <stp/>
        <stp>BDH|10096563966246448311</stp>
        <tr r="O16" s="4"/>
      </tp>
      <tp t="s">
        <v>#N/A N/A</v>
        <stp/>
        <stp>BDH|11878559251090802712</stp>
        <tr r="E9" s="4"/>
      </tp>
      <tp t="s">
        <v>#N/A N/A</v>
        <stp/>
        <stp>BDH|13774676351731619725</stp>
        <tr r="M26" s="4"/>
      </tp>
      <tp t="s">
        <v>#N/A N/A</v>
        <stp/>
        <stp>BDH|12266550410374122437</stp>
        <tr r="T20" s="4"/>
      </tp>
      <tp t="s">
        <v>#N/A N/A</v>
        <stp/>
        <stp>BDH|10628551179113642790</stp>
        <tr r="S6" s="4"/>
      </tp>
      <tp t="s">
        <v>#N/A N/A</v>
        <stp/>
        <stp>BDH|10911099030447271260</stp>
        <tr r="H24" s="4"/>
      </tp>
      <tp t="s">
        <v>#N/A N/A</v>
        <stp/>
        <stp>BDH|13149262136131789525</stp>
        <tr r="AG16" s="4"/>
      </tp>
      <tp t="s">
        <v>#N/A N/A</v>
        <stp/>
        <stp>BDH|12105629237458478945</stp>
        <tr r="AG8" s="2"/>
      </tp>
      <tp t="s">
        <v>#N/A N/A</v>
        <stp/>
        <stp>BDH|11585523024458699813</stp>
        <tr r="Z20" s="4"/>
      </tp>
      <tp t="s">
        <v>#N/A N/A</v>
        <stp/>
        <stp>BDH|14687831085897728536</stp>
        <tr r="C20" s="2"/>
      </tp>
      <tp t="s">
        <v>#N/A N/A</v>
        <stp/>
        <stp>BDH|11110180247832158085</stp>
        <tr r="Z8" s="4"/>
      </tp>
      <tp t="s">
        <v>#N/A N/A</v>
        <stp/>
        <stp>BDH|17783977927923292920</stp>
        <tr r="W24" s="2"/>
      </tp>
      <tp t="s">
        <v>#N/A N/A</v>
        <stp/>
        <stp>BDH|12151277449881828304</stp>
        <tr r="AA18" s="4"/>
      </tp>
      <tp t="s">
        <v>#N/A N/A</v>
        <stp/>
        <stp>BDH|11911080457497601576</stp>
        <tr r="H30" s="2"/>
      </tp>
      <tp t="s">
        <v>#N/A N/A</v>
        <stp/>
        <stp>BDH|15266500674681071005</stp>
        <tr r="O27" s="2"/>
      </tp>
      <tp t="s">
        <v>#N/A N/A</v>
        <stp/>
        <stp>BDH|12344742423144735554</stp>
        <tr r="AH13" s="4"/>
      </tp>
      <tp t="s">
        <v>#N/A N/A</v>
        <stp/>
        <stp>BDH|15071336224375076715</stp>
        <tr r="X26" s="4"/>
      </tp>
      <tp t="s">
        <v>#N/A N/A</v>
        <stp/>
        <stp>BDH|11063681456864381048</stp>
        <tr r="K30" s="2"/>
      </tp>
      <tp t="s">
        <v>#N/A N/A</v>
        <stp/>
        <stp>BDH|14702718627156183194</stp>
        <tr r="AI9" s="2"/>
      </tp>
      <tp t="s">
        <v>#N/A N/A</v>
        <stp/>
        <stp>BDH|14189742081768952552</stp>
        <tr r="P13" s="2"/>
      </tp>
      <tp t="s">
        <v>#N/A N/A</v>
        <stp/>
        <stp>BDH|12557226833573970652</stp>
        <tr r="AN25" s="2"/>
      </tp>
      <tp t="s">
        <v>#N/A N/A</v>
        <stp/>
        <stp>BDH|10616862345788564286</stp>
        <tr r="AB27" s="2"/>
      </tp>
      <tp t="s">
        <v>#N/A N/A</v>
        <stp/>
        <stp>BDH|13288455122696963578</stp>
        <tr r="F26" s="4"/>
      </tp>
      <tp t="s">
        <v>#N/A N/A</v>
        <stp/>
        <stp>BDH|14071064978527068255</stp>
        <tr r="N8" s="2"/>
      </tp>
      <tp t="s">
        <v>#N/A N/A</v>
        <stp/>
        <stp>BDH|12304078259981712002</stp>
        <tr r="V14" s="4"/>
      </tp>
      <tp t="s">
        <v>#N/A N/A</v>
        <stp/>
        <stp>BDH|15320803839570926897</stp>
        <tr r="I24" s="2"/>
      </tp>
      <tp t="s">
        <v>#N/A N/A</v>
        <stp/>
        <stp>BDH|17612098496240685854</stp>
        <tr r="H9" s="4"/>
      </tp>
      <tp t="s">
        <v>#N/A N/A</v>
        <stp/>
        <stp>BDH|11242146865877644780</stp>
        <tr r="AA22" s="2"/>
      </tp>
      <tp t="s">
        <v>#N/A N/A</v>
        <stp/>
        <stp>BDH|12912611235649811889</stp>
        <tr r="Q7" s="2"/>
      </tp>
      <tp t="s">
        <v>#N/A N/A</v>
        <stp/>
        <stp>BDH|14550921949719048639</stp>
        <tr r="D10" s="2"/>
      </tp>
      <tp t="s">
        <v>#N/A N/A</v>
        <stp/>
        <stp>BDH|13387638613063992175</stp>
        <tr r="O10" s="4"/>
      </tp>
      <tp t="s">
        <v>#N/A N/A</v>
        <stp/>
        <stp>BDH|15772104958934409368</stp>
        <tr r="H26" s="4"/>
      </tp>
      <tp t="s">
        <v>#N/A N/A</v>
        <stp/>
        <stp>BDH|10877573837005367563</stp>
        <tr r="AK24" s="2"/>
      </tp>
      <tp t="s">
        <v>#N/A N/A</v>
        <stp/>
        <stp>BDH|15461436375054608497</stp>
        <tr r="U8" s="2"/>
      </tp>
      <tp t="s">
        <v>#N/A N/A</v>
        <stp/>
        <stp>BDH|17980599919403259667</stp>
        <tr r="AK13" s="2"/>
      </tp>
      <tp t="s">
        <v>#N/A N/A</v>
        <stp/>
        <stp>BDH|16509317440266878117</stp>
        <tr r="L20" s="4"/>
      </tp>
      <tp t="s">
        <v>#N/A N/A</v>
        <stp/>
        <stp>BDH|14699369142377742298</stp>
        <tr r="D8" s="4"/>
      </tp>
      <tp t="s">
        <v>#N/A N/A</v>
        <stp/>
        <stp>BDH|13161897520716747932</stp>
        <tr r="M26" s="2"/>
      </tp>
      <tp t="s">
        <v>#N/A N/A</v>
        <stp/>
        <stp>BDH|14557071206897928525</stp>
        <tr r="AG23" s="2"/>
      </tp>
      <tp t="s">
        <v>#N/A N/A</v>
        <stp/>
        <stp>BDH|10520029266733833363</stp>
        <tr r="H21" s="4"/>
      </tp>
      <tp t="s">
        <v>#N/A N/A</v>
        <stp/>
        <stp>BDH|11910730646410280407</stp>
        <tr r="C8" s="4"/>
      </tp>
      <tp t="s">
        <v>#N/A N/A</v>
        <stp/>
        <stp>BDH|17670416929721407646</stp>
        <tr r="N24" s="2"/>
      </tp>
      <tp t="s">
        <v>#N/A N/A</v>
        <stp/>
        <stp>BDP|13485171506502352785</stp>
        <tr r="AA19" s="3"/>
      </tp>
      <tp t="s">
        <v>#N/A N/A</v>
        <stp/>
        <stp>BDP|13259250394119141663</stp>
        <tr r="G20" s="3"/>
      </tp>
      <tp t="s">
        <v>#N/A N/A</v>
        <stp/>
        <stp>BDP|15705078213705536608</stp>
        <tr r="AO20" s="3"/>
      </tp>
      <tp t="s">
        <v>#N/A N/A</v>
        <stp/>
        <stp>BDH|14838751877277246490</stp>
        <tr r="J25" s="2"/>
      </tp>
      <tp t="s">
        <v>#N/A N/A</v>
        <stp/>
        <stp>BDH|10477577501292791050</stp>
        <tr r="AE26" s="2"/>
      </tp>
      <tp t="s">
        <v>#N/A N/A</v>
        <stp/>
        <stp>BDH|14101139307647586500</stp>
        <tr r="AB9" s="4"/>
      </tp>
      <tp t="s">
        <v>#N/A N/A</v>
        <stp/>
        <stp>BDH|12252791121372926232</stp>
        <tr r="G21" s="4"/>
      </tp>
      <tp t="s">
        <v>#N/A N/A</v>
        <stp/>
        <stp>BDH|10858378029636675035</stp>
        <tr r="L30" s="2"/>
      </tp>
      <tp t="s">
        <v>#N/A N/A</v>
        <stp/>
        <stp>BDH|16369557655985171417</stp>
        <tr r="AK20" s="2"/>
      </tp>
      <tp t="s">
        <v>#N/A N/A</v>
        <stp/>
        <stp>BDH|15761648416154624102</stp>
        <tr r="X23" s="2"/>
      </tp>
      <tp t="s">
        <v>#N/A N/A</v>
        <stp/>
        <stp>BDH|14279209444823364662</stp>
        <tr r="F16" s="4"/>
      </tp>
      <tp t="s">
        <v>#N/A N/A</v>
        <stp/>
        <stp>BDH|14428697616460052486</stp>
        <tr r="J27" s="2"/>
      </tp>
      <tp t="s">
        <v>#N/A N/A</v>
        <stp/>
        <stp>BDH|16368339896562027945</stp>
        <tr r="J30" s="2"/>
      </tp>
      <tp t="s">
        <v>#N/A N/A</v>
        <stp/>
        <stp>BDH|15083514171807743751</stp>
        <tr r="T13" s="4"/>
      </tp>
      <tp t="s">
        <v>#N/A N/A</v>
        <stp/>
        <stp>BDH|16486240260480100538</stp>
        <tr r="G25" s="2"/>
      </tp>
      <tp t="s">
        <v>#N/A N/A</v>
        <stp/>
        <stp>BDH|14123275804306195765</stp>
        <tr r="AM25" s="4"/>
      </tp>
      <tp t="s">
        <v>#N/A N/A</v>
        <stp/>
        <stp>BDH|17194585756582209284</stp>
        <tr r="AL18" s="4"/>
      </tp>
      <tp t="s">
        <v>#N/A N/A</v>
        <stp/>
        <stp>BDH|15068857685944036644</stp>
        <tr r="AA20" s="2"/>
      </tp>
      <tp t="s">
        <v>#N/A N/A</v>
        <stp/>
        <stp>BDH|10555281627071610689</stp>
        <tr r="AG22" s="2"/>
      </tp>
      <tp t="s">
        <v>#N/A N/A</v>
        <stp/>
        <stp>BDH|12368347419423104480</stp>
        <tr r="AL12" s="4"/>
      </tp>
      <tp t="s">
        <v>#N/A N/A</v>
        <stp/>
        <stp>BDH|17708223362354416045</stp>
        <tr r="E17" s="4"/>
      </tp>
      <tp t="s">
        <v>#N/A N/A</v>
        <stp/>
        <stp>BDH|18120404637880203822</stp>
        <tr r="AP27" s="2"/>
      </tp>
      <tp t="s">
        <v>#N/A N/A</v>
        <stp/>
        <stp>BDH|16189061181038978199</stp>
        <tr r="L21" s="4"/>
      </tp>
      <tp t="s">
        <v>#N/A N/A</v>
        <stp/>
        <stp>BDH|11275210931746339177</stp>
        <tr r="F10" s="4"/>
      </tp>
      <tp t="s">
        <v>#N/A N/A</v>
        <stp/>
        <stp>BDH|16316008379236441074</stp>
        <tr r="E27" s="2"/>
      </tp>
      <tp t="s">
        <v>#N/A N/A</v>
        <stp/>
        <stp>BDH|16677851791589264992</stp>
        <tr r="AL13" s="2"/>
      </tp>
      <tp t="s">
        <v>#N/A N/A</v>
        <stp/>
        <stp>BDH|11117241245993076381</stp>
        <tr r="AC6" s="4"/>
      </tp>
      <tp t="s">
        <v>#N/A N/A</v>
        <stp/>
        <stp>BDH|15835331370227474179</stp>
        <tr r="U9" s="2"/>
      </tp>
      <tp t="s">
        <v>#N/A N/A</v>
        <stp/>
        <stp>BDH|15114761157032863206</stp>
        <tr r="AN16" s="4"/>
      </tp>
      <tp t="s">
        <v>#N/A N/A</v>
        <stp/>
        <stp>BDH|16150427478062003035</stp>
        <tr r="Q10" s="2"/>
      </tp>
      <tp t="s">
        <v>#N/A N/A</v>
        <stp/>
        <stp>BDH|16135292464332255761</stp>
        <tr r="AH13" s="2"/>
      </tp>
      <tp t="s">
        <v>#N/A N/A</v>
        <stp/>
        <stp>BDH|14991552263888554815</stp>
        <tr r="AC12" s="4"/>
      </tp>
      <tp t="s">
        <v>#N/A N/A</v>
        <stp/>
        <stp>BDH|17009902398759494979</stp>
        <tr r="AG26" s="4"/>
      </tp>
      <tp t="s">
        <v>#N/A N/A</v>
        <stp/>
        <stp>BDH|11685304257437205794</stp>
        <tr r="AC9" s="2"/>
      </tp>
      <tp t="s">
        <v>#N/A N/A</v>
        <stp/>
        <stp>BDH|12073569227652370088</stp>
        <tr r="D21" s="4"/>
      </tp>
      <tp t="s">
        <v>#N/A N/A</v>
        <stp/>
        <stp>BDH|15911368913806738668</stp>
        <tr r="W32" s="2"/>
      </tp>
      <tp t="s">
        <v>#N/A N/A</v>
        <stp/>
        <stp>BDH|15286886091291323253</stp>
        <tr r="T30" s="2"/>
      </tp>
      <tp t="s">
        <v>#N/A N/A</v>
        <stp/>
        <stp>BDH|10302582179443702687</stp>
        <tr r="AH22" s="4"/>
      </tp>
      <tp t="s">
        <v>#N/A N/A</v>
        <stp/>
        <stp>BDH|10519589982638626249</stp>
        <tr r="S24" s="4"/>
      </tp>
      <tp t="s">
        <v>#N/A N/A</v>
        <stp/>
        <stp>BDH|11719285220563290518</stp>
        <tr r="V22" s="4"/>
      </tp>
      <tp t="s">
        <v>#N/A N/A</v>
        <stp/>
        <stp>BDH|11893827623589290572</stp>
        <tr r="AM8" s="2"/>
      </tp>
      <tp t="s">
        <v>#N/A N/A</v>
        <stp/>
        <stp>BDH|15238055248896108029</stp>
        <tr r="Q24" s="4"/>
      </tp>
      <tp t="s">
        <v>#N/A N/A</v>
        <stp/>
        <stp>BDH|12514707207803914178</stp>
        <tr r="G14" s="4"/>
      </tp>
      <tp t="s">
        <v>#N/A N/A</v>
        <stp/>
        <stp>BDH|15517402466185815575</stp>
        <tr r="AO18" s="4"/>
      </tp>
      <tp t="s">
        <v>#N/A N/A</v>
        <stp/>
        <stp>BDH|10213095454100131222</stp>
        <tr r="J7" s="4"/>
      </tp>
      <tp t="s">
        <v>#N/A N/A</v>
        <stp/>
        <stp>BDH|15891155678271246580</stp>
        <tr r="AB22" s="4"/>
      </tp>
      <tp t="s">
        <v>#N/A N/A</v>
        <stp/>
        <stp>BDH|17459106961390372793</stp>
        <tr r="K31" s="2"/>
      </tp>
      <tp t="s">
        <v>#N/A N/A</v>
        <stp/>
        <stp>BDH|11656297083165206905</stp>
        <tr r="J6" s="4"/>
      </tp>
    </main>
    <main first="bofaddin.rtdserver">
      <tp t="s">
        <v>#N/A N/A</v>
        <stp/>
        <stp>BDP|10420070258684126534</stp>
        <tr r="AF24" s="3"/>
      </tp>
      <tp t="s">
        <v>#N/A N/A</v>
        <stp/>
        <stp>BDP|15367006223395125693</stp>
        <tr r="AI19" s="3"/>
      </tp>
      <tp t="s">
        <v>#N/A N/A</v>
        <stp/>
        <stp>BDP|17480198722635129563</stp>
        <tr r="K24" s="3"/>
      </tp>
      <tp t="s">
        <v>#N/A N/A</v>
        <stp/>
        <stp>BDP|15606117757634141134</stp>
        <tr r="AM23" s="3"/>
      </tp>
      <tp t="s">
        <v>#N/A N/A</v>
        <stp/>
        <stp>BDP|16274494618386289142</stp>
        <tr r="L9" s="3"/>
      </tp>
      <tp t="s">
        <v>#N/A N/A</v>
        <stp/>
        <stp>BDP|12588738401058112930</stp>
        <tr r="O24" s="3"/>
      </tp>
      <tp t="s">
        <v>#N/A N/A</v>
        <stp/>
        <stp>BDP|15612075102482625307</stp>
        <tr r="AN20" s="3"/>
      </tp>
      <tp t="s">
        <v>#N/A N/A</v>
        <stp/>
        <stp>BDP|14828566681374292998</stp>
        <tr r="Z17" s="3"/>
      </tp>
      <tp t="s">
        <v>#N/A N/A</v>
        <stp/>
        <stp>BDP|17733618430933343521</stp>
        <tr r="AP19" s="3"/>
      </tp>
      <tp t="s">
        <v>#N/A N/A</v>
        <stp/>
        <stp>BDH|13214629124027464415</stp>
        <tr r="AA16" s="4"/>
      </tp>
      <tp t="s">
        <v>#N/A N/A</v>
        <stp/>
        <stp>BDH|12981909998010386634</stp>
        <tr r="X10" s="4"/>
      </tp>
      <tp t="s">
        <v>#N/A N/A</v>
        <stp/>
        <stp>BDH|10280632780662099808</stp>
        <tr r="AA12" s="4"/>
      </tp>
      <tp t="s">
        <v>#N/A N/A</v>
        <stp/>
        <stp>BDH|17339753446405913587</stp>
        <tr r="AA24" s="2"/>
      </tp>
      <tp t="s">
        <v>#N/A N/A</v>
        <stp/>
        <stp>BDH|13599051502724464360</stp>
        <tr r="R23" s="2"/>
      </tp>
      <tp t="s">
        <v>#N/A N/A</v>
        <stp/>
        <stp>BDH|12013399039425012304</stp>
        <tr r="K8" s="2"/>
      </tp>
      <tp t="s">
        <v>#N/A N/A</v>
        <stp/>
        <stp>BDH|17890468468381684009</stp>
        <tr r="U20" s="2"/>
      </tp>
      <tp t="s">
        <v>#N/A N/A</v>
        <stp/>
        <stp>BDH|18062488289933958384</stp>
        <tr r="G30" s="2"/>
      </tp>
      <tp t="s">
        <v>#N/A N/A</v>
        <stp/>
        <stp>BDH|12863405723781003189</stp>
        <tr r="H13" s="2"/>
      </tp>
      <tp t="s">
        <v>#N/A N/A</v>
        <stp/>
        <stp>BDH|10896952961988625393</stp>
        <tr r="R26" s="2"/>
      </tp>
      <tp t="s">
        <v>#N/A N/A</v>
        <stp/>
        <stp>BDH|14955601656206463599</stp>
        <tr r="Y22" s="4"/>
      </tp>
      <tp t="s">
        <v>#N/A N/A</v>
        <stp/>
        <stp>BDH|14592247237275216463</stp>
        <tr r="AO7" s="2"/>
      </tp>
      <tp t="s">
        <v>#N/A N/A</v>
        <stp/>
        <stp>BDH|15027894599743585377</stp>
        <tr r="AA6" s="4"/>
      </tp>
      <tp t="s">
        <v>#N/A N/A</v>
        <stp/>
        <stp>BDH|10614719897662483864</stp>
        <tr r="Q20" s="4"/>
      </tp>
      <tp t="s">
        <v>#N/A N/A</v>
        <stp/>
        <stp>BDH|18336135528258804725</stp>
        <tr r="L7" s="4"/>
      </tp>
      <tp t="s">
        <v>#N/A N/A</v>
        <stp/>
        <stp>BDH|12387156107212383500</stp>
        <tr r="T26" s="2"/>
      </tp>
      <tp t="s">
        <v>#N/A N/A</v>
        <stp/>
        <stp>BDH|13969792437360685348</stp>
        <tr r="U22" s="2"/>
      </tp>
      <tp t="s">
        <v>#N/A N/A</v>
        <stp/>
        <stp>BDH|12380430460501581518</stp>
        <tr r="M14" s="4"/>
      </tp>
      <tp t="s">
        <v>#N/A N/A</v>
        <stp/>
        <stp>BDH|15962027331865691785</stp>
        <tr r="X25" s="2"/>
      </tp>
      <tp t="s">
        <v>#N/A N/A</v>
        <stp/>
        <stp>BDH|11793061085798103525</stp>
        <tr r="AG7" s="2"/>
      </tp>
      <tp t="s">
        <v>#N/A N/A</v>
        <stp/>
        <stp>BDH|17713619243343269200</stp>
        <tr r="AO32" s="2"/>
      </tp>
      <tp t="s">
        <v>#N/A N/A</v>
        <stp/>
        <stp>BDH|17725094390233082984</stp>
        <tr r="F25" s="2"/>
      </tp>
      <tp t="s">
        <v>#N/A N/A</v>
        <stp/>
        <stp>BDH|13976663661121860605</stp>
        <tr r="K25" s="4"/>
      </tp>
      <tp t="s">
        <v>#N/A N/A</v>
        <stp/>
        <stp>BDH|13980600149706879317</stp>
        <tr r="AF26" s="2"/>
      </tp>
      <tp t="s">
        <v>#N/A N/A</v>
        <stp/>
        <stp>BDH|12768155642953926008</stp>
        <tr r="Q8" s="2"/>
      </tp>
      <tp t="s">
        <v>#N/A N/A</v>
        <stp/>
        <stp>BDH|13176806099667159105</stp>
        <tr r="Z25" s="4"/>
      </tp>
      <tp t="s">
        <v>#N/A N/A</v>
        <stp/>
        <stp>BDH|14447124254621266595</stp>
        <tr r="O7" s="4"/>
      </tp>
      <tp t="s">
        <v>#N/A N/A</v>
        <stp/>
        <stp>BDH|17787305375635242287</stp>
        <tr r="D24" s="4"/>
      </tp>
      <tp t="s">
        <v>#N/A N/A</v>
        <stp/>
        <stp>BDH|13769748555493976673</stp>
        <tr r="V20" s="4"/>
      </tp>
      <tp t="s">
        <v>#N/A N/A</v>
        <stp/>
        <stp>BDH|15110473964926023590</stp>
        <tr r="S7" s="4"/>
      </tp>
      <tp t="s">
        <v>#N/A N/A</v>
        <stp/>
        <stp>BDH|12343674600659754982</stp>
        <tr r="I32" s="2"/>
      </tp>
      <tp t="s">
        <v>#N/A N/A</v>
        <stp/>
        <stp>BDH|16961294600325876533</stp>
        <tr r="D13" s="4"/>
      </tp>
      <tp t="s">
        <v>#N/A N/A</v>
        <stp/>
        <stp>BDH|16205070158190236759</stp>
        <tr r="AF24" s="2"/>
      </tp>
      <tp t="s">
        <v>#N/A N/A</v>
        <stp/>
        <stp>BDH|15557420808192651730</stp>
        <tr r="J14" s="4"/>
      </tp>
      <tp t="s">
        <v>#N/A N/A</v>
        <stp/>
        <stp>BDH|12311020928820671458</stp>
        <tr r="AI8" s="4"/>
      </tp>
      <tp t="s">
        <v>#N/A N/A</v>
        <stp/>
        <stp>BDH|14901400311653261671</stp>
        <tr r="AP7" s="2"/>
      </tp>
      <tp t="s">
        <v>#N/A N/A</v>
        <stp/>
        <stp>BDH|14812547951092198206</stp>
        <tr r="AO14" s="4"/>
      </tp>
      <tp t="s">
        <v>#N/A N/A</v>
        <stp/>
        <stp>BDH|10519491976626523131</stp>
        <tr r="X10" s="2"/>
      </tp>
      <tp t="s">
        <v>#N/A N/A</v>
        <stp/>
        <stp>BDH|14704594222390106713</stp>
        <tr r="AO25" s="4"/>
      </tp>
      <tp t="s">
        <v>#N/A N/A</v>
        <stp/>
        <stp>BDH|12624597893738324234</stp>
        <tr r="AN27" s="2"/>
      </tp>
      <tp t="s">
        <v>#N/A N/A</v>
        <stp/>
        <stp>BDH|10464062039466312171</stp>
        <tr r="Q25" s="4"/>
      </tp>
      <tp t="s">
        <v>#N/A N/A</v>
        <stp/>
        <stp>BDH|14642877399223465230</stp>
        <tr r="AC10" s="4"/>
      </tp>
      <tp t="s">
        <v>#N/A N/A</v>
        <stp/>
        <stp>BDH|15287285637828004820</stp>
        <tr r="AF16" s="4"/>
      </tp>
      <tp t="s">
        <v>#N/A N/A</v>
        <stp/>
        <stp>BDH|12140956786224978358</stp>
        <tr r="AI26" s="4"/>
      </tp>
      <tp t="s">
        <v>#N/A N/A</v>
        <stp/>
        <stp>BDH|12383754229095778664</stp>
        <tr r="G22" s="2"/>
      </tp>
      <tp t="s">
        <v>#N/A N/A</v>
        <stp/>
        <stp>BDH|14890505543881021058</stp>
        <tr r="O26" s="2"/>
      </tp>
      <tp t="s">
        <v>#N/A N/A</v>
        <stp/>
        <stp>BDH|12358802613827873868</stp>
        <tr r="AM26" s="2"/>
      </tp>
      <tp t="s">
        <v>#N/A N/A</v>
        <stp/>
        <stp>BDH|12966761334283730121</stp>
        <tr r="AI31" s="2"/>
      </tp>
      <tp t="s">
        <v>#N/A N/A</v>
        <stp/>
        <stp>BDH|14989797555326897432</stp>
        <tr r="S22" s="4"/>
      </tp>
      <tp t="s">
        <v>#N/A N/A</v>
        <stp/>
        <stp>BDH|11198569049317039307</stp>
        <tr r="G8" s="2"/>
      </tp>
      <tp t="s">
        <v>#N/A N/A</v>
        <stp/>
        <stp>BDP|11404268396507934854</stp>
        <tr r="M23" s="3"/>
      </tp>
      <tp t="s">
        <v>#N/A N/A</v>
        <stp/>
        <stp>BDP|10424978698693132621</stp>
        <tr r="E17" s="3"/>
      </tp>
      <tp t="s">
        <v>#N/A N/A</v>
        <stp/>
        <stp>BDP|16817067882919372209</stp>
        <tr r="AA24" s="3"/>
      </tp>
      <tp t="s">
        <v>#N/A N/A</v>
        <stp/>
        <stp>BDP|11965621857402844554</stp>
        <tr r="P20" s="3"/>
      </tp>
      <tp t="s">
        <v>#N/A N/A</v>
        <stp/>
        <stp>BDP|10455503957651651459</stp>
        <tr r="O17" s="3"/>
      </tp>
      <tp t="s">
        <v>#N/A N/A</v>
        <stp/>
        <stp>BDP|10651219415231014718</stp>
        <tr r="M20" s="3"/>
      </tp>
      <tp t="s">
        <v>#N/A N/A</v>
        <stp/>
        <stp>BDP|17037874483380814298</stp>
        <tr r="Y17" s="3"/>
      </tp>
      <tp t="s">
        <v>#N/A N/A</v>
        <stp/>
        <stp>BDP|15937549034073599586</stp>
        <tr r="U17" s="3"/>
      </tp>
      <tp t="s">
        <v>#N/A N/A</v>
        <stp/>
        <stp>BDP|17269673734380045757</stp>
        <tr r="AF9" s="3"/>
      </tp>
      <tp t="s">
        <v>#N/A N/A</v>
        <stp/>
        <stp>BDP|18161539636939090223</stp>
        <tr r="I24" s="3"/>
      </tp>
      <tp t="s">
        <v>#N/A N/A</v>
        <stp/>
        <stp>BDH|17393621860283135115</stp>
        <tr r="AJ31" s="2"/>
      </tp>
      <tp t="s">
        <v>#N/A N/A</v>
        <stp/>
        <stp>BDH|15521787948471523212</stp>
        <tr r="T31" s="2"/>
      </tp>
      <tp t="s">
        <v>#N/A N/A</v>
        <stp/>
        <stp>BDH|10767773097798477322</stp>
        <tr r="K12" s="4"/>
      </tp>
      <tp t="s">
        <v>#N/A N/A</v>
        <stp/>
        <stp>BDH|16203176619997594482</stp>
        <tr r="Z22" s="4"/>
      </tp>
      <tp t="s">
        <v>#N/A N/A</v>
        <stp/>
        <stp>BDH|14082101543180765441</stp>
        <tr r="AM7" s="2"/>
      </tp>
      <tp t="s">
        <v>#N/A N/A</v>
        <stp/>
        <stp>BDH|12002413336843346342</stp>
        <tr r="AB17" s="4"/>
      </tp>
      <tp t="s">
        <v>#N/A N/A</v>
        <stp/>
        <stp>BDH|16185812007929452236</stp>
        <tr r="Q9" s="4"/>
      </tp>
      <tp t="s">
        <v>#N/A N/A</v>
        <stp/>
        <stp>BDH|16508102896643541867</stp>
        <tr r="Z13" s="2"/>
      </tp>
      <tp t="s">
        <v>#N/A N/A</v>
        <stp/>
        <stp>BDH|14347017401387762679</stp>
        <tr r="E18" s="4"/>
      </tp>
      <tp t="s">
        <v>#N/A N/A</v>
        <stp/>
        <stp>BDH|10193049144000479165</stp>
        <tr r="AM20" s="4"/>
      </tp>
      <tp t="s">
        <v>#N/A N/A</v>
        <stp/>
        <stp>BDH|10669923084963693751</stp>
        <tr r="AI10" s="2"/>
      </tp>
      <tp t="s">
        <v>#N/A N/A</v>
        <stp/>
        <stp>BDH|15667169003061620075</stp>
        <tr r="AF32" s="2"/>
      </tp>
      <tp t="s">
        <v>#N/A N/A</v>
        <stp/>
        <stp>BDH|18187844116177171302</stp>
        <tr r="C25" s="4"/>
      </tp>
      <tp t="s">
        <v>#N/A N/A</v>
        <stp/>
        <stp>BDH|16172346036041717260</stp>
        <tr r="AK21" s="4"/>
      </tp>
      <tp t="s">
        <v>#N/A N/A</v>
        <stp/>
        <stp>BDH|15561394052842370486</stp>
        <tr r="AC20" s="2"/>
      </tp>
      <tp t="s">
        <v>#N/A N/A</v>
        <stp/>
        <stp>BDH|14136434662286333569</stp>
        <tr r="E10" s="4"/>
      </tp>
      <tp t="s">
        <v>#N/A N/A</v>
        <stp/>
        <stp>BDH|13585262675585600651</stp>
        <tr r="E24" s="4"/>
      </tp>
      <tp t="s">
        <v>#N/A N/A</v>
        <stp/>
        <stp>BDH|14187729721274013071</stp>
        <tr r="AK32" s="2"/>
      </tp>
      <tp t="s">
        <v>#N/A N/A</v>
        <stp/>
        <stp>BDH|14679515945407635710</stp>
        <tr r="AB13" s="2"/>
      </tp>
      <tp t="s">
        <v>#N/A N/A</v>
        <stp/>
        <stp>BDH|16248574322104589067</stp>
        <tr r="M25" s="4"/>
      </tp>
      <tp t="s">
        <v>#N/A N/A</v>
        <stp/>
        <stp>BDH|13672227051006643779</stp>
        <tr r="AI20" s="4"/>
      </tp>
      <tp t="s">
        <v>#N/A N/A</v>
        <stp/>
        <stp>BDH|17949264267426543096</stp>
        <tr r="AK13" s="4"/>
      </tp>
      <tp t="s">
        <v>#N/A N/A</v>
        <stp/>
        <stp>BDH|12120435175471218516</stp>
        <tr r="S23" s="2"/>
      </tp>
      <tp t="s">
        <v>#N/A N/A</v>
        <stp/>
        <stp>BDH|11679546455933928792</stp>
        <tr r="AC31" s="2"/>
      </tp>
      <tp t="s">
        <v>#N/A N/A</v>
        <stp/>
        <stp>BDH|14526615971041262100</stp>
        <tr r="P17" s="4"/>
      </tp>
      <tp t="s">
        <v>#N/A N/A</v>
        <stp/>
        <stp>BDH|14862033469291217673</stp>
        <tr r="C24" s="4"/>
      </tp>
      <tp t="s">
        <v>#N/A N/A</v>
        <stp/>
        <stp>BDH|12188676095751056948</stp>
        <tr r="R21" s="4"/>
      </tp>
      <tp t="s">
        <v>#N/A N/A</v>
        <stp/>
        <stp>BDH|16141662870266481451</stp>
        <tr r="D27" s="2"/>
      </tp>
      <tp t="s">
        <v>#N/A N/A</v>
        <stp/>
        <stp>BDH|13233101745020263334</stp>
        <tr r="D22" s="4"/>
      </tp>
      <tp t="s">
        <v>#N/A N/A</v>
        <stp/>
        <stp>BDH|10289795272831912462</stp>
        <tr r="AD14" s="4"/>
      </tp>
      <tp t="s">
        <v>#N/A N/A</v>
        <stp/>
        <stp>BDH|17597112748562320561</stp>
        <tr r="M6" s="4"/>
      </tp>
      <tp t="s">
        <v>#N/A N/A</v>
        <stp/>
        <stp>BDH|13052174161860664192</stp>
        <tr r="E9" s="2"/>
      </tp>
      <tp t="s">
        <v>#N/A N/A</v>
        <stp/>
        <stp>BDH|13473190134305517155</stp>
        <tr r="AH25" s="2"/>
      </tp>
      <tp t="s">
        <v>#N/A N/A</v>
        <stp/>
        <stp>BDH|11640769338867535740</stp>
        <tr r="AC24" s="4"/>
      </tp>
      <tp t="s">
        <v>#N/A N/A</v>
        <stp/>
        <stp>BDH|10090312196286966964</stp>
        <tr r="K8" s="4"/>
      </tp>
      <tp t="s">
        <v>#N/A N/A</v>
        <stp/>
        <stp>BDH|16573988090807458411</stp>
        <tr r="C13" s="4"/>
      </tp>
      <tp t="s">
        <v>#N/A N/A</v>
        <stp/>
        <stp>BDH|13349995846413367872</stp>
        <tr r="K18" s="4"/>
      </tp>
      <tp t="s">
        <v>#N/A N/A</v>
        <stp/>
        <stp>BDH|16113148565890106491</stp>
        <tr r="AL10" s="2"/>
      </tp>
      <tp t="s">
        <v>#N/A N/A</v>
        <stp/>
        <stp>BDH|12507191462540536032</stp>
        <tr r="AO24" s="2"/>
      </tp>
      <tp t="s">
        <v>#N/A N/A</v>
        <stp/>
        <stp>BDH|10319486374524726239</stp>
        <tr r="AJ7" s="2"/>
      </tp>
      <tp t="s">
        <v>#N/A N/A</v>
        <stp/>
        <stp>BDH|12119148240212633088</stp>
        <tr r="AE20" s="2"/>
      </tp>
      <tp t="s">
        <v>#N/A N/A</v>
        <stp/>
        <stp>BDH|12173030233073926735</stp>
        <tr r="Z30" s="2"/>
      </tp>
      <tp t="s">
        <v>#N/A N/A</v>
        <stp/>
        <stp>BDH|15720796601572406507</stp>
        <tr r="P13" s="4"/>
      </tp>
      <tp t="s">
        <v>#N/A N/A</v>
        <stp/>
        <stp>BDH|14603974481080993033</stp>
        <tr r="C22" s="2"/>
      </tp>
      <tp t="s">
        <v>#N/A N/A</v>
        <stp/>
        <stp>BDH|12284390850938777962</stp>
        <tr r="J26" s="4"/>
      </tp>
      <tp t="s">
        <v>#N/A N/A</v>
        <stp/>
        <stp>BDH|10765899782691064410</stp>
        <tr r="AL14" s="4"/>
      </tp>
      <tp t="s">
        <v>#N/A N/A</v>
        <stp/>
        <stp>BDH|12640719835584681791</stp>
        <tr r="S16" s="4"/>
      </tp>
      <tp t="s">
        <v>#N/A N/A</v>
        <stp/>
        <stp>BDH|15855582078511107345</stp>
        <tr r="AF21" s="4"/>
      </tp>
      <tp t="s">
        <v>#N/A N/A</v>
        <stp/>
        <stp>BDH|15258016544562829622</stp>
        <tr r="J23" s="2"/>
      </tp>
      <tp t="s">
        <v>#N/A N/A</v>
        <stp/>
        <stp>BDH|12568337134775655284</stp>
        <tr r="M7" s="2"/>
      </tp>
      <tp t="s">
        <v>#N/A N/A</v>
        <stp/>
        <stp>BDH|17744283151154475165</stp>
        <tr r="C31" s="2"/>
      </tp>
      <tp t="s">
        <v>#N/A N/A</v>
        <stp/>
        <stp>BDH|11504781813543350122</stp>
        <tr r="Q30" s="2"/>
      </tp>
      <tp t="s">
        <v>#N/A N/A</v>
        <stp/>
        <stp>BDH|16574124838427796660</stp>
        <tr r="P22" s="4"/>
      </tp>
    </main>
    <main first="bofaddin.rtdserver">
      <tp t="s">
        <v>#N/A N/A</v>
        <stp/>
        <stp>BDH|1268667560135727893</stp>
        <tr r="V25" s="2"/>
      </tp>
      <tp t="s">
        <v>#N/A N/A</v>
        <stp/>
        <stp>BDH|8537035059587322668</stp>
        <tr r="AH24" s="2"/>
      </tp>
      <tp t="s">
        <v>#N/A N/A</v>
        <stp/>
        <stp>BDH|2336932656463958158</stp>
        <tr r="M31" s="2"/>
      </tp>
      <tp t="s">
        <v>#N/A N/A</v>
        <stp/>
        <stp>BDH|6720459963479902124</stp>
        <tr r="E6" s="4"/>
      </tp>
      <tp t="s">
        <v>#N/A N/A</v>
        <stp/>
        <stp>BDH|5954007075068716619</stp>
        <tr r="AM10" s="2"/>
      </tp>
      <tp t="s">
        <v>#N/A N/A</v>
        <stp/>
        <stp>BDH|7671332844214911828</stp>
        <tr r="D9" s="2"/>
      </tp>
      <tp t="s">
        <v>#N/A N/A</v>
        <stp/>
        <stp>BDH|6594346105710773989</stp>
        <tr r="AN10" s="4"/>
      </tp>
      <tp t="s">
        <v>#N/A N/A</v>
        <stp/>
        <stp>BDH|3712327429128081672</stp>
        <tr r="S24" s="2"/>
      </tp>
      <tp t="s">
        <v>#N/A N/A</v>
        <stp/>
        <stp>BDH|8920963136147586945</stp>
        <tr r="N22" s="2"/>
      </tp>
      <tp t="s">
        <v>#N/A N/A</v>
        <stp/>
        <stp>BDP|2656499098124827765</stp>
        <tr r="T20" s="3"/>
      </tp>
      <tp t="s">
        <v>#N/A N/A</v>
        <stp/>
        <stp>BDP|6058671622946912852</stp>
        <tr r="R23" s="3"/>
      </tp>
      <tp t="s">
        <v>#N/A N/A</v>
        <stp/>
        <stp>BDH|8361635389472656810</stp>
        <tr r="E22" s="4"/>
      </tp>
      <tp t="s">
        <v>#N/A N/A</v>
        <stp/>
        <stp>BDH|6876547683075903289</stp>
        <tr r="AL7" s="2"/>
      </tp>
      <tp t="s">
        <v>#N/A N/A</v>
        <stp/>
        <stp>BDH|1338002183036784390</stp>
        <tr r="C24" s="2"/>
      </tp>
      <tp t="s">
        <v>#N/A N/A</v>
        <stp/>
        <stp>BDH|5006240259908373614</stp>
        <tr r="AF7" s="4"/>
      </tp>
      <tp t="s">
        <v>#N/A N/A</v>
        <stp/>
        <stp>BDH|1679377698767753018</stp>
        <tr r="K10" s="4"/>
      </tp>
      <tp t="s">
        <v>#N/A N/A</v>
        <stp/>
        <stp>BDP|5555117629043906989</stp>
        <tr r="AB24" s="3"/>
      </tp>
      <tp t="s">
        <v>#N/A N/A</v>
        <stp/>
        <stp>BDH|2676667696033851228</stp>
        <tr r="AF14" s="4"/>
      </tp>
      <tp t="s">
        <v>#N/A N/A</v>
        <stp/>
        <stp>BDH|3680179985575814308</stp>
        <tr r="F9" s="2"/>
      </tp>
      <tp t="s">
        <v>#N/A N/A</v>
        <stp/>
        <stp>BDH|7708186744797774910</stp>
        <tr r="AB18" s="4"/>
      </tp>
      <tp t="s">
        <v>#N/A N/A</v>
        <stp/>
        <stp>BDH|7449809871815973114</stp>
        <tr r="V10" s="2"/>
      </tp>
      <tp t="s">
        <v>#N/A N/A</v>
        <stp/>
        <stp>BDH|8288455269961794745</stp>
        <tr r="AB32" s="2"/>
      </tp>
      <tp t="s">
        <v>#N/A N/A</v>
        <stp/>
        <stp>BDH|9620806764339265220</stp>
        <tr r="AF9" s="2"/>
      </tp>
      <tp t="s">
        <v>#N/A N/A</v>
        <stp/>
        <stp>BDP|9372691429299333831</stp>
        <tr r="AF19" s="3"/>
      </tp>
      <tp t="s">
        <v>#N/A N/A</v>
        <stp/>
        <stp>BDH|3382062385056095139</stp>
        <tr r="Q7" s="4"/>
      </tp>
      <tp t="s">
        <v>#N/A N/A</v>
        <stp/>
        <stp>BDH|9081636563806286314</stp>
        <tr r="H17" s="4"/>
      </tp>
      <tp t="s">
        <v>#N/A N/A</v>
        <stp/>
        <stp>BDP|7027328394905178472</stp>
        <tr r="T17" s="3"/>
      </tp>
      <tp t="s">
        <v>#N/A N/A</v>
        <stp/>
        <stp>BDH|7782827547326183132</stp>
        <tr r="Q23" s="2"/>
      </tp>
      <tp t="s">
        <v>#N/A N/A</v>
        <stp/>
        <stp>BDH|4597831456072820797</stp>
        <tr r="AL13" s="4"/>
      </tp>
      <tp t="s">
        <v>#N/A N/A</v>
        <stp/>
        <stp>BDH|6828070786452997013</stp>
        <tr r="M10" s="4"/>
      </tp>
      <tp t="s">
        <v>#N/A N/A</v>
        <stp/>
        <stp>BDP|4309800014792353325</stp>
        <tr r="Y23" s="3"/>
      </tp>
      <tp t="s">
        <v>#N/A N/A</v>
        <stp/>
        <stp>BDH|6044969380552661963</stp>
        <tr r="V7" s="2"/>
      </tp>
      <tp t="s">
        <v>#N/A N/A</v>
        <stp/>
        <stp>BDH|4145626727395160926</stp>
        <tr r="AN24" s="4"/>
      </tp>
      <tp t="s">
        <v>#N/A N/A</v>
        <stp/>
        <stp>BDH|5984733858969163243</stp>
        <tr r="F12" s="4"/>
      </tp>
      <tp t="s">
        <v>#N/A N/A</v>
        <stp/>
        <stp>BDH|9343064127566645138</stp>
        <tr r="E30" s="2"/>
      </tp>
      <tp t="s">
        <v>#N/A N/A</v>
        <stp/>
        <stp>BDH|8710659389852988851</stp>
        <tr r="W26" s="4"/>
      </tp>
      <tp t="s">
        <v>#N/A N/A</v>
        <stp/>
        <stp>BDP|1541646906903269812</stp>
        <tr r="AE23" s="3"/>
      </tp>
      <tp t="s">
        <v>#N/A N/A</v>
        <stp/>
        <stp>BDH|2797949237192320631</stp>
        <tr r="AE23" s="2"/>
      </tp>
      <tp t="s">
        <v>#N/A N/A</v>
        <stp/>
        <stp>BDH|2137723933253505917</stp>
        <tr r="I21" s="4"/>
      </tp>
      <tp t="s">
        <v>#N/A N/A</v>
        <stp/>
        <stp>BDH|3715930634694798138</stp>
        <tr r="H22" s="2"/>
      </tp>
      <tp t="s">
        <v>#N/A N/A</v>
        <stp/>
        <stp>BDH|4939888078851444682</stp>
        <tr r="W22" s="4"/>
      </tp>
      <tp t="s">
        <v>#N/A N/A</v>
        <stp/>
        <stp>BDH|1984852813761809529</stp>
        <tr r="C8" s="2"/>
      </tp>
      <tp t="s">
        <v>#N/A N/A</v>
        <stp/>
        <stp>BDH|3170903301972637437</stp>
        <tr r="AP7" s="4"/>
      </tp>
      <tp t="s">
        <v>#N/A N/A</v>
        <stp/>
        <stp>BDH|87730060983188329</stp>
        <tr r="W10" s="4"/>
      </tp>
      <tp t="s">
        <v>#N/A N/A</v>
        <stp/>
        <stp>BDH|9912504102463460250</stp>
        <tr r="U26" s="4"/>
      </tp>
      <tp t="s">
        <v>#N/A N/A</v>
        <stp/>
        <stp>BDH|7867170655748588656</stp>
        <tr r="D25" s="4"/>
      </tp>
      <tp t="s">
        <v>#N/A N/A</v>
        <stp/>
        <stp>BDP|2785315350928862153</stp>
        <tr r="M24" s="3"/>
      </tp>
      <tp t="s">
        <v>#N/A N/A</v>
        <stp/>
        <stp>BDH|8568740388552702853</stp>
        <tr r="N10" s="2"/>
      </tp>
      <tp t="s">
        <v>#N/A N/A</v>
        <stp/>
        <stp>BDH|2643124549168719213</stp>
        <tr r="AO23" s="2"/>
      </tp>
      <tp t="s">
        <v>#N/A N/A</v>
        <stp/>
        <stp>BDH|3852740804599166023</stp>
        <tr r="Z26" s="2"/>
      </tp>
      <tp t="s">
        <v>#N/A N/A</v>
        <stp/>
        <stp>BDH|2092260494887149381</stp>
        <tr r="AO30" s="2"/>
      </tp>
      <tp t="s">
        <v>#N/A N/A</v>
        <stp/>
        <stp>BDH|3465705589878291948</stp>
        <tr r="Q21" s="4"/>
      </tp>
      <tp t="s">
        <v>#N/A N/A</v>
        <stp/>
        <stp>BDH|6464216884391033090</stp>
        <tr r="R20" s="2"/>
      </tp>
      <tp t="s">
        <v>#N/A N/A</v>
        <stp/>
        <stp>BDP|1567938969512126175</stp>
        <tr r="C19" s="3"/>
      </tp>
      <tp t="s">
        <v>#N/A N/A</v>
        <stp/>
        <stp>BDH|6948236230772035836</stp>
        <tr r="L25" s="2"/>
      </tp>
      <tp t="s">
        <v>#N/A N/A</v>
        <stp/>
        <stp>BDH|6126083782485773657</stp>
        <tr r="I14" s="4"/>
      </tp>
      <tp t="s">
        <v>#N/A N/A</v>
        <stp/>
        <stp>BDH|7482078359938382707</stp>
        <tr r="AN7" s="2"/>
      </tp>
      <tp t="s">
        <v>#N/A N/A</v>
        <stp/>
        <stp>BDH|2599166498313255402</stp>
        <tr r="U12" s="4"/>
      </tp>
      <tp t="s">
        <v>#N/A N/A</v>
        <stp/>
        <stp>BDH|7952812047926748010</stp>
        <tr r="AC32" s="2"/>
      </tp>
      <tp t="s">
        <v>#N/A N/A</v>
        <stp/>
        <stp>BDH|3536779691177807726</stp>
        <tr r="J18" s="4"/>
      </tp>
      <tp t="s">
        <v>#N/A N/A</v>
        <stp/>
        <stp>BDH|6830319437583023870</stp>
        <tr r="AA10" s="4"/>
      </tp>
      <tp t="s">
        <v>#N/A N/A</v>
        <stp/>
        <stp>BDH|9994469744735509102</stp>
        <tr r="AK9" s="2"/>
      </tp>
      <tp t="s">
        <v>#N/A N/A</v>
        <stp/>
        <stp>BDH|7670892183189299318</stp>
        <tr r="AE27" s="2"/>
      </tp>
      <tp t="s">
        <v>#N/A N/A</v>
        <stp/>
        <stp>BDH|4903201562014183953</stp>
        <tr r="W6" s="4"/>
      </tp>
      <tp t="s">
        <v>#N/A N/A</v>
        <stp/>
        <stp>BDP|6572662159741031965</stp>
        <tr r="AF23" s="3"/>
      </tp>
      <tp t="s">
        <v>#N/A N/A</v>
        <stp/>
        <stp>BDH|3805221541261432934</stp>
        <tr r="S26" s="4"/>
      </tp>
      <tp t="s">
        <v>#N/A N/A</v>
        <stp/>
        <stp>BDH|7997456585351435712</stp>
        <tr r="AB24" s="4"/>
      </tp>
      <tp t="s">
        <v>#N/A N/A</v>
        <stp/>
        <stp>BDH|4011168755545912862</stp>
        <tr r="AB14" s="4"/>
      </tp>
      <tp t="s">
        <v>#N/A N/A</v>
        <stp/>
        <stp>BDH|7221065317823688898</stp>
        <tr r="R22" s="2"/>
      </tp>
      <tp t="s">
        <v>#N/A N/A</v>
        <stp/>
        <stp>BDH|9835013533754384346</stp>
        <tr r="Y24" s="2"/>
      </tp>
      <tp t="s">
        <v>#N/A N/A</v>
        <stp/>
        <stp>BDP|2372767885687000728</stp>
        <tr r="Z19" s="3"/>
      </tp>
      <tp t="s">
        <v>#N/A N/A</v>
        <stp/>
        <stp>BDP|6025357775637349810</stp>
        <tr r="W23" s="3"/>
      </tp>
      <tp t="s">
        <v>#N/A N/A</v>
        <stp/>
        <stp>BDH|5844492959390883926</stp>
        <tr r="Z14" s="4"/>
      </tp>
      <tp t="s">
        <v>#N/A N/A</v>
        <stp/>
        <stp>BDH|9910288500961625743</stp>
        <tr r="S10" s="4"/>
      </tp>
      <tp t="s">
        <v>#N/A N/A</v>
        <stp/>
        <stp>BDH|8582374138991140480</stp>
        <tr r="C26" s="4"/>
      </tp>
      <tp t="s">
        <v>#N/A N/A</v>
        <stp/>
        <stp>BDH|1571036297154269105</stp>
        <tr r="V26" s="2"/>
      </tp>
      <tp t="s">
        <v>#N/A N/A</v>
        <stp/>
        <stp>BDH|3276999342145341697</stp>
        <tr r="L26" s="2"/>
      </tp>
      <tp t="s">
        <v>#N/A N/A</v>
        <stp/>
        <stp>BDH|9514424702006400615</stp>
        <tr r="AF26" s="4"/>
      </tp>
      <tp t="s">
        <v>#N/A N/A</v>
        <stp/>
        <stp>BDH|9632360918434077287</stp>
        <tr r="T6" s="4"/>
      </tp>
      <tp t="s">
        <v>#N/A N/A</v>
        <stp/>
        <stp>BDH|8438409550293154752</stp>
        <tr r="AF20" s="4"/>
      </tp>
      <tp t="s">
        <v>#N/A N/A</v>
        <stp/>
        <stp>BDP|8029689347915700292</stp>
        <tr r="N9" s="3"/>
      </tp>
      <tp t="s">
        <v>#N/A N/A</v>
        <stp/>
        <stp>BDH|5632222457728629744</stp>
        <tr r="J9" s="2"/>
      </tp>
      <tp t="s">
        <v>#N/A N/A</v>
        <stp/>
        <stp>BDH|5903640569019458116</stp>
        <tr r="AN7" s="4"/>
      </tp>
      <tp t="s">
        <v>#N/A N/A</v>
        <stp/>
        <stp>BDH|2046376796506649313</stp>
        <tr r="N32" s="2"/>
      </tp>
      <tp t="s">
        <v>#N/A N/A</v>
        <stp/>
        <stp>BDH|9486038567394188679</stp>
        <tr r="S7" s="2"/>
      </tp>
      <tp t="s">
        <v>#N/A N/A</v>
        <stp/>
        <stp>BDH|7999161025789560091</stp>
        <tr r="AO31" s="2"/>
      </tp>
      <tp t="s">
        <v>#N/A N/A</v>
        <stp/>
        <stp>BDH|5963438190974485183</stp>
        <tr r="P26" s="2"/>
      </tp>
      <tp t="s">
        <v>#N/A N/A</v>
        <stp/>
        <stp>BDP|8915683823033692237</stp>
        <tr r="W19" s="3"/>
      </tp>
      <tp t="s">
        <v>#N/A N/A</v>
        <stp/>
        <stp>BDH|8035251460758341911</stp>
        <tr r="O20" s="4"/>
      </tp>
      <tp t="s">
        <v>#N/A N/A</v>
        <stp/>
        <stp>BDH|9026764426818059979</stp>
        <tr r="L10" s="2"/>
      </tp>
      <tp t="s">
        <v>#N/A N/A</v>
        <stp/>
        <stp>BDH|5906956220214989724</stp>
        <tr r="AG30" s="2"/>
      </tp>
      <tp t="s">
        <v>#N/A N/A</v>
        <stp/>
        <stp>BDH|3717271046550229839</stp>
        <tr r="AD9" s="2"/>
      </tp>
      <tp t="s">
        <v>#N/A N/A</v>
        <stp/>
        <stp>BDH|8612114040498470871</stp>
        <tr r="AO7" s="4"/>
      </tp>
      <tp t="s">
        <v>#N/A N/A</v>
        <stp/>
        <stp>BDH|3188638617601985886</stp>
        <tr r="M20" s="2"/>
      </tp>
      <tp t="s">
        <v>#N/A N/A</v>
        <stp/>
        <stp>BDP|8174574130626455578</stp>
        <tr r="X20" s="3"/>
      </tp>
      <tp t="s">
        <v>#N/A N/A</v>
        <stp/>
        <stp>BDH|6242318693270260178</stp>
        <tr r="AE25" s="2"/>
      </tp>
      <tp t="s">
        <v>#N/A N/A</v>
        <stp/>
        <stp>BDH|4034589654428069193</stp>
        <tr r="Y10" s="4"/>
      </tp>
      <tp t="s">
        <v>#N/A N/A</v>
        <stp/>
        <stp>BDH|1080083448861296970</stp>
        <tr r="V6" s="4"/>
      </tp>
      <tp t="s">
        <v>#N/A N/A</v>
        <stp/>
        <stp>BDH|5606535492040931759</stp>
        <tr r="U24" s="2"/>
      </tp>
      <tp t="s">
        <v>#N/A N/A</v>
        <stp/>
        <stp>BDH|6413369081186053582</stp>
        <tr r="AG12" s="4"/>
      </tp>
      <tp t="s">
        <v>#N/A N/A</v>
        <stp/>
        <stp>BDH|2332074689722166624</stp>
        <tr r="AG25" s="4"/>
      </tp>
      <tp t="s">
        <v>#N/A N/A</v>
        <stp/>
        <stp>BDH|7929204475755416962</stp>
        <tr r="I31" s="2"/>
      </tp>
      <tp t="s">
        <v>#N/A N/A</v>
        <stp/>
        <stp>BDH|1607926703813128588</stp>
        <tr r="L6" s="4"/>
      </tp>
      <tp t="s">
        <v>#N/A N/A</v>
        <stp/>
        <stp>BDH|2739614615783925844</stp>
        <tr r="O18" s="4"/>
      </tp>
      <tp t="s">
        <v>#N/A N/A</v>
        <stp/>
        <stp>BDH|4561426981011996700</stp>
        <tr r="AJ24" s="2"/>
      </tp>
      <tp t="s">
        <v>#N/A N/A</v>
        <stp/>
        <stp>BDP|1215817728466750301</stp>
        <tr r="P24" s="3"/>
      </tp>
      <tp t="s">
        <v>#N/A N/A</v>
        <stp/>
        <stp>BDH|5809664751339762144</stp>
        <tr r="J16" s="4"/>
      </tp>
      <tp t="s">
        <v>#N/A N/A</v>
        <stp/>
        <stp>BDH|9737141898238345748</stp>
        <tr r="I20" s="4"/>
      </tp>
      <tp t="s">
        <v>#N/A N/A</v>
        <stp/>
        <stp>BDP|5689825163855932034</stp>
        <tr r="S19" s="3"/>
      </tp>
      <tp t="s">
        <v>#N/A N/A</v>
        <stp/>
        <stp>BDH|2772855670361648294</stp>
        <tr r="D22" s="2"/>
      </tp>
      <tp t="s">
        <v>#N/A N/A</v>
        <stp/>
        <stp>BDH|5297716089786437238</stp>
        <tr r="AH9" s="4"/>
      </tp>
      <tp t="s">
        <v>#N/A N/A</v>
        <stp/>
        <stp>BDH|2840846758109032894</stp>
        <tr r="Y8" s="2"/>
      </tp>
      <tp t="s">
        <v>#N/A N/A</v>
        <stp/>
        <stp>BDH|8977793674677192187</stp>
        <tr r="AD22" s="4"/>
      </tp>
      <tp t="s">
        <v>#N/A N/A</v>
        <stp/>
        <stp>BDH|9760993878660420900</stp>
        <tr r="AC25" s="4"/>
      </tp>
      <tp t="s">
        <v>#N/A N/A</v>
        <stp/>
        <stp>BDH|1201909408723915516</stp>
        <tr r="AC22" s="2"/>
      </tp>
      <tp t="s">
        <v>#N/A N/A</v>
        <stp/>
        <stp>BDH|3556406082075744434</stp>
        <tr r="AI12" s="4"/>
      </tp>
      <tp t="s">
        <v>#N/A N/A</v>
        <stp/>
        <stp>BDH|3528762367989281558</stp>
        <tr r="AB13" s="4"/>
      </tp>
      <tp t="s">
        <v>#N/A N/A</v>
        <stp/>
        <stp>BDH|2492364857569776314</stp>
        <tr r="C9" s="2"/>
      </tp>
      <tp t="s">
        <v>#N/A N/A</v>
        <stp/>
        <stp>BDP|1143261237927046904</stp>
        <tr r="AP20" s="3"/>
      </tp>
      <tp t="s">
        <v>#N/A N/A</v>
        <stp/>
        <stp>BDP|2684993839526021069</stp>
        <tr r="AG24" s="3"/>
      </tp>
      <tp t="s">
        <v>#N/A N/A</v>
        <stp/>
        <stp>BDH|2781064825866714837</stp>
        <tr r="AA17" s="4"/>
      </tp>
      <tp t="s">
        <v>#N/A N/A</v>
        <stp/>
        <stp>BDH|5023306972376288908</stp>
        <tr r="C10" s="2"/>
      </tp>
      <tp t="s">
        <v>#N/A N/A</v>
        <stp/>
        <stp>BDH|3133150582777775315</stp>
        <tr r="AM12" s="4"/>
      </tp>
      <tp t="s">
        <v>#N/A N/A</v>
        <stp/>
        <stp>BDH|8999606207040819060</stp>
        <tr r="AG27" s="2"/>
      </tp>
      <tp t="s">
        <v>#N/A N/A</v>
        <stp/>
        <stp>BDH|8810247206894395082</stp>
        <tr r="O9" s="2"/>
      </tp>
      <tp t="s">
        <v>#N/A N/A</v>
        <stp/>
        <stp>BDP|9064046302627657067</stp>
        <tr r="Q23" s="3"/>
      </tp>
      <tp t="s">
        <v>#N/A N/A</v>
        <stp/>
        <stp>BDP|8914262316825786084</stp>
        <tr r="K9" s="3"/>
      </tp>
      <tp t="s">
        <v>#N/A N/A</v>
        <stp/>
        <stp>BDH|8161521923190428129</stp>
        <tr r="D16" s="4"/>
      </tp>
      <tp t="s">
        <v>#N/A N/A</v>
        <stp/>
        <stp>BDP|3081982335183964439</stp>
        <tr r="C23" s="3"/>
      </tp>
      <tp t="s">
        <v>#N/A N/A</v>
        <stp/>
        <stp>BDH|7946870419852801285</stp>
        <tr r="J10" s="4"/>
      </tp>
      <tp t="s">
        <v>#N/A N/A</v>
        <stp/>
        <stp>BDH|7085270296983239172</stp>
        <tr r="T22" s="4"/>
      </tp>
      <tp t="s">
        <v>#N/A N/A</v>
        <stp/>
        <stp>BDH|8054505061617045256</stp>
        <tr r="O7" s="2"/>
      </tp>
      <tp t="s">
        <v>#N/A N/A</v>
        <stp/>
        <stp>BDP|9703672361560578712</stp>
        <tr r="AP9" s="3"/>
      </tp>
      <tp t="s">
        <v>#N/A N/A</v>
        <stp/>
        <stp>BDH|6013240291821438240</stp>
        <tr r="AF13" s="4"/>
      </tp>
      <tp t="s">
        <v>#N/A N/A</v>
        <stp/>
        <stp>BDH|2154848236552062562</stp>
        <tr r="H25" s="2"/>
      </tp>
      <tp t="s">
        <v>#N/A N/A</v>
        <stp/>
        <stp>BDH|6819905306838814932</stp>
        <tr r="W17" s="4"/>
      </tp>
      <tp t="s">
        <v>#N/A N/A</v>
        <stp/>
        <stp>BDH|4853668397876353207</stp>
        <tr r="L22" s="4"/>
      </tp>
      <tp t="s">
        <v>#N/A N/A</v>
        <stp/>
        <stp>BDH|5406317414480902830</stp>
        <tr r="AO16" s="4"/>
      </tp>
      <tp t="s">
        <v>#N/A N/A</v>
        <stp/>
        <stp>BDH|8504665991849002198</stp>
        <tr r="AB26" s="4"/>
      </tp>
      <tp t="s">
        <v>#N/A N/A</v>
        <stp/>
        <stp>BDH|9045619739967519462</stp>
        <tr r="P10" s="4"/>
      </tp>
      <tp t="s">
        <v>#N/A N/A</v>
        <stp/>
        <stp>BDH|9269644117046387796</stp>
        <tr r="AJ25" s="2"/>
      </tp>
      <tp t="s">
        <v>#N/A N/A</v>
        <stp/>
        <stp>BDH|3621219098377571027</stp>
        <tr r="U14" s="4"/>
      </tp>
      <tp t="s">
        <v>#N/A N/A</v>
        <stp/>
        <stp>BDH|6776330211698434386</stp>
        <tr r="AC26" s="4"/>
      </tp>
      <tp t="s">
        <v>#N/A N/A</v>
        <stp/>
        <stp>BDH|3998881228135044304</stp>
        <tr r="X9" s="2"/>
      </tp>
      <tp t="s">
        <v>#N/A N/A</v>
        <stp/>
        <stp>BDH|1088794801061451851</stp>
        <tr r="AJ26" s="4"/>
      </tp>
      <tp t="s">
        <v>#N/A N/A</v>
        <stp/>
        <stp>BDH|5012844487613874951</stp>
        <tr r="W10" s="2"/>
      </tp>
      <tp t="s">
        <v>#N/A N/A</v>
        <stp/>
        <stp>BDH|1703010185294557283</stp>
        <tr r="X8" s="4"/>
      </tp>
      <tp t="s">
        <v>#N/A N/A</v>
        <stp/>
        <stp>BDH|6390090523228554327</stp>
        <tr r="AI10" s="4"/>
      </tp>
      <tp t="s">
        <v>#N/A N/A</v>
        <stp/>
        <stp>BDH|3157232838128403508</stp>
        <tr r="P7" s="4"/>
      </tp>
      <tp t="s">
        <v>#N/A N/A</v>
        <stp/>
        <stp>BDH|9478337103413267695</stp>
        <tr r="AC13" s="2"/>
      </tp>
      <tp t="s">
        <v>#N/A N/A</v>
        <stp/>
        <stp>BDH|8087970771290190988</stp>
        <tr r="W12" s="4"/>
      </tp>
      <tp t="s">
        <v>#N/A N/A</v>
        <stp/>
        <stp>BDH|9814109212676487019</stp>
        <tr r="AJ30" s="2"/>
      </tp>
      <tp t="s">
        <v>#N/A N/A</v>
        <stp/>
        <stp>BDH|2900773698917108484</stp>
        <tr r="U22" s="4"/>
      </tp>
      <tp t="s">
        <v>#N/A N/A</v>
        <stp/>
        <stp>BDP|9678893096245106249</stp>
        <tr r="AD17" s="3"/>
      </tp>
      <tp t="s">
        <v>#N/A N/A</v>
        <stp/>
        <stp>BDH|9048352226872945567</stp>
        <tr r="AO24" s="4"/>
      </tp>
      <tp t="s">
        <v>#N/A N/A</v>
        <stp/>
        <stp>BDP|2990042931656755866</stp>
        <tr r="U20" s="3"/>
      </tp>
      <tp t="s">
        <v>#N/A N/A</v>
        <stp/>
        <stp>BDH|6242251674504910877</stp>
        <tr r="W8" s="2"/>
      </tp>
      <tp t="s">
        <v>#N/A N/A</v>
        <stp/>
        <stp>BDH|3655815382548887404</stp>
        <tr r="T10" s="2"/>
      </tp>
      <tp t="s">
        <v>#N/A N/A</v>
        <stp/>
        <stp>BDH|9512475935825834422</stp>
        <tr r="AE10" s="4"/>
      </tp>
      <tp t="s">
        <v>#N/A N/A</v>
        <stp/>
        <stp>BDH|8502758031051576290</stp>
        <tr r="AD17" s="4"/>
      </tp>
      <tp t="s">
        <v>#N/A N/A</v>
        <stp/>
        <stp>BDH|8497721407129407978</stp>
        <tr r="W18" s="4"/>
      </tp>
      <tp t="s">
        <v>#N/A N/A</v>
        <stp/>
        <stp>BDH|9303555778912430698</stp>
        <tr r="C9" s="4"/>
      </tp>
      <tp t="s">
        <v>#N/A N/A</v>
        <stp/>
        <stp>BDH|6469880267292990515</stp>
        <tr r="AK14" s="4"/>
      </tp>
      <tp t="s">
        <v>#N/A N/A</v>
        <stp/>
        <stp>BDH|9580435616330243310</stp>
        <tr r="AG22" s="4"/>
      </tp>
      <tp t="s">
        <v>#N/A N/A</v>
        <stp/>
        <stp>BDH|9245297578545791672</stp>
        <tr r="T7" s="2"/>
      </tp>
      <tp t="s">
        <v>#N/A N/A</v>
        <stp/>
        <stp>BDH|2171306883167770157</stp>
        <tr r="Q22" s="4"/>
      </tp>
      <tp t="s">
        <v>#N/A N/A</v>
        <stp/>
        <stp>BDH|2746109922436394863</stp>
        <tr r="U25" s="4"/>
      </tp>
      <tp t="s">
        <v>#N/A N/A</v>
        <stp/>
        <stp>BDH|6503126378238859774</stp>
        <tr r="AM8" s="4"/>
      </tp>
      <tp t="s">
        <v>#N/A N/A</v>
        <stp/>
        <stp>BDH|7613065580510000013</stp>
        <tr r="O10" s="2"/>
      </tp>
      <tp t="s">
        <v>#N/A N/A</v>
        <stp/>
        <stp>BDH|5678012987541622305</stp>
        <tr r="Z24" s="2"/>
      </tp>
      <tp t="s">
        <v>#N/A N/A</v>
        <stp/>
        <stp>BDH|1279800466185095538</stp>
        <tr r="AH8" s="4"/>
      </tp>
      <tp t="s">
        <v>#N/A N/A</v>
        <stp/>
        <stp>BDH|2252024245609358014</stp>
        <tr r="X14" s="4"/>
      </tp>
      <tp t="s">
        <v>#N/A N/A</v>
        <stp/>
        <stp>BDH|1197224135707159803</stp>
        <tr r="X20" s="2"/>
      </tp>
      <tp t="s">
        <v>#N/A N/A</v>
        <stp/>
        <stp>BDH|4824480745133296805</stp>
        <tr r="AD24" s="2"/>
      </tp>
      <tp t="s">
        <v>#N/A N/A</v>
        <stp/>
        <stp>BDH|1865724086476922715</stp>
        <tr r="Q31" s="2"/>
      </tp>
      <tp t="s">
        <v>#N/A N/A</v>
        <stp/>
        <stp>BDH|3344641117019550210</stp>
        <tr r="AK25" s="2"/>
      </tp>
      <tp t="s">
        <v>#N/A N/A</v>
        <stp/>
        <stp>BDP|9286210032107166050</stp>
        <tr r="AF20" s="3"/>
      </tp>
      <tp t="s">
        <v>#N/A N/A</v>
        <stp/>
        <stp>BDH|2757781964028622480</stp>
        <tr r="AB16" s="4"/>
      </tp>
      <tp t="s">
        <v>#N/A N/A</v>
        <stp/>
        <stp>BDH|3593367810329030767</stp>
        <tr r="R7" s="4"/>
      </tp>
      <tp t="s">
        <v>#N/A N/A</v>
        <stp/>
        <stp>BDH|1738054824054636859</stp>
        <tr r="F26" s="2"/>
      </tp>
      <tp t="s">
        <v>#N/A N/A</v>
        <stp/>
        <stp>BDH|9536893771237174963</stp>
        <tr r="M13" s="4"/>
      </tp>
      <tp t="s">
        <v>#N/A N/A</v>
        <stp/>
        <stp>BDH|8101899557184553904</stp>
        <tr r="AG9" s="2"/>
      </tp>
      <tp t="s">
        <v>#N/A N/A</v>
        <stp/>
        <stp>BDP|9432034811610950079</stp>
        <tr r="AB9" s="3"/>
      </tp>
      <tp t="s">
        <v>#N/A N/A</v>
        <stp/>
        <stp>BDH|2995518991350233630</stp>
        <tr r="M32" s="2"/>
      </tp>
      <tp t="s">
        <v>#N/A N/A</v>
        <stp/>
        <stp>BDH|2527591902599325657</stp>
        <tr r="AF18" s="4"/>
      </tp>
      <tp t="s">
        <v>#N/A N/A</v>
        <stp/>
        <stp>BDH|8708610194296248983</stp>
        <tr r="E20" s="2"/>
      </tp>
      <tp t="s">
        <v>#N/A N/A</v>
        <stp/>
        <stp>BDH|7253681099780314089</stp>
        <tr r="D18" s="4"/>
      </tp>
      <tp t="s">
        <v>#N/A N/A</v>
        <stp/>
        <stp>BDH|5199222399635032339</stp>
        <tr r="D26" s="4"/>
      </tp>
      <tp t="s">
        <v>#N/A N/A</v>
        <stp/>
        <stp>BDP|7887404221038560128</stp>
        <tr r="AJ19" s="3"/>
      </tp>
      <tp t="s">
        <v>#N/A N/A</v>
        <stp/>
        <stp>BDH|9543237978617978392</stp>
        <tr r="AE8" s="2"/>
      </tp>
      <tp t="s">
        <v>#N/A N/A</v>
        <stp/>
        <stp>BDH|1637239726939870057</stp>
        <tr r="L20" s="2"/>
      </tp>
      <tp t="s">
        <v>#N/A N/A</v>
        <stp/>
        <stp>BDH|5887991818620675517</stp>
        <tr r="O6" s="4"/>
      </tp>
      <tp t="s">
        <v>#N/A N/A</v>
        <stp/>
        <stp>BDH|2806799686412884704</stp>
        <tr r="T13" s="2"/>
      </tp>
      <tp t="s">
        <v>#N/A N/A</v>
        <stp/>
        <stp>BDH|7857342226037278971</stp>
        <tr r="H32" s="2"/>
      </tp>
      <tp t="s">
        <v>#N/A N/A</v>
        <stp/>
        <stp>BDH|2953268480981090101</stp>
        <tr r="H8" s="2"/>
      </tp>
      <tp t="s">
        <v>#N/A N/A</v>
        <stp/>
        <stp>BDH|8405040520561878341</stp>
        <tr r="R20" s="4"/>
      </tp>
      <tp t="s">
        <v>#N/A N/A</v>
        <stp/>
        <stp>BDH|2929013066819521578</stp>
        <tr r="AP9" s="4"/>
      </tp>
      <tp t="s">
        <v>#N/A N/A</v>
        <stp/>
        <stp>BDH|3475957862311942563</stp>
        <tr r="S25" s="4"/>
      </tp>
      <tp t="s">
        <v>#N/A N/A</v>
        <stp/>
        <stp>BDH|8435327947187829040</stp>
        <tr r="AP24" s="2"/>
      </tp>
      <tp t="s">
        <v>#N/A N/A</v>
        <stp/>
        <stp>BDH|6091183805038433741</stp>
        <tr r="AL16" s="4"/>
      </tp>
      <tp t="s">
        <v>#N/A N/A</v>
        <stp/>
        <stp>BDH|6848874230914610144</stp>
        <tr r="AN12" s="4"/>
      </tp>
      <tp t="s">
        <v>#N/A N/A</v>
        <stp/>
        <stp>BDH|9425877603151164834</stp>
        <tr r="AG13" s="4"/>
      </tp>
      <tp t="s">
        <v>#N/A N/A</v>
        <stp/>
        <stp>BDH|4724377338019903525</stp>
        <tr r="D7" s="2"/>
      </tp>
      <tp t="s">
        <v>#N/A N/A</v>
        <stp/>
        <stp>BDH|7732868544482359154</stp>
        <tr r="H9" s="2"/>
      </tp>
      <tp t="s">
        <v>#N/A N/A</v>
        <stp/>
        <stp>BDP|3899753986137326387</stp>
        <tr r="W24" s="3"/>
      </tp>
      <tp t="s">
        <v>#N/A N/A</v>
        <stp/>
        <stp>BDP|8796418923831416716</stp>
        <tr r="AD19" s="3"/>
      </tp>
      <tp t="s">
        <v>#N/A N/A</v>
        <stp/>
        <stp>BDP|7480916057127386402</stp>
        <tr r="AB17" s="3"/>
      </tp>
      <tp t="s">
        <v>#N/A N/A</v>
        <stp/>
        <stp>BDH|3046932544275440327</stp>
        <tr r="AF17" s="4"/>
      </tp>
      <tp t="s">
        <v>#N/A N/A</v>
        <stp/>
        <stp>BDP|3689794435576927955</stp>
        <tr r="AK17" s="3"/>
      </tp>
      <tp t="s">
        <v>#N/A N/A</v>
        <stp/>
        <stp>BDH|6483322005489052449</stp>
        <tr r="U31" s="2"/>
      </tp>
      <tp t="s">
        <v>#N/A N/A</v>
        <stp/>
        <stp>BDH|6143843551005056636</stp>
        <tr r="AD6" s="4"/>
      </tp>
      <tp t="s">
        <v>#N/A N/A</v>
        <stp/>
        <stp>BDH|9067390144000995638</stp>
        <tr r="C6" s="4"/>
      </tp>
      <tp t="s">
        <v>#N/A N/A</v>
        <stp/>
        <stp>BDH|5419274684166612168</stp>
        <tr r="AL7" s="4"/>
      </tp>
      <tp t="s">
        <v>#N/A N/A</v>
        <stp/>
        <stp>BDH|7350521967799789551</stp>
        <tr r="AK18" s="4"/>
      </tp>
      <tp t="s">
        <v>#N/A N/A</v>
        <stp/>
        <stp>BDH|6683969512463013577</stp>
        <tr r="AG26" s="2"/>
      </tp>
      <tp t="s">
        <v>#N/A N/A</v>
        <stp/>
        <stp>BDH|5349425971828038651</stp>
        <tr r="U9" s="4"/>
      </tp>
      <tp t="s">
        <v>#N/A N/A</v>
        <stp/>
        <stp>BDH|7272623105730683964</stp>
        <tr r="N26" s="4"/>
      </tp>
      <tp t="s">
        <v>#N/A N/A</v>
        <stp/>
        <stp>BDH|83416210382770267</stp>
        <tr r="AE18" s="4"/>
      </tp>
      <tp t="s">
        <v>#N/A N/A</v>
        <stp/>
        <stp>BDH|94837372742829863</stp>
        <tr r="L10" s="4"/>
      </tp>
      <tp t="s">
        <v>#N/A N/A</v>
        <stp/>
        <stp>BDH|5791668417029983258</stp>
        <tr r="G24" s="4"/>
      </tp>
      <tp t="s">
        <v>#N/A N/A</v>
        <stp/>
        <stp>BDH|2069308617668430198</stp>
        <tr r="N12" s="4"/>
      </tp>
      <tp t="s">
        <v>#N/A N/A</v>
        <stp/>
        <stp>BDH|8224098234314282677</stp>
        <tr r="Y16" s="4"/>
      </tp>
      <tp t="s">
        <v>#N/A N/A</v>
        <stp/>
        <stp>BDH|8483046771921376789</stp>
        <tr r="L25" s="4"/>
      </tp>
      <tp t="s">
        <v>#N/A N/A</v>
        <stp/>
        <stp>BDH|4903965000915576106</stp>
        <tr r="F14" s="4"/>
      </tp>
      <tp t="s">
        <v>#N/A N/A</v>
        <stp/>
        <stp>BDH|3117391777417611938</stp>
        <tr r="S8" s="2"/>
      </tp>
      <tp t="s">
        <v>#N/A N/A</v>
        <stp/>
        <stp>BDH|1058422379093575850</stp>
        <tr r="S27" s="2"/>
      </tp>
      <tp t="s">
        <v>#N/A N/A</v>
        <stp/>
        <stp>BDH|9942004539082161190</stp>
        <tr r="X32" s="2"/>
      </tp>
      <tp t="s">
        <v>#N/A N/A</v>
        <stp/>
        <stp>BDH|1715836635463918009</stp>
        <tr r="AC13" s="4"/>
      </tp>
      <tp t="s">
        <v>#N/A N/A</v>
        <stp/>
        <stp>BDH|1174398576304668818</stp>
        <tr r="F27" s="2"/>
      </tp>
      <tp t="s">
        <v>#N/A N/A</v>
        <stp/>
        <stp>BDH|8554650073468389891</stp>
        <tr r="AH14" s="4"/>
      </tp>
    </main>
    <main first="bofaddin.rtdserver">
      <tp t="s">
        <v>#N/A N/A</v>
        <stp/>
        <stp>BDH|4165826056659940927</stp>
        <tr r="AF8" s="2"/>
      </tp>
      <tp t="s">
        <v>#N/A N/A</v>
        <stp/>
        <stp>BDH|6068781407109218133</stp>
        <tr r="AH26" s="4"/>
      </tp>
      <tp t="s">
        <v>#N/A N/A</v>
        <stp/>
        <stp>BDH|8104373732383965231</stp>
        <tr r="P8" s="4"/>
      </tp>
      <tp t="s">
        <v>#N/A N/A</v>
        <stp/>
        <stp>BDH|5295342493760965623</stp>
        <tr r="AH26" s="2"/>
      </tp>
      <tp t="s">
        <v>#N/A N/A</v>
        <stp/>
        <stp>BDH|1074286223228278078</stp>
        <tr r="AI22" s="4"/>
      </tp>
      <tp t="s">
        <v>#N/A N/A</v>
        <stp/>
        <stp>BDH|9538187797510341864</stp>
        <tr r="D25" s="2"/>
      </tp>
      <tp t="s">
        <v>#N/A N/A</v>
        <stp/>
        <stp>BDH|4816504945178416466</stp>
        <tr r="Z6" s="4"/>
      </tp>
      <tp t="s">
        <v>#N/A N/A</v>
        <stp/>
        <stp>BDH|9726475807261952518</stp>
        <tr r="AC24" s="2"/>
      </tp>
      <tp t="s">
        <v>#N/A N/A</v>
        <stp/>
        <stp>BDP|8610253670826676282</stp>
        <tr r="AA20" s="3"/>
      </tp>
      <tp t="s">
        <v>#N/A N/A</v>
        <stp/>
        <stp>BDH|9009340811751817307</stp>
        <tr r="AN32" s="2"/>
      </tp>
      <tp t="s">
        <v>#N/A N/A</v>
        <stp/>
        <stp>BDH|5112598140609383465</stp>
        <tr r="J12" s="4"/>
      </tp>
      <tp t="s">
        <v>#N/A N/A</v>
        <stp/>
        <stp>BDH|5892601098885589685</stp>
        <tr r="F7" s="4"/>
      </tp>
      <tp t="s">
        <v>#N/A N/A</v>
        <stp/>
        <stp>BDP|7481333038528422694</stp>
        <tr r="V23" s="3"/>
      </tp>
      <tp t="s">
        <v>#N/A N/A</v>
        <stp/>
        <stp>BDH|9707334434822602245</stp>
        <tr r="AL22" s="2"/>
      </tp>
      <tp t="s">
        <v>#N/A N/A</v>
        <stp/>
        <stp>BDH|3824888933258823995</stp>
        <tr r="O25" s="4"/>
      </tp>
      <tp t="s">
        <v>#N/A N/A</v>
        <stp/>
        <stp>BDH|2211788598966401351</stp>
        <tr r="AM14" s="4"/>
      </tp>
      <tp t="s">
        <v>#N/A N/A</v>
        <stp/>
        <stp>BDH|4299859535135888393</stp>
        <tr r="N21" s="4"/>
      </tp>
      <tp t="s">
        <v>#N/A N/A</v>
        <stp/>
        <stp>BDH|9452394169885117065</stp>
        <tr r="AJ24" s="4"/>
      </tp>
      <tp t="s">
        <v>#N/A N/A</v>
        <stp/>
        <stp>BDP|5146391661621045896</stp>
        <tr r="AJ17" s="3"/>
      </tp>
      <tp t="s">
        <v>#N/A N/A</v>
        <stp/>
        <stp>BDH|4850109415544550985</stp>
        <tr r="AG21" s="4"/>
      </tp>
      <tp t="s">
        <v>#N/A N/A</v>
        <stp/>
        <stp>BDH|8464469287385364866</stp>
        <tr r="V23" s="2"/>
      </tp>
      <tp t="s">
        <v>#N/A N/A</v>
        <stp/>
        <stp>BDH|6087271486476258337</stp>
        <tr r="AH7" s="4"/>
      </tp>
      <tp t="s">
        <v>#N/A N/A</v>
        <stp/>
        <stp>BDH|9296040568550791687</stp>
        <tr r="O31" s="2"/>
      </tp>
      <tp t="s">
        <v>#N/A N/A</v>
        <stp/>
        <stp>BDH|9269390632117186798</stp>
        <tr r="AM10" s="4"/>
      </tp>
      <tp t="s">
        <v>#N/A N/A</v>
        <stp/>
        <stp>BDH|6647943923061659568</stp>
        <tr r="R6" s="4"/>
      </tp>
      <tp t="s">
        <v>#N/A N/A</v>
        <stp/>
        <stp>BDH|6705075795984283217</stp>
        <tr r="D7" s="4"/>
      </tp>
      <tp t="s">
        <v>#N/A N/A</v>
        <stp/>
        <stp>BDH|2190034296126535474</stp>
        <tr r="D32" s="2"/>
      </tp>
      <tp t="s">
        <v>#N/A N/A</v>
        <stp/>
        <stp>BDH|4903837362372787193</stp>
        <tr r="AK12" s="4"/>
      </tp>
      <tp t="s">
        <v>#N/A N/A</v>
        <stp/>
        <stp>BDH|9831474108560565456</stp>
        <tr r="O8" s="2"/>
      </tp>
      <tp t="s">
        <v>#N/A N/A</v>
        <stp/>
        <stp>BDH|9784712751750598250</stp>
        <tr r="J22" s="4"/>
      </tp>
      <tp t="s">
        <v>#N/A N/A</v>
        <stp/>
        <stp>BDH|6091918717281252605</stp>
        <tr r="Q17" s="4"/>
      </tp>
      <tp t="s">
        <v>#N/A N/A</v>
        <stp/>
        <stp>BDH|2581977137818928980</stp>
        <tr r="P25" s="2"/>
      </tp>
      <tp t="s">
        <v>#N/A N/A</v>
        <stp/>
        <stp>BDH|4798405896111100146</stp>
        <tr r="AK26" s="4"/>
      </tp>
      <tp t="s">
        <v>#N/A N/A</v>
        <stp/>
        <stp>BDP|1442459385185189105</stp>
        <tr r="AO9" s="3"/>
      </tp>
      <tp t="s">
        <v>#N/A N/A</v>
        <stp/>
        <stp>BDH|6993405124490975917</stp>
        <tr r="AD20" s="2"/>
      </tp>
      <tp t="s">
        <v>#N/A N/A</v>
        <stp/>
        <stp>BDH|1588259079826226816</stp>
        <tr r="AH32" s="2"/>
      </tp>
      <tp t="s">
        <v>#N/A N/A</v>
        <stp/>
        <stp>BDP|5190801269306435772</stp>
        <tr r="AE20" s="3"/>
      </tp>
      <tp t="s">
        <v>#N/A N/A</v>
        <stp/>
        <stp>BDH|6138812147206554696</stp>
        <tr r="S21" s="4"/>
      </tp>
      <tp t="s">
        <v>#N/A N/A</v>
        <stp/>
        <stp>BDH|6299997470547948595</stp>
        <tr r="O32" s="2"/>
      </tp>
      <tp t="s">
        <v>#N/A N/A</v>
        <stp/>
        <stp>BDH|6252505740149963408</stp>
        <tr r="AH25" s="4"/>
      </tp>
      <tp t="s">
        <v>#N/A N/A</v>
        <stp/>
        <stp>BDP|6058023438298366715</stp>
        <tr r="X24" s="3"/>
      </tp>
      <tp t="s">
        <v>#N/A N/A</v>
        <stp/>
        <stp>BDH|1930553744679326335</stp>
        <tr r="F13" s="2"/>
      </tp>
      <tp t="s">
        <v>#N/A N/A</v>
        <stp/>
        <stp>BDH|7662697510342124865</stp>
        <tr r="AC10" s="2"/>
      </tp>
      <tp t="s">
        <v>#N/A N/A</v>
        <stp/>
        <stp>BDH|4514638666546050881</stp>
        <tr r="V24" s="4"/>
      </tp>
      <tp t="s">
        <v>#N/A N/A</v>
        <stp/>
        <stp>BDH|4575333783067808259</stp>
        <tr r="P32" s="2"/>
      </tp>
      <tp t="s">
        <v>#N/A N/A</v>
        <stp/>
        <stp>BDP|9475512079835267473</stp>
        <tr r="Y9" s="3"/>
      </tp>
      <tp t="s">
        <v>#N/A N/A</v>
        <stp/>
        <stp>BDP|4084282672712705941</stp>
        <tr r="T19" s="3"/>
      </tp>
      <tp t="s">
        <v>#N/A N/A</v>
        <stp/>
        <stp>BDH|4980208721419371726</stp>
        <tr r="Y31" s="2"/>
      </tp>
      <tp t="s">
        <v>#N/A N/A</v>
        <stp/>
        <stp>BDH|4964335762498527342</stp>
        <tr r="AP31" s="2"/>
      </tp>
      <tp t="s">
        <v>#N/A N/A</v>
        <stp/>
        <stp>BDP|1558557097921143685</stp>
        <tr r="Q19" s="3"/>
      </tp>
      <tp t="s">
        <v>#N/A N/A</v>
        <stp/>
        <stp>BDP|7086230213997929970</stp>
        <tr r="Z24" s="3"/>
      </tp>
      <tp t="s">
        <v>#N/A N/A</v>
        <stp/>
        <stp>BDH|3789795320254421846</stp>
        <tr r="AJ18" s="4"/>
      </tp>
      <tp t="s">
        <v>#N/A N/A</v>
        <stp/>
        <stp>BDH|1092966645652453496</stp>
        <tr r="AC8" s="2"/>
      </tp>
      <tp t="s">
        <v>#N/A N/A</v>
        <stp/>
        <stp>BDH|4835862511523079407</stp>
        <tr r="AD27" s="2"/>
      </tp>
      <tp t="s">
        <v>#N/A N/A</v>
        <stp/>
        <stp>BDH|7784087288933327686</stp>
        <tr r="AB26" s="2"/>
      </tp>
      <tp t="s">
        <v>#N/A N/A</v>
        <stp/>
        <stp>BDH|6061205583107780182</stp>
        <tr r="Z9" s="2"/>
      </tp>
      <tp t="s">
        <v>#N/A N/A</v>
        <stp/>
        <stp>BDH|6495985761647150407</stp>
        <tr r="Q16" s="4"/>
      </tp>
      <tp t="s">
        <v>#N/A N/A</v>
        <stp/>
        <stp>BDH|8083625117717801201</stp>
        <tr r="G26" s="4"/>
      </tp>
      <tp t="s">
        <v>#N/A N/A</v>
        <stp/>
        <stp>BDH|4205589677388711470</stp>
        <tr r="V30" s="2"/>
      </tp>
      <tp t="s">
        <v>#N/A N/A</v>
        <stp/>
        <stp>BDH|7496593083882680255</stp>
        <tr r="AJ22" s="2"/>
      </tp>
      <tp t="s">
        <v>#N/A N/A</v>
        <stp/>
        <stp>BDP|4881938778886541649</stp>
        <tr r="J17" s="3"/>
      </tp>
      <tp t="s">
        <v>#N/A N/A</v>
        <stp/>
        <stp>BDH|3183130720878294223</stp>
        <tr r="V12" s="4"/>
      </tp>
      <tp t="s">
        <v>#N/A N/A</v>
        <stp/>
        <stp>BDP|5887882257230774231</stp>
        <tr r="F23" s="3"/>
      </tp>
      <tp t="s">
        <v>#N/A N/A</v>
        <stp/>
        <stp>BDP|1896922029991333134</stp>
        <tr r="AB19" s="3"/>
      </tp>
      <tp t="s">
        <v>#N/A N/A</v>
        <stp/>
        <stp>BDP|4914179205518991710</stp>
        <tr r="V17" s="3"/>
      </tp>
      <tp t="s">
        <v>#N/A N/A</v>
        <stp/>
        <stp>BDH|9360903971199004410</stp>
        <tr r="AE32" s="2"/>
      </tp>
      <tp t="s">
        <v>#N/A N/A</v>
        <stp/>
        <stp>BDH|5322430869759297485</stp>
        <tr r="AO9" s="2"/>
      </tp>
      <tp t="s">
        <v>#N/A N/A</v>
        <stp/>
        <stp>BDH|8816479038400481537</stp>
        <tr r="AH10" s="4"/>
      </tp>
      <tp t="s">
        <v>#N/A N/A</v>
        <stp/>
        <stp>BDH|9695722853762408330</stp>
        <tr r="C32" s="2"/>
      </tp>
      <tp t="s">
        <v>#N/A N/A</v>
        <stp/>
        <stp>BDH|1397101557596455904</stp>
        <tr r="Z32" s="2"/>
      </tp>
      <tp t="s">
        <v>#N/A N/A</v>
        <stp/>
        <stp>BDP|2423837427393604170</stp>
        <tr r="AO19" s="3"/>
      </tp>
      <tp t="s">
        <v>#N/A N/A</v>
        <stp/>
        <stp>BDH|2491007562898674618</stp>
        <tr r="AI22" s="2"/>
      </tp>
      <tp t="s">
        <v>#N/A N/A</v>
        <stp/>
        <stp>BDH|2686220851717705834</stp>
        <tr r="R8" s="2"/>
      </tp>
      <tp t="s">
        <v>#N/A N/A</v>
        <stp/>
        <stp>BDP|5928908596626145989</stp>
        <tr r="P17" s="3"/>
      </tp>
      <tp t="s">
        <v>#N/A N/A</v>
        <stp/>
        <stp>BDH|9509041771216623214</stp>
        <tr r="U24" s="4"/>
      </tp>
      <tp t="s">
        <v>#N/A N/A</v>
        <stp/>
        <stp>BDH|7977186489256662291</stp>
        <tr r="AD16" s="4"/>
      </tp>
      <tp t="s">
        <v>#N/A N/A</v>
        <stp/>
        <stp>BDH|6252405825749687354</stp>
        <tr r="H26" s="2"/>
      </tp>
      <tp t="s">
        <v>#N/A N/A</v>
        <stp/>
        <stp>BDH|3677898667402879542</stp>
        <tr r="J24" s="2"/>
      </tp>
      <tp t="s">
        <v>#N/A N/A</v>
        <stp/>
        <stp>BDP|5601856878613748393</stp>
        <tr r="M17" s="3"/>
      </tp>
      <tp t="s">
        <v>#N/A N/A</v>
        <stp/>
        <stp>BDH|57101871979243867</stp>
        <tr r="C12" s="4"/>
      </tp>
      <tp t="s">
        <v>#N/A N/A</v>
        <stp/>
        <stp>BDH|10155267986291685</stp>
        <tr r="X6" s="4"/>
      </tp>
    </main>
    <main first="bofaddin.rtdserver">
      <tp t="s">
        <v>#N/A N/A</v>
        <stp/>
        <stp>BDH|5994519833088779067</stp>
        <tr r="AN13" s="2"/>
      </tp>
      <tp t="s">
        <v>#N/A N/A</v>
        <stp/>
        <stp>BDH|8468683662472420108</stp>
        <tr r="H24" s="2"/>
      </tp>
      <tp t="s">
        <v>#N/A N/A</v>
        <stp/>
        <stp>BDH|6032943539281466639</stp>
        <tr r="AJ8" s="4"/>
      </tp>
      <tp t="s">
        <v>#N/A N/A</v>
        <stp/>
        <stp>BDP|3886826461784480243</stp>
        <tr r="AL24" s="3"/>
      </tp>
      <tp t="s">
        <v>#N/A N/A</v>
        <stp/>
        <stp>BDH|7006939604635489082</stp>
        <tr r="AG10" s="4"/>
      </tp>
      <tp t="s">
        <v>#N/A N/A</v>
        <stp/>
        <stp>BDH|8682002601345498688</stp>
        <tr r="N16" s="4"/>
      </tp>
      <tp t="s">
        <v>#N/A N/A</v>
        <stp/>
        <stp>BDH|1626667896305994040</stp>
        <tr r="J25" s="4"/>
      </tp>
      <tp t="s">
        <v>#N/A N/A</v>
        <stp/>
        <stp>BDH|9007783355980449016</stp>
        <tr r="AF8" s="4"/>
      </tp>
      <tp t="s">
        <v>#N/A N/A</v>
        <stp/>
        <stp>BDH|4865508680310837281</stp>
        <tr r="AL27" s="2"/>
      </tp>
      <tp t="s">
        <v>#N/A N/A</v>
        <stp/>
        <stp>BDH|1238626664113449990</stp>
        <tr r="P9" s="4"/>
      </tp>
      <tp t="s">
        <v>#N/A N/A</v>
        <stp/>
        <stp>BDH|2872824731160123238</stp>
        <tr r="F32" s="2"/>
      </tp>
      <tp t="s">
        <v>#N/A N/A</v>
        <stp/>
        <stp>BDP|1037183417829401356</stp>
        <tr r="S24" s="3"/>
      </tp>
      <tp t="s">
        <v>#N/A N/A</v>
        <stp/>
        <stp>BDP|6604286122674758951</stp>
        <tr r="L20" s="3"/>
      </tp>
      <tp t="s">
        <v>#N/A N/A</v>
        <stp/>
        <stp>BDH|8291215567733991434</stp>
        <tr r="AN21" s="4"/>
      </tp>
      <tp t="s">
        <v>#N/A N/A</v>
        <stp/>
        <stp>BDP|4064250198252232604</stp>
        <tr r="AL9" s="3"/>
      </tp>
      <tp t="s">
        <v>#N/A N/A</v>
        <stp/>
        <stp>BDH|2777637075840925873</stp>
        <tr r="R25" s="4"/>
      </tp>
      <tp t="s">
        <v>#N/A N/A</v>
        <stp/>
        <stp>BDP|9384727008344147146</stp>
        <tr r="AI17" s="3"/>
      </tp>
      <tp t="s">
        <v>#N/A N/A</v>
        <stp/>
        <stp>BDH|7596994218210990412</stp>
        <tr r="AM20" s="2"/>
      </tp>
      <tp t="s">
        <v>#N/A N/A</v>
        <stp/>
        <stp>BDH|2940362982230228231</stp>
        <tr r="AI17" s="4"/>
      </tp>
      <tp t="s">
        <v>#N/A N/A</v>
        <stp/>
        <stp>BDH|2682852697958127097</stp>
        <tr r="AD10" s="4"/>
      </tp>
      <tp t="s">
        <v>#N/A N/A</v>
        <stp/>
        <stp>BDP|5311990916595905381</stp>
        <tr r="Y19" s="3"/>
      </tp>
      <tp t="s">
        <v>#N/A N/A</v>
        <stp/>
        <stp>BDH|3711928547900700581</stp>
        <tr r="K22" s="4"/>
      </tp>
      <tp t="s">
        <v>#N/A N/A</v>
        <stp/>
        <stp>BDH|6374651412739803314</stp>
        <tr r="AN23" s="2"/>
      </tp>
      <tp t="s">
        <v>#N/A N/A</v>
        <stp/>
        <stp>BDH|6914901948330744046</stp>
        <tr r="G25" s="4"/>
      </tp>
      <tp t="s">
        <v>#N/A N/A</v>
        <stp/>
        <stp>BDH|6084723833210088937</stp>
        <tr r="R18" s="4"/>
      </tp>
      <tp t="s">
        <v>#N/A N/A</v>
        <stp/>
        <stp>BDH|3294979167640547754</stp>
        <tr r="Q10" s="4"/>
      </tp>
      <tp t="s">
        <v>#N/A N/A</v>
        <stp/>
        <stp>BDH|3882558488162632702</stp>
        <tr r="J26" s="2"/>
      </tp>
      <tp t="s">
        <v>#N/A N/A</v>
        <stp/>
        <stp>BDH|5558502927761520840</stp>
        <tr r="N31" s="2"/>
      </tp>
      <tp t="s">
        <v>#N/A N/A</v>
        <stp/>
        <stp>BDH|9382201232242453161</stp>
        <tr r="V26" s="4"/>
      </tp>
      <tp t="s">
        <v>#N/A N/A</v>
        <stp/>
        <stp>BDP|1114500598704920211</stp>
        <tr r="AG17" s="3"/>
      </tp>
      <tp t="s">
        <v>#N/A N/A</v>
        <stp/>
        <stp>BDH|5684757803559052019</stp>
        <tr r="C10" s="4"/>
      </tp>
      <tp t="s">
        <v>#N/A N/A</v>
        <stp/>
        <stp>BDH|4067120594233167468</stp>
        <tr r="I17" s="4"/>
      </tp>
      <tp t="s">
        <v>#N/A N/A</v>
        <stp/>
        <stp>BDH|4811665330478884276</stp>
        <tr r="K24" s="4"/>
      </tp>
      <tp t="s">
        <v>#N/A N/A</v>
        <stp/>
        <stp>BDH|6577960077386537577</stp>
        <tr r="AP17" s="4"/>
      </tp>
      <tp t="s">
        <v>#N/A N/A</v>
        <stp/>
        <stp>BDH|6753034073332528842</stp>
        <tr r="Y17" s="4"/>
      </tp>
      <tp t="s">
        <v>#N/A N/A</v>
        <stp/>
        <stp>BDH|6936757607213800950</stp>
        <tr r="AO26" s="2"/>
      </tp>
      <tp t="s">
        <v>#N/A N/A</v>
        <stp/>
        <stp>BDH|8121129304686146404</stp>
        <tr r="AO10" s="2"/>
      </tp>
      <tp t="s">
        <v>#N/A N/A</v>
        <stp/>
        <stp>BDP|4648941773641267043</stp>
        <tr r="H20" s="3"/>
      </tp>
      <tp t="s">
        <v>#N/A N/A</v>
        <stp/>
        <stp>BDH|2002218757886235831</stp>
        <tr r="AA8" s="2"/>
      </tp>
      <tp t="s">
        <v>#N/A N/A</v>
        <stp/>
        <stp>BDH|7501181678843519973</stp>
        <tr r="I10" s="4"/>
      </tp>
      <tp t="s">
        <v>#N/A N/A</v>
        <stp/>
        <stp>BDH|8819698507593750667</stp>
        <tr r="X22" s="4"/>
      </tp>
      <tp t="s">
        <v>#N/A N/A</v>
        <stp/>
        <stp>BDH|9032804090055322674</stp>
        <tr r="AF20" s="2"/>
      </tp>
      <tp t="s">
        <v>#N/A N/A</v>
        <stp/>
        <stp>BDH|3675891187600425882</stp>
        <tr r="R16" s="4"/>
      </tp>
      <tp t="s">
        <v>#N/A N/A</v>
        <stp/>
        <stp>BDH|9879554708422152502</stp>
        <tr r="K22" s="2"/>
      </tp>
      <tp t="s">
        <v>#N/A N/A</v>
        <stp/>
        <stp>BDH|8521990515818980349</stp>
        <tr r="I25" s="2"/>
      </tp>
      <tp t="s">
        <v>#N/A N/A</v>
        <stp/>
        <stp>BDH|1319013025209423178</stp>
        <tr r="S20" s="2"/>
      </tp>
      <tp t="s">
        <v>#N/A N/A</v>
        <stp/>
        <stp>BDH|1303862436826169762</stp>
        <tr r="G16" s="4"/>
      </tp>
      <tp t="s">
        <v>#N/A N/A</v>
        <stp/>
        <stp>BDP|5215200967572486841</stp>
        <tr r="H23" s="3"/>
      </tp>
      <tp t="s">
        <v>#N/A N/A</v>
        <stp/>
        <stp>BDH|7287918856309660964</stp>
        <tr r="R10" s="2"/>
      </tp>
      <tp t="s">
        <v>#N/A N/A</v>
        <stp/>
        <stp>BDH|4437756960646528819</stp>
        <tr r="K13" s="2"/>
      </tp>
      <tp t="s">
        <v>#N/A N/A</v>
        <stp/>
        <stp>BDH|5863388225329304636</stp>
        <tr r="E23" s="2"/>
      </tp>
      <tp t="s">
        <v>#N/A N/A</v>
        <stp/>
        <stp>BDH|4361318847311746973</stp>
        <tr r="S13" s="2"/>
      </tp>
      <tp t="s">
        <v>#N/A N/A</v>
        <stp/>
        <stp>BDH|4745875234035642178</stp>
        <tr r="L32" s="2"/>
      </tp>
      <tp t="s">
        <v>#N/A N/A</v>
        <stp/>
        <stp>BDH|22194241427474474</stp>
        <tr r="AE9" s="2"/>
      </tp>
      <tp t="s">
        <v>#N/A N/A</v>
        <stp/>
        <stp>BDH|1006155197638157596</stp>
        <tr r="AL9" s="4"/>
      </tp>
      <tp t="s">
        <v>#N/A N/A</v>
        <stp/>
        <stp>BDH|1833365097948291710</stp>
        <tr r="AA24" s="4"/>
      </tp>
      <tp t="s">
        <v>#N/A N/A</v>
        <stp/>
        <stp>BDH|9813120397556030378</stp>
        <tr r="AB30" s="2"/>
      </tp>
      <tp t="s">
        <v>#N/A N/A</v>
        <stp/>
        <stp>BDP|9915923045236103670</stp>
        <tr r="Q24" s="3"/>
      </tp>
      <tp t="s">
        <v>#N/A N/A</v>
        <stp/>
        <stp>BDH|5807734845092725017</stp>
        <tr r="AH18" s="4"/>
      </tp>
      <tp t="s">
        <v>#N/A N/A</v>
        <stp/>
        <stp>BDH|2353193643062146105</stp>
        <tr r="AM24" s="2"/>
      </tp>
      <tp t="s">
        <v>#N/A N/A</v>
        <stp/>
        <stp>BDH|6880874628559676192</stp>
        <tr r="AN14" s="4"/>
      </tp>
      <tp t="s">
        <v>#N/A N/A</v>
        <stp/>
        <stp>BDH|6091746109897199252</stp>
        <tr r="J8" s="4"/>
      </tp>
      <tp t="s">
        <v>#N/A N/A</v>
        <stp/>
        <stp>BDH|5477735972521875038</stp>
        <tr r="K7" s="4"/>
      </tp>
      <tp t="s">
        <v>#N/A N/A</v>
        <stp/>
        <stp>BDH|6409135326889715881</stp>
        <tr r="Z27" s="2"/>
      </tp>
      <tp t="s">
        <v>#N/A N/A</v>
        <stp/>
        <stp>BDH|3258825608649150660</stp>
        <tr r="AG7" s="4"/>
      </tp>
      <tp t="s">
        <v>#N/A N/A</v>
        <stp/>
        <stp>BDH|9929519274649104627</stp>
        <tr r="AB31" s="2"/>
      </tp>
      <tp t="s">
        <v>#N/A N/A</v>
        <stp/>
        <stp>BDH|4620065279906609102</stp>
        <tr r="AK23" s="2"/>
      </tp>
      <tp t="s">
        <v>#N/A N/A</v>
        <stp/>
        <stp>BDH|6151333816456948628</stp>
        <tr r="L27" s="2"/>
      </tp>
      <tp t="s">
        <v>#N/A N/A</v>
        <stp/>
        <stp>BDH|3117434414252246081</stp>
        <tr r="L24" s="4"/>
      </tp>
      <tp t="s">
        <v>#N/A N/A</v>
        <stp/>
        <stp>BDH|6719442336936114387</stp>
        <tr r="AN8" s="2"/>
      </tp>
      <tp t="s">
        <v>#N/A N/A</v>
        <stp/>
        <stp>BDH|3891019530735738128</stp>
        <tr r="AK26" s="2"/>
      </tp>
      <tp t="s">
        <v>#N/A N/A</v>
        <stp/>
        <stp>BDP|1509728049775225313</stp>
        <tr r="AO23" s="3"/>
      </tp>
      <tp t="s">
        <v>#N/A N/A</v>
        <stp/>
        <stp>BDP|6795972155699630715</stp>
        <tr r="R9" s="3"/>
      </tp>
      <tp t="s">
        <v>#N/A N/A</v>
        <stp/>
        <stp>BDH|7918424307672775597</stp>
        <tr r="AM9" s="4"/>
      </tp>
      <tp t="s">
        <v>#N/A N/A</v>
        <stp/>
        <stp>BDH|7538884638298620012</stp>
        <tr r="U21" s="4"/>
      </tp>
      <tp t="s">
        <v>#N/A N/A</v>
        <stp/>
        <stp>BDH|5648527255244092532</stp>
        <tr r="H10" s="4"/>
      </tp>
      <tp t="s">
        <v>#N/A N/A</v>
        <stp/>
        <stp>BDP|2474895359799300243</stp>
        <tr r="J19" s="3"/>
      </tp>
      <tp t="s">
        <v>#N/A N/A</v>
        <stp/>
        <stp>BDH|1460377363534729441</stp>
        <tr r="AD8" s="2"/>
      </tp>
      <tp t="s">
        <v>#N/A N/A</v>
        <stp/>
        <stp>BDH|7987603649570729141</stp>
        <tr r="D12" s="4"/>
      </tp>
      <tp t="s">
        <v>#N/A N/A</v>
        <stp/>
        <stp>BDH|3189102249955353788</stp>
        <tr r="G24" s="2"/>
      </tp>
      <tp t="s">
        <v>#N/A N/A</v>
        <stp/>
        <stp>BDH|2807076721384717095</stp>
        <tr r="AC23" s="2"/>
      </tp>
      <tp t="s">
        <v>#N/A N/A</v>
        <stp/>
        <stp>BDH|9590849954904683434</stp>
        <tr r="Y9" s="4"/>
      </tp>
      <tp t="s">
        <v>#N/A N/A</v>
        <stp/>
        <stp>BDH|7461021800277373455</stp>
        <tr r="AK8" s="2"/>
      </tp>
      <tp t="s">
        <v>#N/A N/A</v>
        <stp/>
        <stp>BDH|8490470783606130610</stp>
        <tr r="Z18" s="4"/>
      </tp>
      <tp t="s">
        <v>#N/A N/A</v>
        <stp/>
        <stp>BDH|7177662716084394022</stp>
        <tr r="AM13" s="2"/>
      </tp>
      <tp t="s">
        <v>#N/A N/A</v>
        <stp/>
        <stp>BDP|4677407632645192243</stp>
        <tr r="T24" s="3"/>
      </tp>
      <tp t="s">
        <v>#N/A N/A</v>
        <stp/>
        <stp>BDP|5614407006945908080</stp>
        <tr r="U9" s="3"/>
      </tp>
      <tp t="s">
        <v>#N/A N/A</v>
        <stp/>
        <stp>BDH|8035365786126473155</stp>
        <tr r="F21" s="4"/>
      </tp>
      <tp t="s">
        <v>#N/A N/A</v>
        <stp/>
        <stp>BDH|8523874723467248120</stp>
        <tr r="AL22" s="4"/>
      </tp>
      <tp t="s">
        <v>#N/A N/A</v>
        <stp/>
        <stp>BDH|4906259531988356981</stp>
        <tr r="M16" s="4"/>
      </tp>
      <tp t="s">
        <v>#N/A N/A</v>
        <stp/>
        <stp>BDH|1764805473919054327</stp>
        <tr r="AN13" s="4"/>
      </tp>
      <tp t="s">
        <v>#N/A N/A</v>
        <stp/>
        <stp>BDH|7176968386527670517</stp>
        <tr r="O24" s="4"/>
      </tp>
      <tp t="s">
        <v>#N/A N/A</v>
        <stp/>
        <stp>BDH|1321844534809133742</stp>
        <tr r="C20" s="4"/>
      </tp>
      <tp t="s">
        <v>#N/A N/A</v>
        <stp/>
        <stp>BDP|1315296949347293467</stp>
        <tr r="I19" s="3"/>
      </tp>
      <tp t="s">
        <v>#N/A N/A</v>
        <stp/>
        <stp>BDP|6622181737442973270</stp>
        <tr r="G19" s="3"/>
      </tp>
      <tp t="s">
        <v>#N/A N/A</v>
        <stp/>
        <stp>BDH|6355786640388507991</stp>
        <tr r="G10" s="2"/>
      </tp>
      <tp t="s">
        <v>#N/A N/A</v>
        <stp/>
        <stp>BDH|9483261587280616748</stp>
        <tr r="S18" s="4"/>
      </tp>
      <tp t="s">
        <v>#N/A N/A</v>
        <stp/>
        <stp>BDH|3349473276273450716</stp>
        <tr r="K25" s="2"/>
      </tp>
      <tp t="s">
        <v>#N/A N/A</v>
        <stp/>
        <stp>BDP|1331913783134234075</stp>
        <tr r="AC24" s="3"/>
      </tp>
      <tp t="s">
        <v>#N/A N/A</v>
        <stp/>
        <stp>BDH|3747541356177513045</stp>
        <tr r="Q25" s="2"/>
      </tp>
      <tp t="s">
        <v>#N/A N/A</v>
        <stp/>
        <stp>BDH|4082663945742171063</stp>
        <tr r="AB7" s="4"/>
      </tp>
      <tp t="s">
        <v>#N/A N/A</v>
        <stp/>
        <stp>BDH|2723770692510552838</stp>
        <tr r="O30" s="2"/>
      </tp>
      <tp t="s">
        <v>#N/A N/A</v>
        <stp/>
        <stp>BDH|6031088286389333396</stp>
        <tr r="AA13" s="4"/>
      </tp>
      <tp t="s">
        <v>#N/A N/A</v>
        <stp/>
        <stp>BDH|7731947388201788382</stp>
        <tr r="P18" s="4"/>
      </tp>
      <tp t="s">
        <v>#N/A N/A</v>
        <stp/>
        <stp>BDH|5769018622910216335</stp>
        <tr r="Y21" s="4"/>
      </tp>
      <tp t="s">
        <v>#N/A N/A</v>
        <stp/>
        <stp>BDH|3798799617739942857</stp>
        <tr r="Q32" s="2"/>
      </tp>
      <tp t="s">
        <v>#N/A N/A</v>
        <stp/>
        <stp>BDH|8676919176115628721</stp>
        <tr r="AI20" s="2"/>
      </tp>
      <tp t="s">
        <v>#N/A N/A</v>
        <stp/>
        <stp>BDP|1551322247404918732</stp>
        <tr r="E9" s="3"/>
      </tp>
      <tp t="s">
        <v>#N/A N/A</v>
        <stp/>
        <stp>BDH|3524898993835614239</stp>
        <tr r="P20" s="4"/>
      </tp>
      <tp t="s">
        <v>#N/A N/A</v>
        <stp/>
        <stp>BDH|4039703059555267619</stp>
        <tr r="U7" s="4"/>
      </tp>
      <tp t="s">
        <v>#N/A N/A</v>
        <stp/>
        <stp>BDH|8096328533029272499</stp>
        <tr r="AO17" s="4"/>
      </tp>
      <tp t="s">
        <v>#N/A N/A</v>
        <stp/>
        <stp>BDH|1548330092866604899</stp>
        <tr r="S31" s="2"/>
      </tp>
      <tp t="s">
        <v>#N/A N/A</v>
        <stp/>
        <stp>BDH|7490384427867801482</stp>
        <tr r="I7" s="4"/>
      </tp>
      <tp t="s">
        <v>#N/A N/A</v>
        <stp/>
        <stp>BDP|3109546832275953561</stp>
        <tr r="J23" s="3"/>
      </tp>
      <tp t="s">
        <v>#N/A N/A</v>
        <stp/>
        <stp>BDH|2273152255592870127</stp>
        <tr r="X13" s="4"/>
      </tp>
      <tp t="s">
        <v>#N/A N/A</v>
        <stp/>
        <stp>BDH|4926659920063094644</stp>
        <tr r="L7" s="2"/>
      </tp>
      <tp t="s">
        <v>#N/A N/A</v>
        <stp/>
        <stp>BDP|5952597933563316593</stp>
        <tr r="O9" s="3"/>
      </tp>
      <tp t="s">
        <v>#N/A N/A</v>
        <stp/>
        <stp>BDH|3513986017977201915</stp>
        <tr r="AN18" s="4"/>
      </tp>
      <tp t="s">
        <v>#N/A N/A</v>
        <stp/>
        <stp>BDH|4597233540161828608</stp>
        <tr r="E13" s="2"/>
      </tp>
      <tp t="s">
        <v>#N/A N/A</v>
        <stp/>
        <stp>BDH|7905805697795962694</stp>
        <tr r="AN22" s="4"/>
      </tp>
      <tp t="s">
        <v>#N/A N/A</v>
        <stp/>
        <stp>BDH|5029214375963878622</stp>
        <tr r="W7" s="2"/>
      </tp>
      <tp t="s">
        <v>#N/A N/A</v>
        <stp/>
        <stp>BDH|1443087136815679220</stp>
        <tr r="T20" s="2"/>
      </tp>
      <tp t="s">
        <v>#N/A N/A</v>
        <stp/>
        <stp>BDH|1244490819620779193</stp>
        <tr r="Z7" s="2"/>
      </tp>
      <tp t="s">
        <v>#N/A N/A</v>
        <stp/>
        <stp>BDH|1372843766362545896</stp>
        <tr r="K23" s="2"/>
      </tp>
      <tp t="s">
        <v>#N/A N/A</v>
        <stp/>
        <stp>BDH|6183321305942828237</stp>
        <tr r="W8" s="4"/>
      </tp>
      <tp t="s">
        <v>#N/A N/A</v>
        <stp/>
        <stp>BDH|1766780717192419010</stp>
        <tr r="AO27" s="2"/>
      </tp>
      <tp t="s">
        <v>#N/A N/A</v>
        <stp/>
        <stp>BDH|3139904111819684747</stp>
        <tr r="M23" s="2"/>
      </tp>
      <tp t="s">
        <v>#N/A N/A</v>
        <stp/>
        <stp>BDH|7618127054404589278</stp>
        <tr r="AI27" s="2"/>
      </tp>
      <tp t="s">
        <v>#N/A N/A</v>
        <stp/>
        <stp>BDH|9658803098714808954</stp>
        <tr r="R8" s="4"/>
      </tp>
      <tp t="s">
        <v>#N/A N/A</v>
        <stp/>
        <stp>BDH|9477136052229286142</stp>
        <tr r="AK17" s="4"/>
      </tp>
      <tp t="s">
        <v>#N/A N/A</v>
        <stp/>
        <stp>BDH|6972798763587266523</stp>
        <tr r="Z10" s="4"/>
      </tp>
      <tp t="s">
        <v>#N/A N/A</v>
        <stp/>
        <stp>BDH|8309914185649126560</stp>
        <tr r="K27" s="2"/>
      </tp>
      <tp t="s">
        <v>#N/A N/A</v>
        <stp/>
        <stp>BDH|5737948865448784710</stp>
        <tr r="T27" s="2"/>
      </tp>
      <tp t="s">
        <v>#N/A N/A</v>
        <stp/>
        <stp>BDH|3247950917837657962</stp>
        <tr r="AH8" s="2"/>
      </tp>
      <tp t="s">
        <v>#N/A N/A</v>
        <stp/>
        <stp>BDH|3264028262513351314</stp>
        <tr r="AN26" s="2"/>
      </tp>
      <tp t="s">
        <v>#N/A N/A</v>
        <stp/>
        <stp>BDH|4056057756436197222</stp>
        <tr r="X21" s="4"/>
      </tp>
      <tp t="s">
        <v>#N/A N/A</v>
        <stp/>
        <stp>BDH|7737558325431764413</stp>
        <tr r="P16" s="4"/>
      </tp>
      <tp t="s">
        <v>#N/A N/A</v>
        <stp/>
        <stp>BDH|2874008265503842241</stp>
        <tr r="W9" s="4"/>
      </tp>
      <tp t="s">
        <v>#N/A N/A</v>
        <stp/>
        <stp>BDH|8885666313268261298</stp>
        <tr r="AJ8" s="2"/>
      </tp>
      <tp t="s">
        <v>#N/A N/A</v>
        <stp/>
        <stp>BDH|1214926047380918994</stp>
        <tr r="AK16" s="4"/>
      </tp>
      <tp t="s">
        <v>#N/A N/A</v>
        <stp/>
        <stp>BDH|7921743595915937969</stp>
        <tr r="W9" s="2"/>
      </tp>
      <tp t="s">
        <v>#N/A N/A</v>
        <stp/>
        <stp>BDH|2624227475467258541</stp>
        <tr r="AB10" s="4"/>
      </tp>
      <tp t="s">
        <v>#N/A N/A</v>
        <stp/>
        <stp>BDH|5654453615145891093</stp>
        <tr r="F9" s="4"/>
      </tp>
      <tp t="s">
        <v>#N/A N/A</v>
        <stp/>
        <stp>BDH|7644438327840334469</stp>
        <tr r="C30" s="2"/>
      </tp>
      <tp t="s">
        <v>#N/A N/A</v>
        <stp/>
        <stp>BDH|8957026329409523631</stp>
        <tr r="AJ9" s="2"/>
      </tp>
      <tp t="s">
        <v>#N/A N/A</v>
        <stp/>
        <stp>BDP|6696421622290189521</stp>
        <tr r="AK20" s="3"/>
      </tp>
      <tp t="s">
        <v>#N/A N/A</v>
        <stp/>
        <stp>BDH|8453117007049458534</stp>
        <tr r="K9" s="4"/>
      </tp>
      <tp t="s">
        <v>#N/A N/A</v>
        <stp/>
        <stp>BDH|5815236080232877868</stp>
        <tr r="G13" s="2"/>
      </tp>
      <tp t="s">
        <v>#N/A N/A</v>
        <stp/>
        <stp>BDH|6072211949332337413</stp>
        <tr r="Y27" s="2"/>
      </tp>
      <tp t="s">
        <v>#N/A N/A</v>
        <stp/>
        <stp>BDP|7268384261745870187</stp>
        <tr r="AB20" s="3"/>
      </tp>
      <tp t="s">
        <v>#N/A N/A</v>
        <stp/>
        <stp>BDH|6264704448517023410</stp>
        <tr r="AP13" s="2"/>
      </tp>
      <tp t="s">
        <v>#N/A N/A</v>
        <stp/>
        <stp>BDH|8767582867838348501</stp>
        <tr r="M24" s="4"/>
      </tp>
      <tp t="s">
        <v>#N/A N/A</v>
        <stp/>
        <stp>BDH|1355748940542833644</stp>
        <tr r="F31" s="2"/>
      </tp>
      <tp t="s">
        <v>#N/A N/A</v>
        <stp/>
        <stp>BDH|4699989312013011944</stp>
        <tr r="AG18" s="4"/>
      </tp>
      <tp t="s">
        <v>#N/A N/A</v>
        <stp/>
        <stp>BDH|5793850317873951943</stp>
        <tr r="C18" s="4"/>
      </tp>
      <tp t="s">
        <v>#N/A N/A</v>
        <stp/>
        <stp>BDP|7734113638460620312</stp>
        <tr r="K17" s="3"/>
      </tp>
      <tp t="s">
        <v>#N/A N/A</v>
        <stp/>
        <stp>BDH|6671792946013417043</stp>
        <tr r="K20" s="2"/>
      </tp>
      <tp t="s">
        <v>#N/A N/A</v>
        <stp/>
        <stp>BDH|5285664799538589416</stp>
        <tr r="Y32" s="2"/>
      </tp>
      <tp t="s">
        <v>#N/A N/A</v>
        <stp/>
        <stp>BDH|3469543618214566531</stp>
        <tr r="AH24" s="4"/>
      </tp>
      <tp t="s">
        <v>#N/A N/A</v>
        <stp/>
        <stp>BDP|2099171338553612568</stp>
        <tr r="AP24" s="3"/>
      </tp>
      <tp t="s">
        <v>#N/A N/A</v>
        <stp/>
        <stp>BDH|3783586220645197710</stp>
        <tr r="E8" s="4"/>
      </tp>
      <tp t="s">
        <v>#N/A N/A</v>
        <stp/>
        <stp>BDH|2315495976402764547</stp>
        <tr r="D9" s="4"/>
      </tp>
      <tp t="s">
        <v>#N/A N/A</v>
        <stp/>
        <stp>BDH|3594585572502047508</stp>
        <tr r="D30" s="2"/>
      </tp>
      <tp t="s">
        <v>#N/A N/A</v>
        <stp/>
        <stp>BDH|2830096920530878663</stp>
        <tr r="AK20" s="4"/>
      </tp>
      <tp t="s">
        <v>#N/A N/A</v>
        <stp/>
        <stp>BDH|7646673825152007781</stp>
        <tr r="T18" s="4"/>
      </tp>
      <tp t="s">
        <v>#N/A N/A</v>
        <stp/>
        <stp>BDH|4059554959934368637</stp>
        <tr r="AK22" s="4"/>
      </tp>
      <tp t="s">
        <v>#N/A N/A</v>
        <stp/>
        <stp>BDH|1998634271004018266</stp>
        <tr r="AP20" s="4"/>
      </tp>
      <tp t="s">
        <v>#N/A N/A</v>
        <stp/>
        <stp>BDH|7192732143376979455</stp>
        <tr r="E10" s="2"/>
      </tp>
      <tp t="s">
        <v>#N/A N/A</v>
        <stp/>
        <stp>BDH|4837948298302974002</stp>
        <tr r="U16" s="4"/>
      </tp>
      <tp t="s">
        <v>#N/A N/A</v>
        <stp/>
        <stp>BDP|5760026170814055071</stp>
        <tr r="D23" s="3"/>
      </tp>
      <tp t="s">
        <v>#N/A N/A</v>
        <stp/>
        <stp>BDP|4864576761596510798</stp>
        <tr r="AE24" s="3"/>
      </tp>
      <tp t="s">
        <v>#N/A N/A</v>
        <stp/>
        <stp>BDH|6740317335756589645</stp>
        <tr r="X27" s="2"/>
      </tp>
      <tp t="s">
        <v>#N/A N/A</v>
        <stp/>
        <stp>BDH|5919801161924349996</stp>
        <tr r="S20" s="4"/>
      </tp>
      <tp t="s">
        <v>#N/A N/A</v>
        <stp/>
        <stp>BDH|6073625109885147384</stp>
        <tr r="J20" s="2"/>
      </tp>
      <tp t="s">
        <v>#N/A N/A</v>
        <stp/>
        <stp>BDH|9823881713607890193</stp>
        <tr r="AA26" s="2"/>
      </tp>
      <tp t="s">
        <v>#N/A N/A</v>
        <stp/>
        <stp>BDH|9004269240790691929</stp>
        <tr r="W7" s="4"/>
      </tp>
      <tp t="s">
        <v>#N/A N/A</v>
        <stp/>
        <stp>BDH|6290469205025363116</stp>
        <tr r="AJ20" s="2"/>
      </tp>
      <tp t="s">
        <v>#N/A N/A</v>
        <stp/>
        <stp>BDH|2094390329306302338</stp>
        <tr r="AN9" s="2"/>
      </tp>
      <tp t="s">
        <v>#N/A N/A</v>
        <stp/>
        <stp>BDH|1720899584780825728</stp>
        <tr r="T23" s="2"/>
      </tp>
      <tp t="s">
        <v>#N/A N/A</v>
        <stp/>
        <stp>BDH|8510585409569233273</stp>
        <tr r="H7" s="2"/>
      </tp>
      <tp t="s">
        <v>#N/A N/A</v>
        <stp/>
        <stp>BDH|4728305530564317654</stp>
        <tr r="S17" s="4"/>
      </tp>
      <tp t="s">
        <v>#N/A N/A</v>
        <stp/>
        <stp>BDH|6329009262730967697</stp>
        <tr r="AG31" s="2"/>
      </tp>
      <tp t="s">
        <v>#N/A N/A</v>
        <stp/>
        <stp>BDH|1201200662976777561</stp>
        <tr r="AF25" s="2"/>
      </tp>
      <tp t="s">
        <v>#N/A N/A</v>
        <stp/>
        <stp>BDP|1892390742731537102</stp>
        <tr r="R17" s="3"/>
      </tp>
      <tp t="s">
        <v>#N/A N/A</v>
        <stp/>
        <stp>BDH|8200191807959802638</stp>
        <tr r="E31" s="2"/>
      </tp>
      <tp t="s">
        <v>#N/A N/A</v>
        <stp/>
        <stp>BDH|6625095749584946085</stp>
        <tr r="G12" s="4"/>
      </tp>
      <tp t="s">
        <v>#N/A N/A</v>
        <stp/>
        <stp>BDH|8600672696813908299</stp>
        <tr r="AJ13" s="2"/>
      </tp>
      <tp t="s">
        <v>#N/A N/A</v>
        <stp/>
        <stp>BDH|4677584768795214432</stp>
        <tr r="AE31" s="2"/>
      </tp>
      <tp t="s">
        <v>#N/A N/A</v>
        <stp/>
        <stp>BDH|4234055886942566833</stp>
        <tr r="I22" s="2"/>
      </tp>
      <tp t="s">
        <v>#N/A N/A</v>
        <stp/>
        <stp>BDH|5647322924206341472</stp>
        <tr r="AD18" s="4"/>
      </tp>
      <tp t="s">
        <v>#N/A N/A</v>
        <stp/>
        <stp>BDH|8628806674476768713</stp>
        <tr r="K10" s="2"/>
      </tp>
      <tp t="s">
        <v>#N/A N/A</v>
        <stp/>
        <stp>BDP|1760435926435185463</stp>
        <tr r="U19" s="3"/>
      </tp>
      <tp t="s">
        <v>#N/A N/A</v>
        <stp/>
        <stp>BDP|6493518656339496928</stp>
        <tr r="F20" s="3"/>
      </tp>
      <tp t="s">
        <v>#N/A N/A</v>
        <stp/>
        <stp>BDH|3732029014834443005</stp>
        <tr r="V22" s="2"/>
      </tp>
      <tp t="s">
        <v>#N/A N/A</v>
        <stp/>
        <stp>BDH|93673121557674826</stp>
        <tr r="AO22" s="4"/>
      </tp>
      <tp t="s">
        <v>#N/A N/A</v>
        <stp/>
        <stp>BDP|5374796201412412755</stp>
        <tr r="N23" s="3"/>
      </tp>
      <tp t="s">
        <v>#N/A N/A</v>
        <stp/>
        <stp>BDH|3517272678144944580</stp>
        <tr r="AL17" s="4"/>
      </tp>
      <tp t="s">
        <v>#N/A N/A</v>
        <stp/>
        <stp>BDH|2360592521711028335</stp>
        <tr r="X22" s="2"/>
      </tp>
      <tp t="s">
        <v>#N/A N/A</v>
        <stp/>
        <stp>BDH|6664024752340648482</stp>
        <tr r="AJ20" s="4"/>
      </tp>
      <tp t="s">
        <v>#N/A N/A</v>
        <stp/>
        <stp>BDP|5255547074991271191</stp>
        <tr r="I17" s="3"/>
      </tp>
      <tp t="s">
        <v>#N/A N/A</v>
        <stp/>
        <stp>BDH|1407717360610947750</stp>
        <tr r="V21" s="4"/>
      </tp>
      <tp t="s">
        <v>#N/A N/A</v>
        <stp/>
        <stp>BDH|1840277057806960781</stp>
        <tr r="AO10" s="4"/>
      </tp>
    </main>
    <main first="bofaddin.rtdserver">
      <tp t="s">
        <v>#N/A N/A</v>
        <stp/>
        <stp>BDH|7178385284493463875</stp>
        <tr r="T17" s="4"/>
      </tp>
      <tp t="s">
        <v>#N/A N/A</v>
        <stp/>
        <stp>BDH|1459545638816245649</stp>
        <tr r="C21" s="4"/>
      </tp>
      <tp t="s">
        <v>#N/A N/A</v>
        <stp/>
        <stp>BDH|2596581824885581723</stp>
        <tr r="AM7" s="4"/>
      </tp>
      <tp t="s">
        <v>#N/A N/A</v>
        <stp/>
        <stp>BDH|3813011705065595172</stp>
        <tr r="O26" s="4"/>
      </tp>
      <tp t="s">
        <v>#N/A N/A</v>
        <stp/>
        <stp>BDH|6861408734150421667</stp>
        <tr r="W16" s="4"/>
      </tp>
      <tp t="s">
        <v>#N/A N/A</v>
        <stp/>
        <stp>BDH|7565158646977881201</stp>
        <tr r="H22" s="4"/>
      </tp>
      <tp t="s">
        <v>#N/A N/A</v>
        <stp/>
        <stp>BDP|6775181304376197654</stp>
        <tr r="AD24" s="3"/>
      </tp>
      <tp t="s">
        <v>#N/A N/A</v>
        <stp/>
        <stp>BDH|7625546779862296065</stp>
        <tr r="AE8" s="4"/>
      </tp>
      <tp t="s">
        <v>#N/A N/A</v>
        <stp/>
        <stp>BDH|6126143861476897039</stp>
        <tr r="G27" s="2"/>
      </tp>
      <tp t="s">
        <v>#N/A N/A</v>
        <stp/>
        <stp>BDH|7592280759135377282</stp>
        <tr r="AP10" s="4"/>
      </tp>
      <tp t="s">
        <v>#N/A N/A</v>
        <stp/>
        <stp>BDH|8315894247040269333</stp>
        <tr r="AO26" s="4"/>
      </tp>
      <tp t="s">
        <v>#N/A N/A</v>
        <stp/>
        <stp>BDH|6649415018077144323</stp>
        <tr r="Z12" s="4"/>
      </tp>
      <tp t="s">
        <v>#N/A N/A</v>
        <stp/>
        <stp>BDH|1920547279026884204</stp>
        <tr r="F8" s="2"/>
      </tp>
      <tp t="s">
        <v>#N/A N/A</v>
        <stp/>
        <stp>BDH|9791908398157698940</stp>
        <tr r="AI14" s="4"/>
      </tp>
      <tp t="s">
        <v>#N/A N/A</v>
        <stp/>
        <stp>BDH|6492436533570009693</stp>
        <tr r="V7" s="4"/>
      </tp>
      <tp t="s">
        <v>#N/A N/A</v>
        <stp/>
        <stp>BDH|5770460658372695125</stp>
        <tr r="AP8" s="4"/>
      </tp>
      <tp t="s">
        <v>#N/A N/A</v>
        <stp/>
        <stp>BDH|3082180323202277547</stp>
        <tr r="N8" s="4"/>
      </tp>
      <tp t="s">
        <v>#N/A N/A</v>
        <stp/>
        <stp>BDH|6643254013991286300</stp>
        <tr r="D23" s="2"/>
      </tp>
      <tp t="s">
        <v>#N/A N/A</v>
        <stp/>
        <stp>BDH|2903033851739010994</stp>
        <tr r="AD30" s="2"/>
      </tp>
      <tp t="s">
        <v>#N/A N/A</v>
        <stp/>
        <stp>BDH|2922700410523955022</stp>
        <tr r="AF31" s="2"/>
      </tp>
      <tp t="s">
        <v>#N/A N/A</v>
        <stp/>
        <stp>BDH|3533137254736451641</stp>
        <tr r="C26" s="2"/>
      </tp>
      <tp t="s">
        <v>#N/A N/A</v>
        <stp/>
        <stp>BDH|3691071852118482958</stp>
        <tr r="C13" s="2"/>
      </tp>
      <tp t="s">
        <v>#N/A N/A</v>
        <stp/>
        <stp>BDH|6220714121576258235</stp>
        <tr r="AK8" s="4"/>
      </tp>
      <tp t="s">
        <v>#N/A N/A</v>
        <stp/>
        <stp>BDP|1708159062919398836</stp>
        <tr r="N24" s="3"/>
      </tp>
      <tp t="s">
        <v>#N/A N/A</v>
        <stp/>
        <stp>BDH|3542391879484243476</stp>
        <tr r="AC18" s="4"/>
      </tp>
      <tp t="s">
        <v>#N/A N/A</v>
        <stp/>
        <stp>BDH|5302938684751619229</stp>
        <tr r="AL24" s="2"/>
      </tp>
      <tp t="s">
        <v>#N/A N/A</v>
        <stp/>
        <stp>BDH|7718818685789572964</stp>
        <tr r="AN25" s="4"/>
      </tp>
      <tp t="s">
        <v>#N/A N/A</v>
        <stp/>
        <stp>BDP|4216689999419243504</stp>
        <tr r="F24" s="3"/>
      </tp>
      <tp t="s">
        <v>#N/A N/A</v>
        <stp/>
        <stp>BDH|1857345019332745634</stp>
        <tr r="AG24" s="2"/>
      </tp>
      <tp t="s">
        <v>#N/A N/A</v>
        <stp/>
        <stp>BDH|1376716340003151620</stp>
        <tr r="H12" s="4"/>
      </tp>
      <tp t="s">
        <v>#N/A N/A</v>
        <stp/>
        <stp>BDH|4105859491550667222</stp>
        <tr r="AE7" s="2"/>
      </tp>
      <tp t="s">
        <v>#N/A N/A</v>
        <stp/>
        <stp>BDH|3470449809994839409</stp>
        <tr r="AI23" s="2"/>
      </tp>
      <tp t="s">
        <v>#N/A N/A</v>
        <stp/>
        <stp>BDH|4171046661431519474</stp>
        <tr r="I13" s="4"/>
      </tp>
      <tp t="s">
        <v>#N/A N/A</v>
        <stp/>
        <stp>BDH|2663117333314211300</stp>
        <tr r="M22" s="4"/>
      </tp>
      <tp t="s">
        <v>#N/A N/A</v>
        <stp/>
        <stp>BDH|4351918316562321910</stp>
        <tr r="N20" s="4"/>
      </tp>
      <tp t="s">
        <v>#N/A N/A</v>
        <stp/>
        <stp>BDH|5014653311552182731</stp>
        <tr r="M30" s="2"/>
      </tp>
      <tp t="s">
        <v>#N/A N/A</v>
        <stp/>
        <stp>BDH|9173346845701404833</stp>
        <tr r="AL24" s="4"/>
      </tp>
      <tp t="s">
        <v>#N/A N/A</v>
        <stp/>
        <stp>BDP|2720255882309042641</stp>
        <tr r="AD20" s="3"/>
      </tp>
      <tp t="s">
        <v>#N/A N/A</v>
        <stp/>
        <stp>BDH|5267441353107995499</stp>
        <tr r="R17" s="4"/>
      </tp>
      <tp t="s">
        <v>#N/A N/A</v>
        <stp/>
        <stp>BDH|8399565022038067023</stp>
        <tr r="U23" s="2"/>
      </tp>
      <tp t="s">
        <v>#N/A N/A</v>
        <stp/>
        <stp>BDH|5949340199237901872</stp>
        <tr r="U32" s="2"/>
      </tp>
      <tp t="s">
        <v>#N/A N/A</v>
        <stp/>
        <stp>BDH|2649622454134884526</stp>
        <tr r="E14" s="4"/>
      </tp>
      <tp t="s">
        <v>#N/A N/A</v>
        <stp/>
        <stp>BDP|5469794947771058716</stp>
        <tr r="W20" s="3"/>
      </tp>
      <tp t="s">
        <v>#N/A N/A</v>
        <stp/>
        <stp>BDH|1455399180978604201</stp>
        <tr r="G9" s="2"/>
      </tp>
      <tp t="s">
        <v>#N/A N/A</v>
        <stp/>
        <stp>BDH|5824326847782348053</stp>
        <tr r="AC21" s="4"/>
      </tp>
      <tp t="s">
        <v>#N/A N/A</v>
        <stp/>
        <stp>BDP|9553593276499283204</stp>
        <tr r="AL19" s="3"/>
      </tp>
      <tp t="s">
        <v>#N/A N/A</v>
        <stp/>
        <stp>BDH|1837836694823281356</stp>
        <tr r="P10" s="2"/>
      </tp>
      <tp t="s">
        <v>#N/A N/A</v>
        <stp/>
        <stp>BDH|8944191850645953910</stp>
        <tr r="AM30" s="2"/>
      </tp>
      <tp t="s">
        <v>#N/A N/A</v>
        <stp/>
        <stp>BDH|2810433465490249048</stp>
        <tr r="AJ23" s="2"/>
      </tp>
      <tp t="s">
        <v>#N/A N/A</v>
        <stp/>
        <stp>BDH|2103728642247088698</stp>
        <tr r="AF23" s="2"/>
      </tp>
      <tp t="s">
        <v>#N/A N/A</v>
        <stp/>
        <stp>BDP|5337182953952232338</stp>
        <tr r="AN19" s="3"/>
      </tp>
      <tp t="s">
        <v>#N/A N/A</v>
        <stp/>
        <stp>BDH|3431784227076168031</stp>
        <tr r="T22" s="2"/>
      </tp>
      <tp t="s">
        <v>#N/A N/A</v>
        <stp/>
        <stp>BDH|4544774974586883274</stp>
        <tr r="P6" s="4"/>
      </tp>
      <tp t="s">
        <v>#N/A N/A</v>
        <stp/>
        <stp>BDP|5339118376862307193</stp>
        <tr r="N20" s="3"/>
      </tp>
      <tp t="s">
        <v>#N/A N/A</v>
        <stp/>
        <stp>BDH|6211221327971811708</stp>
        <tr r="AF25" s="4"/>
      </tp>
      <tp t="s">
        <v>#N/A N/A</v>
        <stp/>
        <stp>BDP|4593421469214574272</stp>
        <tr r="AD9" s="3"/>
      </tp>
      <tp t="s">
        <v>#N/A N/A</v>
        <stp/>
        <stp>BDH|1045039836476155484</stp>
        <tr r="I16" s="4"/>
      </tp>
      <tp t="s">
        <v>#N/A N/A</v>
        <stp/>
        <stp>BDH|6416596622258569968</stp>
        <tr r="AH12" s="4"/>
      </tp>
      <tp t="s">
        <v>#N/A N/A</v>
        <stp/>
        <stp>BDH|7341685450565497133</stp>
        <tr r="AA31" s="2"/>
      </tp>
      <tp t="s">
        <v>#N/A N/A</v>
        <stp/>
        <stp>BDH|8176588720259776638</stp>
        <tr r="AA7" s="4"/>
      </tp>
      <tp t="s">
        <v>#N/A N/A</v>
        <stp/>
        <stp>BDH|3607037813847948527</stp>
        <tr r="Y20" s="2"/>
      </tp>
      <tp t="s">
        <v>#N/A N/A</v>
        <stp/>
        <stp>BDH|5696444560393989496</stp>
        <tr r="J8" s="2"/>
      </tp>
      <tp t="s">
        <v>#N/A N/A</v>
        <stp/>
        <stp>BDH|8807206992543037083</stp>
        <tr r="U10" s="2"/>
      </tp>
      <tp t="s">
        <v>#N/A N/A</v>
        <stp/>
        <stp>BDH|4127472165601715765</stp>
        <tr r="S26" s="2"/>
      </tp>
      <tp t="s">
        <v>#N/A N/A</v>
        <stp/>
        <stp>BDP|2358237023071851382</stp>
        <tr r="AM19" s="3"/>
      </tp>
      <tp t="s">
        <v>#N/A N/A</v>
        <stp/>
        <stp>BDH|2009761770321123342</stp>
        <tr r="F24" s="2"/>
      </tp>
      <tp t="s">
        <v>#N/A N/A</v>
        <stp/>
        <stp>BDH|6149042782879503718</stp>
        <tr r="J7" s="2"/>
      </tp>
      <tp t="s">
        <v>#N/A N/A</v>
        <stp/>
        <stp>BDH|2228687585049458588</stp>
        <tr r="M25" s="2"/>
      </tp>
      <tp t="s">
        <v>#N/A N/A</v>
        <stp/>
        <stp>BDP|2695674074624633736</stp>
        <tr r="M19" s="3"/>
      </tp>
      <tp t="s">
        <v>#N/A N/A</v>
        <stp/>
        <stp>BDH|3901816107099657297</stp>
        <tr r="I22" s="4"/>
      </tp>
      <tp t="s">
        <v>#N/A N/A</v>
        <stp/>
        <stp>BDP|4526867393567550244</stp>
        <tr r="AG23" s="3"/>
      </tp>
      <tp t="s">
        <v>#N/A N/A</v>
        <stp/>
        <stp>BDH|9254113456005707834</stp>
        <tr r="AC20" s="4"/>
      </tp>
      <tp t="s">
        <v>#N/A N/A</v>
        <stp/>
        <stp>BDH|2199678950811485036</stp>
        <tr r="Z9" s="4"/>
      </tp>
      <tp t="s">
        <v>#N/A N/A</v>
        <stp/>
        <stp>BDH|2633106723773203268</stp>
        <tr r="W13" s="4"/>
      </tp>
      <tp t="s">
        <v>#N/A N/A</v>
        <stp/>
        <stp>BDP|1839635037571253583</stp>
        <tr r="M9" s="3"/>
      </tp>
      <tp t="s">
        <v>#N/A N/A</v>
        <stp/>
        <stp>BDP|8763876210742313350</stp>
        <tr r="I23" s="3"/>
      </tp>
      <tp t="s">
        <v>#N/A N/A</v>
        <stp/>
        <stp>BDH|7836146490637830822</stp>
        <tr r="R14" s="4"/>
      </tp>
      <tp t="s">
        <v>#N/A N/A</v>
        <stp/>
        <stp>BDH|9507969231532285160</stp>
        <tr r="T21" s="4"/>
      </tp>
      <tp t="s">
        <v>#N/A N/A</v>
        <stp/>
        <stp>BDH|7496102566461027146</stp>
        <tr r="H14" s="4"/>
      </tp>
      <tp t="s">
        <v>#N/A N/A</v>
        <stp/>
        <stp>BDH|2220812017923075822</stp>
        <tr r="E21" s="4"/>
      </tp>
      <tp t="s">
        <v>#N/A N/A</v>
        <stp/>
        <stp>BDP|5307056771086453443</stp>
        <tr r="E19" s="3"/>
      </tp>
      <tp t="s">
        <v>#N/A N/A</v>
        <stp/>
        <stp>BDP|8727321885677130460</stp>
        <tr r="AC19" s="3"/>
      </tp>
      <tp t="s">
        <v>#N/A N/A</v>
        <stp/>
        <stp>BDH|3298359834587163452</stp>
        <tr r="AO25" s="2"/>
      </tp>
      <tp t="s">
        <v>#N/A N/A</v>
        <stp/>
        <stp>BDH|9936886711695099579</stp>
        <tr r="AL30" s="2"/>
      </tp>
      <tp t="s">
        <v>#N/A N/A</v>
        <stp/>
        <stp>BDH|7692548853687646008</stp>
        <tr r="D20" s="2"/>
      </tp>
      <tp t="s">
        <v>#N/A N/A</v>
        <stp/>
        <stp>BDH|2935540878454449456</stp>
        <tr r="AB22" s="2"/>
      </tp>
      <tp t="s">
        <v>#N/A N/A</v>
        <stp/>
        <stp>BDH|2139818992751174276</stp>
        <tr r="P31" s="2"/>
      </tp>
      <tp t="s">
        <v>#N/A N/A</v>
        <stp/>
        <stp>BDH|4259833573938776314</stp>
        <tr r="I20" s="2"/>
      </tp>
      <tp t="s">
        <v>#N/A N/A</v>
        <stp/>
        <stp>BDP|9020606125475337834</stp>
        <tr r="AE19" s="3"/>
      </tp>
      <tp t="s">
        <v>#N/A N/A</v>
        <stp/>
        <stp>BDH|6295706501938020964</stp>
        <tr r="W25" s="2"/>
      </tp>
    </main>
    <main first="bofaddin.rtdserver">
      <tp t="s">
        <v>#N/A N/A</v>
        <stp/>
        <stp>BDH|9665084993674465536</stp>
        <tr r="R9" s="2"/>
      </tp>
      <tp t="s">
        <v>#N/A N/A</v>
        <stp/>
        <stp>BDP|5462691464564303012</stp>
        <tr r="R19" s="3"/>
      </tp>
      <tp t="s">
        <v>#N/A N/A</v>
        <stp/>
        <stp>BDH|7548769048773516653</stp>
        <tr r="G20" s="4"/>
      </tp>
      <tp t="s">
        <v>#N/A N/A</v>
        <stp/>
        <stp>BDH|4808377044033449148</stp>
        <tr r="AO20" s="4"/>
      </tp>
      <tp t="s">
        <v>#N/A N/A</v>
        <stp/>
        <stp>BDP|4944545042324737004</stp>
        <tr r="G24" s="3"/>
      </tp>
      <tp t="s">
        <v>#N/A N/A</v>
        <stp/>
        <stp>BDH|6059432867272861742</stp>
        <tr r="I9" s="2"/>
      </tp>
      <tp t="s">
        <v>#N/A N/A</v>
        <stp/>
        <stp>BDH|5439697162317147366</stp>
        <tr r="AI9" s="4"/>
      </tp>
      <tp t="s">
        <v>#N/A N/A</v>
        <stp/>
        <stp>BDH|6028186776034035576</stp>
        <tr r="C25" s="2"/>
      </tp>
      <tp t="s">
        <v>#N/A N/A</v>
        <stp/>
        <stp>BDH|9306543528727255846</stp>
        <tr r="V16" s="4"/>
      </tp>
      <tp t="s">
        <v>#N/A N/A</v>
        <stp/>
        <stp>BDH|5980156254332792269</stp>
        <tr r="F23" s="2"/>
      </tp>
      <tp t="s">
        <v>#N/A N/A</v>
        <stp/>
        <stp>BDH|4952540851316506374</stp>
        <tr r="L23" s="2"/>
      </tp>
      <tp t="s">
        <v>#N/A N/A</v>
        <stp/>
        <stp>BDH|4204190582605118962</stp>
        <tr r="G9" s="4"/>
      </tp>
      <tp t="s">
        <v>#N/A N/A</v>
        <stp/>
        <stp>BDP|8612204849248848789</stp>
        <tr r="Y20" s="3"/>
      </tp>
      <tp t="s">
        <v>#N/A N/A</v>
        <stp/>
        <stp>BDH|9661801009557754777</stp>
        <tr r="K9" s="2"/>
      </tp>
      <tp t="s">
        <v>#N/A N/A</v>
        <stp/>
        <stp>BDH|1732423136414458382</stp>
        <tr r="AO12" s="4"/>
      </tp>
      <tp t="s">
        <v>#N/A N/A</v>
        <stp/>
        <stp>BDH|8301277214622681890</stp>
        <tr r="AM9" s="2"/>
      </tp>
      <tp t="s">
        <v>#N/A N/A</v>
        <stp/>
        <stp>BDH|6246429962962674789</stp>
        <tr r="AE21" s="4"/>
      </tp>
      <tp t="s">
        <v>#N/A N/A</v>
        <stp/>
        <stp>BDP|8954931634156224512</stp>
        <tr r="AK9" s="3"/>
      </tp>
      <tp t="s">
        <v>#N/A N/A</v>
        <stp/>
        <stp>BDH|2267421641245437687</stp>
        <tr r="AB24" s="2"/>
      </tp>
      <tp t="s">
        <v>#N/A N/A</v>
        <stp/>
        <stp>BDH|6788445068901340455</stp>
        <tr r="J17" s="4"/>
      </tp>
      <tp t="s">
        <v>#N/A N/A</v>
        <stp/>
        <stp>BDH|6522216038746171008</stp>
        <tr r="AH17" s="4"/>
      </tp>
      <tp t="s">
        <v>#N/A N/A</v>
        <stp/>
        <stp>BDP|6530416647080112705</stp>
        <tr r="X23" s="3"/>
      </tp>
      <tp t="s">
        <v>#N/A N/A</v>
        <stp/>
        <stp>BDP|5364132514665038160</stp>
        <tr r="AA9" s="3"/>
      </tp>
      <tp t="s">
        <v>#N/A N/A</v>
        <stp/>
        <stp>BDP|3437360645976065358</stp>
        <tr r="D9" s="3"/>
      </tp>
      <tp t="s">
        <v>#N/A N/A</v>
        <stp/>
        <stp>BDH|1498950532918638274</stp>
        <tr r="X25" s="4"/>
      </tp>
    </main>
    <main first="bofaddin.rtdserver">
      <tp t="s">
        <v>#N/A N/A</v>
        <stp/>
        <stp>BDP|6495494428930222140</stp>
        <tr r="AH20" s="3"/>
      </tp>
      <tp t="s">
        <v>#N/A N/A</v>
        <stp/>
        <stp>BDH|9158820371881580648</stp>
        <tr r="Q8" s="4"/>
      </tp>
      <tp t="s">
        <v>#N/A N/A</v>
        <stp/>
        <stp>BDH|9009691137908537585</stp>
        <tr r="K26" s="2"/>
      </tp>
      <tp t="s">
        <v>#N/A N/A</v>
        <stp/>
        <stp>BDH|2713219141235606019</stp>
        <tr r="T9" s="4"/>
      </tp>
      <tp t="s">
        <v>#N/A N/A</v>
        <stp/>
        <stp>BDH|8688796479649758011</stp>
        <tr r="AI7" s="2"/>
      </tp>
      <tp t="s">
        <v>#N/A N/A</v>
        <stp/>
        <stp>BDP|5531147137787511128</stp>
        <tr r="F9" s="3"/>
      </tp>
      <tp t="s">
        <v>#N/A N/A</v>
        <stp/>
        <stp>BDP|3068526784529279651</stp>
        <tr r="AH17" s="3"/>
      </tp>
      <tp t="s">
        <v>#N/A N/A</v>
        <stp/>
        <stp>BDH|5316222714364656329</stp>
        <tr r="AD12" s="4"/>
      </tp>
      <tp t="s">
        <v>#N/A N/A</v>
        <stp/>
        <stp>BDH|2067964424700778830</stp>
        <tr r="AA30" s="2"/>
      </tp>
      <tp t="s">
        <v>#N/A N/A</v>
        <stp/>
        <stp>BDH|2566110388203272987</stp>
        <tr r="O17" s="4"/>
      </tp>
      <tp t="s">
        <v>#N/A N/A</v>
        <stp/>
        <stp>BDH|6615070266861201034</stp>
        <tr r="AD26" s="2"/>
      </tp>
      <tp t="s">
        <v>#N/A N/A</v>
        <stp/>
        <stp>BDH|6133151973687437659</stp>
        <tr r="I6" s="4"/>
      </tp>
      <tp t="s">
        <v>#N/A N/A</v>
        <stp/>
        <stp>BDH|4078544072957922096</stp>
        <tr r="G6" s="4"/>
      </tp>
      <tp t="s">
        <v>#N/A N/A</v>
        <stp/>
        <stp>BDH|9160114295155334512</stp>
        <tr r="AD25" s="2"/>
      </tp>
      <tp t="s">
        <v>#N/A N/A</v>
        <stp/>
        <stp>BDH|1818509224572234595</stp>
        <tr r="Q24" s="2"/>
      </tp>
      <tp t="s">
        <v>#N/A N/A</v>
        <stp/>
        <stp>BDP|8330230979449400594</stp>
        <tr r="V9" s="3"/>
      </tp>
      <tp t="s">
        <v>#N/A N/A</v>
        <stp/>
        <stp>BDH|1361270229012865215</stp>
        <tr r="V9" s="2"/>
      </tp>
      <tp t="s">
        <v>#N/A N/A</v>
        <stp/>
        <stp>BDH|2071189905350859215</stp>
        <tr r="T16" s="4"/>
      </tp>
      <tp t="s">
        <v>#N/A N/A</v>
        <stp/>
        <stp>BDP|8691089197397911755</stp>
        <tr r="AN23" s="3"/>
      </tp>
      <tp t="s">
        <v>#N/A N/A</v>
        <stp/>
        <stp>BDH|3739190060423812636</stp>
        <tr r="AC14" s="4"/>
      </tp>
      <tp t="s">
        <v>#N/A N/A</v>
        <stp/>
        <stp>BDH|3434240334146216537</stp>
        <tr r="S14" s="4"/>
      </tp>
      <tp t="s">
        <v>#N/A N/A</v>
        <stp/>
        <stp>BDH|3628371713980044073</stp>
        <tr r="AI7" s="4"/>
      </tp>
      <tp t="s">
        <v>#N/A N/A</v>
        <stp/>
        <stp>BDH|7451747634785989782</stp>
        <tr r="F20" s="2"/>
      </tp>
      <tp t="s">
        <v>#N/A N/A</v>
        <stp/>
        <stp>BDH|7103662857145741028</stp>
        <tr r="K14" s="4"/>
      </tp>
    </main>
    <main first="bofaddin.rtdserver">
      <tp t="s">
        <v>#N/A N/A</v>
        <stp/>
        <stp>BDP|2231630339377174231</stp>
        <tr r="AI20" s="3"/>
      </tp>
      <tp t="s">
        <v>#N/A N/A</v>
        <stp/>
        <stp>BDH|9767419296400980633</stp>
        <tr r="R24" s="4"/>
      </tp>
      <tp t="s">
        <v>#N/A N/A</v>
        <stp/>
        <stp>BDH|2817269841830577608</stp>
        <tr r="AI16" s="4"/>
      </tp>
      <tp t="s">
        <v>#N/A N/A</v>
        <stp/>
        <stp>BDP|3663555352751342093</stp>
        <tr r="AM24" s="3"/>
      </tp>
      <tp t="s">
        <v>#N/A N/A</v>
        <stp/>
        <stp>BDH|9714294516719392104</stp>
        <tr r="X24" s="2"/>
      </tp>
      <tp t="s">
        <v>#N/A N/A</v>
        <stp/>
        <stp>BDH|9885889709530928387</stp>
        <tr r="AB6" s="4"/>
      </tp>
      <tp t="s">
        <v>#N/A N/A</v>
        <stp/>
        <stp>BDH|6517188425187081000</stp>
        <tr r="AP13" s="4"/>
      </tp>
      <tp t="s">
        <v>#N/A N/A</v>
        <stp/>
        <stp>BDP|2009408860362682088</stp>
        <tr r="AA17" s="3"/>
      </tp>
      <tp t="s">
        <v>#N/A N/A</v>
        <stp/>
        <stp>BDP|5598729958496700366</stp>
        <tr r="X9" s="3"/>
      </tp>
      <tp t="s">
        <v>#N/A N/A</v>
        <stp/>
        <stp>BDH|5454667923413858078</stp>
        <tr r="AC25" s="2"/>
      </tp>
      <tp t="s">
        <v>#N/A N/A</v>
        <stp/>
        <stp>BDH|1033181185302318829</stp>
        <tr r="AH27" s="2"/>
      </tp>
      <tp t="s">
        <v>#N/A N/A</v>
        <stp/>
        <stp>BDH|4530980445423210869</stp>
        <tr r="E8" s="2"/>
      </tp>
      <tp t="s">
        <v>#N/A N/A</v>
        <stp/>
        <stp>BDH|9510352505558077086</stp>
        <tr r="AL25" s="4"/>
      </tp>
      <tp t="s">
        <v>#N/A N/A</v>
        <stp/>
        <stp>BDH|3200451828961175637</stp>
        <tr r="K6" s="4"/>
      </tp>
      <tp t="s">
        <v>#N/A N/A</v>
        <stp/>
        <stp>BDH|2798208223911874115</stp>
        <tr r="H31" s="2"/>
      </tp>
      <tp t="s">
        <v>#N/A N/A</v>
        <stp/>
        <stp>BDH|8571092718058384359</stp>
        <tr r="X12" s="4"/>
      </tp>
      <tp t="s">
        <v>#N/A N/A</v>
        <stp/>
        <stp>BDP|5724040639647939301</stp>
        <tr r="O23" s="3"/>
      </tp>
      <tp t="s">
        <v>#N/A N/A</v>
        <stp/>
        <stp>BDH|5475351932085537264</stp>
        <tr r="AK27" s="2"/>
      </tp>
      <tp t="s">
        <v>#N/A N/A</v>
        <stp/>
        <stp>BDH|2790258058334959334</stp>
        <tr r="AM22" s="4"/>
      </tp>
      <tp t="s">
        <v>#N/A N/A</v>
        <stp/>
        <stp>BDH|6977347942855882672</stp>
        <tr r="AK7" s="4"/>
      </tp>
      <tp t="s">
        <v>#N/A N/A</v>
        <stp/>
        <stp>BDH|4347268985739289527</stp>
        <tr r="W25" s="4"/>
      </tp>
      <tp t="s">
        <v>#N/A N/A</v>
        <stp/>
        <stp>BDH|7764447615881492124</stp>
        <tr r="AK30" s="2"/>
      </tp>
      <tp t="s">
        <v>#N/A N/A</v>
        <stp/>
        <stp>BDH|6486642473745443072</stp>
        <tr r="AD21" s="4"/>
      </tp>
      <tp t="s">
        <v>#N/A N/A</v>
        <stp/>
        <stp>BDH|4354254316264565145</stp>
        <tr r="X7" s="2"/>
      </tp>
      <tp t="s">
        <v>#N/A N/A</v>
        <stp/>
        <stp>BDH|4503517809577411487</stp>
        <tr r="E13" s="4"/>
      </tp>
      <tp t="s">
        <v>#N/A N/A</v>
        <stp/>
        <stp>BDH|4286017950664027722</stp>
        <tr r="V31" s="2"/>
      </tp>
      <tp t="s">
        <v>#N/A N/A</v>
        <stp/>
        <stp>BDH|1112360804971117148</stp>
        <tr r="T32" s="2"/>
      </tp>
      <tp t="s">
        <v>#N/A N/A</v>
        <stp/>
        <stp>BDH|2551005796659421011</stp>
        <tr r="T26" s="4"/>
      </tp>
      <tp t="s">
        <v>#N/A N/A</v>
        <stp/>
        <stp>BDH|8884798746339127008</stp>
        <tr r="Y20" s="4"/>
      </tp>
      <tp t="s">
        <v>#N/A N/A</v>
        <stp/>
        <stp>BDH|8185793239008218653</stp>
        <tr r="W21" s="4"/>
      </tp>
      <tp t="s">
        <v>#N/A N/A</v>
        <stp/>
        <stp>BDH|5157929665779044104</stp>
        <tr r="Q13" s="4"/>
      </tp>
      <tp t="s">
        <v>#N/A N/A</v>
        <stp/>
        <stp>BDH|7265582309880221071</stp>
        <tr r="AH22" s="2"/>
      </tp>
      <tp t="s">
        <v>#N/A N/A</v>
        <stp/>
        <stp>BDP|7238171242358574852</stp>
        <tr r="P9" s="3"/>
      </tp>
      <tp t="s">
        <v>#N/A N/A</v>
        <stp/>
        <stp>BDH|2402324956001548722</stp>
        <tr r="AP18" s="4"/>
      </tp>
      <tp t="s">
        <v>#N/A N/A</v>
        <stp/>
        <stp>BDH|3113263747592243554</stp>
        <tr r="P20" s="2"/>
      </tp>
      <tp t="s">
        <v>#N/A N/A</v>
        <stp/>
        <stp>BDH|2143798828314532124</stp>
        <tr r="AJ22" s="4"/>
      </tp>
      <tp t="s">
        <v>#N/A N/A</v>
        <stp/>
        <stp>BDH|6046953157759706111</stp>
        <tr r="AG24" s="4"/>
      </tp>
      <tp t="s">
        <v>#N/A N/A</v>
        <stp/>
        <stp>BDH|5591446220391698037</stp>
        <tr r="I9" s="4"/>
      </tp>
      <tp t="s">
        <v>#N/A N/A</v>
        <stp/>
        <stp>BDH|4312505856081244721</stp>
        <tr r="Q6" s="4"/>
      </tp>
      <tp t="s">
        <v>#N/A N/A</v>
        <stp/>
        <stp>BDH|2438424157537518612</stp>
        <tr r="AN24" s="2"/>
      </tp>
      <tp t="s">
        <v>#N/A N/A</v>
        <stp/>
        <stp>BDH|3969516125021029786</stp>
        <tr r="W26" s="2"/>
      </tp>
      <tp t="s">
        <v>#N/A N/A</v>
        <stp/>
        <stp>BDH|8706952904555562797</stp>
        <tr r="S30" s="2"/>
      </tp>
      <tp t="s">
        <v>#N/A N/A</v>
        <stp/>
        <stp>BDH|9390146301213417884</stp>
        <tr r="AC7" s="2"/>
      </tp>
      <tp t="s">
        <v>#N/A N/A</v>
        <stp/>
        <stp>BDP|5149096373706860784</stp>
        <tr r="G9" s="3"/>
      </tp>
      <tp t="s">
        <v>#N/A N/A</v>
        <stp/>
        <stp>BDH|6734260748076204502</stp>
        <tr r="AA20" s="4"/>
      </tp>
      <tp t="s">
        <v>#N/A N/A</v>
        <stp/>
        <stp>BDH|6128687554461143771</stp>
        <tr r="R13" s="4"/>
      </tp>
      <tp t="s">
        <v>#N/A N/A</v>
        <stp/>
        <stp>BDH|8408988357494139326</stp>
        <tr r="X26" s="2"/>
      </tp>
      <tp t="s">
        <v>#N/A N/A</v>
        <stp/>
        <stp>BDH|4812042515761354729</stp>
        <tr r="I27" s="2"/>
      </tp>
      <tp t="s">
        <v>#N/A N/A</v>
        <stp/>
        <stp>BDH|9207703918278283407</stp>
        <tr r="L24" s="2"/>
      </tp>
      <tp t="s">
        <v>#N/A N/A</v>
        <stp/>
        <stp>BDH|3552562511442808630</stp>
        <tr r="J10" s="2"/>
      </tp>
      <tp t="s">
        <v>#N/A N/A</v>
        <stp/>
        <stp>BDH|4954942713699166665</stp>
        <tr r="AL6" s="4"/>
      </tp>
      <tp t="s">
        <v>#N/A N/A</v>
        <stp/>
        <stp>BDH|6642261832596809235</stp>
        <tr r="P21" s="4"/>
      </tp>
      <tp t="s">
        <v>#N/A N/A</v>
        <stp/>
        <stp>BDH|2593915390948922935</stp>
        <tr r="Q26" s="2"/>
      </tp>
      <tp t="s">
        <v>#N/A N/A</v>
        <stp/>
        <stp>BDH|2379387943587665117</stp>
        <tr r="W13" s="2"/>
      </tp>
      <tp t="s">
        <v>#N/A N/A</v>
        <stp/>
        <stp>BDH|5145277598425657875</stp>
        <tr r="N27" s="2"/>
      </tp>
      <tp t="s">
        <v>#N/A N/A</v>
        <stp/>
        <stp>BDH|6853384206012853418</stp>
        <tr r="I26" s="4"/>
      </tp>
      <tp t="s">
        <v>#N/A N/A</v>
        <stp/>
        <stp>BDH|4269728770633965459</stp>
        <tr r="AD7" s="2"/>
      </tp>
      <tp t="s">
        <v>#N/A N/A</v>
        <stp/>
        <stp>BDH|6875152848879922909</stp>
        <tr r="D13" s="2"/>
      </tp>
      <tp t="s">
        <v>#N/A N/A</v>
        <stp/>
        <stp>BDH|6205500340457909367</stp>
        <tr r="L26" s="4"/>
      </tp>
      <tp t="s">
        <v>#N/A N/A</v>
        <stp/>
        <stp>BDH|3074461265331360322</stp>
        <tr r="AC17" s="4"/>
      </tp>
      <tp t="s">
        <v>#N/A N/A</v>
        <stp/>
        <stp>BDP|5094774509494450597</stp>
        <tr r="X19" s="3"/>
      </tp>
      <tp t="s">
        <v>#N/A N/A</v>
        <stp/>
        <stp>BDH|7909586067182213577</stp>
        <tr r="G7" s="2"/>
      </tp>
      <tp t="s">
        <v>#N/A N/A</v>
        <stp/>
        <stp>BDH|5168166035835537148</stp>
        <tr r="E16" s="4"/>
      </tp>
      <tp t="s">
        <v>#N/A N/A</v>
        <stp/>
        <stp>BDH|8171651647300377937</stp>
        <tr r="AH20" s="2"/>
      </tp>
      <tp t="s">
        <v>#N/A N/A</v>
        <stp/>
        <stp>BDH|8017907252901876697</stp>
        <tr r="G13" s="4"/>
      </tp>
      <tp t="s">
        <v>#N/A N/A</v>
        <stp/>
        <stp>BDH|9461491392617827071</stp>
        <tr r="AA25" s="4"/>
      </tp>
      <tp t="s">
        <v>#N/A N/A</v>
        <stp/>
        <stp>BDH|7281819023296808888</stp>
        <tr r="AN6" s="4"/>
      </tp>
      <tp t="s">
        <v>#N/A N/A</v>
        <stp/>
        <stp>BDP|5769400777060035519</stp>
        <tr r="AO17" s="3"/>
      </tp>
      <tp t="s">
        <v>#N/A N/A</v>
        <stp/>
        <stp>BDH|9297593009036536969</stp>
        <tr r="I10" s="2"/>
      </tp>
      <tp t="s">
        <v>#N/A N/A</v>
        <stp/>
        <stp>BDH|6561044846640403152</stp>
        <tr r="AH21" s="4"/>
      </tp>
      <tp t="s">
        <v>#N/A N/A</v>
        <stp/>
        <stp>BDH|7414027414672127777</stp>
        <tr r="V13" s="4"/>
      </tp>
      <tp t="s">
        <v>#N/A N/A</v>
        <stp/>
        <stp>BDH|5815093727451149537</stp>
        <tr r="AL8" s="2"/>
      </tp>
      <tp t="s">
        <v>#N/A N/A</v>
        <stp/>
        <stp>BDH|6383576977504063374</stp>
        <tr r="AD20" s="4"/>
      </tp>
      <tp t="s">
        <v>#N/A N/A</v>
        <stp/>
        <stp>BDH|4999900069790564812</stp>
        <tr r="J13" s="4"/>
      </tp>
      <tp t="s">
        <v>#N/A N/A</v>
        <stp/>
        <stp>BDH|3060571343759202830</stp>
        <tr r="V8" s="4"/>
      </tp>
      <tp t="s">
        <v>#N/A N/A</v>
        <stp/>
        <stp>BDH|4587883665819430095</stp>
        <tr r="AK7" s="2"/>
      </tp>
      <tp t="s">
        <v>#N/A N/A</v>
        <stp/>
        <stp>BDH|5699709019514304492</stp>
        <tr r="Q18" s="4"/>
      </tp>
      <tp t="s">
        <v>#N/A N/A</v>
        <stp/>
        <stp>BDH|3770363642450531739</stp>
        <tr r="F17" s="4"/>
      </tp>
    </main>
    <main first="bofaddin.rtdserver">
      <tp t="s">
        <v>#N/A N/A</v>
        <stp/>
        <stp>BDP|80708471777710335</stp>
        <tr r="AP17" s="3"/>
      </tp>
    </main>
    <main first="bofaddin.rtdserver">
      <tp t="s">
        <v>#N/A N/A</v>
        <stp/>
        <stp>BDH|444319485498622693</stp>
        <tr r="AH31" s="2"/>
      </tp>
      <tp t="s">
        <v>#N/A N/A</v>
        <stp/>
        <stp>BDH|563298758012884035</stp>
        <tr r="AO13" s="2"/>
      </tp>
      <tp t="s">
        <v>#N/A N/A</v>
        <stp/>
        <stp>BDH|189394142002465045</stp>
        <tr r="N6" s="4"/>
      </tp>
      <tp t="s">
        <v>#N/A N/A</v>
        <stp/>
        <stp>BDH|371315968577886681</stp>
        <tr r="I25" s="4"/>
      </tp>
      <tp t="s">
        <v>#N/A N/A</v>
        <stp/>
        <stp>BDH|231633180593598908</stp>
        <tr r="J21" s="4"/>
      </tp>
      <tp t="s">
        <v>#N/A N/A</v>
        <stp/>
        <stp>BDH|234281965826205681</stp>
        <tr r="AH20" s="4"/>
      </tp>
      <tp t="s">
        <v>#N/A N/A</v>
        <stp/>
        <stp>BDP|923600449011416756</stp>
        <tr r="R24" s="3"/>
      </tp>
      <tp t="s">
        <v>#N/A N/A</v>
        <stp/>
        <stp>BDH|688721382700958816</stp>
        <tr r="R25" s="2"/>
      </tp>
      <tp t="s">
        <v>#N/A N/A</v>
        <stp/>
        <stp>BDP|884578856897131071</stp>
        <tr r="C17" s="3"/>
      </tp>
      <tp t="s">
        <v>#N/A N/A</v>
        <stp/>
        <stp>BDH|688302731841976615</stp>
        <tr r="M8" s="4"/>
      </tp>
      <tp t="s">
        <v>#N/A N/A</v>
        <stp/>
        <stp>BDH|596716646215969137</stp>
        <tr r="AP6" s="4"/>
      </tp>
      <tp t="s">
        <v>#N/A N/A</v>
        <stp/>
        <stp>BDH|279556708354386666</stp>
        <tr r="AL8" s="4"/>
      </tp>
      <tp t="s">
        <v>#N/A N/A</v>
        <stp/>
        <stp>BDH|341748656004609132</stp>
        <tr r="L22" s="2"/>
      </tp>
      <tp t="s">
        <v>#N/A N/A</v>
        <stp/>
        <stp>BDH|372525048252884457</stp>
        <tr r="M13" s="2"/>
      </tp>
      <tp t="s">
        <v>#N/A N/A</v>
        <stp/>
        <stp>BDH|773247016440686432</stp>
        <tr r="D31" s="2"/>
      </tp>
      <tp t="s">
        <v>#N/A N/A</v>
        <stp/>
        <stp>BDH|792538281903168943</stp>
        <tr r="N30" s="2"/>
      </tp>
    </main>
    <main first="bofaddin.rtdserver">
      <tp t="s">
        <v>#N/A N/A</v>
        <stp/>
        <stp>BDH|740216000841325509</stp>
        <tr r="J32" s="2"/>
      </tp>
      <tp t="s">
        <v>#N/A N/A</v>
        <stp/>
        <stp>BDH|146689718520593163</stp>
        <tr r="X18" s="4"/>
      </tp>
    </main>
    <main first="bofaddin.rtdserver">
      <tp t="s">
        <v>#N/A N/A</v>
        <stp/>
        <stp>BDH|633788743244227600</stp>
        <tr r="AM24" s="4"/>
      </tp>
      <tp t="s">
        <v>#N/A N/A</v>
        <stp/>
        <stp>BDH|439793255373136019</stp>
        <tr r="S9" s="4"/>
      </tp>
      <tp t="s">
        <v>#N/A N/A</v>
        <stp/>
        <stp>BDH|881015718753294372</stp>
        <tr r="T8" s="4"/>
      </tp>
      <tp t="s">
        <v>#N/A N/A</v>
        <stp/>
        <stp>BDH|253080568242734521</stp>
        <tr r="F24" s="4"/>
      </tp>
      <tp t="s">
        <v>#N/A N/A</v>
        <stp/>
        <stp>BDH|770583785685837954</stp>
        <tr r="E7" s="4"/>
      </tp>
      <tp t="s">
        <v>#N/A N/A</v>
        <stp/>
        <stp>BDH|610310332132687331</stp>
        <tr r="AO21" s="4"/>
      </tp>
    </main>
    <main first="bofaddin.rtdserver">
      <tp t="s">
        <v>#N/A N/A</v>
        <stp/>
        <stp>BDH|897649667847344771</stp>
        <tr r="J9" s="4"/>
      </tp>
      <tp t="s">
        <v>#N/A N/A</v>
        <stp/>
        <stp>BDH|235833890574291591</stp>
        <tr r="T12" s="4"/>
      </tp>
      <tp t="s">
        <v>#N/A N/A</v>
        <stp/>
        <stp>BDH|173978537062715848</stp>
        <tr r="M7" s="4"/>
      </tp>
    </main>
    <main first="bofaddin.rtdserver">
      <tp t="s">
        <v>#N/A N/A</v>
        <stp/>
        <stp>BDH|678671264617810463</stp>
        <tr r="L16" s="4"/>
      </tp>
      <tp t="s">
        <v>#N/A N/A</v>
        <stp/>
        <stp>BDH|601240442483328662</stp>
        <tr r="Z26" s="4"/>
      </tp>
    </main>
    <main first="bofaddin.rtdserver">
      <tp t="s">
        <v>#N/A N/A</v>
        <stp/>
        <stp>BDH|545199613904243603</stp>
        <tr r="AL23" s="2"/>
      </tp>
      <tp t="s">
        <v>#N/A N/A</v>
        <stp/>
        <stp>BDP|130921899717519563</stp>
        <tr r="AI23" s="3"/>
      </tp>
      <tp t="s">
        <v>#N/A N/A</v>
        <stp/>
        <stp>BDH|712572202286072186</stp>
        <tr r="Q27" s="2"/>
      </tp>
      <tp t="s">
        <v>#N/A N/A</v>
        <stp/>
        <stp>BDH|421413248090526226</stp>
        <tr r="L8" s="2"/>
      </tp>
      <tp t="s">
        <v>#N/A N/A</v>
        <stp/>
        <stp>BDH|568019532008458996</stp>
        <tr r="J20" s="4"/>
      </tp>
      <tp t="s">
        <v>#N/A N/A</v>
        <stp/>
        <stp>BDH|497130780312704916</stp>
        <tr r="N13" s="2"/>
      </tp>
      <tp t="s">
        <v>#N/A N/A</v>
        <stp/>
        <stp>BDH|376762812317119349</stp>
        <tr r="AN30" s="2"/>
      </tp>
    </main>
    <main first="bofaddin.rtdserver">
      <tp t="s">
        <v>#N/A N/A</v>
        <stp/>
        <stp>BDP|997108043760783817</stp>
        <tr r="F19" s="3"/>
      </tp>
      <tp t="s">
        <v>#N/A N/A</v>
        <stp/>
        <stp>BDH|486868630086204084</stp>
        <tr r="X8" s="2"/>
      </tp>
      <tp t="s">
        <v>#N/A N/A</v>
        <stp/>
        <stp>BDH|693152392652241726</stp>
        <tr r="AB25" s="2"/>
      </tp>
      <tp t="s">
        <v>#N/A N/A</v>
        <stp/>
        <stp>BDP|457938463646772409</stp>
        <tr r="K23" s="3"/>
      </tp>
      <tp t="s">
        <v>#N/A N/A</v>
        <stp/>
        <stp>BDP|120707667388269588</stp>
        <tr r="Q9" s="3"/>
      </tp>
    </main>
    <main first="bofaddin.rtdserver">
      <tp t="s">
        <v>#N/A N/A</v>
        <stp/>
        <stp>BDP|940289722605949930</stp>
        <tr r="L24" s="3"/>
      </tp>
      <tp t="s">
        <v>#N/A N/A</v>
        <stp/>
        <stp>BDH|241493712641885835</stp>
        <tr r="P7" s="2"/>
      </tp>
      <tp t="s">
        <v>#N/A N/A</v>
        <stp/>
        <stp>BDH|518651689142851023</stp>
        <tr r="F10" s="2"/>
      </tp>
    </main>
    <main first="bofaddin.rtdserver">
      <tp t="s">
        <v>#N/A N/A</v>
        <stp/>
        <stp>BDH|863505225299765141</stp>
        <tr r="K20" s="4"/>
      </tp>
    </main>
    <main first="bofaddin.rtdserver">
      <tp t="s">
        <v>#N/A N/A</v>
        <stp/>
        <stp>BDH|734902152957354401</stp>
        <tr r="D10" s="4"/>
      </tp>
      <tp t="s">
        <v>#N/A N/A</v>
        <stp/>
        <stp>BDP|926183894640329704</stp>
        <tr r="D17" s="3"/>
      </tp>
      <tp t="s">
        <v>#N/A N/A</v>
        <stp/>
        <stp>BDH|151802340412417127</stp>
        <tr r="L8" s="4"/>
      </tp>
      <tp t="s">
        <v>#N/A N/A</v>
        <stp/>
        <stp>BDH|478228481941659408</stp>
        <tr r="AF12" s="4"/>
      </tp>
      <tp t="s">
        <v>#N/A N/A</v>
        <stp/>
        <stp>BDH|365886330312287686</stp>
        <tr r="W22" s="2"/>
      </tp>
      <tp t="s">
        <v>#N/A N/A</v>
        <stp/>
        <stp>BDP|340530828558462134</stp>
        <tr r="G23" s="3"/>
      </tp>
    </main>
    <main first="bofaddin.rtdserver">
      <tp t="s">
        <v>#N/A N/A</v>
        <stp/>
        <stp>BDH|701994219677353106</stp>
        <tr r="AN8" s="4"/>
      </tp>
      <tp t="s">
        <v>#N/A N/A</v>
        <stp/>
        <stp>BDP|578442690465453673</stp>
        <tr r="L19" s="3"/>
      </tp>
    </main>
    <main first="bofaddin.rtdserver">
      <tp t="s">
        <v>#N/A N/A</v>
        <stp/>
        <stp>BDH|952068398489688999</stp>
        <tr r="L14" s="4"/>
      </tp>
      <tp t="s">
        <v>#N/A N/A</v>
        <stp/>
        <stp>BDH|948934365451870771</stp>
        <tr r="D6" s="4"/>
      </tp>
      <tp t="s">
        <v>#N/A N/A</v>
        <stp/>
        <stp>BDH|704521561732582807</stp>
        <tr r="AP30" s="2"/>
      </tp>
      <tp t="s">
        <v>#N/A N/A</v>
        <stp/>
        <stp>BDH|183983562900099759</stp>
        <tr r="K26" s="4"/>
      </tp>
      <tp t="s">
        <v>#N/A N/A</v>
        <stp/>
        <stp>BDH|667684495250487764</stp>
        <tr r="P23" s="2"/>
      </tp>
      <tp t="s">
        <v>#N/A N/A</v>
        <stp/>
        <stp>BDH|851695783104540278</stp>
        <tr r="AO22" s="2"/>
      </tp>
      <tp t="s">
        <v>#N/A N/A</v>
        <stp/>
        <stp>BDH|822083939113294897</stp>
        <tr r="V24" s="2"/>
      </tp>
      <tp t="s">
        <v>#N/A N/A</v>
        <stp/>
        <stp>BDH|399064083562648232</stp>
        <tr r="AE24" s="2"/>
      </tp>
    </main>
    <main first="bofaddin.rtdserver">
      <tp t="s">
        <v>#N/A N/A</v>
        <stp/>
        <stp>BDH|602926435494261526</stp>
        <tr r="AJ25" s="4"/>
      </tp>
    </main>
    <main first="bofaddin.rtdserver">
      <tp t="s">
        <v>#N/A N/A</v>
        <stp/>
        <stp>BDP|750211891642822312</stp>
        <tr r="K20" s="3"/>
      </tp>
      <tp t="s">
        <v>#N/A N/A</v>
        <stp/>
        <stp>BDH|361599196343127597</stp>
        <tr r="AJ7" s="4"/>
      </tp>
      <tp t="s">
        <v>#N/A N/A</v>
        <stp/>
        <stp>BDH|531696880594998035</stp>
        <tr r="U6" s="4"/>
      </tp>
      <tp t="s">
        <v>#N/A N/A</v>
        <stp/>
        <stp>BDH|772483693343927454</stp>
        <tr r="AH6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 t="s">
        <v>85</v>
      </c>
      <c r="B7" s="18" t="s">
        <v>86</v>
      </c>
      <c r="C7" s="21">
        <f>_xll.BDH("ADBE US Equity","RETURN_COM_EQY","FQ3 2011","FQ3 2011","Currency=USD","Period=FQ","BEST_FPERIOD_OVERRIDE=FQ","FILING_STATUS=MR","FA_ADJUSTED=GAAP","Sort=A","Dates=H","DateFormat=P","Fill=—","Direction=H","UseDPDF=Y")</f>
        <v>17.428799999999999</v>
      </c>
      <c r="D7" s="21">
        <f>_xll.BDH("ADBE US Equity","RETURN_COM_EQY","FQ4 2011","FQ4 2011","Currency=USD","Period=FQ","BEST_FPERIOD_OVERRIDE=FQ","FILING_STATUS=MR","FA_ADJUSTED=GAAP","Sort=A","Dates=H","DateFormat=P","Fill=—","Direction=H","UseDPDF=Y")</f>
        <v>15.176500000000001</v>
      </c>
      <c r="E7" s="21">
        <f>_xll.BDH("ADBE US Equity","RETURN_COM_EQY","FQ1 2012","FQ1 2012","Currency=USD","Period=FQ","BEST_FPERIOD_OVERRIDE=FQ","FILING_STATUS=MR","FA_ADJUSTED=GAAP","Sort=A","Dates=H","DateFormat=P","Fill=—","Direction=H","UseDPDF=Y")</f>
        <v>13.7309</v>
      </c>
      <c r="F7" s="21">
        <f>_xll.BDH("ADBE US Equity","RETURN_COM_EQY","FQ2 2012","FQ2 2012","Currency=USD","Period=FQ","BEST_FPERIOD_OVERRIDE=FQ","FILING_STATUS=MR","FA_ADJUSTED=GAAP","Sort=A","Dates=H","DateFormat=P","Fill=—","Direction=H","UseDPDF=Y")</f>
        <v>13.541700000000001</v>
      </c>
      <c r="G7" s="21">
        <f>_xll.BDH("ADBE US Equity","RETURN_COM_EQY","FQ3 2012","FQ3 2012","Currency=USD","Period=FQ","BEST_FPERIOD_OVERRIDE=FQ","FILING_STATUS=MR","FA_ADJUSTED=GAAP","Sort=A","Dates=H","DateFormat=P","Fill=—","Direction=H","UseDPDF=Y")</f>
        <v>13.0665</v>
      </c>
      <c r="H7" s="21">
        <f>_xll.BDH("ADBE US Equity","RETURN_COM_EQY","FQ4 2012","FQ4 2012","Currency=USD","Period=FQ","BEST_FPERIOD_OVERRIDE=FQ","FILING_STATUS=MR","FA_ADJUSTED=GAAP","Sort=A","Dates=H","DateFormat=P","Fill=—","Direction=H","UseDPDF=Y")</f>
        <v>13.3797</v>
      </c>
      <c r="I7" s="21">
        <f>_xll.BDH("ADBE US Equity","RETURN_COM_EQY","FQ1 2013","FQ1 2013","Currency=USD","Period=FQ","BEST_FPERIOD_OVERRIDE=FQ","FILING_STATUS=MR","FA_ADJUSTED=GAAP","Sort=A","Dates=H","DateFormat=P","Fill=—","Direction=H","UseDPDF=Y")</f>
        <v>11.142899999999999</v>
      </c>
      <c r="J7" s="21">
        <f>_xll.BDH("ADBE US Equity","RETURN_COM_EQY","FQ2 2013","FQ2 2013","Currency=USD","Period=FQ","BEST_FPERIOD_OVERRIDE=FQ","FILING_STATUS=MR","FA_ADJUSTED=GAAP","Sort=A","Dates=H","DateFormat=P","Fill=—","Direction=H","UseDPDF=Y")</f>
        <v>8.6797000000000004</v>
      </c>
      <c r="K7" s="21">
        <f>_xll.BDH("ADBE US Equity","RETURN_COM_EQY","FQ3 2013","FQ3 2013","Currency=USD","Period=FQ","BEST_FPERIOD_OVERRIDE=FQ","FILING_STATUS=MR","FA_ADJUSTED=GAAP","Sort=A","Dates=H","DateFormat=P","Fill=—","Direction=H","UseDPDF=Y")</f>
        <v>6.7351999999999999</v>
      </c>
      <c r="L7" s="21">
        <f>_xll.BDH("ADBE US Equity","RETURN_COM_EQY","FQ4 2013","FQ4 2013","Currency=USD","Period=FQ","BEST_FPERIOD_OVERRIDE=FQ","FILING_STATUS=MR","FA_ADJUSTED=GAAP","Sort=A","Dates=H","DateFormat=P","Fill=—","Direction=H","UseDPDF=Y")</f>
        <v>4.3314000000000004</v>
      </c>
      <c r="M7" s="21">
        <f>_xll.BDH("ADBE US Equity","RETURN_COM_EQY","FQ1 2014","FQ1 2014","Currency=USD","Period=FQ","BEST_FPERIOD_OVERRIDE=FQ","FILING_STATUS=MR","FA_ADJUSTED=GAAP","Sort=A","Dates=H","DateFormat=P","Fill=—","Direction=H","UseDPDF=Y")</f>
        <v>4.0534999999999997</v>
      </c>
      <c r="N7" s="21">
        <f>_xll.BDH("ADBE US Equity","RETURN_COM_EQY","FQ2 2014","FQ2 2014","Currency=USD","Period=FQ","BEST_FPERIOD_OVERRIDE=FQ","FILING_STATUS=MR","FA_ADJUSTED=GAAP","Sort=A","Dates=H","DateFormat=P","Fill=—","Direction=H","UseDPDF=Y")</f>
        <v>4.1859000000000002</v>
      </c>
      <c r="O7" s="21">
        <f>_xll.BDH("ADBE US Equity","RETURN_COM_EQY","FQ3 2014","FQ3 2014","Currency=USD","Period=FQ","BEST_FPERIOD_OVERRIDE=FQ","FILING_STATUS=MR","FA_ADJUSTED=GAAP","Sort=A","Dates=H","DateFormat=P","Fill=—","Direction=H","UseDPDF=Y")</f>
        <v>3.6204999999999998</v>
      </c>
      <c r="P7" s="21">
        <f>_xll.BDH("ADBE US Equity","RETURN_COM_EQY","FQ4 2014","FQ4 2014","Currency=USD","Period=FQ","BEST_FPERIOD_OVERRIDE=FQ","FILING_STATUS=MR","FA_ADJUSTED=GAAP","Sort=A","Dates=H","DateFormat=P","Fill=—","Direction=H","UseDPDF=Y")</f>
        <v>3.7561999999999998</v>
      </c>
      <c r="Q7" s="21">
        <f>_xll.BDH("ADBE US Equity","RETURN_COM_EQY","FQ1 2015","FQ1 2015","Currency=USD","Period=FQ","BEST_FPERIOD_OVERRIDE=FQ","FILING_STATUS=MR","FA_ADJUSTED=GAAP","Sort=A","Dates=H","DateFormat=P","Fill=—","Direction=H","UseDPDF=Y")</f>
        <v>4.4150999999999998</v>
      </c>
      <c r="R7" s="21">
        <f>_xll.BDH("ADBE US Equity","RETURN_COM_EQY","FQ2 2015","FQ2 2015","Currency=USD","Period=FQ","BEST_FPERIOD_OVERRIDE=FQ","FILING_STATUS=MR","FA_ADJUSTED=GAAP","Sort=A","Dates=H","DateFormat=P","Fill=—","Direction=H","UseDPDF=Y")</f>
        <v>5.2896000000000001</v>
      </c>
      <c r="S7" s="21">
        <f>_xll.BDH("ADBE US Equity","RETURN_COM_EQY","FQ3 2015","FQ3 2015","Currency=USD","Period=FQ","BEST_FPERIOD_OVERRIDE=FQ","FILING_STATUS=MR","FA_ADJUSTED=GAAP","Sort=A","Dates=H","DateFormat=P","Fill=—","Direction=H","UseDPDF=Y")</f>
        <v>7.0750999999999999</v>
      </c>
      <c r="T7" s="21">
        <f>_xll.BDH("ADBE US Equity","RETURN_COM_EQY","FQ4 2015","FQ4 2015","Currency=USD","Period=FQ","BEST_FPERIOD_OVERRIDE=FQ","FILING_STATUS=MR","FA_ADJUSTED=GAAP","Sort=A","Dates=H","DateFormat=P","Fill=—","Direction=H","UseDPDF=Y")</f>
        <v>9.1387999999999998</v>
      </c>
      <c r="U7" s="21">
        <f>_xll.BDH("ADBE US Equity","RETURN_COM_EQY","FQ1 2016","FQ1 2016","Currency=USD","Period=FQ","BEST_FPERIOD_OVERRIDE=FQ","FILING_STATUS=MR","FA_ADJUSTED=GAAP","Sort=A","Dates=H","DateFormat=P","Fill=—","Direction=H","UseDPDF=Y")</f>
        <v>11.6892</v>
      </c>
      <c r="V7" s="21">
        <f>_xll.BDH("ADBE US Equity","RETURN_COM_EQY","FQ2 2016","FQ2 2016","Currency=USD","Period=FQ","BEST_FPERIOD_OVERRIDE=FQ","FILING_STATUS=MR","FA_ADJUSTED=GAAP","Sort=A","Dates=H","DateFormat=P","Fill=—","Direction=H","UseDPDF=Y")</f>
        <v>12.923999999999999</v>
      </c>
      <c r="W7" s="21">
        <f>_xll.BDH("ADBE US Equity","RETURN_COM_EQY","FQ3 2016","FQ3 2016","Currency=USD","Period=FQ","BEST_FPERIOD_OVERRIDE=FQ","FILING_STATUS=MR","FA_ADJUSTED=GAAP","Sort=A","Dates=H","DateFormat=P","Fill=—","Direction=H","UseDPDF=Y")</f>
        <v>14.049899999999999</v>
      </c>
      <c r="X7" s="21">
        <f>_xll.BDH("ADBE US Equity","RETURN_COM_EQY","FQ4 2016","FQ4 2016","Currency=USD","Period=FQ","BEST_FPERIOD_OVERRIDE=FQ","FILING_STATUS=MR","FA_ADJUSTED=GAAP","Sort=A","Dates=H","DateFormat=P","Fill=—","Direction=H","UseDPDF=Y")</f>
        <v>16.203399999999998</v>
      </c>
      <c r="Y7" s="21">
        <f>_xll.BDH("ADBE US Equity","RETURN_COM_EQY","FQ1 2017","FQ1 2017","Currency=USD","Period=FQ","BEST_FPERIOD_OVERRIDE=FQ","FILING_STATUS=MR","FA_ADJUSTED=GAAP","Sort=A","Dates=H","DateFormat=P","Fill=—","Direction=H","UseDPDF=Y")</f>
        <v>17.8995</v>
      </c>
      <c r="Z7" s="21">
        <f>_xll.BDH("ADBE US Equity","RETURN_COM_EQY","FQ2 2017","FQ2 2017","Currency=USD","Period=FQ","BEST_FPERIOD_OVERRIDE=FQ","FILING_STATUS=MR","FA_ADJUSTED=GAAP","Sort=A","Dates=H","DateFormat=P","Fill=—","Direction=H","UseDPDF=Y")</f>
        <v>19.175899999999999</v>
      </c>
      <c r="AA7" s="21">
        <f>_xll.BDH("ADBE US Equity","RETURN_COM_EQY","FQ3 2017","FQ3 2017","Currency=USD","Period=FQ","BEST_FPERIOD_OVERRIDE=FQ","FILING_STATUS=MR","FA_ADJUSTED=GAAP","Sort=A","Dates=H","DateFormat=P","Fill=—","Direction=H","UseDPDF=Y")</f>
        <v>20.610800000000001</v>
      </c>
      <c r="AB7" s="21">
        <f>_xll.BDH("ADBE US Equity","RETURN_COM_EQY","FQ4 2017","FQ4 2017","Currency=USD","Period=FQ","BEST_FPERIOD_OVERRIDE=FQ","FILING_STATUS=MR","FA_ADJUSTED=GAAP","Sort=A","Dates=H","DateFormat=P","Fill=—","Direction=H","UseDPDF=Y")</f>
        <v>21.328099999999999</v>
      </c>
      <c r="AC7" s="21">
        <f>_xll.BDH("ADBE US Equity","RETURN_COM_EQY","FQ1 2018","FQ1 2018","Currency=USD","Period=FQ","BEST_FPERIOD_OVERRIDE=FQ","FILING_STATUS=MR","FA_ADJUSTED=GAAP","Sort=A","Dates=H","DateFormat=P","Fill=—","Direction=H","UseDPDF=Y")</f>
        <v>23.1599</v>
      </c>
      <c r="AD7" s="21">
        <f>_xll.BDH("ADBE US Equity","RETURN_COM_EQY","FQ2 2018","FQ2 2018","Currency=USD","Period=FQ","BEST_FPERIOD_OVERRIDE=FQ","FILING_STATUS=MR","FA_ADJUSTED=GAAP","Sort=A","Dates=H","DateFormat=P","Fill=—","Direction=H","UseDPDF=Y")</f>
        <v>26.255800000000001</v>
      </c>
      <c r="AE7" s="21">
        <f>_xll.BDH("ADBE US Equity","RETURN_COM_EQY","FQ3 2018","FQ3 2018","Currency=USD","Period=FQ","BEST_FPERIOD_OVERRIDE=FQ","FILING_STATUS=MR","FA_ADJUSTED=GAAP","Sort=A","Dates=H","DateFormat=P","Fill=—","Direction=H","UseDPDF=Y")</f>
        <v>28.347000000000001</v>
      </c>
      <c r="AF7" s="21">
        <f>_xll.BDH("ADBE US Equity","RETURN_COM_EQY","FQ4 2018","FQ4 2018","Currency=USD","Period=FQ","BEST_FPERIOD_OVERRIDE=FQ","FILING_STATUS=MR","FA_ADJUSTED=GAAP","Sort=A","Dates=H","DateFormat=P","Fill=—","Direction=H","UseDPDF=Y")</f>
        <v>29.073899999999998</v>
      </c>
      <c r="AG7" s="21">
        <f>_xll.BDH("ADBE US Equity","RETURN_COM_EQY","FQ1 2019","FQ1 2019","Currency=USD","Period=FQ","BEST_FPERIOD_OVERRIDE=FQ","FILING_STATUS=MR","FA_ADJUSTED=GAAP","Sort=A","Dates=H","DateFormat=P","Fill=—","Direction=H","UseDPDF=Y")</f>
        <v>28.985299999999999</v>
      </c>
      <c r="AH7" s="21">
        <f>_xll.BDH("ADBE US Equity","RETURN_COM_EQY","FQ2 2019","FQ2 2019","Currency=USD","Period=FQ","BEST_FPERIOD_OVERRIDE=FQ","FILING_STATUS=MR","FA_ADJUSTED=GAAP","Sort=A","Dates=H","DateFormat=P","Fill=—","Direction=H","UseDPDF=Y")</f>
        <v>28.456600000000002</v>
      </c>
      <c r="AI7" s="21">
        <f>_xll.BDH("ADBE US Equity","RETURN_COM_EQY","FQ3 2019","FQ3 2019","Currency=USD","Period=FQ","BEST_FPERIOD_OVERRIDE=FQ","FILING_STATUS=MR","FA_ADJUSTED=GAAP","Sort=A","Dates=H","DateFormat=P","Fill=—","Direction=H","UseDPDF=Y")</f>
        <v>29.084399999999999</v>
      </c>
      <c r="AJ7" s="21">
        <f>_xll.BDH("ADBE US Equity","RETURN_COM_EQY","FQ4 2019","FQ4 2019","Currency=USD","Period=FQ","BEST_FPERIOD_OVERRIDE=FQ","FILING_STATUS=MR","FA_ADJUSTED=GAAP","Sort=A","Dates=H","DateFormat=P","Fill=—","Direction=H","UseDPDF=Y")</f>
        <v>29.6785</v>
      </c>
      <c r="AK7" s="21">
        <f>_xll.BDH("ADBE US Equity","RETURN_COM_EQY","FQ1 2020","FQ1 2020","Currency=USD","Period=FQ","BEST_FPERIOD_OVERRIDE=FQ","FILING_STATUS=MR","FA_ADJUSTED=GAAP","Sort=A","Dates=H","DateFormat=P","Fill=—","Direction=H","UseDPDF=Y")</f>
        <v>31.791399999999999</v>
      </c>
      <c r="AL7" s="21">
        <f>_xll.BDH("ADBE US Equity","RETURN_COM_EQY","FQ2 2020","FQ2 2020","Currency=USD","Period=FQ","BEST_FPERIOD_OVERRIDE=FQ","FILING_STATUS=MR","FA_ADJUSTED=GAAP","Sort=A","Dates=H","DateFormat=P","Fill=—","Direction=H","UseDPDF=Y")</f>
        <v>35.551600000000001</v>
      </c>
      <c r="AM7" s="21">
        <f>_xll.BDH("ADBE US Equity","RETURN_COM_EQY","FQ3 2020","FQ3 2020","Currency=USD","Period=FQ","BEST_FPERIOD_OVERRIDE=FQ","FILING_STATUS=MR","FA_ADJUSTED=GAAP","Sort=A","Dates=H","DateFormat=P","Fill=—","Direction=H","UseDPDF=Y")</f>
        <v>35.1785</v>
      </c>
      <c r="AN7" s="21">
        <f>_xll.BDH("ADBE US Equity","RETURN_COM_EQY","FQ4 2020","FQ4 2020","Currency=USD","Period=FQ","BEST_FPERIOD_OVERRIDE=FQ","FILING_STATUS=MR","FA_ADJUSTED=GAAP","Sort=A","Dates=H","DateFormat=P","Fill=—","Direction=H","UseDPDF=Y")</f>
        <v>44.212499999999999</v>
      </c>
      <c r="AO7" s="21">
        <f>_xll.BDH("ADBE US Equity","RETURN_COM_EQY","FQ1 2021","FQ1 2021","Currency=USD","Period=FQ","BEST_FPERIOD_OVERRIDE=FQ","FILING_STATUS=MR","FA_ADJUSTED=GAAP","Sort=A","Dates=H","DateFormat=P","Fill=—","Direction=H","UseDPDF=Y")</f>
        <v>46.362099999999998</v>
      </c>
      <c r="AP7" s="21">
        <f>_xll.BDH("ADBE US Equity","RETURN_COM_EQY","FQ2 2021","FQ2 2021","Currency=USD","Period=FQ","BEST_FPERIOD_OVERRIDE=FQ","FILING_STATUS=MR","FA_ADJUSTED=GAAP","Sort=A","Dates=H","DateFormat=P","Fill=—","Direction=H","UseDPDF=Y")</f>
        <v>45.138100000000001</v>
      </c>
    </row>
    <row r="8" spans="1:42" x14ac:dyDescent="0.25">
      <c r="A8" s="18" t="s">
        <v>87</v>
      </c>
      <c r="B8" s="18" t="s">
        <v>88</v>
      </c>
      <c r="C8" s="21">
        <f>_xll.BDH("ADBE US Equity","RETURN_ON_ASSET","FQ3 2011","FQ3 2011","Currency=USD","Period=FQ","BEST_FPERIOD_OVERRIDE=FQ","FILING_STATUS=MR","FA_ADJUSTED=GAAP","Sort=A","Dates=H","DateFormat=P","Fill=—","Direction=H","UseDPDF=Y")</f>
        <v>11.289400000000001</v>
      </c>
      <c r="D8" s="21">
        <f>_xll.BDH("ADBE US Equity","RETURN_ON_ASSET","FQ4 2011","FQ4 2011","Currency=USD","Period=FQ","BEST_FPERIOD_OVERRIDE=FQ","FILING_STATUS=MR","FA_ADJUSTED=GAAP","Sort=A","Dates=H","DateFormat=P","Fill=—","Direction=H","UseDPDF=Y")</f>
        <v>9.7225000000000001</v>
      </c>
      <c r="E8" s="21">
        <f>_xll.BDH("ADBE US Equity","RETURN_ON_ASSET","FQ1 2012","FQ1 2012","Currency=USD","Period=FQ","BEST_FPERIOD_OVERRIDE=FQ","FILING_STATUS=MR","FA_ADJUSTED=GAAP","Sort=A","Dates=H","DateFormat=P","Fill=—","Direction=H","UseDPDF=Y")</f>
        <v>8.9832999999999998</v>
      </c>
      <c r="F8" s="21">
        <f>_xll.BDH("ADBE US Equity","RETURN_ON_ASSET","FQ2 2012","FQ2 2012","Currency=USD","Period=FQ","BEST_FPERIOD_OVERRIDE=FQ","FILING_STATUS=MR","FA_ADJUSTED=GAAP","Sort=A","Dates=H","DateFormat=P","Fill=—","Direction=H","UseDPDF=Y")</f>
        <v>8.7871000000000006</v>
      </c>
      <c r="G8" s="21">
        <f>_xll.BDH("ADBE US Equity","RETURN_ON_ASSET","FQ3 2012","FQ3 2012","Currency=USD","Period=FQ","BEST_FPERIOD_OVERRIDE=FQ","FILING_STATUS=MR","FA_ADJUSTED=GAAP","Sort=A","Dates=H","DateFormat=P","Fill=—","Direction=H","UseDPDF=Y")</f>
        <v>8.6539000000000001</v>
      </c>
      <c r="H8" s="21">
        <f>_xll.BDH("ADBE US Equity","RETURN_ON_ASSET","FQ4 2012","FQ4 2012","Currency=USD","Period=FQ","BEST_FPERIOD_OVERRIDE=FQ","FILING_STATUS=MR","FA_ADJUSTED=GAAP","Sort=A","Dates=H","DateFormat=P","Fill=—","Direction=H","UseDPDF=Y")</f>
        <v>8.7515999999999998</v>
      </c>
      <c r="I8" s="21">
        <f>_xll.BDH("ADBE US Equity","RETURN_ON_ASSET","FQ1 2013","FQ1 2013","Currency=USD","Period=FQ","BEST_FPERIOD_OVERRIDE=FQ","FILING_STATUS=MR","FA_ADJUSTED=GAAP","Sort=A","Dates=H","DateFormat=P","Fill=—","Direction=H","UseDPDF=Y")</f>
        <v>7.3859000000000004</v>
      </c>
      <c r="J8" s="21">
        <f>_xll.BDH("ADBE US Equity","RETURN_ON_ASSET","FQ2 2013","FQ2 2013","Currency=USD","Period=FQ","BEST_FPERIOD_OVERRIDE=FQ","FILING_STATUS=MR","FA_ADJUSTED=GAAP","Sort=A","Dates=H","DateFormat=P","Fill=—","Direction=H","UseDPDF=Y")</f>
        <v>5.7553000000000001</v>
      </c>
      <c r="K8" s="21">
        <f>_xll.BDH("ADBE US Equity","RETURN_ON_ASSET","FQ3 2013","FQ3 2013","Currency=USD","Period=FQ","BEST_FPERIOD_OVERRIDE=FQ","FILING_STATUS=MR","FA_ADJUSTED=GAAP","Sort=A","Dates=H","DateFormat=P","Fill=—","Direction=H","UseDPDF=Y")</f>
        <v>4.5004999999999997</v>
      </c>
      <c r="L8" s="21">
        <f>_xll.BDH("ADBE US Equity","RETURN_ON_ASSET","FQ4 2013","FQ4 2013","Currency=USD","Period=FQ","BEST_FPERIOD_OVERRIDE=FQ","FILING_STATUS=MR","FA_ADJUSTED=GAAP","Sort=A","Dates=H","DateFormat=P","Fill=—","Direction=H","UseDPDF=Y")</f>
        <v>2.8401000000000001</v>
      </c>
      <c r="M8" s="21">
        <f>_xll.BDH("ADBE US Equity","RETURN_ON_ASSET","FQ1 2014","FQ1 2014","Currency=USD","Period=FQ","BEST_FPERIOD_OVERRIDE=FQ","FILING_STATUS=MR","FA_ADJUSTED=GAAP","Sort=A","Dates=H","DateFormat=P","Fill=—","Direction=H","UseDPDF=Y")</f>
        <v>2.6642999999999999</v>
      </c>
      <c r="N8" s="21">
        <f>_xll.BDH("ADBE US Equity","RETURN_ON_ASSET","FQ2 2014","FQ2 2014","Currency=USD","Period=FQ","BEST_FPERIOD_OVERRIDE=FQ","FILING_STATUS=MR","FA_ADJUSTED=GAAP","Sort=A","Dates=H","DateFormat=P","Fill=—","Direction=H","UseDPDF=Y")</f>
        <v>2.7492000000000001</v>
      </c>
      <c r="O8" s="21">
        <f>_xll.BDH("ADBE US Equity","RETURN_ON_ASSET","FQ3 2014","FQ3 2014","Currency=USD","Period=FQ","BEST_FPERIOD_OVERRIDE=FQ","FILING_STATUS=MR","FA_ADJUSTED=GAAP","Sort=A","Dates=H","DateFormat=P","Fill=—","Direction=H","UseDPDF=Y")</f>
        <v>2.3696000000000002</v>
      </c>
      <c r="P8" s="21">
        <f>_xll.BDH("ADBE US Equity","RETURN_ON_ASSET","FQ4 2014","FQ4 2014","Currency=USD","Period=FQ","BEST_FPERIOD_OVERRIDE=FQ","FILING_STATUS=MR","FA_ADJUSTED=GAAP","Sort=A","Dates=H","DateFormat=P","Fill=—","Direction=H","UseDPDF=Y")</f>
        <v>2.3957999999999999</v>
      </c>
      <c r="Q8" s="21">
        <f>_xll.BDH("ADBE US Equity","RETURN_ON_ASSET","FQ1 2015","FQ1 2015","Currency=USD","Period=FQ","BEST_FPERIOD_OVERRIDE=FQ","FILING_STATUS=MR","FA_ADJUSTED=GAAP","Sort=A","Dates=H","DateFormat=P","Fill=—","Direction=H","UseDPDF=Y")</f>
        <v>2.742</v>
      </c>
      <c r="R8" s="21">
        <f>_xll.BDH("ADBE US Equity","RETURN_ON_ASSET","FQ2 2015","FQ2 2015","Currency=USD","Period=FQ","BEST_FPERIOD_OVERRIDE=FQ","FILING_STATUS=MR","FA_ADJUSTED=GAAP","Sort=A","Dates=H","DateFormat=P","Fill=—","Direction=H","UseDPDF=Y")</f>
        <v>3.2534999999999998</v>
      </c>
      <c r="S8" s="21">
        <f>_xll.BDH("ADBE US Equity","RETURN_ON_ASSET","FQ3 2015","FQ3 2015","Currency=USD","Period=FQ","BEST_FPERIOD_OVERRIDE=FQ","FILING_STATUS=MR","FA_ADJUSTED=GAAP","Sort=A","Dates=H","DateFormat=P","Fill=—","Direction=H","UseDPDF=Y")</f>
        <v>4.3644999999999996</v>
      </c>
      <c r="T8" s="21">
        <f>_xll.BDH("ADBE US Equity","RETURN_ON_ASSET","FQ4 2015","FQ4 2015","Currency=USD","Period=FQ","BEST_FPERIOD_OVERRIDE=FQ","FILING_STATUS=MR","FA_ADJUSTED=GAAP","Sort=A","Dates=H","DateFormat=P","Fill=—","Direction=H","UseDPDF=Y")</f>
        <v>5.593</v>
      </c>
      <c r="U8" s="21">
        <f>_xll.BDH("ADBE US Equity","RETURN_ON_ASSET","FQ1 2016","FQ1 2016","Currency=USD","Period=FQ","BEST_FPERIOD_OVERRIDE=FQ","FILING_STATUS=MR","FA_ADJUSTED=GAAP","Sort=A","Dates=H","DateFormat=P","Fill=—","Direction=H","UseDPDF=Y")</f>
        <v>6.9763000000000002</v>
      </c>
      <c r="V8" s="21">
        <f>_xll.BDH("ADBE US Equity","RETURN_ON_ASSET","FQ2 2016","FQ2 2016","Currency=USD","Period=FQ","BEST_FPERIOD_OVERRIDE=FQ","FILING_STATUS=MR","FA_ADJUSTED=GAAP","Sort=A","Dates=H","DateFormat=P","Fill=—","Direction=H","UseDPDF=Y")</f>
        <v>7.6600999999999999</v>
      </c>
      <c r="W8" s="21">
        <f>_xll.BDH("ADBE US Equity","RETURN_ON_ASSET","FQ3 2016","FQ3 2016","Currency=USD","Period=FQ","BEST_FPERIOD_OVERRIDE=FQ","FILING_STATUS=MR","FA_ADJUSTED=GAAP","Sort=A","Dates=H","DateFormat=P","Fill=—","Direction=H","UseDPDF=Y")</f>
        <v>8.3086000000000002</v>
      </c>
      <c r="X8" s="21">
        <f>_xll.BDH("ADBE US Equity","RETURN_ON_ASSET","FQ4 2016","FQ4 2016","Currency=USD","Period=FQ","BEST_FPERIOD_OVERRIDE=FQ","FILING_STATUS=MR","FA_ADJUSTED=GAAP","Sort=A","Dates=H","DateFormat=P","Fill=—","Direction=H","UseDPDF=Y")</f>
        <v>9.5709</v>
      </c>
      <c r="Y8" s="21">
        <f>_xll.BDH("ADBE US Equity","RETURN_ON_ASSET","FQ1 2017","FQ1 2017","Currency=USD","Period=FQ","BEST_FPERIOD_OVERRIDE=FQ","FILING_STATUS=MR","FA_ADJUSTED=GAAP","Sort=A","Dates=H","DateFormat=P","Fill=—","Direction=H","UseDPDF=Y")</f>
        <v>10.528</v>
      </c>
      <c r="Z8" s="21">
        <f>_xll.BDH("ADBE US Equity","RETURN_ON_ASSET","FQ2 2017","FQ2 2017","Currency=USD","Period=FQ","BEST_FPERIOD_OVERRIDE=FQ","FILING_STATUS=MR","FA_ADJUSTED=GAAP","Sort=A","Dates=H","DateFormat=P","Fill=—","Direction=H","UseDPDF=Y")</f>
        <v>11.2834</v>
      </c>
      <c r="AA8" s="21">
        <f>_xll.BDH("ADBE US Equity","RETURN_ON_ASSET","FQ3 2017","FQ3 2017","Currency=USD","Period=FQ","BEST_FPERIOD_OVERRIDE=FQ","FILING_STATUS=MR","FA_ADJUSTED=GAAP","Sort=A","Dates=H","DateFormat=P","Fill=—","Direction=H","UseDPDF=Y")</f>
        <v>12.118499999999999</v>
      </c>
      <c r="AB8" s="21">
        <f>_xll.BDH("ADBE US Equity","RETURN_ON_ASSET","FQ4 2017","FQ4 2017","Currency=USD","Period=FQ","BEST_FPERIOD_OVERRIDE=FQ","FILING_STATUS=MR","FA_ADJUSTED=GAAP","Sort=A","Dates=H","DateFormat=P","Fill=—","Direction=H","UseDPDF=Y")</f>
        <v>12.4405</v>
      </c>
      <c r="AC8" s="21">
        <f>_xll.BDH("ADBE US Equity","RETURN_ON_ASSET","FQ1 2018","FQ1 2018","Currency=USD","Period=FQ","BEST_FPERIOD_OVERRIDE=FQ","FILING_STATUS=MR","FA_ADJUSTED=GAAP","Sort=A","Dates=H","DateFormat=P","Fill=—","Direction=H","UseDPDF=Y")</f>
        <v>13.409700000000001</v>
      </c>
      <c r="AD8" s="21">
        <f>_xll.BDH("ADBE US Equity","RETURN_ON_ASSET","FQ2 2018","FQ2 2018","Currency=USD","Period=FQ","BEST_FPERIOD_OVERRIDE=FQ","FILING_STATUS=MR","FA_ADJUSTED=GAAP","Sort=A","Dates=H","DateFormat=P","Fill=—","Direction=H","UseDPDF=Y")</f>
        <v>15.1945</v>
      </c>
      <c r="AE8" s="21">
        <f>_xll.BDH("ADBE US Equity","RETURN_ON_ASSET","FQ3 2018","FQ3 2018","Currency=USD","Period=FQ","BEST_FPERIOD_OVERRIDE=FQ","FILING_STATUS=MR","FA_ADJUSTED=GAAP","Sort=A","Dates=H","DateFormat=P","Fill=—","Direction=H","UseDPDF=Y")</f>
        <v>16.477</v>
      </c>
      <c r="AF8" s="21">
        <f>_xll.BDH("ADBE US Equity","RETURN_ON_ASSET","FQ4 2018","FQ4 2018","Currency=USD","Period=FQ","BEST_FPERIOD_OVERRIDE=FQ","FILING_STATUS=MR","FA_ADJUSTED=GAAP","Sort=A","Dates=H","DateFormat=P","Fill=—","Direction=H","UseDPDF=Y")</f>
        <v>15.558199999999999</v>
      </c>
      <c r="AG8" s="21">
        <f>_xll.BDH("ADBE US Equity","RETURN_ON_ASSET","FQ1 2019","FQ1 2019","Currency=USD","Period=FQ","BEST_FPERIOD_OVERRIDE=FQ","FILING_STATUS=MR","FA_ADJUSTED=GAAP","Sort=A","Dates=H","DateFormat=P","Fill=—","Direction=H","UseDPDF=Y")</f>
        <v>15.556900000000001</v>
      </c>
      <c r="AH8" s="21">
        <f>_xll.BDH("ADBE US Equity","RETURN_ON_ASSET","FQ2 2019","FQ2 2019","Currency=USD","Period=FQ","BEST_FPERIOD_OVERRIDE=FQ","FILING_STATUS=MR","FA_ADJUSTED=GAAP","Sort=A","Dates=H","DateFormat=P","Fill=—","Direction=H","UseDPDF=Y")</f>
        <v>15.2272</v>
      </c>
      <c r="AI8" s="21">
        <f>_xll.BDH("ADBE US Equity","RETURN_ON_ASSET","FQ3 2019","FQ3 2019","Currency=USD","Period=FQ","BEST_FPERIOD_OVERRIDE=FQ","FILING_STATUS=MR","FA_ADJUSTED=GAAP","Sort=A","Dates=H","DateFormat=P","Fill=—","Direction=H","UseDPDF=Y")</f>
        <v>15.6739</v>
      </c>
      <c r="AJ8" s="21">
        <f>_xll.BDH("ADBE US Equity","RETURN_ON_ASSET","FQ4 2019","FQ4 2019","Currency=USD","Period=FQ","BEST_FPERIOD_OVERRIDE=FQ","FILING_STATUS=MR","FA_ADJUSTED=GAAP","Sort=A","Dates=H","DateFormat=P","Fill=—","Direction=H","UseDPDF=Y")</f>
        <v>14.9344</v>
      </c>
      <c r="AK8" s="21">
        <f>_xll.BDH("ADBE US Equity","RETURN_ON_ASSET","FQ1 2020","FQ1 2020","Currency=USD","Period=FQ","BEST_FPERIOD_OVERRIDE=FQ","FILING_STATUS=MR","FA_ADJUSTED=GAAP","Sort=A","Dates=H","DateFormat=P","Fill=—","Direction=H","UseDPDF=Y")</f>
        <v>15.8775</v>
      </c>
      <c r="AL8" s="21">
        <f>_xll.BDH("ADBE US Equity","RETURN_ON_ASSET","FQ2 2020","FQ2 2020","Currency=USD","Period=FQ","BEST_FPERIOD_OVERRIDE=FQ","FILING_STATUS=MR","FA_ADJUSTED=GAAP","Sort=A","Dates=H","DateFormat=P","Fill=—","Direction=H","UseDPDF=Y")</f>
        <v>17.929400000000001</v>
      </c>
      <c r="AM8" s="21">
        <f>_xll.BDH("ADBE US Equity","RETURN_ON_ASSET","FQ3 2020","FQ3 2020","Currency=USD","Period=FQ","BEST_FPERIOD_OVERRIDE=FQ","FILING_STATUS=MR","FA_ADJUSTED=GAAP","Sort=A","Dates=H","DateFormat=P","Fill=—","Direction=H","UseDPDF=Y")</f>
        <v>18.186800000000002</v>
      </c>
      <c r="AN8" s="21">
        <f>_xll.BDH("ADBE US Equity","RETURN_ON_ASSET","FQ4 2020","FQ4 2020","Currency=USD","Period=FQ","BEST_FPERIOD_OVERRIDE=FQ","FILING_STATUS=MR","FA_ADJUSTED=GAAP","Sort=A","Dates=H","DateFormat=P","Fill=—","Direction=H","UseDPDF=Y")</f>
        <v>23.3537</v>
      </c>
      <c r="AO8" s="21">
        <f>_xll.BDH("ADBE US Equity","RETURN_ON_ASSET","FQ1 2021","FQ1 2021","Currency=USD","Period=FQ","BEST_FPERIOD_OVERRIDE=FQ","FILING_STATUS=MR","FA_ADJUSTED=GAAP","Sort=A","Dates=H","DateFormat=P","Fill=—","Direction=H","UseDPDF=Y")</f>
        <v>24.095800000000001</v>
      </c>
      <c r="AP8" s="21">
        <f>_xll.BDH("ADBE US Equity","RETURN_ON_ASSET","FQ2 2021","FQ2 2021","Currency=USD","Period=FQ","BEST_FPERIOD_OVERRIDE=FQ","FILING_STATUS=MR","FA_ADJUSTED=GAAP","Sort=A","Dates=H","DateFormat=P","Fill=—","Direction=H","UseDPDF=Y")</f>
        <v>23.6601</v>
      </c>
    </row>
    <row r="9" spans="1:42" x14ac:dyDescent="0.25">
      <c r="A9" s="18" t="s">
        <v>89</v>
      </c>
      <c r="B9" s="18" t="s">
        <v>90</v>
      </c>
      <c r="C9" s="21">
        <f>_xll.BDH("ADBE US Equity","RETURN_ON_CAP","FQ3 2011","FQ3 2011","Currency=USD","Period=FQ","BEST_FPERIOD_OVERRIDE=FQ","FILING_STATUS=MR","FA_ADJUSTED=GAAP","Sort=A","Dates=H","DateFormat=P","Fill=—","Direction=H","UseDPDF=Y")</f>
        <v>14.3917</v>
      </c>
      <c r="D9" s="21">
        <f>_xll.BDH("ADBE US Equity","RETURN_ON_CAP","FQ4 2011","FQ4 2011","Currency=USD","Period=FQ","BEST_FPERIOD_OVERRIDE=FQ","FILING_STATUS=MR","FA_ADJUSTED=GAAP","Sort=A","Dates=H","DateFormat=P","Fill=—","Direction=H","UseDPDF=Y")</f>
        <v>12.6286</v>
      </c>
      <c r="E9" s="21">
        <f>_xll.BDH("ADBE US Equity","RETURN_ON_CAP","FQ1 2012","FQ1 2012","Currency=USD","Period=FQ","BEST_FPERIOD_OVERRIDE=FQ","FILING_STATUS=MR","FA_ADJUSTED=GAAP","Sort=A","Dates=H","DateFormat=P","Fill=—","Direction=H","UseDPDF=Y")</f>
        <v>11.5585</v>
      </c>
      <c r="F9" s="21">
        <f>_xll.BDH("ADBE US Equity","RETURN_ON_CAP","FQ2 2012","FQ2 2012","Currency=USD","Period=FQ","BEST_FPERIOD_OVERRIDE=FQ","FILING_STATUS=MR","FA_ADJUSTED=GAAP","Sort=A","Dates=H","DateFormat=P","Fill=—","Direction=H","UseDPDF=Y")</f>
        <v>11.3941</v>
      </c>
      <c r="G9" s="21">
        <f>_xll.BDH("ADBE US Equity","RETURN_ON_CAP","FQ3 2012","FQ3 2012","Currency=USD","Period=FQ","BEST_FPERIOD_OVERRIDE=FQ","FILING_STATUS=MR","FA_ADJUSTED=GAAP","Sort=A","Dates=H","DateFormat=P","Fill=—","Direction=H","UseDPDF=Y")</f>
        <v>11.0982</v>
      </c>
      <c r="H9" s="21">
        <f>_xll.BDH("ADBE US Equity","RETURN_ON_CAP","FQ4 2012","FQ4 2012","Currency=USD","Period=FQ","BEST_FPERIOD_OVERRIDE=FQ","FILING_STATUS=MR","FA_ADJUSTED=GAAP","Sort=A","Dates=H","DateFormat=P","Fill=—","Direction=H","UseDPDF=Y")</f>
        <v>11.4152</v>
      </c>
      <c r="I9" s="21">
        <f>_xll.BDH("ADBE US Equity","RETURN_ON_CAP","FQ1 2013","FQ1 2013","Currency=USD","Period=FQ","BEST_FPERIOD_OVERRIDE=FQ","FILING_STATUS=MR","FA_ADJUSTED=GAAP","Sort=A","Dates=H","DateFormat=P","Fill=—","Direction=H","UseDPDF=Y")</f>
        <v>9.6530000000000005</v>
      </c>
      <c r="J9" s="21">
        <f>_xll.BDH("ADBE US Equity","RETURN_ON_CAP","FQ2 2013","FQ2 2013","Currency=USD","Period=FQ","BEST_FPERIOD_OVERRIDE=FQ","FILING_STATUS=MR","FA_ADJUSTED=GAAP","Sort=A","Dates=H","DateFormat=P","Fill=—","Direction=H","UseDPDF=Y")</f>
        <v>7.6970000000000001</v>
      </c>
      <c r="K9" s="21">
        <f>_xll.BDH("ADBE US Equity","RETURN_ON_CAP","FQ3 2013","FQ3 2013","Currency=USD","Period=FQ","BEST_FPERIOD_OVERRIDE=FQ","FILING_STATUS=MR","FA_ADJUSTED=GAAP","Sort=A","Dates=H","DateFormat=P","Fill=—","Direction=H","UseDPDF=Y")</f>
        <v>6.1463999999999999</v>
      </c>
      <c r="L9" s="21">
        <f>_xll.BDH("ADBE US Equity","RETURN_ON_CAP","FQ4 2013","FQ4 2013","Currency=USD","Period=FQ","BEST_FPERIOD_OVERRIDE=FQ","FILING_STATUS=MR","FA_ADJUSTED=GAAP","Sort=A","Dates=H","DateFormat=P","Fill=—","Direction=H","UseDPDF=Y")</f>
        <v>4.2036999999999995</v>
      </c>
      <c r="M9" s="21">
        <f>_xll.BDH("ADBE US Equity","RETURN_ON_CAP","FQ1 2014","FQ1 2014","Currency=USD","Period=FQ","BEST_FPERIOD_OVERRIDE=FQ","FILING_STATUS=MR","FA_ADJUSTED=GAAP","Sort=A","Dates=H","DateFormat=P","Fill=—","Direction=H","UseDPDF=Y")</f>
        <v>3.9630000000000001</v>
      </c>
      <c r="N9" s="21">
        <f>_xll.BDH("ADBE US Equity","RETURN_ON_CAP","FQ2 2014","FQ2 2014","Currency=USD","Period=FQ","BEST_FPERIOD_OVERRIDE=FQ","FILING_STATUS=MR","FA_ADJUSTED=GAAP","Sort=A","Dates=H","DateFormat=P","Fill=—","Direction=H","UseDPDF=Y")</f>
        <v>4.0461</v>
      </c>
      <c r="O9" s="21">
        <f>_xll.BDH("ADBE US Equity","RETURN_ON_CAP","FQ3 2014","FQ3 2014","Currency=USD","Period=FQ","BEST_FPERIOD_OVERRIDE=FQ","FILING_STATUS=MR","FA_ADJUSTED=GAAP","Sort=A","Dates=H","DateFormat=P","Fill=—","Direction=H","UseDPDF=Y")</f>
        <v>3.5194000000000001</v>
      </c>
      <c r="P9" s="21">
        <f>_xll.BDH("ADBE US Equity","RETURN_ON_CAP","FQ4 2014","FQ4 2014","Currency=USD","Period=FQ","BEST_FPERIOD_OVERRIDE=FQ","FILING_STATUS=MR","FA_ADJUSTED=GAAP","Sort=A","Dates=H","DateFormat=P","Fill=—","Direction=H","UseDPDF=Y")</f>
        <v>3.6040000000000001</v>
      </c>
      <c r="Q9" s="21">
        <f>_xll.BDH("ADBE US Equity","RETURN_ON_CAP","FQ1 2015","FQ1 2015","Currency=USD","Period=FQ","BEST_FPERIOD_OVERRIDE=FQ","FILING_STATUS=MR","FA_ADJUSTED=GAAP","Sort=A","Dates=H","DateFormat=P","Fill=—","Direction=H","UseDPDF=Y")</f>
        <v>3.9680999999999997</v>
      </c>
      <c r="R9" s="21">
        <f>_xll.BDH("ADBE US Equity","RETURN_ON_CAP","FQ2 2015","FQ2 2015","Currency=USD","Period=FQ","BEST_FPERIOD_OVERRIDE=FQ","FILING_STATUS=MR","FA_ADJUSTED=GAAP","Sort=A","Dates=H","DateFormat=P","Fill=—","Direction=H","UseDPDF=Y")</f>
        <v>4.6878000000000002</v>
      </c>
      <c r="S9" s="21">
        <f>_xll.BDH("ADBE US Equity","RETURN_ON_CAP","FQ3 2015","FQ3 2015","Currency=USD","Period=FQ","BEST_FPERIOD_OVERRIDE=FQ","FILING_STATUS=MR","FA_ADJUSTED=GAAP","Sort=A","Dates=H","DateFormat=P","Fill=—","Direction=H","UseDPDF=Y")</f>
        <v>6.1624999999999996</v>
      </c>
      <c r="T9" s="21">
        <f>_xll.BDH("ADBE US Equity","RETURN_ON_CAP","FQ4 2015","FQ4 2015","Currency=USD","Period=FQ","BEST_FPERIOD_OVERRIDE=FQ","FILING_STATUS=MR","FA_ADJUSTED=GAAP","Sort=A","Dates=H","DateFormat=P","Fill=—","Direction=H","UseDPDF=Y")</f>
        <v>7.8585000000000003</v>
      </c>
      <c r="U9" s="21">
        <f>_xll.BDH("ADBE US Equity","RETURN_ON_CAP","FQ1 2016","FQ1 2016","Currency=USD","Period=FQ","BEST_FPERIOD_OVERRIDE=FQ","FILING_STATUS=MR","FA_ADJUSTED=GAAP","Sort=A","Dates=H","DateFormat=P","Fill=—","Direction=H","UseDPDF=Y")</f>
        <v>9.7575000000000003</v>
      </c>
      <c r="V9" s="21">
        <f>_xll.BDH("ADBE US Equity","RETURN_ON_CAP","FQ2 2016","FQ2 2016","Currency=USD","Period=FQ","BEST_FPERIOD_OVERRIDE=FQ","FILING_STATUS=MR","FA_ADJUSTED=GAAP","Sort=A","Dates=H","DateFormat=P","Fill=—","Direction=H","UseDPDF=Y")</f>
        <v>10.7339</v>
      </c>
      <c r="W9" s="21">
        <f>_xll.BDH("ADBE US Equity","RETURN_ON_CAP","FQ3 2016","FQ3 2016","Currency=USD","Period=FQ","BEST_FPERIOD_OVERRIDE=FQ","FILING_STATUS=MR","FA_ADJUSTED=GAAP","Sort=A","Dates=H","DateFormat=P","Fill=—","Direction=H","UseDPDF=Y")</f>
        <v>11.6584</v>
      </c>
      <c r="X9" s="21">
        <f>_xll.BDH("ADBE US Equity","RETURN_ON_CAP","FQ4 2016","FQ4 2016","Currency=USD","Period=FQ","BEST_FPERIOD_OVERRIDE=FQ","FILING_STATUS=MR","FA_ADJUSTED=GAAP","Sort=A","Dates=H","DateFormat=P","Fill=—","Direction=H","UseDPDF=Y")</f>
        <v>13.4551</v>
      </c>
      <c r="Y9" s="21">
        <f>_xll.BDH("ADBE US Equity","RETURN_ON_CAP","FQ1 2017","FQ1 2017","Currency=USD","Period=FQ","BEST_FPERIOD_OVERRIDE=FQ","FILING_STATUS=MR","FA_ADJUSTED=GAAP","Sort=A","Dates=H","DateFormat=P","Fill=—","Direction=H","UseDPDF=Y")</f>
        <v>14.8377</v>
      </c>
      <c r="Z9" s="21">
        <f>_xll.BDH("ADBE US Equity","RETURN_ON_CAP","FQ2 2017","FQ2 2017","Currency=USD","Period=FQ","BEST_FPERIOD_OVERRIDE=FQ","FILING_STATUS=MR","FA_ADJUSTED=GAAP","Sort=A","Dates=H","DateFormat=P","Fill=—","Direction=H","UseDPDF=Y")</f>
        <v>15.9229</v>
      </c>
      <c r="AA9" s="21">
        <f>_xll.BDH("ADBE US Equity","RETURN_ON_CAP","FQ3 2017","FQ3 2017","Currency=USD","Period=FQ","BEST_FPERIOD_OVERRIDE=FQ","FILING_STATUS=MR","FA_ADJUSTED=GAAP","Sort=A","Dates=H","DateFormat=P","Fill=—","Direction=H","UseDPDF=Y")</f>
        <v>17.1538</v>
      </c>
      <c r="AB9" s="21">
        <f>_xll.BDH("ADBE US Equity","RETURN_ON_CAP","FQ4 2017","FQ4 2017","Currency=USD","Period=FQ","BEST_FPERIOD_OVERRIDE=FQ","FILING_STATUS=MR","FA_ADJUSTED=GAAP","Sort=A","Dates=H","DateFormat=P","Fill=—","Direction=H","UseDPDF=Y")</f>
        <v>17.8338</v>
      </c>
      <c r="AC9" s="21">
        <f>_xll.BDH("ADBE US Equity","RETURN_ON_CAP","FQ1 2018","FQ1 2018","Currency=USD","Period=FQ","BEST_FPERIOD_OVERRIDE=FQ","FILING_STATUS=MR","FA_ADJUSTED=GAAP","Sort=A","Dates=H","DateFormat=P","Fill=—","Direction=H","UseDPDF=Y")</f>
        <v>19.405100000000001</v>
      </c>
      <c r="AD9" s="21">
        <f>_xll.BDH("ADBE US Equity","RETURN_ON_CAP","FQ2 2018","FQ2 2018","Currency=USD","Period=FQ","BEST_FPERIOD_OVERRIDE=FQ","FILING_STATUS=MR","FA_ADJUSTED=GAAP","Sort=A","Dates=H","DateFormat=P","Fill=—","Direction=H","UseDPDF=Y")</f>
        <v>22.031400000000001</v>
      </c>
      <c r="AE9" s="21">
        <f>_xll.BDH("ADBE US Equity","RETURN_ON_CAP","FQ3 2018","FQ3 2018","Currency=USD","Period=FQ","BEST_FPERIOD_OVERRIDE=FQ","FILING_STATUS=MR","FA_ADJUSTED=GAAP","Sort=A","Dates=H","DateFormat=P","Fill=—","Direction=H","UseDPDF=Y")</f>
        <v>23.899100000000001</v>
      </c>
      <c r="AF9" s="21">
        <f>_xll.BDH("ADBE US Equity","RETURN_ON_CAP","FQ4 2018","FQ4 2018","Currency=USD","Period=FQ","BEST_FPERIOD_OVERRIDE=FQ","FILING_STATUS=MR","FA_ADJUSTED=GAAP","Sort=A","Dates=H","DateFormat=P","Fill=—","Direction=H","UseDPDF=Y")</f>
        <v>22.44</v>
      </c>
      <c r="AG9" s="21">
        <f>_xll.BDH("ADBE US Equity","RETURN_ON_CAP","FQ1 2019","FQ1 2019","Currency=USD","Period=FQ","BEST_FPERIOD_OVERRIDE=FQ","FILING_STATUS=MR","FA_ADJUSTED=GAAP","Sort=A","Dates=H","DateFormat=P","Fill=—","Direction=H","UseDPDF=Y")</f>
        <v>22.745699999999999</v>
      </c>
      <c r="AH9" s="21">
        <f>_xll.BDH("ADBE US Equity","RETURN_ON_CAP","FQ2 2019","FQ2 2019","Currency=USD","Period=FQ","BEST_FPERIOD_OVERRIDE=FQ","FILING_STATUS=MR","FA_ADJUSTED=GAAP","Sort=A","Dates=H","DateFormat=P","Fill=—","Direction=H","UseDPDF=Y")</f>
        <v>22.5107</v>
      </c>
      <c r="AI9" s="21">
        <f>_xll.BDH("ADBE US Equity","RETURN_ON_CAP","FQ3 2019","FQ3 2019","Currency=USD","Period=FQ","BEST_FPERIOD_OVERRIDE=FQ","FILING_STATUS=MR","FA_ADJUSTED=GAAP","Sort=A","Dates=H","DateFormat=P","Fill=—","Direction=H","UseDPDF=Y")</f>
        <v>23.234000000000002</v>
      </c>
      <c r="AJ9" s="21">
        <f>_xll.BDH("ADBE US Equity","RETURN_ON_CAP","FQ4 2019","FQ4 2019","Currency=USD","Period=FQ","BEST_FPERIOD_OVERRIDE=FQ","FILING_STATUS=MR","FA_ADJUSTED=GAAP","Sort=A","Dates=H","DateFormat=P","Fill=—","Direction=H","UseDPDF=Y")</f>
        <v>21.993200000000002</v>
      </c>
      <c r="AK9" s="21">
        <f>_xll.BDH("ADBE US Equity","RETURN_ON_CAP","FQ1 2020","FQ1 2020","Currency=USD","Period=FQ","BEST_FPERIOD_OVERRIDE=FQ","FILING_STATUS=MR","FA_ADJUSTED=GAAP","Sort=A","Dates=H","DateFormat=P","Fill=—","Direction=H","UseDPDF=Y")</f>
        <v>23.123899999999999</v>
      </c>
      <c r="AL9" s="21">
        <f>_xll.BDH("ADBE US Equity","RETURN_ON_CAP","FQ2 2020","FQ2 2020","Currency=USD","Period=FQ","BEST_FPERIOD_OVERRIDE=FQ","FILING_STATUS=MR","FA_ADJUSTED=GAAP","Sort=A","Dates=H","DateFormat=P","Fill=—","Direction=H","UseDPDF=Y")</f>
        <v>25.8828</v>
      </c>
      <c r="AM9" s="21">
        <f>_xll.BDH("ADBE US Equity","RETURN_ON_CAP","FQ3 2020","FQ3 2020","Currency=USD","Period=FQ","BEST_FPERIOD_OVERRIDE=FQ","FILING_STATUS=MR","FA_ADJUSTED=GAAP","Sort=A","Dates=H","DateFormat=P","Fill=—","Direction=H","UseDPDF=Y")</f>
        <v>25.860900000000001</v>
      </c>
      <c r="AN9" s="21">
        <f>_xll.BDH("ADBE US Equity","RETURN_ON_CAP","FQ4 2020","FQ4 2020","Currency=USD","Period=FQ","BEST_FPERIOD_OVERRIDE=FQ","FILING_STATUS=MR","FA_ADJUSTED=GAAP","Sort=A","Dates=H","DateFormat=P","Fill=—","Direction=H","UseDPDF=Y")</f>
        <v>32.791499999999999</v>
      </c>
      <c r="AO9" s="21">
        <f>_xll.BDH("ADBE US Equity","RETURN_ON_CAP","FQ1 2021","FQ1 2021","Currency=USD","Period=FQ","BEST_FPERIOD_OVERRIDE=FQ","FILING_STATUS=MR","FA_ADJUSTED=GAAP","Sort=A","Dates=H","DateFormat=P","Fill=—","Direction=H","UseDPDF=Y")</f>
        <v>33.834499999999998</v>
      </c>
      <c r="AP9" s="21">
        <f>_xll.BDH("ADBE US Equity","RETURN_ON_CAP","FQ2 2021","FQ2 2021","Currency=USD","Period=FQ","BEST_FPERIOD_OVERRIDE=FQ","FILING_STATUS=MR","FA_ADJUSTED=GAAP","Sort=A","Dates=H","DateFormat=P","Fill=—","Direction=H","UseDPDF=Y")</f>
        <v>33.240200000000002</v>
      </c>
    </row>
    <row r="10" spans="1:42" x14ac:dyDescent="0.25">
      <c r="A10" s="18" t="s">
        <v>91</v>
      </c>
      <c r="B10" s="18" t="s">
        <v>92</v>
      </c>
      <c r="C10" s="21">
        <f>_xll.BDH("ADBE US Equity","RETURN_ON_INV_CAPITAL","FQ3 2011","FQ3 2011","Currency=USD","Period=FQ","BEST_FPERIOD_OVERRIDE=FQ","FILING_STATUS=MR","FA_ADJUSTED=GAAP","Sort=A","Dates=H","DateFormat=P","Fill=—","Direction=H","UseDPDF=Y")</f>
        <v>14.041700000000001</v>
      </c>
      <c r="D10" s="21">
        <f>_xll.BDH("ADBE US Equity","RETURN_ON_INV_CAPITAL","FQ4 2011","FQ4 2011","Currency=USD","Period=FQ","BEST_FPERIOD_OVERRIDE=FQ","FILING_STATUS=MR","FA_ADJUSTED=GAAP","Sort=A","Dates=H","DateFormat=P","Fill=—","Direction=H","UseDPDF=Y")</f>
        <v>12.5017</v>
      </c>
      <c r="E10" s="21">
        <f>_xll.BDH("ADBE US Equity","RETURN_ON_INV_CAPITAL","FQ1 2012","FQ1 2012","Currency=USD","Period=FQ","BEST_FPERIOD_OVERRIDE=FQ","FILING_STATUS=MR","FA_ADJUSTED=GAAP","Sort=A","Dates=H","DateFormat=P","Fill=—","Direction=H","UseDPDF=Y")</f>
        <v>11.4612</v>
      </c>
      <c r="F10" s="21">
        <f>_xll.BDH("ADBE US Equity","RETURN_ON_INV_CAPITAL","FQ2 2012","FQ2 2012","Currency=USD","Period=FQ","BEST_FPERIOD_OVERRIDE=FQ","FILING_STATUS=MR","FA_ADJUSTED=GAAP","Sort=A","Dates=H","DateFormat=P","Fill=—","Direction=H","UseDPDF=Y")</f>
        <v>11.218999999999999</v>
      </c>
      <c r="G10" s="21">
        <f>_xll.BDH("ADBE US Equity","RETURN_ON_INV_CAPITAL","FQ3 2012","FQ3 2012","Currency=USD","Period=FQ","BEST_FPERIOD_OVERRIDE=FQ","FILING_STATUS=MR","FA_ADJUSTED=GAAP","Sort=A","Dates=H","DateFormat=P","Fill=—","Direction=H","UseDPDF=Y")</f>
        <v>10.9039</v>
      </c>
      <c r="H10" s="21">
        <f>_xll.BDH("ADBE US Equity","RETURN_ON_INV_CAPITAL","FQ4 2012","FQ4 2012","Currency=USD","Period=FQ","BEST_FPERIOD_OVERRIDE=FQ","FILING_STATUS=MR","FA_ADJUSTED=GAAP","Sort=A","Dates=H","DateFormat=P","Fill=—","Direction=H","UseDPDF=Y")</f>
        <v>11.083299999999999</v>
      </c>
      <c r="I10" s="21">
        <f>_xll.BDH("ADBE US Equity","RETURN_ON_INV_CAPITAL","FQ1 2013","FQ1 2013","Currency=USD","Period=FQ","BEST_FPERIOD_OVERRIDE=FQ","FILING_STATUS=MR","FA_ADJUSTED=GAAP","Sort=A","Dates=H","DateFormat=P","Fill=—","Direction=H","UseDPDF=Y")</f>
        <v>9.5174000000000003</v>
      </c>
      <c r="J10" s="21">
        <f>_xll.BDH("ADBE US Equity","RETURN_ON_INV_CAPITAL","FQ2 2013","FQ2 2013","Currency=USD","Period=FQ","BEST_FPERIOD_OVERRIDE=FQ","FILING_STATUS=MR","FA_ADJUSTED=GAAP","Sort=A","Dates=H","DateFormat=P","Fill=—","Direction=H","UseDPDF=Y")</f>
        <v>7.6574</v>
      </c>
      <c r="K10" s="21">
        <f>_xll.BDH("ADBE US Equity","RETURN_ON_INV_CAPITAL","FQ3 2013","FQ3 2013","Currency=USD","Period=FQ","BEST_FPERIOD_OVERRIDE=FQ","FILING_STATUS=MR","FA_ADJUSTED=GAAP","Sort=A","Dates=H","DateFormat=P","Fill=—","Direction=H","UseDPDF=Y")</f>
        <v>6.1563999999999997</v>
      </c>
      <c r="L10" s="21">
        <f>_xll.BDH("ADBE US Equity","RETURN_ON_INV_CAPITAL","FQ4 2013","FQ4 2013","Currency=USD","Period=FQ","BEST_FPERIOD_OVERRIDE=FQ","FILING_STATUS=MR","FA_ADJUSTED=GAAP","Sort=A","Dates=H","DateFormat=P","Fill=—","Direction=H","UseDPDF=Y")</f>
        <v>4.0502000000000002</v>
      </c>
      <c r="M10" s="21">
        <f>_xll.BDH("ADBE US Equity","RETURN_ON_INV_CAPITAL","FQ1 2014","FQ1 2014","Currency=USD","Period=FQ","BEST_FPERIOD_OVERRIDE=FQ","FILING_STATUS=MR","FA_ADJUSTED=GAAP","Sort=A","Dates=H","DateFormat=P","Fill=—","Direction=H","UseDPDF=Y")</f>
        <v>3.9375</v>
      </c>
      <c r="N10" s="21">
        <f>_xll.BDH("ADBE US Equity","RETURN_ON_INV_CAPITAL","FQ2 2014","FQ2 2014","Currency=USD","Period=FQ","BEST_FPERIOD_OVERRIDE=FQ","FILING_STATUS=MR","FA_ADJUSTED=GAAP","Sort=A","Dates=H","DateFormat=P","Fill=—","Direction=H","UseDPDF=Y")</f>
        <v>3.9691000000000001</v>
      </c>
      <c r="O10" s="21">
        <f>_xll.BDH("ADBE US Equity","RETURN_ON_INV_CAPITAL","FQ3 2014","FQ3 2014","Currency=USD","Period=FQ","BEST_FPERIOD_OVERRIDE=FQ","FILING_STATUS=MR","FA_ADJUSTED=GAAP","Sort=A","Dates=H","DateFormat=P","Fill=—","Direction=H","UseDPDF=Y")</f>
        <v>3.4243999999999999</v>
      </c>
      <c r="P10" s="21">
        <f>_xll.BDH("ADBE US Equity","RETURN_ON_INV_CAPITAL","FQ4 2014","FQ4 2014","Currency=USD","Period=FQ","BEST_FPERIOD_OVERRIDE=FQ","FILING_STATUS=MR","FA_ADJUSTED=GAAP","Sort=A","Dates=H","DateFormat=P","Fill=—","Direction=H","UseDPDF=Y")</f>
        <v>3.4083999999999999</v>
      </c>
      <c r="Q10" s="21">
        <f>_xll.BDH("ADBE US Equity","RETURN_ON_INV_CAPITAL","FQ1 2015","FQ1 2015","Currency=USD","Period=FQ","BEST_FPERIOD_OVERRIDE=FQ","FILING_STATUS=MR","FA_ADJUSTED=GAAP","Sort=A","Dates=H","DateFormat=P","Fill=—","Direction=H","UseDPDF=Y")</f>
        <v>3.8935</v>
      </c>
      <c r="R10" s="21">
        <f>_xll.BDH("ADBE US Equity","RETURN_ON_INV_CAPITAL","FQ2 2015","FQ2 2015","Currency=USD","Period=FQ","BEST_FPERIOD_OVERRIDE=FQ","FILING_STATUS=MR","FA_ADJUSTED=GAAP","Sort=A","Dates=H","DateFormat=P","Fill=—","Direction=H","UseDPDF=Y")</f>
        <v>4.58</v>
      </c>
      <c r="S10" s="21">
        <f>_xll.BDH("ADBE US Equity","RETURN_ON_INV_CAPITAL","FQ3 2015","FQ3 2015","Currency=USD","Period=FQ","BEST_FPERIOD_OVERRIDE=FQ","FILING_STATUS=MR","FA_ADJUSTED=GAAP","Sort=A","Dates=H","DateFormat=P","Fill=—","Direction=H","UseDPDF=Y")</f>
        <v>6.0339</v>
      </c>
      <c r="T10" s="21">
        <f>_xll.BDH("ADBE US Equity","RETURN_ON_INV_CAPITAL","FQ4 2015","FQ4 2015","Currency=USD","Period=FQ","BEST_FPERIOD_OVERRIDE=FQ","FILING_STATUS=MR","FA_ADJUSTED=GAAP","Sort=A","Dates=H","DateFormat=P","Fill=—","Direction=H","UseDPDF=Y")</f>
        <v>7.3345000000000002</v>
      </c>
      <c r="U10" s="21">
        <f>_xll.BDH("ADBE US Equity","RETURN_ON_INV_CAPITAL","FQ1 2016","FQ1 2016","Currency=USD","Period=FQ","BEST_FPERIOD_OVERRIDE=FQ","FILING_STATUS=MR","FA_ADJUSTED=GAAP","Sort=A","Dates=H","DateFormat=P","Fill=—","Direction=H","UseDPDF=Y")</f>
        <v>9.4476999999999993</v>
      </c>
      <c r="V10" s="21">
        <f>_xll.BDH("ADBE US Equity","RETURN_ON_INV_CAPITAL","FQ2 2016","FQ2 2016","Currency=USD","Period=FQ","BEST_FPERIOD_OVERRIDE=FQ","FILING_STATUS=MR","FA_ADJUSTED=GAAP","Sort=A","Dates=H","DateFormat=P","Fill=—","Direction=H","UseDPDF=Y")</f>
        <v>10.4114</v>
      </c>
      <c r="W10" s="21">
        <f>_xll.BDH("ADBE US Equity","RETURN_ON_INV_CAPITAL","FQ3 2016","FQ3 2016","Currency=USD","Period=FQ","BEST_FPERIOD_OVERRIDE=FQ","FILING_STATUS=MR","FA_ADJUSTED=GAAP","Sort=A","Dates=H","DateFormat=P","Fill=—","Direction=H","UseDPDF=Y")</f>
        <v>11.2974</v>
      </c>
      <c r="X10" s="21">
        <f>_xll.BDH("ADBE US Equity","RETURN_ON_INV_CAPITAL","FQ4 2016","FQ4 2016","Currency=USD","Period=FQ","BEST_FPERIOD_OVERRIDE=FQ","FILING_STATUS=MR","FA_ADJUSTED=GAAP","Sort=A","Dates=H","DateFormat=P","Fill=—","Direction=H","UseDPDF=Y")</f>
        <v>12.953799999999999</v>
      </c>
      <c r="Y10" s="21">
        <f>_xll.BDH("ADBE US Equity","RETURN_ON_INV_CAPITAL","FQ1 2017","FQ1 2017","Currency=USD","Period=FQ","BEST_FPERIOD_OVERRIDE=FQ","FILING_STATUS=MR","FA_ADJUSTED=GAAP","Sort=A","Dates=H","DateFormat=P","Fill=—","Direction=H","UseDPDF=Y")</f>
        <v>14.641299999999999</v>
      </c>
      <c r="Z10" s="21">
        <f>_xll.BDH("ADBE US Equity","RETURN_ON_INV_CAPITAL","FQ2 2017","FQ2 2017","Currency=USD","Period=FQ","BEST_FPERIOD_OVERRIDE=FQ","FILING_STATUS=MR","FA_ADJUSTED=GAAP","Sort=A","Dates=H","DateFormat=P","Fill=—","Direction=H","UseDPDF=Y")</f>
        <v>15.6168</v>
      </c>
      <c r="AA10" s="21">
        <f>_xll.BDH("ADBE US Equity","RETURN_ON_INV_CAPITAL","FQ3 2017","FQ3 2017","Currency=USD","Period=FQ","BEST_FPERIOD_OVERRIDE=FQ","FILING_STATUS=MR","FA_ADJUSTED=GAAP","Sort=A","Dates=H","DateFormat=P","Fill=—","Direction=H","UseDPDF=Y")</f>
        <v>16.774100000000001</v>
      </c>
      <c r="AB10" s="21">
        <f>_xll.BDH("ADBE US Equity","RETURN_ON_INV_CAPITAL","FQ4 2017","FQ4 2017","Currency=USD","Period=FQ","BEST_FPERIOD_OVERRIDE=FQ","FILING_STATUS=MR","FA_ADJUSTED=GAAP","Sort=A","Dates=H","DateFormat=P","Fill=—","Direction=H","UseDPDF=Y")</f>
        <v>16.914000000000001</v>
      </c>
      <c r="AC10" s="21">
        <f>_xll.BDH("ADBE US Equity","RETURN_ON_INV_CAPITAL","FQ1 2018","FQ1 2018","Currency=USD","Period=FQ","BEST_FPERIOD_OVERRIDE=FQ","FILING_STATUS=MR","FA_ADJUSTED=GAAP","Sort=A","Dates=H","DateFormat=P","Fill=—","Direction=H","UseDPDF=Y")</f>
        <v>19.079999999999998</v>
      </c>
      <c r="AD10" s="21">
        <f>_xll.BDH("ADBE US Equity","RETURN_ON_INV_CAPITAL","FQ2 2018","FQ2 2018","Currency=USD","Period=FQ","BEST_FPERIOD_OVERRIDE=FQ","FILING_STATUS=MR","FA_ADJUSTED=GAAP","Sort=A","Dates=H","DateFormat=P","Fill=—","Direction=H","UseDPDF=Y")</f>
        <v>21.498999999999999</v>
      </c>
      <c r="AE10" s="21">
        <f>_xll.BDH("ADBE US Equity","RETURN_ON_INV_CAPITAL","FQ3 2018","FQ3 2018","Currency=USD","Period=FQ","BEST_FPERIOD_OVERRIDE=FQ","FILING_STATUS=MR","FA_ADJUSTED=GAAP","Sort=A","Dates=H","DateFormat=P","Fill=—","Direction=H","UseDPDF=Y")</f>
        <v>23.490099999999998</v>
      </c>
      <c r="AF10" s="21">
        <f>_xll.BDH("ADBE US Equity","RETURN_ON_INV_CAPITAL","FQ4 2018","FQ4 2018","Currency=USD","Period=FQ","BEST_FPERIOD_OVERRIDE=FQ","FILING_STATUS=MR","FA_ADJUSTED=GAAP","Sort=A","Dates=H","DateFormat=P","Fill=—","Direction=H","UseDPDF=Y")</f>
        <v>21.6586</v>
      </c>
      <c r="AG10" s="21">
        <f>_xll.BDH("ADBE US Equity","RETURN_ON_INV_CAPITAL","FQ1 2019","FQ1 2019","Currency=USD","Period=FQ","BEST_FPERIOD_OVERRIDE=FQ","FILING_STATUS=MR","FA_ADJUSTED=GAAP","Sort=A","Dates=H","DateFormat=P","Fill=—","Direction=H","UseDPDF=Y")</f>
        <v>22.218900000000001</v>
      </c>
      <c r="AH10" s="21">
        <f>_xll.BDH("ADBE US Equity","RETURN_ON_INV_CAPITAL","FQ2 2019","FQ2 2019","Currency=USD","Period=FQ","BEST_FPERIOD_OVERRIDE=FQ","FILING_STATUS=MR","FA_ADJUSTED=GAAP","Sort=A","Dates=H","DateFormat=P","Fill=—","Direction=H","UseDPDF=Y")</f>
        <v>22.064699999999998</v>
      </c>
      <c r="AI10" s="21">
        <f>_xll.BDH("ADBE US Equity","RETURN_ON_INV_CAPITAL","FQ3 2019","FQ3 2019","Currency=USD","Period=FQ","BEST_FPERIOD_OVERRIDE=FQ","FILING_STATUS=MR","FA_ADJUSTED=GAAP","Sort=A","Dates=H","DateFormat=P","Fill=—","Direction=H","UseDPDF=Y")</f>
        <v>22.658300000000001</v>
      </c>
      <c r="AJ10" s="21">
        <f>_xll.BDH("ADBE US Equity","RETURN_ON_INV_CAPITAL","FQ4 2019","FQ4 2019","Currency=USD","Period=FQ","BEST_FPERIOD_OVERRIDE=FQ","FILING_STATUS=MR","FA_ADJUSTED=GAAP","Sort=A","Dates=H","DateFormat=P","Fill=—","Direction=H","UseDPDF=Y")</f>
        <v>21.043600000000001</v>
      </c>
      <c r="AK10" s="21">
        <f>_xll.BDH("ADBE US Equity","RETURN_ON_INV_CAPITAL","FQ1 2020","FQ1 2020","Currency=USD","Period=FQ","BEST_FPERIOD_OVERRIDE=FQ","FILING_STATUS=MR","FA_ADJUSTED=GAAP","Sort=A","Dates=H","DateFormat=P","Fill=—","Direction=H","UseDPDF=Y")</f>
        <v>22.464300000000001</v>
      </c>
      <c r="AL10" s="21">
        <f>_xll.BDH("ADBE US Equity","RETURN_ON_INV_CAPITAL","FQ2 2020","FQ2 2020","Currency=USD","Period=FQ","BEST_FPERIOD_OVERRIDE=FQ","FILING_STATUS=MR","FA_ADJUSTED=GAAP","Sort=A","Dates=H","DateFormat=P","Fill=—","Direction=H","UseDPDF=Y")</f>
        <v>25.226500000000001</v>
      </c>
      <c r="AM10" s="21">
        <f>_xll.BDH("ADBE US Equity","RETURN_ON_INV_CAPITAL","FQ3 2020","FQ3 2020","Currency=USD","Period=FQ","BEST_FPERIOD_OVERRIDE=FQ","FILING_STATUS=MR","FA_ADJUSTED=GAAP","Sort=A","Dates=H","DateFormat=P","Fill=—","Direction=H","UseDPDF=Y")</f>
        <v>25.232399999999998</v>
      </c>
      <c r="AN10" s="21">
        <f>_xll.BDH("ADBE US Equity","RETURN_ON_INV_CAPITAL","FQ4 2020","FQ4 2020","Currency=USD","Period=FQ","BEST_FPERIOD_OVERRIDE=FQ","FILING_STATUS=MR","FA_ADJUSTED=GAAP","Sort=A","Dates=H","DateFormat=P","Fill=—","Direction=H","UseDPDF=Y")</f>
        <v>33.484099999999998</v>
      </c>
      <c r="AO10" s="21">
        <f>_xll.BDH("ADBE US Equity","RETURN_ON_INV_CAPITAL","FQ1 2021","FQ1 2021","Currency=USD","Period=FQ","BEST_FPERIOD_OVERRIDE=FQ","FILING_STATUS=MR","FA_ADJUSTED=GAAP","Sort=A","Dates=H","DateFormat=P","Fill=—","Direction=H","UseDPDF=Y")</f>
        <v>34.408900000000003</v>
      </c>
      <c r="AP10" s="21">
        <f>_xll.BDH("ADBE US Equity","RETURN_ON_INV_CAPITAL","FQ2 2021","FQ2 2021","Currency=USD","Period=FQ","BEST_FPERIOD_OVERRIDE=FQ","FILING_STATUS=MR","FA_ADJUSTED=GAAP","Sort=A","Dates=H","DateFormat=P","Fill=—","Direction=H","UseDPDF=Y")</f>
        <v>33.819600000000001</v>
      </c>
    </row>
    <row r="11" spans="1:42" x14ac:dyDescent="0.25">
      <c r="A11" s="1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14" t="s">
        <v>93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x14ac:dyDescent="0.25">
      <c r="A13" s="18" t="s">
        <v>94</v>
      </c>
      <c r="B13" s="18" t="s">
        <v>95</v>
      </c>
      <c r="C13" s="21">
        <f>_xll.BDH("ADBE US Equity","GROSS_MARGIN","FQ3 2011","FQ3 2011","Currency=USD","Period=FQ","BEST_FPERIOD_OVERRIDE=FQ","FILING_STATUS=MR","FA_ADJUSTED=GAAP","Sort=A","Dates=H","DateFormat=P","Fill=—","Direction=H","UseDPDF=Y")</f>
        <v>89.671099999999996</v>
      </c>
      <c r="D13" s="21">
        <f>_xll.BDH("ADBE US Equity","GROSS_MARGIN","FQ4 2011","FQ4 2011","Currency=USD","Period=FQ","BEST_FPERIOD_OVERRIDE=FQ","FILING_STATUS=MR","FA_ADJUSTED=GAAP","Sort=A","Dates=H","DateFormat=P","Fill=—","Direction=H","UseDPDF=Y")</f>
        <v>89.899100000000004</v>
      </c>
      <c r="E13" s="21">
        <f>_xll.BDH("ADBE US Equity","GROSS_MARGIN","FQ1 2012","FQ1 2012","Currency=USD","Period=FQ","BEST_FPERIOD_OVERRIDE=FQ","FILING_STATUS=MR","FA_ADJUSTED=GAAP","Sort=A","Dates=H","DateFormat=P","Fill=—","Direction=H","UseDPDF=Y")</f>
        <v>89.641900000000007</v>
      </c>
      <c r="F13" s="21">
        <f>_xll.BDH("ADBE US Equity","GROSS_MARGIN","FQ2 2012","FQ2 2012","Currency=USD","Period=FQ","BEST_FPERIOD_OVERRIDE=FQ","FILING_STATUS=MR","FA_ADJUSTED=GAAP","Sort=A","Dates=H","DateFormat=P","Fill=—","Direction=H","UseDPDF=Y")</f>
        <v>88.357100000000003</v>
      </c>
      <c r="G13" s="21">
        <f>_xll.BDH("ADBE US Equity","GROSS_MARGIN","FQ3 2012","FQ3 2012","Currency=USD","Period=FQ","BEST_FPERIOD_OVERRIDE=FQ","FILING_STATUS=MR","FA_ADJUSTED=GAAP","Sort=A","Dates=H","DateFormat=P","Fill=—","Direction=H","UseDPDF=Y")</f>
        <v>88.929900000000004</v>
      </c>
      <c r="H13" s="21">
        <f>_xll.BDH("ADBE US Equity","GROSS_MARGIN","FQ4 2012","FQ4 2012","Currency=USD","Period=FQ","BEST_FPERIOD_OVERRIDE=FQ","FILING_STATUS=MR","FA_ADJUSTED=GAAP","Sort=A","Dates=H","DateFormat=P","Fill=—","Direction=H","UseDPDF=Y")</f>
        <v>89.164599999999993</v>
      </c>
      <c r="I13" s="21">
        <f>_xll.BDH("ADBE US Equity","GROSS_MARGIN","FQ1 2013","FQ1 2013","Currency=USD","Period=FQ","BEST_FPERIOD_OVERRIDE=FQ","FILING_STATUS=MR","FA_ADJUSTED=GAAP","Sort=A","Dates=H","DateFormat=P","Fill=—","Direction=H","UseDPDF=Y")</f>
        <v>84.453999999999994</v>
      </c>
      <c r="J13" s="21">
        <f>_xll.BDH("ADBE US Equity","GROSS_MARGIN","FQ2 2013","FQ2 2013","Currency=USD","Period=FQ","BEST_FPERIOD_OVERRIDE=FQ","FILING_STATUS=MR","FA_ADJUSTED=GAAP","Sort=A","Dates=H","DateFormat=P","Fill=—","Direction=H","UseDPDF=Y")</f>
        <v>86.613100000000003</v>
      </c>
      <c r="K13" s="21">
        <f>_xll.BDH("ADBE US Equity","GROSS_MARGIN","FQ3 2013","FQ3 2013","Currency=USD","Period=FQ","BEST_FPERIOD_OVERRIDE=FQ","FILING_STATUS=MR","FA_ADJUSTED=GAAP","Sort=A","Dates=H","DateFormat=P","Fill=—","Direction=H","UseDPDF=Y")</f>
        <v>85.220299999999995</v>
      </c>
      <c r="L13" s="21">
        <f>_xll.BDH("ADBE US Equity","GROSS_MARGIN","FQ4 2013","FQ4 2013","Currency=USD","Period=FQ","BEST_FPERIOD_OVERRIDE=FQ","FILING_STATUS=MR","FA_ADJUSTED=GAAP","Sort=A","Dates=H","DateFormat=P","Fill=—","Direction=H","UseDPDF=Y")</f>
        <v>85.838899999999995</v>
      </c>
      <c r="M13" s="21">
        <f>_xll.BDH("ADBE US Equity","GROSS_MARGIN","FQ1 2014","FQ1 2014","Currency=USD","Period=FQ","BEST_FPERIOD_OVERRIDE=FQ","FILING_STATUS=MR","FA_ADJUSTED=GAAP","Sort=A","Dates=H","DateFormat=P","Fill=—","Direction=H","UseDPDF=Y")</f>
        <v>85.150899999999993</v>
      </c>
      <c r="N13" s="21">
        <f>_xll.BDH("ADBE US Equity","GROSS_MARGIN","FQ2 2014","FQ2 2014","Currency=USD","Period=FQ","BEST_FPERIOD_OVERRIDE=FQ","FILING_STATUS=MR","FA_ADJUSTED=GAAP","Sort=A","Dates=H","DateFormat=P","Fill=—","Direction=H","UseDPDF=Y")</f>
        <v>85.498699999999999</v>
      </c>
      <c r="O13" s="21">
        <f>_xll.BDH("ADBE US Equity","GROSS_MARGIN","FQ3 2014","FQ3 2014","Currency=USD","Period=FQ","BEST_FPERIOD_OVERRIDE=FQ","FILING_STATUS=MR","FA_ADJUSTED=GAAP","Sort=A","Dates=H","DateFormat=P","Fill=—","Direction=H","UseDPDF=Y")</f>
        <v>84.3125</v>
      </c>
      <c r="P13" s="21">
        <f>_xll.BDH("ADBE US Equity","GROSS_MARGIN","FQ4 2014","FQ4 2014","Currency=USD","Period=FQ","BEST_FPERIOD_OVERRIDE=FQ","FILING_STATUS=MR","FA_ADJUSTED=GAAP","Sort=A","Dates=H","DateFormat=P","Fill=—","Direction=H","UseDPDF=Y")</f>
        <v>85.005200000000002</v>
      </c>
      <c r="Q13" s="21">
        <f>_xll.BDH("ADBE US Equity","GROSS_MARGIN","FQ1 2015","FQ1 2015","Currency=USD","Period=FQ","BEST_FPERIOD_OVERRIDE=FQ","FILING_STATUS=MR","FA_ADJUSTED=GAAP","Sort=A","Dates=H","DateFormat=P","Fill=—","Direction=H","UseDPDF=Y")</f>
        <v>84.962100000000007</v>
      </c>
      <c r="R13" s="21">
        <f>_xll.BDH("ADBE US Equity","GROSS_MARGIN","FQ2 2015","FQ2 2015","Currency=USD","Period=FQ","BEST_FPERIOD_OVERRIDE=FQ","FILING_STATUS=MR","FA_ADJUSTED=GAAP","Sort=A","Dates=H","DateFormat=P","Fill=—","Direction=H","UseDPDF=Y")</f>
        <v>84.066500000000005</v>
      </c>
      <c r="S13" s="21">
        <f>_xll.BDH("ADBE US Equity","GROSS_MARGIN","FQ3 2015","FQ3 2015","Currency=USD","Period=FQ","BEST_FPERIOD_OVERRIDE=FQ","FILING_STATUS=MR","FA_ADJUSTED=GAAP","Sort=A","Dates=H","DateFormat=P","Fill=—","Direction=H","UseDPDF=Y")</f>
        <v>84.316800000000001</v>
      </c>
      <c r="T13" s="21">
        <f>_xll.BDH("ADBE US Equity","GROSS_MARGIN","FQ4 2015","FQ4 2015","Currency=USD","Period=FQ","BEST_FPERIOD_OVERRIDE=FQ","FILING_STATUS=MR","FA_ADJUSTED=GAAP","Sort=A","Dates=H","DateFormat=P","Fill=—","Direction=H","UseDPDF=Y")</f>
        <v>84.586600000000004</v>
      </c>
      <c r="U13" s="21">
        <f>_xll.BDH("ADBE US Equity","GROSS_MARGIN","FQ1 2016","FQ1 2016","Currency=USD","Period=FQ","BEST_FPERIOD_OVERRIDE=FQ","FILING_STATUS=MR","FA_ADJUSTED=GAAP","Sort=A","Dates=H","DateFormat=P","Fill=—","Direction=H","UseDPDF=Y")</f>
        <v>85.645399999999995</v>
      </c>
      <c r="V13" s="21">
        <f>_xll.BDH("ADBE US Equity","GROSS_MARGIN","FQ2 2016","FQ2 2016","Currency=USD","Period=FQ","BEST_FPERIOD_OVERRIDE=FQ","FILING_STATUS=MR","FA_ADJUSTED=GAAP","Sort=A","Dates=H","DateFormat=P","Fill=—","Direction=H","UseDPDF=Y")</f>
        <v>85.552499999999995</v>
      </c>
      <c r="W13" s="21">
        <f>_xll.BDH("ADBE US Equity","GROSS_MARGIN","FQ3 2016","FQ3 2016","Currency=USD","Period=FQ","BEST_FPERIOD_OVERRIDE=FQ","FILING_STATUS=MR","FA_ADJUSTED=GAAP","Sort=A","Dates=H","DateFormat=P","Fill=—","Direction=H","UseDPDF=Y")</f>
        <v>86.153999999999996</v>
      </c>
      <c r="X13" s="21">
        <f>_xll.BDH("ADBE US Equity","GROSS_MARGIN","FQ4 2016","FQ4 2016","Currency=USD","Period=FQ","BEST_FPERIOD_OVERRIDE=FQ","FILING_STATUS=MR","FA_ADJUSTED=GAAP","Sort=A","Dates=H","DateFormat=P","Fill=—","Direction=H","UseDPDF=Y")</f>
        <v>86.536100000000005</v>
      </c>
      <c r="Y13" s="21">
        <f>_xll.BDH("ADBE US Equity","GROSS_MARGIN","FQ1 2017","FQ1 2017","Currency=USD","Period=FQ","BEST_FPERIOD_OVERRIDE=FQ","FILING_STATUS=MR","FA_ADJUSTED=GAAP","Sort=A","Dates=H","DateFormat=P","Fill=—","Direction=H","UseDPDF=Y")</f>
        <v>85.886600000000001</v>
      </c>
      <c r="Z13" s="21">
        <f>_xll.BDH("ADBE US Equity","GROSS_MARGIN","FQ2 2017","FQ2 2017","Currency=USD","Period=FQ","BEST_FPERIOD_OVERRIDE=FQ","FILING_STATUS=MR","FA_ADJUSTED=GAAP","Sort=A","Dates=H","DateFormat=P","Fill=—","Direction=H","UseDPDF=Y")</f>
        <v>86.493499999999997</v>
      </c>
      <c r="AA13" s="21">
        <f>_xll.BDH("ADBE US Equity","GROSS_MARGIN","FQ3 2017","FQ3 2017","Currency=USD","Period=FQ","BEST_FPERIOD_OVERRIDE=FQ","FILING_STATUS=MR","FA_ADJUSTED=GAAP","Sort=A","Dates=H","DateFormat=P","Fill=—","Direction=H","UseDPDF=Y")</f>
        <v>85.719099999999997</v>
      </c>
      <c r="AB13" s="21">
        <f>_xll.BDH("ADBE US Equity","GROSS_MARGIN","FQ4 2017","FQ4 2017","Currency=USD","Period=FQ","BEST_FPERIOD_OVERRIDE=FQ","FILING_STATUS=MR","FA_ADJUSTED=GAAP","Sort=A","Dates=H","DateFormat=P","Fill=—","Direction=H","UseDPDF=Y")</f>
        <v>86.500900000000001</v>
      </c>
      <c r="AC13" s="21">
        <f>_xll.BDH("ADBE US Equity","GROSS_MARGIN","FQ1 2018","FQ1 2018","Currency=USD","Period=FQ","BEST_FPERIOD_OVERRIDE=FQ","FILING_STATUS=MR","FA_ADJUSTED=GAAP","Sort=A","Dates=H","DateFormat=P","Fill=—","Direction=H","UseDPDF=Y")</f>
        <v>87.546499999999995</v>
      </c>
      <c r="AD13" s="21">
        <f>_xll.BDH("ADBE US Equity","GROSS_MARGIN","FQ2 2018","FQ2 2018","Currency=USD","Period=FQ","BEST_FPERIOD_OVERRIDE=FQ","FILING_STATUS=MR","FA_ADJUSTED=GAAP","Sort=A","Dates=H","DateFormat=P","Fill=—","Direction=H","UseDPDF=Y")</f>
        <v>87.184600000000003</v>
      </c>
      <c r="AE13" s="21">
        <f>_xll.BDH("ADBE US Equity","GROSS_MARGIN","FQ3 2018","FQ3 2018","Currency=USD","Period=FQ","BEST_FPERIOD_OVERRIDE=FQ","FILING_STATUS=MR","FA_ADJUSTED=GAAP","Sort=A","Dates=H","DateFormat=P","Fill=—","Direction=H","UseDPDF=Y")</f>
        <v>87.102500000000006</v>
      </c>
      <c r="AF13" s="21">
        <f>_xll.BDH("ADBE US Equity","GROSS_MARGIN","FQ4 2018","FQ4 2018","Currency=USD","Period=FQ","BEST_FPERIOD_OVERRIDE=FQ","FILING_STATUS=MR","FA_ADJUSTED=GAAP","Sort=A","Dates=H","DateFormat=P","Fill=—","Direction=H","UseDPDF=Y")</f>
        <v>85.423299999999998</v>
      </c>
      <c r="AG13" s="21">
        <f>_xll.BDH("ADBE US Equity","GROSS_MARGIN","FQ1 2019","FQ1 2019","Currency=USD","Period=FQ","BEST_FPERIOD_OVERRIDE=FQ","FILING_STATUS=MR","FA_ADJUSTED=GAAP","Sort=A","Dates=H","DateFormat=P","Fill=—","Direction=H","UseDPDF=Y")</f>
        <v>84.725300000000004</v>
      </c>
      <c r="AH13" s="21">
        <f>_xll.BDH("ADBE US Equity","GROSS_MARGIN","FQ2 2019","FQ2 2019","Currency=USD","Period=FQ","BEST_FPERIOD_OVERRIDE=FQ","FILING_STATUS=MR","FA_ADJUSTED=GAAP","Sort=A","Dates=H","DateFormat=P","Fill=—","Direction=H","UseDPDF=Y")</f>
        <v>85.167599999999993</v>
      </c>
      <c r="AI13" s="21">
        <f>_xll.BDH("ADBE US Equity","GROSS_MARGIN","FQ3 2019","FQ3 2019","Currency=USD","Period=FQ","BEST_FPERIOD_OVERRIDE=FQ","FILING_STATUS=MR","FA_ADJUSTED=GAAP","Sort=A","Dates=H","DateFormat=P","Fill=—","Direction=H","UseDPDF=Y")</f>
        <v>85.323099999999997</v>
      </c>
      <c r="AJ13" s="21">
        <f>_xll.BDH("ADBE US Equity","GROSS_MARGIN","FQ4 2019","FQ4 2019","Currency=USD","Period=FQ","BEST_FPERIOD_OVERRIDE=FQ","FILING_STATUS=MR","FA_ADJUSTED=GAAP","Sort=A","Dates=H","DateFormat=P","Fill=—","Direction=H","UseDPDF=Y")</f>
        <v>84.893299999999996</v>
      </c>
      <c r="AK13" s="21">
        <f>_xll.BDH("ADBE US Equity","GROSS_MARGIN","FQ1 2020","FQ1 2020","Currency=USD","Period=FQ","BEST_FPERIOD_OVERRIDE=FQ","FILING_STATUS=MR","FA_ADJUSTED=GAAP","Sort=A","Dates=H","DateFormat=P","Fill=—","Direction=H","UseDPDF=Y")</f>
        <v>85.376900000000006</v>
      </c>
      <c r="AL13" s="21">
        <f>_xll.BDH("ADBE US Equity","GROSS_MARGIN","FQ2 2020","FQ2 2020","Currency=USD","Period=FQ","BEST_FPERIOD_OVERRIDE=FQ","FILING_STATUS=MR","FA_ADJUSTED=GAAP","Sort=A","Dates=H","DateFormat=P","Fill=—","Direction=H","UseDPDF=Y")</f>
        <v>86.732699999999994</v>
      </c>
      <c r="AM13" s="21">
        <f>_xll.BDH("ADBE US Equity","GROSS_MARGIN","FQ3 2020","FQ3 2020","Currency=USD","Period=FQ","BEST_FPERIOD_OVERRIDE=FQ","FILING_STATUS=MR","FA_ADJUSTED=GAAP","Sort=A","Dates=H","DateFormat=P","Fill=—","Direction=H","UseDPDF=Y")</f>
        <v>86.759699999999995</v>
      </c>
      <c r="AN13" s="21">
        <f>_xll.BDH("ADBE US Equity","GROSS_MARGIN","FQ4 2020","FQ4 2020","Currency=USD","Period=FQ","BEST_FPERIOD_OVERRIDE=FQ","FILING_STATUS=MR","FA_ADJUSTED=GAAP","Sort=A","Dates=H","DateFormat=P","Fill=—","Direction=H","UseDPDF=Y")</f>
        <v>87.5</v>
      </c>
      <c r="AO13" s="21">
        <f>_xll.BDH("ADBE US Equity","GROSS_MARGIN","FQ1 2021","FQ1 2021","Currency=USD","Period=FQ","BEST_FPERIOD_OVERRIDE=FQ","FILING_STATUS=MR","FA_ADJUSTED=GAAP","Sort=A","Dates=H","DateFormat=P","Fill=—","Direction=H","UseDPDF=Y")</f>
        <v>88.553100000000001</v>
      </c>
      <c r="AP13" s="21">
        <f>_xll.BDH("ADBE US Equity","GROSS_MARGIN","FQ2 2021","FQ2 2021","Currency=USD","Period=FQ","BEST_FPERIOD_OVERRIDE=FQ","FILING_STATUS=MR","FA_ADJUSTED=GAAP","Sort=A","Dates=H","DateFormat=P","Fill=—","Direction=H","UseDPDF=Y")</f>
        <v>88.422399999999996</v>
      </c>
    </row>
    <row r="14" spans="1:42" x14ac:dyDescent="0.25">
      <c r="A14" s="14" t="s">
        <v>96</v>
      </c>
      <c r="B14" s="14"/>
      <c r="C14" s="23" t="s">
        <v>97</v>
      </c>
      <c r="D14" s="23" t="s">
        <v>97</v>
      </c>
      <c r="E14" s="23" t="s">
        <v>97</v>
      </c>
      <c r="F14" s="23" t="s">
        <v>97</v>
      </c>
      <c r="G14" s="23" t="s">
        <v>97</v>
      </c>
      <c r="H14" s="23" t="s">
        <v>97</v>
      </c>
      <c r="I14" s="23" t="s">
        <v>97</v>
      </c>
      <c r="J14" s="23" t="s">
        <v>97</v>
      </c>
      <c r="K14" s="23" t="s">
        <v>97</v>
      </c>
      <c r="L14" s="23" t="s">
        <v>97</v>
      </c>
      <c r="M14" s="23" t="s">
        <v>97</v>
      </c>
      <c r="N14" s="23" t="s">
        <v>97</v>
      </c>
      <c r="O14" s="23" t="s">
        <v>97</v>
      </c>
      <c r="P14" s="23" t="s">
        <v>97</v>
      </c>
      <c r="Q14" s="23" t="s">
        <v>97</v>
      </c>
      <c r="R14" s="23" t="s">
        <v>97</v>
      </c>
      <c r="S14" s="23" t="s">
        <v>97</v>
      </c>
      <c r="T14" s="23" t="s">
        <v>97</v>
      </c>
      <c r="U14" s="23" t="s">
        <v>97</v>
      </c>
      <c r="V14" s="23" t="s">
        <v>97</v>
      </c>
      <c r="W14" s="23" t="s">
        <v>97</v>
      </c>
      <c r="X14" s="23" t="s">
        <v>97</v>
      </c>
      <c r="Y14" s="23" t="s">
        <v>97</v>
      </c>
      <c r="Z14" s="23" t="s">
        <v>97</v>
      </c>
      <c r="AA14" s="23" t="s">
        <v>97</v>
      </c>
      <c r="AB14" s="23" t="s">
        <v>97</v>
      </c>
      <c r="AC14" s="23" t="s">
        <v>97</v>
      </c>
      <c r="AD14" s="23" t="s">
        <v>97</v>
      </c>
      <c r="AE14" s="23" t="s">
        <v>97</v>
      </c>
      <c r="AF14" s="23" t="s">
        <v>97</v>
      </c>
      <c r="AG14" s="23" t="s">
        <v>97</v>
      </c>
      <c r="AH14" s="23" t="s">
        <v>97</v>
      </c>
      <c r="AI14" s="23" t="s">
        <v>97</v>
      </c>
      <c r="AJ14" s="23" t="s">
        <v>97</v>
      </c>
      <c r="AK14" s="23" t="s">
        <v>97</v>
      </c>
      <c r="AL14" s="23" t="s">
        <v>97</v>
      </c>
      <c r="AM14" s="23" t="s">
        <v>97</v>
      </c>
      <c r="AN14" s="23" t="s">
        <v>97</v>
      </c>
      <c r="AO14" s="23" t="s">
        <v>97</v>
      </c>
      <c r="AP14" s="23" t="s">
        <v>97</v>
      </c>
    </row>
    <row r="15" spans="1:42" x14ac:dyDescent="0.25">
      <c r="A15" s="18" t="s">
        <v>98</v>
      </c>
      <c r="B15" s="18"/>
      <c r="C15" s="21">
        <v>96</v>
      </c>
      <c r="D15" s="21" t="s">
        <v>97</v>
      </c>
      <c r="E15" s="21">
        <v>96</v>
      </c>
      <c r="F15" s="21">
        <v>95</v>
      </c>
      <c r="G15" s="21">
        <v>96</v>
      </c>
      <c r="H15" s="21" t="s">
        <v>97</v>
      </c>
      <c r="I15" s="21">
        <v>92</v>
      </c>
      <c r="J15" s="21">
        <v>95</v>
      </c>
      <c r="K15" s="21">
        <v>94</v>
      </c>
      <c r="L15" s="21" t="s">
        <v>97</v>
      </c>
      <c r="M15" s="21">
        <v>94</v>
      </c>
      <c r="N15" s="21">
        <v>95</v>
      </c>
      <c r="O15" s="21">
        <v>94</v>
      </c>
      <c r="P15" s="21" t="s">
        <v>97</v>
      </c>
      <c r="Q15" s="21">
        <v>94</v>
      </c>
      <c r="R15" s="21">
        <v>93</v>
      </c>
      <c r="S15" s="21">
        <v>93</v>
      </c>
      <c r="T15" s="21" t="s">
        <v>97</v>
      </c>
      <c r="U15" s="21">
        <v>94</v>
      </c>
      <c r="V15" s="21">
        <v>94</v>
      </c>
      <c r="W15" s="21">
        <v>94</v>
      </c>
      <c r="X15" s="21" t="s">
        <v>97</v>
      </c>
      <c r="Y15" s="21">
        <v>95</v>
      </c>
      <c r="Z15" s="21">
        <v>95</v>
      </c>
      <c r="AA15" s="21">
        <v>95</v>
      </c>
      <c r="AB15" s="21" t="s">
        <v>97</v>
      </c>
      <c r="AC15" s="21">
        <v>96</v>
      </c>
      <c r="AD15" s="21">
        <v>96</v>
      </c>
      <c r="AE15" s="21">
        <v>96</v>
      </c>
      <c r="AF15" s="21" t="s">
        <v>97</v>
      </c>
      <c r="AG15" s="21">
        <v>96</v>
      </c>
      <c r="AH15" s="21">
        <v>96</v>
      </c>
      <c r="AI15" s="21">
        <v>96</v>
      </c>
      <c r="AJ15" s="21" t="s">
        <v>97</v>
      </c>
      <c r="AK15" s="21">
        <v>96</v>
      </c>
      <c r="AL15" s="21">
        <v>96</v>
      </c>
      <c r="AM15" s="21">
        <v>96</v>
      </c>
      <c r="AN15" s="21" t="s">
        <v>97</v>
      </c>
      <c r="AO15" s="21">
        <v>97</v>
      </c>
      <c r="AP15" s="21">
        <v>96</v>
      </c>
    </row>
    <row r="16" spans="1:42" x14ac:dyDescent="0.25">
      <c r="A16" s="18" t="s">
        <v>99</v>
      </c>
      <c r="B16" s="18"/>
      <c r="C16" s="21" t="s">
        <v>97</v>
      </c>
      <c r="D16" s="21" t="s">
        <v>97</v>
      </c>
      <c r="E16" s="21" t="s">
        <v>97</v>
      </c>
      <c r="F16" s="21" t="s">
        <v>97</v>
      </c>
      <c r="G16" s="21" t="s">
        <v>97</v>
      </c>
      <c r="H16" s="21" t="s">
        <v>97</v>
      </c>
      <c r="I16" s="21" t="s">
        <v>97</v>
      </c>
      <c r="J16" s="21" t="s">
        <v>97</v>
      </c>
      <c r="K16" s="21" t="s">
        <v>97</v>
      </c>
      <c r="L16" s="21" t="s">
        <v>97</v>
      </c>
      <c r="M16" s="21" t="s">
        <v>97</v>
      </c>
      <c r="N16" s="21" t="s">
        <v>97</v>
      </c>
      <c r="O16" s="21" t="s">
        <v>97</v>
      </c>
      <c r="P16" s="21" t="s">
        <v>97</v>
      </c>
      <c r="Q16" s="21" t="s">
        <v>97</v>
      </c>
      <c r="R16" s="21" t="s">
        <v>97</v>
      </c>
      <c r="S16" s="21" t="s">
        <v>97</v>
      </c>
      <c r="T16" s="21" t="s">
        <v>97</v>
      </c>
      <c r="U16" s="21" t="s">
        <v>97</v>
      </c>
      <c r="V16" s="21" t="s">
        <v>97</v>
      </c>
      <c r="W16" s="21" t="s">
        <v>97</v>
      </c>
      <c r="X16" s="21" t="s">
        <v>97</v>
      </c>
      <c r="Y16" s="21">
        <v>63</v>
      </c>
      <c r="Z16" s="21">
        <v>65</v>
      </c>
      <c r="AA16" s="21">
        <v>63</v>
      </c>
      <c r="AB16" s="21" t="s">
        <v>97</v>
      </c>
      <c r="AC16" s="21" t="s">
        <v>97</v>
      </c>
      <c r="AD16" s="21" t="s">
        <v>97</v>
      </c>
      <c r="AE16" s="21" t="s">
        <v>97</v>
      </c>
      <c r="AF16" s="21" t="s">
        <v>97</v>
      </c>
      <c r="AG16" s="21" t="s">
        <v>97</v>
      </c>
      <c r="AH16" s="21" t="s">
        <v>97</v>
      </c>
      <c r="AI16" s="21" t="s">
        <v>97</v>
      </c>
      <c r="AJ16" s="21" t="s">
        <v>97</v>
      </c>
      <c r="AK16" s="21" t="s">
        <v>97</v>
      </c>
      <c r="AL16" s="21" t="s">
        <v>97</v>
      </c>
      <c r="AM16" s="21" t="s">
        <v>97</v>
      </c>
      <c r="AN16" s="21" t="s">
        <v>97</v>
      </c>
      <c r="AO16" s="21" t="s">
        <v>97</v>
      </c>
      <c r="AP16" s="21" t="s">
        <v>97</v>
      </c>
    </row>
    <row r="17" spans="1:42" x14ac:dyDescent="0.25">
      <c r="A17" s="18" t="s">
        <v>100</v>
      </c>
      <c r="B17" s="18"/>
      <c r="C17" s="21" t="s">
        <v>97</v>
      </c>
      <c r="D17" s="21" t="s">
        <v>97</v>
      </c>
      <c r="E17" s="21" t="s">
        <v>97</v>
      </c>
      <c r="F17" s="21" t="s">
        <v>97</v>
      </c>
      <c r="G17" s="21" t="s">
        <v>97</v>
      </c>
      <c r="H17" s="21" t="s">
        <v>97</v>
      </c>
      <c r="I17" s="21" t="s">
        <v>97</v>
      </c>
      <c r="J17" s="21" t="s">
        <v>97</v>
      </c>
      <c r="K17" s="21" t="s">
        <v>97</v>
      </c>
      <c r="L17" s="21" t="s">
        <v>97</v>
      </c>
      <c r="M17" s="21" t="s">
        <v>97</v>
      </c>
      <c r="N17" s="21" t="s">
        <v>97</v>
      </c>
      <c r="O17" s="21" t="s">
        <v>97</v>
      </c>
      <c r="P17" s="21" t="s">
        <v>97</v>
      </c>
      <c r="Q17" s="21" t="s">
        <v>97</v>
      </c>
      <c r="R17" s="21" t="s">
        <v>97</v>
      </c>
      <c r="S17" s="21" t="s">
        <v>97</v>
      </c>
      <c r="T17" s="21" t="s">
        <v>97</v>
      </c>
      <c r="U17" s="21" t="s">
        <v>97</v>
      </c>
      <c r="V17" s="21" t="s">
        <v>97</v>
      </c>
      <c r="W17" s="21" t="s">
        <v>97</v>
      </c>
      <c r="X17" s="21" t="s">
        <v>97</v>
      </c>
      <c r="Y17" s="21">
        <v>92</v>
      </c>
      <c r="Z17" s="21">
        <v>91</v>
      </c>
      <c r="AA17" s="21">
        <v>91</v>
      </c>
      <c r="AB17" s="21" t="s">
        <v>97</v>
      </c>
      <c r="AC17" s="21" t="s">
        <v>97</v>
      </c>
      <c r="AD17" s="21" t="s">
        <v>97</v>
      </c>
      <c r="AE17" s="21" t="s">
        <v>97</v>
      </c>
      <c r="AF17" s="21" t="s">
        <v>97</v>
      </c>
      <c r="AG17" s="21" t="s">
        <v>97</v>
      </c>
      <c r="AH17" s="21" t="s">
        <v>97</v>
      </c>
      <c r="AI17" s="21" t="s">
        <v>97</v>
      </c>
      <c r="AJ17" s="21" t="s">
        <v>97</v>
      </c>
      <c r="AK17" s="21" t="s">
        <v>97</v>
      </c>
      <c r="AL17" s="21" t="s">
        <v>97</v>
      </c>
      <c r="AM17" s="21" t="s">
        <v>97</v>
      </c>
      <c r="AN17" s="21" t="s">
        <v>97</v>
      </c>
      <c r="AO17" s="21" t="s">
        <v>97</v>
      </c>
      <c r="AP17" s="21" t="s">
        <v>97</v>
      </c>
    </row>
    <row r="18" spans="1:42" x14ac:dyDescent="0.25">
      <c r="A18" s="18" t="s">
        <v>101</v>
      </c>
      <c r="B18" s="18"/>
      <c r="C18" s="21">
        <v>96</v>
      </c>
      <c r="D18" s="21" t="s">
        <v>97</v>
      </c>
      <c r="E18" s="21">
        <v>95</v>
      </c>
      <c r="F18" s="21">
        <v>96</v>
      </c>
      <c r="G18" s="21">
        <v>94</v>
      </c>
      <c r="H18" s="21" t="s">
        <v>97</v>
      </c>
      <c r="I18" s="21">
        <v>91</v>
      </c>
      <c r="J18" s="21">
        <v>95</v>
      </c>
      <c r="K18" s="21">
        <v>95</v>
      </c>
      <c r="L18" s="21" t="s">
        <v>97</v>
      </c>
      <c r="M18" s="21">
        <v>95</v>
      </c>
      <c r="N18" s="21">
        <v>94</v>
      </c>
      <c r="O18" s="21">
        <v>96</v>
      </c>
      <c r="P18" s="21" t="s">
        <v>97</v>
      </c>
      <c r="Q18" s="21">
        <v>96</v>
      </c>
      <c r="R18" s="21">
        <v>95</v>
      </c>
      <c r="S18" s="21">
        <v>95</v>
      </c>
      <c r="T18" s="21" t="s">
        <v>97</v>
      </c>
      <c r="U18" s="21">
        <v>95</v>
      </c>
      <c r="V18" s="21">
        <v>96</v>
      </c>
      <c r="W18" s="21">
        <v>96</v>
      </c>
      <c r="X18" s="21" t="s">
        <v>97</v>
      </c>
      <c r="Y18" s="21" t="s">
        <v>97</v>
      </c>
      <c r="Z18" s="21" t="s">
        <v>97</v>
      </c>
      <c r="AA18" s="21" t="s">
        <v>97</v>
      </c>
      <c r="AB18" s="21" t="s">
        <v>97</v>
      </c>
      <c r="AC18" s="21" t="s">
        <v>97</v>
      </c>
      <c r="AD18" s="21" t="s">
        <v>97</v>
      </c>
      <c r="AE18" s="21" t="s">
        <v>97</v>
      </c>
      <c r="AF18" s="21" t="s">
        <v>97</v>
      </c>
      <c r="AG18" s="21" t="s">
        <v>97</v>
      </c>
      <c r="AH18" s="21" t="s">
        <v>97</v>
      </c>
      <c r="AI18" s="21" t="s">
        <v>97</v>
      </c>
      <c r="AJ18" s="21" t="s">
        <v>97</v>
      </c>
      <c r="AK18" s="21" t="s">
        <v>97</v>
      </c>
      <c r="AL18" s="21" t="s">
        <v>97</v>
      </c>
      <c r="AM18" s="21" t="s">
        <v>97</v>
      </c>
      <c r="AN18" s="21" t="s">
        <v>97</v>
      </c>
      <c r="AO18" s="21" t="s">
        <v>97</v>
      </c>
      <c r="AP18" s="21" t="s">
        <v>97</v>
      </c>
    </row>
    <row r="19" spans="1:42" x14ac:dyDescent="0.25">
      <c r="A19" s="18" t="s">
        <v>102</v>
      </c>
      <c r="B19" s="18"/>
      <c r="C19" s="21">
        <v>64</v>
      </c>
      <c r="D19" s="21" t="s">
        <v>97</v>
      </c>
      <c r="E19" s="21">
        <v>70</v>
      </c>
      <c r="F19" s="21">
        <v>66</v>
      </c>
      <c r="G19" s="21">
        <v>67</v>
      </c>
      <c r="H19" s="21" t="s">
        <v>97</v>
      </c>
      <c r="I19" s="21">
        <v>63</v>
      </c>
      <c r="J19" s="21">
        <v>66</v>
      </c>
      <c r="K19" s="21">
        <v>67</v>
      </c>
      <c r="L19" s="21" t="s">
        <v>97</v>
      </c>
      <c r="M19" s="21">
        <v>66</v>
      </c>
      <c r="N19" s="21">
        <v>65</v>
      </c>
      <c r="O19" s="21">
        <v>65</v>
      </c>
      <c r="P19" s="21" t="s">
        <v>97</v>
      </c>
      <c r="Q19" s="21">
        <v>66</v>
      </c>
      <c r="R19" s="21">
        <v>64</v>
      </c>
      <c r="S19" s="21">
        <v>67</v>
      </c>
      <c r="T19" s="21" t="s">
        <v>97</v>
      </c>
      <c r="U19" s="21">
        <v>65</v>
      </c>
      <c r="V19" s="21">
        <v>66</v>
      </c>
      <c r="W19" s="21">
        <v>66</v>
      </c>
      <c r="X19" s="21" t="s">
        <v>97</v>
      </c>
      <c r="Y19" s="21" t="s">
        <v>97</v>
      </c>
      <c r="Z19" s="21" t="s">
        <v>97</v>
      </c>
      <c r="AA19" s="21" t="s">
        <v>97</v>
      </c>
      <c r="AB19" s="21" t="s">
        <v>97</v>
      </c>
      <c r="AC19" s="21" t="s">
        <v>97</v>
      </c>
      <c r="AD19" s="21" t="s">
        <v>97</v>
      </c>
      <c r="AE19" s="21" t="s">
        <v>97</v>
      </c>
      <c r="AF19" s="21" t="s">
        <v>97</v>
      </c>
      <c r="AG19" s="21" t="s">
        <v>97</v>
      </c>
      <c r="AH19" s="21" t="s">
        <v>97</v>
      </c>
      <c r="AI19" s="21" t="s">
        <v>97</v>
      </c>
      <c r="AJ19" s="21" t="s">
        <v>97</v>
      </c>
      <c r="AK19" s="21" t="s">
        <v>97</v>
      </c>
      <c r="AL19" s="21" t="s">
        <v>97</v>
      </c>
      <c r="AM19" s="21" t="s">
        <v>97</v>
      </c>
      <c r="AN19" s="21" t="s">
        <v>97</v>
      </c>
      <c r="AO19" s="21" t="s">
        <v>97</v>
      </c>
      <c r="AP19" s="21" t="s">
        <v>97</v>
      </c>
    </row>
    <row r="20" spans="1:42" x14ac:dyDescent="0.25">
      <c r="A20" s="18" t="s">
        <v>103</v>
      </c>
      <c r="B20" s="18" t="s">
        <v>104</v>
      </c>
      <c r="C20" s="21">
        <f>_xll.BDH("ADBE US Equity","EBITDA_TO_REVENUE","FQ3 2011","FQ3 2011","Currency=USD","Period=FQ","BEST_FPERIOD_OVERRIDE=FQ","FILING_STATUS=MR","FA_ADJUSTED=GAAP","Sort=A","Dates=H","DateFormat=P","Fill=—","Direction=H","UseDPDF=Y")</f>
        <v>33.371000000000002</v>
      </c>
      <c r="D20" s="21">
        <f>_xll.BDH("ADBE US Equity","EBITDA_TO_REVENUE","FQ4 2011","FQ4 2011","Currency=USD","Period=FQ","BEST_FPERIOD_OVERRIDE=FQ","FILING_STATUS=MR","FA_ADJUSTED=GAAP","Sort=A","Dates=H","DateFormat=P","Fill=—","Direction=H","UseDPDF=Y")</f>
        <v>27.723600000000001</v>
      </c>
      <c r="E20" s="21">
        <f>_xll.BDH("ADBE US Equity","EBITDA_TO_REVENUE","FQ1 2012","FQ1 2012","Currency=USD","Period=FQ","BEST_FPERIOD_OVERRIDE=FQ","FILING_STATUS=MR","FA_ADJUSTED=GAAP","Sort=A","Dates=H","DateFormat=P","Fill=—","Direction=H","UseDPDF=Y")</f>
        <v>34.331499999999998</v>
      </c>
      <c r="F20" s="21">
        <f>_xll.BDH("ADBE US Equity","EBITDA_TO_REVENUE","FQ2 2012","FQ2 2012","Currency=USD","Period=FQ","BEST_FPERIOD_OVERRIDE=FQ","FILING_STATUS=MR","FA_ADJUSTED=GAAP","Sort=A","Dates=H","DateFormat=P","Fill=—","Direction=H","UseDPDF=Y")</f>
        <v>34.000399999999999</v>
      </c>
      <c r="G20" s="21">
        <f>_xll.BDH("ADBE US Equity","EBITDA_TO_REVENUE","FQ3 2012","FQ3 2012","Currency=USD","Period=FQ","BEST_FPERIOD_OVERRIDE=FQ","FILING_STATUS=MR","FA_ADJUSTED=GAAP","Sort=A","Dates=H","DateFormat=P","Fill=—","Direction=H","UseDPDF=Y")</f>
        <v>32.613399999999999</v>
      </c>
      <c r="H20" s="21">
        <f>_xll.BDH("ADBE US Equity","EBITDA_TO_REVENUE","FQ4 2012","FQ4 2012","Currency=USD","Period=FQ","BEST_FPERIOD_OVERRIDE=FQ","FILING_STATUS=MR","FA_ADJUSTED=GAAP","Sort=A","Dates=H","DateFormat=P","Fill=—","Direction=H","UseDPDF=Y")</f>
        <v>33.498899999999999</v>
      </c>
      <c r="I20" s="21">
        <f>_xll.BDH("ADBE US Equity","EBITDA_TO_REVENUE","FQ1 2013","FQ1 2013","Currency=USD","Period=FQ","BEST_FPERIOD_OVERRIDE=FQ","FILING_STATUS=MR","FA_ADJUSTED=GAAP","Sort=A","Dates=H","DateFormat=P","Fill=—","Direction=H","UseDPDF=Y")</f>
        <v>17.360900000000001</v>
      </c>
      <c r="J20" s="21">
        <f>_xll.BDH("ADBE US Equity","EBITDA_TO_REVENUE","FQ2 2013","FQ2 2013","Currency=USD","Period=FQ","BEST_FPERIOD_OVERRIDE=FQ","FILING_STATUS=MR","FA_ADJUSTED=GAAP","Sort=A","Dates=H","DateFormat=P","Fill=—","Direction=H","UseDPDF=Y")</f>
        <v>26.6203</v>
      </c>
      <c r="K20" s="21">
        <f>_xll.BDH("ADBE US Equity","EBITDA_TO_REVENUE","FQ3 2013","FQ3 2013","Currency=USD","Period=FQ","BEST_FPERIOD_OVERRIDE=FQ","FILING_STATUS=MR","FA_ADJUSTED=GAAP","Sort=A","Dates=H","DateFormat=P","Fill=—","Direction=H","UseDPDF=Y")</f>
        <v>35.194899999999997</v>
      </c>
      <c r="L20" s="21">
        <f>_xll.BDH("ADBE US Equity","EBITDA_TO_REVENUE","FQ4 2013","FQ4 2013","Currency=USD","Period=FQ","BEST_FPERIOD_OVERRIDE=FQ","FILING_STATUS=MR","FA_ADJUSTED=GAAP","Sort=A","Dates=H","DateFormat=P","Fill=—","Direction=H","UseDPDF=Y")</f>
        <v>17.6813</v>
      </c>
      <c r="M20" s="21">
        <f>_xll.BDH("ADBE US Equity","EBITDA_TO_REVENUE","FQ1 2014","FQ1 2014","Currency=USD","Period=FQ","BEST_FPERIOD_OVERRIDE=FQ","FILING_STATUS=MR","FA_ADJUSTED=GAAP","Sort=A","Dates=H","DateFormat=P","Fill=—","Direction=H","UseDPDF=Y")</f>
        <v>15.6363</v>
      </c>
      <c r="N20" s="21">
        <f>_xll.BDH("ADBE US Equity","EBITDA_TO_REVENUE","FQ2 2014","FQ2 2014","Currency=USD","Period=FQ","BEST_FPERIOD_OVERRIDE=FQ","FILING_STATUS=MR","FA_ADJUSTED=GAAP","Sort=A","Dates=H","DateFormat=P","Fill=—","Direction=H","UseDPDF=Y")</f>
        <v>19.9316</v>
      </c>
      <c r="O20" s="21">
        <f>_xll.BDH("ADBE US Equity","EBITDA_TO_REVENUE","FQ3 2014","FQ3 2014","Currency=USD","Period=FQ","BEST_FPERIOD_OVERRIDE=FQ","FILING_STATUS=MR","FA_ADJUSTED=GAAP","Sort=A","Dates=H","DateFormat=P","Fill=—","Direction=H","UseDPDF=Y")</f>
        <v>15.35</v>
      </c>
      <c r="P20" s="21">
        <f>_xll.BDH("ADBE US Equity","EBITDA_TO_REVENUE","FQ4 2014","FQ4 2014","Currency=USD","Period=FQ","BEST_FPERIOD_OVERRIDE=FQ","FILING_STATUS=MR","FA_ADJUSTED=GAAP","Sort=A","Dates=H","DateFormat=P","Fill=—","Direction=H","UseDPDF=Y")</f>
        <v>17.0639</v>
      </c>
      <c r="Q20" s="21">
        <f>_xll.BDH("ADBE US Equity","EBITDA_TO_REVENUE","FQ1 2015","FQ1 2015","Currency=USD","Period=FQ","BEST_FPERIOD_OVERRIDE=FQ","FILING_STATUS=MR","FA_ADJUSTED=GAAP","Sort=A","Dates=H","DateFormat=P","Fill=—","Direction=H","UseDPDF=Y")</f>
        <v>22.779</v>
      </c>
      <c r="R20" s="21">
        <f>_xll.BDH("ADBE US Equity","EBITDA_TO_REVENUE","FQ2 2015","FQ2 2015","Currency=USD","Period=FQ","BEST_FPERIOD_OVERRIDE=FQ","FILING_STATUS=MR","FA_ADJUSTED=GAAP","Sort=A","Dates=H","DateFormat=P","Fill=—","Direction=H","UseDPDF=Y")</f>
        <v>24.053999999999998</v>
      </c>
      <c r="S20" s="21">
        <f>_xll.BDH("ADBE US Equity","EBITDA_TO_REVENUE","FQ3 2015","FQ3 2015","Currency=USD","Period=FQ","BEST_FPERIOD_OVERRIDE=FQ","FILING_STATUS=MR","FA_ADJUSTED=GAAP","Sort=A","Dates=H","DateFormat=P","Fill=—","Direction=H","UseDPDF=Y")</f>
        <v>27.3918</v>
      </c>
      <c r="T20" s="21">
        <f>_xll.BDH("ADBE US Equity","EBITDA_TO_REVENUE","FQ4 2015","FQ4 2015","Currency=USD","Period=FQ","BEST_FPERIOD_OVERRIDE=FQ","FILING_STATUS=MR","FA_ADJUSTED=GAAP","Sort=A","Dates=H","DateFormat=P","Fill=—","Direction=H","UseDPDF=Y")</f>
        <v>28.841999999999999</v>
      </c>
      <c r="U20" s="21">
        <f>_xll.BDH("ADBE US Equity","EBITDA_TO_REVENUE","FQ1 2016","FQ1 2016","Currency=USD","Period=FQ","BEST_FPERIOD_OVERRIDE=FQ","FILING_STATUS=MR","FA_ADJUSTED=GAAP","Sort=A","Dates=H","DateFormat=P","Fill=—","Direction=H","UseDPDF=Y")</f>
        <v>28.1174</v>
      </c>
      <c r="V20" s="21">
        <f>_xll.BDH("ADBE US Equity","EBITDA_TO_REVENUE","FQ2 2016","FQ2 2016","Currency=USD","Period=FQ","BEST_FPERIOD_OVERRIDE=FQ","FILING_STATUS=MR","FA_ADJUSTED=GAAP","Sort=A","Dates=H","DateFormat=P","Fill=—","Direction=H","UseDPDF=Y")</f>
        <v>30.649699999999999</v>
      </c>
      <c r="W20" s="21">
        <f>_xll.BDH("ADBE US Equity","EBITDA_TO_REVENUE","FQ3 2016","FQ3 2016","Currency=USD","Period=FQ","BEST_FPERIOD_OVERRIDE=FQ","FILING_STATUS=MR","FA_ADJUSTED=GAAP","Sort=A","Dates=H","DateFormat=P","Fill=—","Direction=H","UseDPDF=Y")</f>
        <v>30.9665</v>
      </c>
      <c r="X20" s="21">
        <f>_xll.BDH("ADBE US Equity","EBITDA_TO_REVENUE","FQ4 2016","FQ4 2016","Currency=USD","Period=FQ","BEST_FPERIOD_OVERRIDE=FQ","FILING_STATUS=MR","FA_ADJUSTED=GAAP","Sort=A","Dates=H","DateFormat=P","Fill=—","Direction=H","UseDPDF=Y")</f>
        <v>34.452500000000001</v>
      </c>
      <c r="Y20" s="21">
        <f>_xll.BDH("ADBE US Equity","EBITDA_TO_REVENUE","FQ1 2017","FQ1 2017","Currency=USD","Period=FQ","BEST_FPERIOD_OVERRIDE=FQ","FILING_STATUS=MR","FA_ADJUSTED=GAAP","Sort=A","Dates=H","DateFormat=P","Fill=—","Direction=H","UseDPDF=Y")</f>
        <v>32.694600000000001</v>
      </c>
      <c r="Z20" s="21">
        <f>_xll.BDH("ADBE US Equity","EBITDA_TO_REVENUE","FQ2 2017","FQ2 2017","Currency=USD","Period=FQ","BEST_FPERIOD_OVERRIDE=FQ","FILING_STATUS=MR","FA_ADJUSTED=GAAP","Sort=A","Dates=H","DateFormat=P","Fill=—","Direction=H","UseDPDF=Y")</f>
        <v>33.0505</v>
      </c>
      <c r="AA20" s="21">
        <f>_xll.BDH("ADBE US Equity","EBITDA_TO_REVENUE","FQ3 2017","FQ3 2017","Currency=USD","Period=FQ","BEST_FPERIOD_OVERRIDE=FQ","FILING_STATUS=MR","FA_ADJUSTED=GAAP","Sort=A","Dates=H","DateFormat=P","Fill=—","Direction=H","UseDPDF=Y")</f>
        <v>34.110100000000003</v>
      </c>
      <c r="AB20" s="21">
        <f>_xll.BDH("ADBE US Equity","EBITDA_TO_REVENUE","FQ4 2017","FQ4 2017","Currency=USD","Period=FQ","BEST_FPERIOD_OVERRIDE=FQ","FILING_STATUS=MR","FA_ADJUSTED=GAAP","Sort=A","Dates=H","DateFormat=P","Fill=—","Direction=H","UseDPDF=Y")</f>
        <v>36.4086</v>
      </c>
      <c r="AC20" s="21">
        <f>_xll.BDH("ADBE US Equity","EBITDA_TO_REVENUE","FQ1 2018","FQ1 2018","Currency=USD","Period=FQ","BEST_FPERIOD_OVERRIDE=FQ","FILING_STATUS=MR","FA_ADJUSTED=GAAP","Sort=A","Dates=H","DateFormat=P","Fill=—","Direction=H","UseDPDF=Y")</f>
        <v>37.483199999999997</v>
      </c>
      <c r="AD20" s="21">
        <f>_xll.BDH("ADBE US Equity","EBITDA_TO_REVENUE","FQ2 2018","FQ2 2018","Currency=USD","Period=FQ","BEST_FPERIOD_OVERRIDE=FQ","FILING_STATUS=MR","FA_ADJUSTED=GAAP","Sort=A","Dates=H","DateFormat=P","Fill=—","Direction=H","UseDPDF=Y")</f>
        <v>35.294600000000003</v>
      </c>
      <c r="AE20" s="21">
        <f>_xll.BDH("ADBE US Equity","EBITDA_TO_REVENUE","FQ3 2018","FQ3 2018","Currency=USD","Period=FQ","BEST_FPERIOD_OVERRIDE=FQ","FILING_STATUS=MR","FA_ADJUSTED=GAAP","Sort=A","Dates=H","DateFormat=P","Fill=—","Direction=H","UseDPDF=Y")</f>
        <v>35.158000000000001</v>
      </c>
      <c r="AF20" s="21">
        <f>_xll.BDH("ADBE US Equity","EBITDA_TO_REVENUE","FQ4 2018","FQ4 2018","Currency=USD","Period=FQ","BEST_FPERIOD_OVERRIDE=FQ","FILING_STATUS=MR","FA_ADJUSTED=GAAP","Sort=A","Dates=H","DateFormat=P","Fill=—","Direction=H","UseDPDF=Y")</f>
        <v>33.565600000000003</v>
      </c>
      <c r="AG20" s="21">
        <f>_xll.BDH("ADBE US Equity","EBITDA_TO_REVENUE","FQ1 2019","FQ1 2019","Currency=USD","Period=FQ","BEST_FPERIOD_OVERRIDE=FQ","FILING_STATUS=MR","FA_ADJUSTED=GAAP","Sort=A","Dates=H","DateFormat=P","Fill=—","Direction=H","UseDPDF=Y")</f>
        <v>32.285499999999999</v>
      </c>
      <c r="AH20" s="21">
        <f>_xll.BDH("ADBE US Equity","EBITDA_TO_REVENUE","FQ2 2019","FQ2 2019","Currency=USD","Period=FQ","BEST_FPERIOD_OVERRIDE=FQ","FILING_STATUS=MR","FA_ADJUSTED=GAAP","Sort=A","Dates=H","DateFormat=P","Fill=—","Direction=H","UseDPDF=Y")</f>
        <v>35.645099999999999</v>
      </c>
      <c r="AI20" s="21">
        <f>_xll.BDH("ADBE US Equity","EBITDA_TO_REVENUE","FQ3 2019","FQ3 2019","Currency=USD","Period=FQ","BEST_FPERIOD_OVERRIDE=FQ","FILING_STATUS=MR","FA_ADJUSTED=GAAP","Sort=A","Dates=H","DateFormat=P","Fill=—","Direction=H","UseDPDF=Y")</f>
        <v>32.527500000000003</v>
      </c>
      <c r="AJ20" s="21">
        <f>_xll.BDH("ADBE US Equity","EBITDA_TO_REVENUE","FQ4 2019","FQ4 2019","Currency=USD","Period=FQ","BEST_FPERIOD_OVERRIDE=FQ","FILING_STATUS=MR","FA_ADJUSTED=GAAP","Sort=A","Dates=H","DateFormat=P","Fill=—","Direction=H","UseDPDF=Y")</f>
        <v>38.022100000000002</v>
      </c>
      <c r="AK20" s="21">
        <f>_xll.BDH("ADBE US Equity","EBITDA_TO_REVENUE","FQ1 2020","FQ1 2020","Currency=USD","Period=FQ","BEST_FPERIOD_OVERRIDE=FQ","FILING_STATUS=MR","FA_ADJUSTED=GAAP","Sort=A","Dates=H","DateFormat=P","Fill=—","Direction=H","UseDPDF=Y")</f>
        <v>36.396000000000001</v>
      </c>
      <c r="AL20" s="21">
        <f>_xll.BDH("ADBE US Equity","EBITDA_TO_REVENUE","FQ2 2020","FQ2 2020","Currency=USD","Period=FQ","BEST_FPERIOD_OVERRIDE=FQ","FILING_STATUS=MR","FA_ADJUSTED=GAAP","Sort=A","Dates=H","DateFormat=P","Fill=—","Direction=H","UseDPDF=Y")</f>
        <v>39.450099999999999</v>
      </c>
      <c r="AM20" s="21">
        <f>_xll.BDH("ADBE US Equity","EBITDA_TO_REVENUE","FQ3 2020","FQ3 2020","Currency=USD","Period=FQ","BEST_FPERIOD_OVERRIDE=FQ","FILING_STATUS=MR","FA_ADJUSTED=GAAP","Sort=A","Dates=H","DateFormat=P","Fill=—","Direction=H","UseDPDF=Y")</f>
        <v>40.030999999999999</v>
      </c>
      <c r="AN20" s="21">
        <f>_xll.BDH("ADBE US Equity","EBITDA_TO_REVENUE","FQ4 2020","FQ4 2020","Currency=USD","Period=FQ","BEST_FPERIOD_OVERRIDE=FQ","FILING_STATUS=MR","FA_ADJUSTED=GAAP","Sort=A","Dates=H","DateFormat=P","Fill=—","Direction=H","UseDPDF=Y")</f>
        <v>41.880800000000001</v>
      </c>
      <c r="AO20" s="21">
        <f>_xll.BDH("ADBE US Equity","EBITDA_TO_REVENUE","FQ1 2021","FQ1 2021","Currency=USD","Period=FQ","BEST_FPERIOD_OVERRIDE=FQ","FILING_STATUS=MR","FA_ADJUSTED=GAAP","Sort=A","Dates=H","DateFormat=P","Fill=—","Direction=H","UseDPDF=Y")</f>
        <v>42.253500000000003</v>
      </c>
      <c r="AP20" s="21">
        <f>_xll.BDH("ADBE US Equity","EBITDA_TO_REVENUE","FQ2 2021","FQ2 2021","Currency=USD","Period=FQ","BEST_FPERIOD_OVERRIDE=FQ","FILING_STATUS=MR","FA_ADJUSTED=GAAP","Sort=A","Dates=H","DateFormat=P","Fill=—","Direction=H","UseDPDF=Y")</f>
        <v>41.720999999999997</v>
      </c>
    </row>
    <row r="21" spans="1:42" x14ac:dyDescent="0.25">
      <c r="A21" s="19" t="s">
        <v>105</v>
      </c>
      <c r="B21" s="19" t="s">
        <v>104</v>
      </c>
      <c r="C21" s="24">
        <v>-11.911396665298501</v>
      </c>
      <c r="D21" s="24">
        <v>-23.027945374680399</v>
      </c>
      <c r="E21" s="24">
        <v>-4.2843117315362704</v>
      </c>
      <c r="F21" s="24">
        <v>-15.0734052190497</v>
      </c>
      <c r="G21" s="24">
        <v>-2.2702075292794599</v>
      </c>
      <c r="H21" s="24">
        <v>20.831620144582001</v>
      </c>
      <c r="I21" s="24">
        <v>-49.4315633140477</v>
      </c>
      <c r="J21" s="24">
        <v>-21.705938867870501</v>
      </c>
      <c r="K21" s="24">
        <v>7.9153787379063099</v>
      </c>
      <c r="L21" s="24">
        <v>-47.218288514136603</v>
      </c>
      <c r="M21" s="24">
        <v>-9.9337667474592504</v>
      </c>
      <c r="N21" s="24">
        <v>-25.126246779570302</v>
      </c>
      <c r="O21" s="24">
        <v>-56.385788548938599</v>
      </c>
      <c r="P21" s="24">
        <v>-3.4916592987158599</v>
      </c>
      <c r="Q21" s="24">
        <v>45.679822188386503</v>
      </c>
      <c r="R21" s="24">
        <v>20.6829254342538</v>
      </c>
      <c r="S21" s="24">
        <v>78.448761991227101</v>
      </c>
      <c r="T21" s="24">
        <v>69.023119871054305</v>
      </c>
      <c r="U21" s="24">
        <v>23.4358411919345</v>
      </c>
      <c r="V21" s="24">
        <v>27.420121123915798</v>
      </c>
      <c r="W21" s="24">
        <v>13.050027499070399</v>
      </c>
      <c r="X21" s="24">
        <v>19.4524255723347</v>
      </c>
      <c r="Y21" s="24">
        <v>16.278959101925899</v>
      </c>
      <c r="Z21" s="24">
        <v>7.8329367877497704</v>
      </c>
      <c r="AA21" s="24">
        <v>10.1518393584133</v>
      </c>
      <c r="AB21" s="24">
        <v>5.6779043241173097</v>
      </c>
      <c r="AC21" s="24">
        <v>14.6462107512811</v>
      </c>
      <c r="AD21" s="24">
        <v>6.79009549730059</v>
      </c>
      <c r="AE21" s="24">
        <v>3.0719131528732402</v>
      </c>
      <c r="AF21" s="24">
        <v>-7.8087227804672601</v>
      </c>
      <c r="AG21" s="24">
        <v>-13.8666941065453</v>
      </c>
      <c r="AH21" s="24">
        <v>0.99305783734014197</v>
      </c>
      <c r="AI21" s="24">
        <v>-7.4820144662471701</v>
      </c>
      <c r="AJ21" s="24">
        <v>13.2770155438636</v>
      </c>
      <c r="AK21" s="24">
        <v>12.7317403697588</v>
      </c>
      <c r="AL21" s="24">
        <v>10.674704756895601</v>
      </c>
      <c r="AM21" s="24">
        <v>23.0683755042241</v>
      </c>
      <c r="AN21" s="24">
        <v>10.1486735267819</v>
      </c>
      <c r="AO21" s="24">
        <v>16.093897492218101</v>
      </c>
      <c r="AP21" s="24">
        <v>5.7562880404342396</v>
      </c>
    </row>
    <row r="22" spans="1:42" x14ac:dyDescent="0.25">
      <c r="A22" s="18" t="s">
        <v>106</v>
      </c>
      <c r="B22" s="18" t="s">
        <v>107</v>
      </c>
      <c r="C22" s="21">
        <f>_xll.BDH("ADBE US Equity","OPER_MARGIN","FQ3 2011","FQ3 2011","Currency=USD","Period=FQ","BEST_FPERIOD_OVERRIDE=FQ","FILING_STATUS=MR","FA_ADJUSTED=GAAP","Sort=A","Dates=H","DateFormat=P","Fill=—","Direction=H","UseDPDF=Y")</f>
        <v>27.053599999999999</v>
      </c>
      <c r="D22" s="21">
        <f>_xll.BDH("ADBE US Equity","OPER_MARGIN","FQ4 2011","FQ4 2011","Currency=USD","Period=FQ","BEST_FPERIOD_OVERRIDE=FQ","FILING_STATUS=MR","FA_ADJUSTED=GAAP","Sort=A","Dates=H","DateFormat=P","Fill=—","Direction=H","UseDPDF=Y")</f>
        <v>21.3626</v>
      </c>
      <c r="E22" s="21">
        <f>_xll.BDH("ADBE US Equity","OPER_MARGIN","FQ1 2012","FQ1 2012","Currency=USD","Period=FQ","BEST_FPERIOD_OVERRIDE=FQ","FILING_STATUS=MR","FA_ADJUSTED=GAAP","Sort=A","Dates=H","DateFormat=P","Fill=—","Direction=H","UseDPDF=Y")</f>
        <v>27.6477</v>
      </c>
      <c r="F22" s="21">
        <f>_xll.BDH("ADBE US Equity","OPER_MARGIN","FQ2 2012","FQ2 2012","Currency=USD","Period=FQ","BEST_FPERIOD_OVERRIDE=FQ","FILING_STATUS=MR","FA_ADJUSTED=GAAP","Sort=A","Dates=H","DateFormat=P","Fill=—","Direction=H","UseDPDF=Y")</f>
        <v>27.1371</v>
      </c>
      <c r="G22" s="21">
        <f>_xll.BDH("ADBE US Equity","OPER_MARGIN","FQ3 2012","FQ3 2012","Currency=USD","Period=FQ","BEST_FPERIOD_OVERRIDE=FQ","FILING_STATUS=MR","FA_ADJUSTED=GAAP","Sort=A","Dates=H","DateFormat=P","Fill=—","Direction=H","UseDPDF=Y")</f>
        <v>25.755099999999999</v>
      </c>
      <c r="H22" s="21">
        <f>_xll.BDH("ADBE US Equity","OPER_MARGIN","FQ4 2012","FQ4 2012","Currency=USD","Period=FQ","BEST_FPERIOD_OVERRIDE=FQ","FILING_STATUS=MR","FA_ADJUSTED=GAAP","Sort=A","Dates=H","DateFormat=P","Fill=—","Direction=H","UseDPDF=Y")</f>
        <v>26.682600000000001</v>
      </c>
      <c r="I22" s="21">
        <f>_xll.BDH("ADBE US Equity","OPER_MARGIN","FQ1 2013","FQ1 2013","Currency=USD","Period=FQ","BEST_FPERIOD_OVERRIDE=FQ","FILING_STATUS=MR","FA_ADJUSTED=GAAP","Sort=A","Dates=H","DateFormat=P","Fill=—","Direction=H","UseDPDF=Y")</f>
        <v>9.7456999999999994</v>
      </c>
      <c r="J22" s="21">
        <f>_xll.BDH("ADBE US Equity","OPER_MARGIN","FQ2 2013","FQ2 2013","Currency=USD","Period=FQ","BEST_FPERIOD_OVERRIDE=FQ","FILING_STATUS=MR","FA_ADJUSTED=GAAP","Sort=A","Dates=H","DateFormat=P","Fill=—","Direction=H","UseDPDF=Y")</f>
        <v>11.014699999999999</v>
      </c>
      <c r="K22" s="21">
        <f>_xll.BDH("ADBE US Equity","OPER_MARGIN","FQ3 2013","FQ3 2013","Currency=USD","Period=FQ","BEST_FPERIOD_OVERRIDE=FQ","FILING_STATUS=MR","FA_ADJUSTED=GAAP","Sort=A","Dates=H","DateFormat=P","Fill=—","Direction=H","UseDPDF=Y")</f>
        <v>11.089499999999999</v>
      </c>
      <c r="L22" s="21">
        <f>_xll.BDH("ADBE US Equity","OPER_MARGIN","FQ4 2013","FQ4 2013","Currency=USD","Period=FQ","BEST_FPERIOD_OVERRIDE=FQ","FILING_STATUS=MR","FA_ADJUSTED=GAAP","Sort=A","Dates=H","DateFormat=P","Fill=—","Direction=H","UseDPDF=Y")</f>
        <v>9.8719000000000001</v>
      </c>
      <c r="M22" s="21">
        <f>_xll.BDH("ADBE US Equity","OPER_MARGIN","FQ1 2014","FQ1 2014","Currency=USD","Period=FQ","BEST_FPERIOD_OVERRIDE=FQ","FILING_STATUS=MR","FA_ADJUSTED=GAAP","Sort=A","Dates=H","DateFormat=P","Fill=—","Direction=H","UseDPDF=Y")</f>
        <v>7.8737000000000004</v>
      </c>
      <c r="N22" s="21">
        <f>_xll.BDH("ADBE US Equity","OPER_MARGIN","FQ2 2014","FQ2 2014","Currency=USD","Period=FQ","BEST_FPERIOD_OVERRIDE=FQ","FILING_STATUS=MR","FA_ADJUSTED=GAAP","Sort=A","Dates=H","DateFormat=P","Fill=—","Direction=H","UseDPDF=Y")</f>
        <v>12.662100000000001</v>
      </c>
      <c r="O22" s="21">
        <f>_xll.BDH("ADBE US Equity","OPER_MARGIN","FQ3 2014","FQ3 2014","Currency=USD","Period=FQ","BEST_FPERIOD_OVERRIDE=FQ","FILING_STATUS=MR","FA_ADJUSTED=GAAP","Sort=A","Dates=H","DateFormat=P","Fill=—","Direction=H","UseDPDF=Y")</f>
        <v>7.3776999999999999</v>
      </c>
      <c r="P22" s="21">
        <f>_xll.BDH("ADBE US Equity","OPER_MARGIN","FQ4 2014","FQ4 2014","Currency=USD","Period=FQ","BEST_FPERIOD_OVERRIDE=FQ","FILING_STATUS=MR","FA_ADJUSTED=GAAP","Sort=A","Dates=H","DateFormat=P","Fill=—","Direction=H","UseDPDF=Y")</f>
        <v>9.7830999999999992</v>
      </c>
      <c r="Q22" s="21">
        <f>_xll.BDH("ADBE US Equity","OPER_MARGIN","FQ1 2015","FQ1 2015","Currency=USD","Period=FQ","BEST_FPERIOD_OVERRIDE=FQ","FILING_STATUS=MR","FA_ADJUSTED=GAAP","Sort=A","Dates=H","DateFormat=P","Fill=—","Direction=H","UseDPDF=Y")</f>
        <v>15.599299999999999</v>
      </c>
      <c r="R22" s="21">
        <f>_xll.BDH("ADBE US Equity","OPER_MARGIN","FQ2 2015","FQ2 2015","Currency=USD","Period=FQ","BEST_FPERIOD_OVERRIDE=FQ","FILING_STATUS=MR","FA_ADJUSTED=GAAP","Sort=A","Dates=H","DateFormat=P","Fill=—","Direction=H","UseDPDF=Y")</f>
        <v>16.6601</v>
      </c>
      <c r="S22" s="21">
        <f>_xll.BDH("ADBE US Equity","OPER_MARGIN","FQ3 2015","FQ3 2015","Currency=USD","Period=FQ","BEST_FPERIOD_OVERRIDE=FQ","FILING_STATUS=MR","FA_ADJUSTED=GAAP","Sort=A","Dates=H","DateFormat=P","Fill=—","Direction=H","UseDPDF=Y")</f>
        <v>20.202500000000001</v>
      </c>
      <c r="T22" s="21">
        <f>_xll.BDH("ADBE US Equity","OPER_MARGIN","FQ4 2015","FQ4 2015","Currency=USD","Period=FQ","BEST_FPERIOD_OVERRIDE=FQ","FILING_STATUS=MR","FA_ADJUSTED=GAAP","Sort=A","Dates=H","DateFormat=P","Fill=—","Direction=H","UseDPDF=Y")</f>
        <v>22.2316</v>
      </c>
      <c r="U22" s="21">
        <f>_xll.BDH("ADBE US Equity","OPER_MARGIN","FQ1 2016","FQ1 2016","Currency=USD","Period=FQ","BEST_FPERIOD_OVERRIDE=FQ","FILING_STATUS=MR","FA_ADJUSTED=GAAP","Sort=A","Dates=H","DateFormat=P","Fill=—","Direction=H","UseDPDF=Y")</f>
        <v>22.247499999999999</v>
      </c>
      <c r="V22" s="21">
        <f>_xll.BDH("ADBE US Equity","OPER_MARGIN","FQ2 2016","FQ2 2016","Currency=USD","Period=FQ","BEST_FPERIOD_OVERRIDE=FQ","FILING_STATUS=MR","FA_ADJUSTED=GAAP","Sort=A","Dates=H","DateFormat=P","Fill=—","Direction=H","UseDPDF=Y")</f>
        <v>24.6112</v>
      </c>
      <c r="W22" s="21">
        <f>_xll.BDH("ADBE US Equity","OPER_MARGIN","FQ3 2016","FQ3 2016","Currency=USD","Period=FQ","BEST_FPERIOD_OVERRIDE=FQ","FILING_STATUS=MR","FA_ADJUSTED=GAAP","Sort=A","Dates=H","DateFormat=P","Fill=—","Direction=H","UseDPDF=Y")</f>
        <v>25.227699999999999</v>
      </c>
      <c r="X22" s="21">
        <f>_xll.BDH("ADBE US Equity","OPER_MARGIN","FQ4 2016","FQ4 2016","Currency=USD","Period=FQ","BEST_FPERIOD_OVERRIDE=FQ","FILING_STATUS=MR","FA_ADJUSTED=GAAP","Sort=A","Dates=H","DateFormat=P","Fill=—","Direction=H","UseDPDF=Y")</f>
        <v>29.363</v>
      </c>
      <c r="Y22" s="21">
        <f>_xll.BDH("ADBE US Equity","OPER_MARGIN","FQ1 2017","FQ1 2017","Currency=USD","Period=FQ","BEST_FPERIOD_OVERRIDE=FQ","FILING_STATUS=MR","FA_ADJUSTED=GAAP","Sort=A","Dates=H","DateFormat=P","Fill=—","Direction=H","UseDPDF=Y")</f>
        <v>27.889299999999999</v>
      </c>
      <c r="Z22" s="21">
        <f>_xll.BDH("ADBE US Equity","OPER_MARGIN","FQ2 2017","FQ2 2017","Currency=USD","Period=FQ","BEST_FPERIOD_OVERRIDE=FQ","FILING_STATUS=MR","FA_ADJUSTED=GAAP","Sort=A","Dates=H","DateFormat=P","Fill=—","Direction=H","UseDPDF=Y")</f>
        <v>28.443999999999999</v>
      </c>
      <c r="AA22" s="21">
        <f>_xll.BDH("ADBE US Equity","OPER_MARGIN","FQ3 2017","FQ3 2017","Currency=USD","Period=FQ","BEST_FPERIOD_OVERRIDE=FQ","FILING_STATUS=MR","FA_ADJUSTED=GAAP","Sort=A","Dates=H","DateFormat=P","Fill=—","Direction=H","UseDPDF=Y")</f>
        <v>29.6389</v>
      </c>
      <c r="AB22" s="21">
        <f>_xll.BDH("ADBE US Equity","OPER_MARGIN","FQ4 2017","FQ4 2017","Currency=USD","Period=FQ","BEST_FPERIOD_OVERRIDE=FQ","FILING_STATUS=MR","FA_ADJUSTED=GAAP","Sort=A","Dates=H","DateFormat=P","Fill=—","Direction=H","UseDPDF=Y")</f>
        <v>32.360300000000002</v>
      </c>
      <c r="AC22" s="21">
        <f>_xll.BDH("ADBE US Equity","OPER_MARGIN","FQ1 2018","FQ1 2018","Currency=USD","Period=FQ","BEST_FPERIOD_OVERRIDE=FQ","FILING_STATUS=MR","FA_ADJUSTED=GAAP","Sort=A","Dates=H","DateFormat=P","Fill=—","Direction=H","UseDPDF=Y")</f>
        <v>33.802399999999999</v>
      </c>
      <c r="AD22" s="21">
        <f>_xll.BDH("ADBE US Equity","OPER_MARGIN","FQ2 2018","FQ2 2018","Currency=USD","Period=FQ","BEST_FPERIOD_OVERRIDE=FQ","FILING_STATUS=MR","FA_ADJUSTED=GAAP","Sort=A","Dates=H","DateFormat=P","Fill=—","Direction=H","UseDPDF=Y")</f>
        <v>31.816400000000002</v>
      </c>
      <c r="AE22" s="21">
        <f>_xll.BDH("ADBE US Equity","OPER_MARGIN","FQ3 2018","FQ3 2018","Currency=USD","Period=FQ","BEST_FPERIOD_OVERRIDE=FQ","FILING_STATUS=MR","FA_ADJUSTED=GAAP","Sort=A","Dates=H","DateFormat=P","Fill=—","Direction=H","UseDPDF=Y")</f>
        <v>31.365400000000001</v>
      </c>
      <c r="AF22" s="21">
        <f>_xll.BDH("ADBE US Equity","OPER_MARGIN","FQ4 2018","FQ4 2018","Currency=USD","Period=FQ","BEST_FPERIOD_OVERRIDE=FQ","FILING_STATUS=MR","FA_ADJUSTED=GAAP","Sort=A","Dates=H","DateFormat=P","Fill=—","Direction=H","UseDPDF=Y")</f>
        <v>29.235499999999998</v>
      </c>
      <c r="AG22" s="21">
        <f>_xll.BDH("ADBE US Equity","OPER_MARGIN","FQ1 2019","FQ1 2019","Currency=USD","Period=FQ","BEST_FPERIOD_OVERRIDE=FQ","FILING_STATUS=MR","FA_ADJUSTED=GAAP","Sort=A","Dates=H","DateFormat=P","Fill=—","Direction=H","UseDPDF=Y")</f>
        <v>26.714500000000001</v>
      </c>
      <c r="AH22" s="21">
        <f>_xll.BDH("ADBE US Equity","OPER_MARGIN","FQ2 2019","FQ2 2019","Currency=USD","Period=FQ","BEST_FPERIOD_OVERRIDE=FQ","FILING_STATUS=MR","FA_ADJUSTED=GAAP","Sort=A","Dates=H","DateFormat=P","Fill=—","Direction=H","UseDPDF=Y")</f>
        <v>27.3324</v>
      </c>
      <c r="AI22" s="21">
        <f>_xll.BDH("ADBE US Equity","OPER_MARGIN","FQ3 2019","FQ3 2019","Currency=USD","Period=FQ","BEST_FPERIOD_OVERRIDE=FQ","FILING_STATUS=MR","FA_ADJUSTED=GAAP","Sort=A","Dates=H","DateFormat=P","Fill=—","Direction=H","UseDPDF=Y")</f>
        <v>30.126100000000001</v>
      </c>
      <c r="AJ22" s="21">
        <f>_xll.BDH("ADBE US Equity","OPER_MARGIN","FQ4 2019","FQ4 2019","Currency=USD","Period=FQ","BEST_FPERIOD_OVERRIDE=FQ","FILING_STATUS=MR","FA_ADJUSTED=GAAP","Sort=A","Dates=H","DateFormat=P","Fill=—","Direction=H","UseDPDF=Y")</f>
        <v>32.418100000000003</v>
      </c>
      <c r="AK22" s="21">
        <f>_xll.BDH("ADBE US Equity","OPER_MARGIN","FQ1 2020","FQ1 2020","Currency=USD","Period=FQ","BEST_FPERIOD_OVERRIDE=FQ","FILING_STATUS=MR","FA_ADJUSTED=GAAP","Sort=A","Dates=H","DateFormat=P","Fill=—","Direction=H","UseDPDF=Y")</f>
        <v>30.313800000000001</v>
      </c>
      <c r="AL22" s="21">
        <f>_xll.BDH("ADBE US Equity","OPER_MARGIN","FQ2 2020","FQ2 2020","Currency=USD","Period=FQ","BEST_FPERIOD_OVERRIDE=FQ","FILING_STATUS=MR","FA_ADJUSTED=GAAP","Sort=A","Dates=H","DateFormat=P","Fill=—","Direction=H","UseDPDF=Y")</f>
        <v>32.480800000000002</v>
      </c>
      <c r="AM22" s="21">
        <f>_xll.BDH("ADBE US Equity","OPER_MARGIN","FQ3 2020","FQ3 2020","Currency=USD","Period=FQ","BEST_FPERIOD_OVERRIDE=FQ","FILING_STATUS=MR","FA_ADJUSTED=GAAP","Sort=A","Dates=H","DateFormat=P","Fill=—","Direction=H","UseDPDF=Y")</f>
        <v>33.147300000000001</v>
      </c>
      <c r="AN22" s="21">
        <f>_xll.BDH("ADBE US Equity","OPER_MARGIN","FQ4 2020","FQ4 2020","Currency=USD","Period=FQ","BEST_FPERIOD_OVERRIDE=FQ","FILING_STATUS=MR","FA_ADJUSTED=GAAP","Sort=A","Dates=H","DateFormat=P","Fill=—","Direction=H","UseDPDF=Y")</f>
        <v>35.4848</v>
      </c>
      <c r="AO22" s="21">
        <f>_xll.BDH("ADBE US Equity","OPER_MARGIN","FQ1 2021","FQ1 2021","Currency=USD","Period=FQ","BEST_FPERIOD_OVERRIDE=FQ","FILING_STATUS=MR","FA_ADJUSTED=GAAP","Sort=A","Dates=H","DateFormat=P","Fill=—","Direction=H","UseDPDF=Y")</f>
        <v>37.234299999999998</v>
      </c>
      <c r="AP22" s="21">
        <f>_xll.BDH("ADBE US Equity","OPER_MARGIN","FQ2 2021","FQ2 2021","Currency=USD","Period=FQ","BEST_FPERIOD_OVERRIDE=FQ","FILING_STATUS=MR","FA_ADJUSTED=GAAP","Sort=A","Dates=H","DateFormat=P","Fill=—","Direction=H","UseDPDF=Y")</f>
        <v>36.662300000000002</v>
      </c>
    </row>
    <row r="23" spans="1:42" x14ac:dyDescent="0.25">
      <c r="A23" s="18" t="s">
        <v>108</v>
      </c>
      <c r="B23" s="18" t="s">
        <v>109</v>
      </c>
      <c r="C23" s="21" t="str">
        <f>_xll.BDH("ADBE US Equity","INCREMENTAL_OPERATING_MARGIN","FQ3 2011","FQ3 2011","Currency=USD","Period=FQ","BEST_FPERIOD_OVERRIDE=FQ","FILING_STATUS=MR","FA_ADJUSTED=GAAP","Sort=A","Dates=H","DateFormat=P","Fill=—","Direction=H","UseDPDF=Y")</f>
        <v>—</v>
      </c>
      <c r="D23" s="21" t="str">
        <f>_xll.BDH("ADBE US Equity","INCREMENTAL_OPERATING_MARGIN","FQ4 2011","FQ4 2011","Currency=USD","Period=FQ","BEST_FPERIOD_OVERRIDE=FQ","FILING_STATUS=MR","FA_ADJUSTED=GAAP","Sort=A","Dates=H","DateFormat=P","Fill=—","Direction=H","UseDPDF=Y")</f>
        <v>—</v>
      </c>
      <c r="E23" s="21" t="str">
        <f>_xll.BDH("ADBE US Equity","INCREMENTAL_OPERATING_MARGIN","FQ1 2012","FQ1 2012","Currency=USD","Period=FQ","BEST_FPERIOD_OVERRIDE=FQ","FILING_STATUS=MR","FA_ADJUSTED=GAAP","Sort=A","Dates=H","DateFormat=P","Fill=—","Direction=H","UseDPDF=Y")</f>
        <v>—</v>
      </c>
      <c r="F23" s="21">
        <f>_xll.BDH("ADBE US Equity","INCREMENTAL_OPERATING_MARGIN","FQ2 2012","FQ2 2012","Currency=USD","Period=FQ","BEST_FPERIOD_OVERRIDE=FQ","FILING_STATUS=MR","FA_ADJUSTED=GAAP","Sort=A","Dates=H","DateFormat=P","Fill=—","Direction=H","UseDPDF=Y")</f>
        <v>28.0626</v>
      </c>
      <c r="G23" s="21">
        <f>_xll.BDH("ADBE US Equity","INCREMENTAL_OPERATING_MARGIN","FQ3 2012","FQ3 2012","Currency=USD","Period=FQ","BEST_FPERIOD_OVERRIDE=FQ","FILING_STATUS=MR","FA_ADJUSTED=GAAP","Sort=A","Dates=H","DateFormat=P","Fill=—","Direction=H","UseDPDF=Y")</f>
        <v>6.2255000000000003</v>
      </c>
      <c r="H23" s="21">
        <f>_xll.BDH("ADBE US Equity","INCREMENTAL_OPERATING_MARGIN","FQ4 2012","FQ4 2012","Currency=USD","Period=FQ","BEST_FPERIOD_OVERRIDE=FQ","FILING_STATUS=MR","FA_ADJUSTED=GAAP","Sort=A","Dates=H","DateFormat=P","Fill=—","Direction=H","UseDPDF=Y")</f>
        <v>4864.5619999999999</v>
      </c>
      <c r="I23" s="21">
        <f>_xll.BDH("ADBE US Equity","INCREMENTAL_OPERATING_MARGIN","FQ1 2013","FQ1 2013","Currency=USD","Period=FQ","BEST_FPERIOD_OVERRIDE=FQ","FILING_STATUS=MR","FA_ADJUSTED=GAAP","Sort=A","Dates=H","DateFormat=P","Fill=—","Direction=H","UseDPDF=Y")</f>
        <v>-510.76389999999998</v>
      </c>
      <c r="J23" s="21">
        <f>_xll.BDH("ADBE US Equity","INCREMENTAL_OPERATING_MARGIN","FQ2 2013","FQ2 2013","Currency=USD","Period=FQ","BEST_FPERIOD_OVERRIDE=FQ","FILING_STATUS=MR","FA_ADJUSTED=GAAP","Sort=A","Dates=H","DateFormat=P","Fill=—","Direction=H","UseDPDF=Y")</f>
        <v>-170.17910000000001</v>
      </c>
      <c r="K23" s="21">
        <f>_xll.BDH("ADBE US Equity","INCREMENTAL_OPERATING_MARGIN","FQ3 2013","FQ3 2013","Currency=USD","Period=FQ","BEST_FPERIOD_OVERRIDE=FQ","FILING_STATUS=MR","FA_ADJUSTED=GAAP","Sort=A","Dates=H","DateFormat=P","Fill=—","Direction=H","UseDPDF=Y")</f>
        <v>-196.5224</v>
      </c>
      <c r="L23" s="21">
        <f>_xll.BDH("ADBE US Equity","INCREMENTAL_OPERATING_MARGIN","FQ4 2013","FQ4 2013","Currency=USD","Period=FQ","BEST_FPERIOD_OVERRIDE=FQ","FILING_STATUS=MR","FA_ADJUSTED=GAAP","Sort=A","Dates=H","DateFormat=P","Fill=—","Direction=H","UseDPDF=Y")</f>
        <v>-183.4161</v>
      </c>
      <c r="M23" s="21">
        <f>_xll.BDH("ADBE US Equity","INCREMENTAL_OPERATING_MARGIN","FQ1 2014","FQ1 2014","Currency=USD","Period=FQ","BEST_FPERIOD_OVERRIDE=FQ","FILING_STATUS=MR","FA_ADJUSTED=GAAP","Sort=A","Dates=H","DateFormat=P","Fill=—","Direction=H","UseDPDF=Y")</f>
        <v>-251.23179999999999</v>
      </c>
      <c r="N23" s="21">
        <f>_xll.BDH("ADBE US Equity","INCREMENTAL_OPERATING_MARGIN","FQ2 2014","FQ2 2014","Currency=USD","Period=FQ","BEST_FPERIOD_OVERRIDE=FQ","FILING_STATUS=MR","FA_ADJUSTED=GAAP","Sort=A","Dates=H","DateFormat=P","Fill=—","Direction=H","UseDPDF=Y")</f>
        <v>41.535600000000002</v>
      </c>
      <c r="O23" s="21" t="str">
        <f>_xll.BDH("ADBE US Equity","INCREMENTAL_OPERATING_MARGIN","FQ3 2014","FQ3 2014","Currency=USD","Period=FQ","BEST_FPERIOD_OVERRIDE=FQ","FILING_STATUS=MR","FA_ADJUSTED=GAAP","Sort=A","Dates=H","DateFormat=P","Fill=—","Direction=H","UseDPDF=Y")</f>
        <v>—</v>
      </c>
      <c r="P23" s="21">
        <f>_xll.BDH("ADBE US Equity","INCREMENTAL_OPERATING_MARGIN","FQ4 2014","FQ4 2014","Currency=USD","Period=FQ","BEST_FPERIOD_OVERRIDE=FQ","FILING_STATUS=MR","FA_ADJUSTED=GAAP","Sort=A","Dates=H","DateFormat=P","Fill=—","Direction=H","UseDPDF=Y")</f>
        <v>6.8575999999999997</v>
      </c>
      <c r="Q23" s="21">
        <f>_xll.BDH("ADBE US Equity","INCREMENTAL_OPERATING_MARGIN","FQ1 2015","FQ1 2015","Currency=USD","Period=FQ","BEST_FPERIOD_OVERRIDE=FQ","FILING_STATUS=MR","FA_ADJUSTED=GAAP","Sort=A","Dates=H","DateFormat=P","Fill=—","Direction=H","UseDPDF=Y")</f>
        <v>86.446100000000001</v>
      </c>
      <c r="R23" s="21">
        <f>_xll.BDH("ADBE US Equity","INCREMENTAL_OPERATING_MARGIN","FQ2 2015","FQ2 2015","Currency=USD","Period=FQ","BEST_FPERIOD_OVERRIDE=FQ","FILING_STATUS=MR","FA_ADJUSTED=GAAP","Sort=A","Dates=H","DateFormat=P","Fill=—","Direction=H","UseDPDF=Y")</f>
        <v>62.117100000000001</v>
      </c>
      <c r="S23" s="21">
        <f>_xll.BDH("ADBE US Equity","INCREMENTAL_OPERATING_MARGIN","FQ3 2015","FQ3 2015","Currency=USD","Period=FQ","BEST_FPERIOD_OVERRIDE=FQ","FILING_STATUS=MR","FA_ADJUSTED=GAAP","Sort=A","Dates=H","DateFormat=P","Fill=—","Direction=H","UseDPDF=Y")</f>
        <v>80.921000000000006</v>
      </c>
      <c r="T23" s="21">
        <f>_xll.BDH("ADBE US Equity","INCREMENTAL_OPERATING_MARGIN","FQ4 2015","FQ4 2015","Currency=USD","Period=FQ","BEST_FPERIOD_OVERRIDE=FQ","FILING_STATUS=MR","FA_ADJUSTED=GAAP","Sort=A","Dates=H","DateFormat=P","Fill=—","Direction=H","UseDPDF=Y")</f>
        <v>79.557299999999998</v>
      </c>
      <c r="U23" s="21">
        <f>_xll.BDH("ADBE US Equity","INCREMENTAL_OPERATING_MARGIN","FQ1 2016","FQ1 2016","Currency=USD","Period=FQ","BEST_FPERIOD_OVERRIDE=FQ","FILING_STATUS=MR","FA_ADJUSTED=GAAP","Sort=A","Dates=H","DateFormat=P","Fill=—","Direction=H","UseDPDF=Y")</f>
        <v>49.145000000000003</v>
      </c>
      <c r="V23" s="21">
        <f>_xll.BDH("ADBE US Equity","INCREMENTAL_OPERATING_MARGIN","FQ2 2016","FQ2 2016","Currency=USD","Period=FQ","BEST_FPERIOD_OVERRIDE=FQ","FILING_STATUS=MR","FA_ADJUSTED=GAAP","Sort=A","Dates=H","DateFormat=P","Fill=—","Direction=H","UseDPDF=Y")</f>
        <v>63.674199999999999</v>
      </c>
      <c r="W23" s="21">
        <f>_xll.BDH("ADBE US Equity","INCREMENTAL_OPERATING_MARGIN","FQ3 2016","FQ3 2016","Currency=USD","Period=FQ","BEST_FPERIOD_OVERRIDE=FQ","FILING_STATUS=MR","FA_ADJUSTED=GAAP","Sort=A","Dates=H","DateFormat=P","Fill=—","Direction=H","UseDPDF=Y")</f>
        <v>50.0839</v>
      </c>
      <c r="X23" s="21">
        <f>_xll.BDH("ADBE US Equity","INCREMENTAL_OPERATING_MARGIN","FQ4 2016","FQ4 2016","Currency=USD","Period=FQ","BEST_FPERIOD_OVERRIDE=FQ","FILING_STATUS=MR","FA_ADJUSTED=GAAP","Sort=A","Dates=H","DateFormat=P","Fill=—","Direction=H","UseDPDF=Y")</f>
        <v>60.210900000000002</v>
      </c>
      <c r="Y23" s="21">
        <f>_xll.BDH("ADBE US Equity","INCREMENTAL_OPERATING_MARGIN","FQ1 2017","FQ1 2017","Currency=USD","Period=FQ","BEST_FPERIOD_OVERRIDE=FQ","FILING_STATUS=MR","FA_ADJUSTED=GAAP","Sort=A","Dates=H","DateFormat=P","Fill=—","Direction=H","UseDPDF=Y")</f>
        <v>54.051299999999998</v>
      </c>
      <c r="Z23" s="21">
        <f>_xll.BDH("ADBE US Equity","INCREMENTAL_OPERATING_MARGIN","FQ2 2017","FQ2 2017","Currency=USD","Period=FQ","BEST_FPERIOD_OVERRIDE=FQ","FILING_STATUS=MR","FA_ADJUSTED=GAAP","Sort=A","Dates=H","DateFormat=P","Fill=—","Direction=H","UseDPDF=Y")</f>
        <v>42.798200000000001</v>
      </c>
      <c r="AA23" s="21">
        <f>_xll.BDH("ADBE US Equity","INCREMENTAL_OPERATING_MARGIN","FQ3 2017","FQ3 2017","Currency=USD","Period=FQ","BEST_FPERIOD_OVERRIDE=FQ","FILING_STATUS=MR","FA_ADJUSTED=GAAP","Sort=A","Dates=H","DateFormat=P","Fill=—","Direction=H","UseDPDF=Y")</f>
        <v>46.7637</v>
      </c>
      <c r="AB23" s="21">
        <f>_xll.BDH("ADBE US Equity","INCREMENTAL_OPERATING_MARGIN","FQ4 2017","FQ4 2017","Currency=USD","Period=FQ","BEST_FPERIOD_OVERRIDE=FQ","FILING_STATUS=MR","FA_ADJUSTED=GAAP","Sort=A","Dates=H","DateFormat=P","Fill=—","Direction=H","UseDPDF=Y")</f>
        <v>44.467799999999997</v>
      </c>
      <c r="AC23" s="21">
        <f>_xll.BDH("ADBE US Equity","INCREMENTAL_OPERATING_MARGIN","FQ1 2018","FQ1 2018","Currency=USD","Period=FQ","BEST_FPERIOD_OVERRIDE=FQ","FILING_STATUS=MR","FA_ADJUSTED=GAAP","Sort=A","Dates=H","DateFormat=P","Fill=—","Direction=H","UseDPDF=Y")</f>
        <v>58.830500000000001</v>
      </c>
      <c r="AD23" s="21">
        <f>_xll.BDH("ADBE US Equity","INCREMENTAL_OPERATING_MARGIN","FQ2 2018","FQ2 2018","Currency=USD","Period=FQ","BEST_FPERIOD_OVERRIDE=FQ","FILING_STATUS=MR","FA_ADJUSTED=GAAP","Sort=A","Dates=H","DateFormat=P","Fill=—","Direction=H","UseDPDF=Y")</f>
        <v>45.939500000000002</v>
      </c>
      <c r="AE23" s="21">
        <f>_xll.BDH("ADBE US Equity","INCREMENTAL_OPERATING_MARGIN","FQ3 2018","FQ3 2018","Currency=USD","Period=FQ","BEST_FPERIOD_OVERRIDE=FQ","FILING_STATUS=MR","FA_ADJUSTED=GAAP","Sort=A","Dates=H","DateFormat=P","Fill=—","Direction=H","UseDPDF=Y")</f>
        <v>38.429200000000002</v>
      </c>
      <c r="AF23" s="21">
        <f>_xll.BDH("ADBE US Equity","INCREMENTAL_OPERATING_MARGIN","FQ4 2018","FQ4 2018","Currency=USD","Period=FQ","BEST_FPERIOD_OVERRIDE=FQ","FILING_STATUS=MR","FA_ADJUSTED=GAAP","Sort=A","Dates=H","DateFormat=P","Fill=—","Direction=H","UseDPDF=Y")</f>
        <v>15.546099999999999</v>
      </c>
      <c r="AG23" s="21" t="str">
        <f>_xll.BDH("ADBE US Equity","INCREMENTAL_OPERATING_MARGIN","FQ1 2019","FQ1 2019","Currency=USD","Period=FQ","BEST_FPERIOD_OVERRIDE=FQ","FILING_STATUS=MR","FA_ADJUSTED=GAAP","Sort=A","Dates=H","DateFormat=P","Fill=—","Direction=H","UseDPDF=Y")</f>
        <v>—</v>
      </c>
      <c r="AH23" s="21">
        <f>_xll.BDH("ADBE US Equity","INCREMENTAL_OPERATING_MARGIN","FQ2 2019","FQ2 2019","Currency=USD","Period=FQ","BEST_FPERIOD_OVERRIDE=FQ","FILING_STATUS=MR","FA_ADJUSTED=GAAP","Sort=A","Dates=H","DateFormat=P","Fill=—","Direction=H","UseDPDF=Y")</f>
        <v>9.3897999999999993</v>
      </c>
      <c r="AI23" s="21">
        <f>_xll.BDH("ADBE US Equity","INCREMENTAL_OPERATING_MARGIN","FQ3 2019","FQ3 2019","Currency=USD","Period=FQ","BEST_FPERIOD_OVERRIDE=FQ","FILING_STATUS=MR","FA_ADJUSTED=GAAP","Sort=A","Dates=H","DateFormat=P","Fill=—","Direction=H","UseDPDF=Y")</f>
        <v>24.897500000000001</v>
      </c>
      <c r="AJ23" s="21">
        <f>_xll.BDH("ADBE US Equity","INCREMENTAL_OPERATING_MARGIN","FQ4 2019","FQ4 2019","Currency=USD","Period=FQ","BEST_FPERIOD_OVERRIDE=FQ","FILING_STATUS=MR","FA_ADJUSTED=GAAP","Sort=A","Dates=H","DateFormat=P","Fill=—","Direction=H","UseDPDF=Y")</f>
        <v>47.292999999999999</v>
      </c>
      <c r="AK23" s="21">
        <f>_xll.BDH("ADBE US Equity","INCREMENTAL_OPERATING_MARGIN","FQ1 2020","FQ1 2020","Currency=USD","Period=FQ","BEST_FPERIOD_OVERRIDE=FQ","FILING_STATUS=MR","FA_ADJUSTED=GAAP","Sort=A","Dates=H","DateFormat=P","Fill=—","Direction=H","UseDPDF=Y")</f>
        <v>49.417000000000002</v>
      </c>
      <c r="AL23" s="21">
        <f>_xll.BDH("ADBE US Equity","INCREMENTAL_OPERATING_MARGIN","FQ2 2020","FQ2 2020","Currency=USD","Period=FQ","BEST_FPERIOD_OVERRIDE=FQ","FILING_STATUS=MR","FA_ADJUSTED=GAAP","Sort=A","Dates=H","DateFormat=P","Fill=—","Direction=H","UseDPDF=Y")</f>
        <v>69.270799999999994</v>
      </c>
      <c r="AM23" s="21">
        <f>_xll.BDH("ADBE US Equity","INCREMENTAL_OPERATING_MARGIN","FQ3 2020","FQ3 2020","Currency=USD","Period=FQ","BEST_FPERIOD_OVERRIDE=FQ","FILING_STATUS=MR","FA_ADJUSTED=GAAP","Sort=A","Dates=H","DateFormat=P","Fill=—","Direction=H","UseDPDF=Y")</f>
        <v>55.052999999999997</v>
      </c>
      <c r="AN23" s="21">
        <f>_xll.BDH("ADBE US Equity","INCREMENTAL_OPERATING_MARGIN","FQ4 2020","FQ4 2020","Currency=USD","Period=FQ","BEST_FPERIOD_OVERRIDE=FQ","FILING_STATUS=MR","FA_ADJUSTED=GAAP","Sort=A","Dates=H","DateFormat=P","Fill=—","Direction=H","UseDPDF=Y")</f>
        <v>56.721600000000002</v>
      </c>
      <c r="AO23" s="21">
        <f>_xll.BDH("ADBE US Equity","INCREMENTAL_OPERATING_MARGIN","FQ1 2021","FQ1 2021","Currency=USD","Period=FQ","BEST_FPERIOD_OVERRIDE=FQ","FILING_STATUS=MR","FA_ADJUSTED=GAAP","Sort=A","Dates=H","DateFormat=P","Fill=—","Direction=H","UseDPDF=Y")</f>
        <v>63.513500000000001</v>
      </c>
      <c r="AP23" s="21">
        <f>_xll.BDH("ADBE US Equity","INCREMENTAL_OPERATING_MARGIN","FQ2 2021","FQ2 2021","Currency=USD","Period=FQ","BEST_FPERIOD_OVERRIDE=FQ","FILING_STATUS=MR","FA_ADJUSTED=GAAP","Sort=A","Dates=H","DateFormat=P","Fill=—","Direction=H","UseDPDF=Y")</f>
        <v>55.162700000000001</v>
      </c>
    </row>
    <row r="24" spans="1:42" x14ac:dyDescent="0.25">
      <c r="A24" s="18" t="s">
        <v>110</v>
      </c>
      <c r="B24" s="18" t="s">
        <v>111</v>
      </c>
      <c r="C24" s="21">
        <f>_xll.BDH("ADBE US Equity","PRETAX_INC_TO_NET_SALES","FQ3 2011","FQ3 2011","Currency=USD","Period=FQ","BEST_FPERIOD_OVERRIDE=FQ","FILING_STATUS=MR","FA_ADJUSTED=GAAP","Sort=A","Dates=H","DateFormat=P","Fill=—","Direction=H","UseDPDF=Y")</f>
        <v>25.3371</v>
      </c>
      <c r="D24" s="21">
        <f>_xll.BDH("ADBE US Equity","PRETAX_INC_TO_NET_SALES","FQ4 2011","FQ4 2011","Currency=USD","Period=FQ","BEST_FPERIOD_OVERRIDE=FQ","FILING_STATUS=MR","FA_ADJUSTED=GAAP","Sort=A","Dates=H","DateFormat=P","Fill=—","Direction=H","UseDPDF=Y")</f>
        <v>20.238499999999998</v>
      </c>
      <c r="E24" s="21">
        <f>_xll.BDH("ADBE US Equity","PRETAX_INC_TO_NET_SALES","FQ1 2012","FQ1 2012","Currency=USD","Period=FQ","BEST_FPERIOD_OVERRIDE=FQ","FILING_STATUS=MR","FA_ADJUSTED=GAAP","Sort=A","Dates=H","DateFormat=P","Fill=—","Direction=H","UseDPDF=Y")</f>
        <v>25.867999999999999</v>
      </c>
      <c r="F24" s="21">
        <f>_xll.BDH("ADBE US Equity","PRETAX_INC_TO_NET_SALES","FQ2 2012","FQ2 2012","Currency=USD","Period=FQ","BEST_FPERIOD_OVERRIDE=FQ","FILING_STATUS=MR","FA_ADJUSTED=GAAP","Sort=A","Dates=H","DateFormat=P","Fill=—","Direction=H","UseDPDF=Y")</f>
        <v>26.197199999999999</v>
      </c>
      <c r="G24" s="21">
        <f>_xll.BDH("ADBE US Equity","PRETAX_INC_TO_NET_SALES","FQ3 2012","FQ3 2012","Currency=USD","Period=FQ","BEST_FPERIOD_OVERRIDE=FQ","FILING_STATUS=MR","FA_ADJUSTED=GAAP","Sort=A","Dates=H","DateFormat=P","Fill=—","Direction=H","UseDPDF=Y")</f>
        <v>24.3584</v>
      </c>
      <c r="H24" s="21">
        <f>_xll.BDH("ADBE US Equity","PRETAX_INC_TO_NET_SALES","FQ4 2012","FQ4 2012","Currency=USD","Period=FQ","BEST_FPERIOD_OVERRIDE=FQ","FILING_STATUS=MR","FA_ADJUSTED=GAAP","Sort=A","Dates=H","DateFormat=P","Fill=—","Direction=H","UseDPDF=Y")</f>
        <v>25.197199999999999</v>
      </c>
      <c r="I24" s="21">
        <f>_xll.BDH("ADBE US Equity","PRETAX_INC_TO_NET_SALES","FQ1 2013","FQ1 2013","Currency=USD","Period=FQ","BEST_FPERIOD_OVERRIDE=FQ","FILING_STATUS=MR","FA_ADJUSTED=GAAP","Sort=A","Dates=H","DateFormat=P","Fill=—","Direction=H","UseDPDF=Y")</f>
        <v>8.2832000000000008</v>
      </c>
      <c r="J24" s="21">
        <f>_xll.BDH("ADBE US Equity","PRETAX_INC_TO_NET_SALES","FQ2 2013","FQ2 2013","Currency=USD","Period=FQ","BEST_FPERIOD_OVERRIDE=FQ","FILING_STATUS=MR","FA_ADJUSTED=GAAP","Sort=A","Dates=H","DateFormat=P","Fill=—","Direction=H","UseDPDF=Y")</f>
        <v>9.0175999999999998</v>
      </c>
      <c r="K24" s="21">
        <f>_xll.BDH("ADBE US Equity","PRETAX_INC_TO_NET_SALES","FQ3 2013","FQ3 2013","Currency=USD","Period=FQ","BEST_FPERIOD_OVERRIDE=FQ","FILING_STATUS=MR","FA_ADJUSTED=GAAP","Sort=A","Dates=H","DateFormat=P","Fill=—","Direction=H","UseDPDF=Y")</f>
        <v>9.3717000000000006</v>
      </c>
      <c r="L24" s="21">
        <f>_xll.BDH("ADBE US Equity","PRETAX_INC_TO_NET_SALES","FQ4 2013","FQ4 2013","Currency=USD","Period=FQ","BEST_FPERIOD_OVERRIDE=FQ","FILING_STATUS=MR","FA_ADJUSTED=GAAP","Sort=A","Dates=H","DateFormat=P","Fill=—","Direction=H","UseDPDF=Y")</f>
        <v>8.4737000000000009</v>
      </c>
      <c r="M24" s="21">
        <f>_xll.BDH("ADBE US Equity","PRETAX_INC_TO_NET_SALES","FQ1 2014","FQ1 2014","Currency=USD","Period=FQ","BEST_FPERIOD_OVERRIDE=FQ","FILING_STATUS=MR","FA_ADJUSTED=GAAP","Sort=A","Dates=H","DateFormat=P","Fill=—","Direction=H","UseDPDF=Y")</f>
        <v>6.4884000000000004</v>
      </c>
      <c r="N24" s="21">
        <f>_xll.BDH("ADBE US Equity","PRETAX_INC_TO_NET_SALES","FQ2 2014","FQ2 2014","Currency=USD","Period=FQ","BEST_FPERIOD_OVERRIDE=FQ","FILING_STATUS=MR","FA_ADJUSTED=GAAP","Sort=A","Dates=H","DateFormat=P","Fill=—","Direction=H","UseDPDF=Y")</f>
        <v>11.3528</v>
      </c>
      <c r="O24" s="21">
        <f>_xll.BDH("ADBE US Equity","PRETAX_INC_TO_NET_SALES","FQ3 2014","FQ3 2014","Currency=USD","Period=FQ","BEST_FPERIOD_OVERRIDE=FQ","FILING_STATUS=MR","FA_ADJUSTED=GAAP","Sort=A","Dates=H","DateFormat=P","Fill=—","Direction=H","UseDPDF=Y")</f>
        <v>6.2599</v>
      </c>
      <c r="P24" s="21">
        <f>_xll.BDH("ADBE US Equity","PRETAX_INC_TO_NET_SALES","FQ4 2014","FQ4 2014","Currency=USD","Period=FQ","BEST_FPERIOD_OVERRIDE=FQ","FILING_STATUS=MR","FA_ADJUSTED=GAAP","Sort=A","Dates=H","DateFormat=P","Fill=—","Direction=H","UseDPDF=Y")</f>
        <v>8.6437000000000008</v>
      </c>
      <c r="Q24" s="21">
        <f>_xll.BDH("ADBE US Equity","PRETAX_INC_TO_NET_SALES","FQ1 2015","FQ1 2015","Currency=USD","Period=FQ","BEST_FPERIOD_OVERRIDE=FQ","FILING_STATUS=MR","FA_ADJUSTED=GAAP","Sort=A","Dates=H","DateFormat=P","Fill=—","Direction=H","UseDPDF=Y")</f>
        <v>14.7179</v>
      </c>
      <c r="R24" s="21">
        <f>_xll.BDH("ADBE US Equity","PRETAX_INC_TO_NET_SALES","FQ2 2015","FQ2 2015","Currency=USD","Period=FQ","BEST_FPERIOD_OVERRIDE=FQ","FILING_STATUS=MR","FA_ADJUSTED=GAAP","Sort=A","Dates=H","DateFormat=P","Fill=—","Direction=H","UseDPDF=Y")</f>
        <v>15.5722</v>
      </c>
      <c r="S24" s="21">
        <f>_xll.BDH("ADBE US Equity","PRETAX_INC_TO_NET_SALES","FQ3 2015","FQ3 2015","Currency=USD","Period=FQ","BEST_FPERIOD_OVERRIDE=FQ","FILING_STATUS=MR","FA_ADJUSTED=GAAP","Sort=A","Dates=H","DateFormat=P","Fill=—","Direction=H","UseDPDF=Y")</f>
        <v>19.1021</v>
      </c>
      <c r="T24" s="21">
        <f>_xll.BDH("ADBE US Equity","PRETAX_INC_TO_NET_SALES","FQ4 2015","FQ4 2015","Currency=USD","Period=FQ","BEST_FPERIOD_OVERRIDE=FQ","FILING_STATUS=MR","FA_ADJUSTED=GAAP","Sort=A","Dates=H","DateFormat=P","Fill=—","Direction=H","UseDPDF=Y")</f>
        <v>22.729600000000001</v>
      </c>
      <c r="U24" s="21">
        <f>_xll.BDH("ADBE US Equity","PRETAX_INC_TO_NET_SALES","FQ1 2016","FQ1 2016","Currency=USD","Period=FQ","BEST_FPERIOD_OVERRIDE=FQ","FILING_STATUS=MR","FA_ADJUSTED=GAAP","Sort=A","Dates=H","DateFormat=P","Fill=—","Direction=H","UseDPDF=Y")</f>
        <v>21.130600000000001</v>
      </c>
      <c r="V24" s="21">
        <f>_xll.BDH("ADBE US Equity","PRETAX_INC_TO_NET_SALES","FQ2 2016","FQ2 2016","Currency=USD","Period=FQ","BEST_FPERIOD_OVERRIDE=FQ","FILING_STATUS=MR","FA_ADJUSTED=GAAP","Sort=A","Dates=H","DateFormat=P","Fill=—","Direction=H","UseDPDF=Y")</f>
        <v>23.581</v>
      </c>
      <c r="W24" s="21">
        <f>_xll.BDH("ADBE US Equity","PRETAX_INC_TO_NET_SALES","FQ3 2016","FQ3 2016","Currency=USD","Period=FQ","BEST_FPERIOD_OVERRIDE=FQ","FILING_STATUS=MR","FA_ADJUSTED=GAAP","Sort=A","Dates=H","DateFormat=P","Fill=—","Direction=H","UseDPDF=Y")</f>
        <v>24.338000000000001</v>
      </c>
      <c r="X24" s="21">
        <f>_xll.BDH("ADBE US Equity","PRETAX_INC_TO_NET_SALES","FQ4 2016","FQ4 2016","Currency=USD","Period=FQ","BEST_FPERIOD_OVERRIDE=FQ","FILING_STATUS=MR","FA_ADJUSTED=GAAP","Sort=A","Dates=H","DateFormat=P","Fill=—","Direction=H","UseDPDF=Y")</f>
        <v>28.394300000000001</v>
      </c>
      <c r="Y24" s="21">
        <f>_xll.BDH("ADBE US Equity","PRETAX_INC_TO_NET_SALES","FQ1 2017","FQ1 2017","Currency=USD","Period=FQ","BEST_FPERIOD_OVERRIDE=FQ","FILING_STATUS=MR","FA_ADJUSTED=GAAP","Sort=A","Dates=H","DateFormat=P","Fill=—","Direction=H","UseDPDF=Y")</f>
        <v>27.3917</v>
      </c>
      <c r="Z24" s="21">
        <f>_xll.BDH("ADBE US Equity","PRETAX_INC_TO_NET_SALES","FQ2 2017","FQ2 2017","Currency=USD","Period=FQ","BEST_FPERIOD_OVERRIDE=FQ","FILING_STATUS=MR","FA_ADJUSTED=GAAP","Sort=A","Dates=H","DateFormat=P","Fill=—","Direction=H","UseDPDF=Y")</f>
        <v>27.7971</v>
      </c>
      <c r="AA24" s="21">
        <f>_xll.BDH("ADBE US Equity","PRETAX_INC_TO_NET_SALES","FQ3 2017","FQ3 2017","Currency=USD","Period=FQ","BEST_FPERIOD_OVERRIDE=FQ","FILING_STATUS=MR","FA_ADJUSTED=GAAP","Sort=A","Dates=H","DateFormat=P","Fill=—","Direction=H","UseDPDF=Y")</f>
        <v>29.4056</v>
      </c>
      <c r="AB24" s="21">
        <f>_xll.BDH("ADBE US Equity","PRETAX_INC_TO_NET_SALES","FQ4 2017","FQ4 2017","Currency=USD","Period=FQ","BEST_FPERIOD_OVERRIDE=FQ","FILING_STATUS=MR","FA_ADJUSTED=GAAP","Sort=A","Dates=H","DateFormat=P","Fill=—","Direction=H","UseDPDF=Y")</f>
        <v>32.044899999999998</v>
      </c>
      <c r="AC24" s="21">
        <f>_xll.BDH("ADBE US Equity","PRETAX_INC_TO_NET_SALES","FQ1 2018","FQ1 2018","Currency=USD","Period=FQ","BEST_FPERIOD_OVERRIDE=FQ","FILING_STATUS=MR","FA_ADJUSTED=GAAP","Sort=A","Dates=H","DateFormat=P","Fill=—","Direction=H","UseDPDF=Y")</f>
        <v>33.791200000000003</v>
      </c>
      <c r="AD24" s="21">
        <f>_xll.BDH("ADBE US Equity","PRETAX_INC_TO_NET_SALES","FQ2 2018","FQ2 2018","Currency=USD","Period=FQ","BEST_FPERIOD_OVERRIDE=FQ","FILING_STATUS=MR","FA_ADJUSTED=GAAP","Sort=A","Dates=H","DateFormat=P","Fill=—","Direction=H","UseDPDF=Y")</f>
        <v>31.4663</v>
      </c>
      <c r="AE24" s="21">
        <f>_xll.BDH("ADBE US Equity","PRETAX_INC_TO_NET_SALES","FQ3 2018","FQ3 2018","Currency=USD","Period=FQ","BEST_FPERIOD_OVERRIDE=FQ","FILING_STATUS=MR","FA_ADJUSTED=GAAP","Sort=A","Dates=H","DateFormat=P","Fill=—","Direction=H","UseDPDF=Y")</f>
        <v>30.6126</v>
      </c>
      <c r="AF24" s="21">
        <f>_xll.BDH("ADBE US Equity","PRETAX_INC_TO_NET_SALES","FQ4 2018","FQ4 2018","Currency=USD","Period=FQ","BEST_FPERIOD_OVERRIDE=FQ","FILING_STATUS=MR","FA_ADJUSTED=GAAP","Sort=A","Dates=H","DateFormat=P","Fill=—","Direction=H","UseDPDF=Y")</f>
        <v>28.370100000000001</v>
      </c>
      <c r="AG24" s="21">
        <f>_xll.BDH("ADBE US Equity","PRETAX_INC_TO_NET_SALES","FQ1 2019","FQ1 2019","Currency=USD","Period=FQ","BEST_FPERIOD_OVERRIDE=FQ","FILING_STATUS=MR","FA_ADJUSTED=GAAP","Sort=A","Dates=H","DateFormat=P","Fill=—","Direction=H","UseDPDF=Y")</f>
        <v>27.003</v>
      </c>
      <c r="AH24" s="21">
        <f>_xll.BDH("ADBE US Equity","PRETAX_INC_TO_NET_SALES","FQ2 2019","FQ2 2019","Currency=USD","Period=FQ","BEST_FPERIOD_OVERRIDE=FQ","FILING_STATUS=MR","FA_ADJUSTED=GAAP","Sort=A","Dates=H","DateFormat=P","Fill=—","Direction=H","UseDPDF=Y")</f>
        <v>25.911100000000001</v>
      </c>
      <c r="AI24" s="21">
        <f>_xll.BDH("ADBE US Equity","PRETAX_INC_TO_NET_SALES","FQ3 2019","FQ3 2019","Currency=USD","Period=FQ","BEST_FPERIOD_OVERRIDE=FQ","FILING_STATUS=MR","FA_ADJUSTED=GAAP","Sort=A","Dates=H","DateFormat=P","Fill=—","Direction=H","UseDPDF=Y")</f>
        <v>29.444299999999998</v>
      </c>
      <c r="AJ24" s="21">
        <f>_xll.BDH("ADBE US Equity","PRETAX_INC_TO_NET_SALES","FQ4 2019","FQ4 2019","Currency=USD","Period=FQ","BEST_FPERIOD_OVERRIDE=FQ","FILING_STATUS=MR","FA_ADJUSTED=GAAP","Sort=A","Dates=H","DateFormat=P","Fill=—","Direction=H","UseDPDF=Y")</f>
        <v>31.9908</v>
      </c>
      <c r="AK24" s="21">
        <f>_xll.BDH("ADBE US Equity","PRETAX_INC_TO_NET_SALES","FQ1 2020","FQ1 2020","Currency=USD","Period=FQ","BEST_FPERIOD_OVERRIDE=FQ","FILING_STATUS=MR","FA_ADJUSTED=GAAP","Sort=A","Dates=H","DateFormat=P","Fill=—","Direction=H","UseDPDF=Y")</f>
        <v>29.7315</v>
      </c>
      <c r="AL24" s="21">
        <f>_xll.BDH("ADBE US Equity","PRETAX_INC_TO_NET_SALES","FQ2 2020","FQ2 2020","Currency=USD","Period=FQ","BEST_FPERIOD_OVERRIDE=FQ","FILING_STATUS=MR","FA_ADJUSTED=GAAP","Sort=A","Dates=H","DateFormat=P","Fill=—","Direction=H","UseDPDF=Y")</f>
        <v>31.9693</v>
      </c>
      <c r="AM24" s="21">
        <f>_xll.BDH("ADBE US Equity","PRETAX_INC_TO_NET_SALES","FQ3 2020","FQ3 2020","Currency=USD","Period=FQ","BEST_FPERIOD_OVERRIDE=FQ","FILING_STATUS=MR","FA_ADJUSTED=GAAP","Sort=A","Dates=H","DateFormat=P","Fill=—","Direction=H","UseDPDF=Y")</f>
        <v>32.868200000000002</v>
      </c>
      <c r="AN24" s="21">
        <f>_xll.BDH("ADBE US Equity","PRETAX_INC_TO_NET_SALES","FQ4 2020","FQ4 2020","Currency=USD","Period=FQ","BEST_FPERIOD_OVERRIDE=FQ","FILING_STATUS=MR","FA_ADJUSTED=GAAP","Sort=A","Dates=H","DateFormat=P","Fill=—","Direction=H","UseDPDF=Y")</f>
        <v>34.959099999999999</v>
      </c>
      <c r="AO24" s="21">
        <f>_xll.BDH("ADBE US Equity","PRETAX_INC_TO_NET_SALES","FQ1 2021","FQ1 2021","Currency=USD","Period=FQ","BEST_FPERIOD_OVERRIDE=FQ","FILING_STATUS=MR","FA_ADJUSTED=GAAP","Sort=A","Dates=H","DateFormat=P","Fill=—","Direction=H","UseDPDF=Y")</f>
        <v>36.6965</v>
      </c>
      <c r="AP24" s="21">
        <f>_xll.BDH("ADBE US Equity","PRETAX_INC_TO_NET_SALES","FQ2 2021","FQ2 2021","Currency=USD","Period=FQ","BEST_FPERIOD_OVERRIDE=FQ","FILING_STATUS=MR","FA_ADJUSTED=GAAP","Sort=A","Dates=H","DateFormat=P","Fill=—","Direction=H","UseDPDF=Y")</f>
        <v>36.140799999999999</v>
      </c>
    </row>
    <row r="25" spans="1:42" x14ac:dyDescent="0.25">
      <c r="A25" s="18" t="s">
        <v>112</v>
      </c>
      <c r="B25" s="18" t="s">
        <v>113</v>
      </c>
      <c r="C25" s="21">
        <f>_xll.BDH("ADBE US Equity","INC_BEF_XO_ITEMS_TO_NET_SALES","FQ3 2011","FQ3 2011","Currency=USD","Period=FQ","BEST_FPERIOD_OVERRIDE=FQ","FILING_STATUS=MR","FA_ADJUSTED=GAAP","Sort=A","Dates=H","DateFormat=P","Fill=—","Direction=H","UseDPDF=Y")</f>
        <v>19.255700000000001</v>
      </c>
      <c r="D25" s="21">
        <f>_xll.BDH("ADBE US Equity","INC_BEF_XO_ITEMS_TO_NET_SALES","FQ4 2011","FQ4 2011","Currency=USD","Period=FQ","BEST_FPERIOD_OVERRIDE=FQ","FILING_STATUS=MR","FA_ADJUSTED=GAAP","Sort=A","Dates=H","DateFormat=P","Fill=—","Direction=H","UseDPDF=Y")</f>
        <v>15.0777</v>
      </c>
      <c r="E25" s="21">
        <f>_xll.BDH("ADBE US Equity","INC_BEF_XO_ITEMS_TO_NET_SALES","FQ1 2012","FQ1 2012","Currency=USD","Period=FQ","BEST_FPERIOD_OVERRIDE=FQ","FILING_STATUS=MR","FA_ADJUSTED=GAAP","Sort=A","Dates=H","DateFormat=P","Fill=—","Direction=H","UseDPDF=Y")</f>
        <v>17.7196</v>
      </c>
      <c r="F25" s="21">
        <f>_xll.BDH("ADBE US Equity","INC_BEF_XO_ITEMS_TO_NET_SALES","FQ2 2012","FQ2 2012","Currency=USD","Period=FQ","BEST_FPERIOD_OVERRIDE=FQ","FILING_STATUS=MR","FA_ADJUSTED=GAAP","Sort=A","Dates=H","DateFormat=P","Fill=—","Direction=H","UseDPDF=Y")</f>
        <v>19.909800000000001</v>
      </c>
      <c r="G25" s="21">
        <f>_xll.BDH("ADBE US Equity","INC_BEF_XO_ITEMS_TO_NET_SALES","FQ3 2012","FQ3 2012","Currency=USD","Period=FQ","BEST_FPERIOD_OVERRIDE=FQ","FILING_STATUS=MR","FA_ADJUSTED=GAAP","Sort=A","Dates=H","DateFormat=P","Fill=—","Direction=H","UseDPDF=Y")</f>
        <v>18.6342</v>
      </c>
      <c r="H25" s="21">
        <f>_xll.BDH("ADBE US Equity","INC_BEF_XO_ITEMS_TO_NET_SALES","FQ4 2012","FQ4 2012","Currency=USD","Period=FQ","BEST_FPERIOD_OVERRIDE=FQ","FILING_STATUS=MR","FA_ADJUSTED=GAAP","Sort=A","Dates=H","DateFormat=P","Fill=—","Direction=H","UseDPDF=Y")</f>
        <v>19.2758</v>
      </c>
      <c r="I25" s="21">
        <f>_xll.BDH("ADBE US Equity","INC_BEF_XO_ITEMS_TO_NET_SALES","FQ1 2013","FQ1 2013","Currency=USD","Period=FQ","BEST_FPERIOD_OVERRIDE=FQ","FILING_STATUS=MR","FA_ADJUSTED=GAAP","Sort=A","Dates=H","DateFormat=P","Fill=—","Direction=H","UseDPDF=Y")</f>
        <v>6.4607999999999999</v>
      </c>
      <c r="J25" s="21">
        <f>_xll.BDH("ADBE US Equity","INC_BEF_XO_ITEMS_TO_NET_SALES","FQ2 2013","FQ2 2013","Currency=USD","Period=FQ","BEST_FPERIOD_OVERRIDE=FQ","FILING_STATUS=MR","FA_ADJUSTED=GAAP","Sort=A","Dates=H","DateFormat=P","Fill=—","Direction=H","UseDPDF=Y")</f>
        <v>7.5747</v>
      </c>
      <c r="K25" s="21">
        <f>_xll.BDH("ADBE US Equity","INC_BEF_XO_ITEMS_TO_NET_SALES","FQ3 2013","FQ3 2013","Currency=USD","Period=FQ","BEST_FPERIOD_OVERRIDE=FQ","FILING_STATUS=MR","FA_ADJUSTED=GAAP","Sort=A","Dates=H","DateFormat=P","Fill=—","Direction=H","UseDPDF=Y")</f>
        <v>8.3408999999999995</v>
      </c>
      <c r="L25" s="21">
        <f>_xll.BDH("ADBE US Equity","INC_BEF_XO_ITEMS_TO_NET_SALES","FQ4 2013","FQ4 2013","Currency=USD","Period=FQ","BEST_FPERIOD_OVERRIDE=FQ","FILING_STATUS=MR","FA_ADJUSTED=GAAP","Sort=A","Dates=H","DateFormat=P","Fill=—","Direction=H","UseDPDF=Y")</f>
        <v>6.2705000000000002</v>
      </c>
      <c r="M25" s="21">
        <f>_xll.BDH("ADBE US Equity","INC_BEF_XO_ITEMS_TO_NET_SALES","FQ1 2014","FQ1 2014","Currency=USD","Period=FQ","BEST_FPERIOD_OVERRIDE=FQ","FILING_STATUS=MR","FA_ADJUSTED=GAAP","Sort=A","Dates=H","DateFormat=P","Fill=—","Direction=H","UseDPDF=Y")</f>
        <v>4.7039999999999997</v>
      </c>
      <c r="N25" s="21">
        <f>_xll.BDH("ADBE US Equity","INC_BEF_XO_ITEMS_TO_NET_SALES","FQ2 2014","FQ2 2014","Currency=USD","Period=FQ","BEST_FPERIOD_OVERRIDE=FQ","FILING_STATUS=MR","FA_ADJUSTED=GAAP","Sort=A","Dates=H","DateFormat=P","Fill=—","Direction=H","UseDPDF=Y")</f>
        <v>8.2873999999999999</v>
      </c>
      <c r="O25" s="21">
        <f>_xll.BDH("ADBE US Equity","INC_BEF_XO_ITEMS_TO_NET_SALES","FQ3 2014","FQ3 2014","Currency=USD","Period=FQ","BEST_FPERIOD_OVERRIDE=FQ","FILING_STATUS=MR","FA_ADJUSTED=GAAP","Sort=A","Dates=H","DateFormat=P","Fill=—","Direction=H","UseDPDF=Y")</f>
        <v>4.4446000000000003</v>
      </c>
      <c r="P25" s="21">
        <f>_xll.BDH("ADBE US Equity","INC_BEF_XO_ITEMS_TO_NET_SALES","FQ4 2014","FQ4 2014","Currency=USD","Period=FQ","BEST_FPERIOD_OVERRIDE=FQ","FILING_STATUS=MR","FA_ADJUSTED=GAAP","Sort=A","Dates=H","DateFormat=P","Fill=—","Direction=H","UseDPDF=Y")</f>
        <v>6.8285</v>
      </c>
      <c r="Q25" s="21">
        <f>_xll.BDH("ADBE US Equity","INC_BEF_XO_ITEMS_TO_NET_SALES","FQ1 2015","FQ1 2015","Currency=USD","Period=FQ","BEST_FPERIOD_OVERRIDE=FQ","FILING_STATUS=MR","FA_ADJUSTED=GAAP","Sort=A","Dates=H","DateFormat=P","Fill=—","Direction=H","UseDPDF=Y")</f>
        <v>7.6532</v>
      </c>
      <c r="R25" s="21">
        <f>_xll.BDH("ADBE US Equity","INC_BEF_XO_ITEMS_TO_NET_SALES","FQ2 2015","FQ2 2015","Currency=USD","Period=FQ","BEST_FPERIOD_OVERRIDE=FQ","FILING_STATUS=MR","FA_ADJUSTED=GAAP","Sort=A","Dates=H","DateFormat=P","Fill=—","Direction=H","UseDPDF=Y")</f>
        <v>12.6913</v>
      </c>
      <c r="S25" s="21">
        <f>_xll.BDH("ADBE US Equity","INC_BEF_XO_ITEMS_TO_NET_SALES","FQ3 2015","FQ3 2015","Currency=USD","Period=FQ","BEST_FPERIOD_OVERRIDE=FQ","FILING_STATUS=MR","FA_ADJUSTED=GAAP","Sort=A","Dates=H","DateFormat=P","Fill=—","Direction=H","UseDPDF=Y")</f>
        <v>14.326599999999999</v>
      </c>
      <c r="T25" s="21">
        <f>_xll.BDH("ADBE US Equity","INC_BEF_XO_ITEMS_TO_NET_SALES","FQ4 2015","FQ4 2015","Currency=USD","Period=FQ","BEST_FPERIOD_OVERRIDE=FQ","FILING_STATUS=MR","FA_ADJUSTED=GAAP","Sort=A","Dates=H","DateFormat=P","Fill=—","Direction=H","UseDPDF=Y")</f>
        <v>17.0472</v>
      </c>
      <c r="U25" s="21">
        <f>_xll.BDH("ADBE US Equity","INC_BEF_XO_ITEMS_TO_NET_SALES","FQ1 2016","FQ1 2016","Currency=USD","Period=FQ","BEST_FPERIOD_OVERRIDE=FQ","FILING_STATUS=MR","FA_ADJUSTED=GAAP","Sort=A","Dates=H","DateFormat=P","Fill=—","Direction=H","UseDPDF=Y")</f>
        <v>18.383600000000001</v>
      </c>
      <c r="V25" s="21">
        <f>_xll.BDH("ADBE US Equity","INC_BEF_XO_ITEMS_TO_NET_SALES","FQ2 2016","FQ2 2016","Currency=USD","Period=FQ","BEST_FPERIOD_OVERRIDE=FQ","FILING_STATUS=MR","FA_ADJUSTED=GAAP","Sort=A","Dates=H","DateFormat=P","Fill=—","Direction=H","UseDPDF=Y")</f>
        <v>17.4499</v>
      </c>
      <c r="W25" s="21">
        <f>_xll.BDH("ADBE US Equity","INC_BEF_XO_ITEMS_TO_NET_SALES","FQ3 2016","FQ3 2016","Currency=USD","Period=FQ","BEST_FPERIOD_OVERRIDE=FQ","FILING_STATUS=MR","FA_ADJUSTED=GAAP","Sort=A","Dates=H","DateFormat=P","Fill=—","Direction=H","UseDPDF=Y")</f>
        <v>18.4969</v>
      </c>
      <c r="X25" s="21">
        <f>_xll.BDH("ADBE US Equity","INC_BEF_XO_ITEMS_TO_NET_SALES","FQ4 2016","FQ4 2016","Currency=USD","Period=FQ","BEST_FPERIOD_OVERRIDE=FQ","FILING_STATUS=MR","FA_ADJUSTED=GAAP","Sort=A","Dates=H","DateFormat=P","Fill=—","Direction=H","UseDPDF=Y")</f>
        <v>24.845099999999999</v>
      </c>
      <c r="Y25" s="21">
        <f>_xll.BDH("ADBE US Equity","INC_BEF_XO_ITEMS_TO_NET_SALES","FQ1 2017","FQ1 2017","Currency=USD","Period=FQ","BEST_FPERIOD_OVERRIDE=FQ","FILING_STATUS=MR","FA_ADJUSTED=GAAP","Sort=A","Dates=H","DateFormat=P","Fill=—","Direction=H","UseDPDF=Y")</f>
        <v>23.6938</v>
      </c>
      <c r="Z25" s="21">
        <f>_xll.BDH("ADBE US Equity","INC_BEF_XO_ITEMS_TO_NET_SALES","FQ2 2017","FQ2 2017","Currency=USD","Period=FQ","BEST_FPERIOD_OVERRIDE=FQ","FILING_STATUS=MR","FA_ADJUSTED=GAAP","Sort=A","Dates=H","DateFormat=P","Fill=—","Direction=H","UseDPDF=Y")</f>
        <v>21.125800000000002</v>
      </c>
      <c r="AA25" s="21">
        <f>_xll.BDH("ADBE US Equity","INC_BEF_XO_ITEMS_TO_NET_SALES","FQ3 2017","FQ3 2017","Currency=USD","Period=FQ","BEST_FPERIOD_OVERRIDE=FQ","FILING_STATUS=MR","FA_ADJUSTED=GAAP","Sort=A","Dates=H","DateFormat=P","Fill=—","Direction=H","UseDPDF=Y")</f>
        <v>22.789400000000001</v>
      </c>
      <c r="AB25" s="21">
        <f>_xll.BDH("ADBE US Equity","INC_BEF_XO_ITEMS_TO_NET_SALES","FQ4 2017","FQ4 2017","Currency=USD","Period=FQ","BEST_FPERIOD_OVERRIDE=FQ","FILING_STATUS=MR","FA_ADJUSTED=GAAP","Sort=A","Dates=H","DateFormat=P","Fill=—","Direction=H","UseDPDF=Y")</f>
        <v>24.995000000000001</v>
      </c>
      <c r="AC25" s="21">
        <f>_xll.BDH("ADBE US Equity","INC_BEF_XO_ITEMS_TO_NET_SALES","FQ1 2018","FQ1 2018","Currency=USD","Period=FQ","BEST_FPERIOD_OVERRIDE=FQ","FILING_STATUS=MR","FA_ADJUSTED=GAAP","Sort=A","Dates=H","DateFormat=P","Fill=—","Direction=H","UseDPDF=Y")</f>
        <v>28.046700000000001</v>
      </c>
      <c r="AD25" s="21">
        <f>_xll.BDH("ADBE US Equity","INC_BEF_XO_ITEMS_TO_NET_SALES","FQ2 2018","FQ2 2018","Currency=USD","Period=FQ","BEST_FPERIOD_OVERRIDE=FQ","FILING_STATUS=MR","FA_ADJUSTED=GAAP","Sort=A","Dates=H","DateFormat=P","Fill=—","Direction=H","UseDPDF=Y")</f>
        <v>30.207699999999999</v>
      </c>
      <c r="AE25" s="21">
        <f>_xll.BDH("ADBE US Equity","INC_BEF_XO_ITEMS_TO_NET_SALES","FQ3 2018","FQ3 2018","Currency=USD","Period=FQ","BEST_FPERIOD_OVERRIDE=FQ","FILING_STATUS=MR","FA_ADJUSTED=GAAP","Sort=A","Dates=H","DateFormat=P","Fill=—","Direction=H","UseDPDF=Y")</f>
        <v>29.082000000000001</v>
      </c>
      <c r="AF25" s="21">
        <f>_xll.BDH("ADBE US Equity","INC_BEF_XO_ITEMS_TO_NET_SALES","FQ4 2018","FQ4 2018","Currency=USD","Period=FQ","BEST_FPERIOD_OVERRIDE=FQ","FILING_STATUS=MR","FA_ADJUSTED=GAAP","Sort=A","Dates=H","DateFormat=P","Fill=—","Direction=H","UseDPDF=Y")</f>
        <v>27.518999999999998</v>
      </c>
      <c r="AG25" s="21">
        <f>_xll.BDH("ADBE US Equity","INC_BEF_XO_ITEMS_TO_NET_SALES","FQ1 2019","FQ1 2019","Currency=USD","Period=FQ","BEST_FPERIOD_OVERRIDE=FQ","FILING_STATUS=MR","FA_ADJUSTED=GAAP","Sort=A","Dates=H","DateFormat=P","Fill=—","Direction=H","UseDPDF=Y")</f>
        <v>25.922899999999998</v>
      </c>
      <c r="AH25" s="21">
        <f>_xll.BDH("ADBE US Equity","INC_BEF_XO_ITEMS_TO_NET_SALES","FQ2 2019","FQ2 2019","Currency=USD","Period=FQ","BEST_FPERIOD_OVERRIDE=FQ","FILING_STATUS=MR","FA_ADJUSTED=GAAP","Sort=A","Dates=H","DateFormat=P","Fill=—","Direction=H","UseDPDF=Y")</f>
        <v>23.0685</v>
      </c>
      <c r="AI25" s="21">
        <f>_xll.BDH("ADBE US Equity","INC_BEF_XO_ITEMS_TO_NET_SALES","FQ3 2019","FQ3 2019","Currency=USD","Period=FQ","BEST_FPERIOD_OVERRIDE=FQ","FILING_STATUS=MR","FA_ADJUSTED=GAAP","Sort=A","Dates=H","DateFormat=P","Fill=—","Direction=H","UseDPDF=Y")</f>
        <v>27.972000000000001</v>
      </c>
      <c r="AJ25" s="21">
        <f>_xll.BDH("ADBE US Equity","INC_BEF_XO_ITEMS_TO_NET_SALES","FQ4 2019","FQ4 2019","Currency=USD","Period=FQ","BEST_FPERIOD_OVERRIDE=FQ","FILING_STATUS=MR","FA_ADJUSTED=GAAP","Sort=A","Dates=H","DateFormat=P","Fill=—","Direction=H","UseDPDF=Y")</f>
        <v>28.471800000000002</v>
      </c>
      <c r="AK25" s="21">
        <f>_xll.BDH("ADBE US Equity","INC_BEF_XO_ITEMS_TO_NET_SALES","FQ1 2020","FQ1 2020","Currency=USD","Period=FQ","BEST_FPERIOD_OVERRIDE=FQ","FILING_STATUS=MR","FA_ADJUSTED=GAAP","Sort=A","Dates=H","DateFormat=P","Fill=—","Direction=H","UseDPDF=Y")</f>
        <v>30.8962</v>
      </c>
      <c r="AL25" s="21">
        <f>_xll.BDH("ADBE US Equity","INC_BEF_XO_ITEMS_TO_NET_SALES","FQ2 2020","FQ2 2020","Currency=USD","Period=FQ","BEST_FPERIOD_OVERRIDE=FQ","FILING_STATUS=MR","FA_ADJUSTED=GAAP","Sort=A","Dates=H","DateFormat=P","Fill=—","Direction=H","UseDPDF=Y")</f>
        <v>35.166200000000003</v>
      </c>
      <c r="AM25" s="21">
        <f>_xll.BDH("ADBE US Equity","INC_BEF_XO_ITEMS_TO_NET_SALES","FQ3 2020","FQ3 2020","Currency=USD","Period=FQ","BEST_FPERIOD_OVERRIDE=FQ","FILING_STATUS=MR","FA_ADJUSTED=GAAP","Sort=A","Dates=H","DateFormat=P","Fill=—","Direction=H","UseDPDF=Y")</f>
        <v>29.612400000000001</v>
      </c>
      <c r="AN25" s="21">
        <f>_xll.BDH("ADBE US Equity","INC_BEF_XO_ITEMS_TO_NET_SALES","FQ4 2020","FQ4 2020","Currency=USD","Period=FQ","BEST_FPERIOD_OVERRIDE=FQ","FILING_STATUS=MR","FA_ADJUSTED=GAAP","Sort=A","Dates=H","DateFormat=P","Fill=—","Direction=H","UseDPDF=Y")</f>
        <v>65.712599999999995</v>
      </c>
      <c r="AO25" s="21">
        <f>_xll.BDH("ADBE US Equity","INC_BEF_XO_ITEMS_TO_NET_SALES","FQ1 2021","FQ1 2021","Currency=USD","Period=FQ","BEST_FPERIOD_OVERRIDE=FQ","FILING_STATUS=MR","FA_ADJUSTED=GAAP","Sort=A","Dates=H","DateFormat=P","Fill=—","Direction=H","UseDPDF=Y")</f>
        <v>32.291899999999998</v>
      </c>
      <c r="AP25" s="21">
        <f>_xll.BDH("ADBE US Equity","INC_BEF_XO_ITEMS_TO_NET_SALES","FQ2 2021","FQ2 2021","Currency=USD","Period=FQ","BEST_FPERIOD_OVERRIDE=FQ","FILING_STATUS=MR","FA_ADJUSTED=GAAP","Sort=A","Dates=H","DateFormat=P","Fill=—","Direction=H","UseDPDF=Y")</f>
        <v>29.1004</v>
      </c>
    </row>
    <row r="26" spans="1:42" x14ac:dyDescent="0.25">
      <c r="A26" s="18" t="s">
        <v>114</v>
      </c>
      <c r="B26" s="18" t="s">
        <v>115</v>
      </c>
      <c r="C26" s="21">
        <f>_xll.BDH("ADBE US Equity","PROF_MARGIN","FQ3 2011","FQ3 2011","Currency=USD","Period=FQ","BEST_FPERIOD_OVERRIDE=FQ","FILING_STATUS=MR","FA_ADJUSTED=GAAP","Sort=A","Dates=H","DateFormat=P","Fill=—","Direction=H","UseDPDF=Y")</f>
        <v>19.255700000000001</v>
      </c>
      <c r="D26" s="21">
        <f>_xll.BDH("ADBE US Equity","PROF_MARGIN","FQ4 2011","FQ4 2011","Currency=USD","Period=FQ","BEST_FPERIOD_OVERRIDE=FQ","FILING_STATUS=MR","FA_ADJUSTED=GAAP","Sort=A","Dates=H","DateFormat=P","Fill=—","Direction=H","UseDPDF=Y")</f>
        <v>15.0777</v>
      </c>
      <c r="E26" s="21">
        <f>_xll.BDH("ADBE US Equity","PROF_MARGIN","FQ1 2012","FQ1 2012","Currency=USD","Period=FQ","BEST_FPERIOD_OVERRIDE=FQ","FILING_STATUS=MR","FA_ADJUSTED=GAAP","Sort=A","Dates=H","DateFormat=P","Fill=—","Direction=H","UseDPDF=Y")</f>
        <v>17.7196</v>
      </c>
      <c r="F26" s="21">
        <f>_xll.BDH("ADBE US Equity","PROF_MARGIN","FQ2 2012","FQ2 2012","Currency=USD","Period=FQ","BEST_FPERIOD_OVERRIDE=FQ","FILING_STATUS=MR","FA_ADJUSTED=GAAP","Sort=A","Dates=H","DateFormat=P","Fill=—","Direction=H","UseDPDF=Y")</f>
        <v>19.909800000000001</v>
      </c>
      <c r="G26" s="21">
        <f>_xll.BDH("ADBE US Equity","PROF_MARGIN","FQ3 2012","FQ3 2012","Currency=USD","Period=FQ","BEST_FPERIOD_OVERRIDE=FQ","FILING_STATUS=MR","FA_ADJUSTED=GAAP","Sort=A","Dates=H","DateFormat=P","Fill=—","Direction=H","UseDPDF=Y")</f>
        <v>18.6342</v>
      </c>
      <c r="H26" s="21">
        <f>_xll.BDH("ADBE US Equity","PROF_MARGIN","FQ4 2012","FQ4 2012","Currency=USD","Period=FQ","BEST_FPERIOD_OVERRIDE=FQ","FILING_STATUS=MR","FA_ADJUSTED=GAAP","Sort=A","Dates=H","DateFormat=P","Fill=—","Direction=H","UseDPDF=Y")</f>
        <v>19.2758</v>
      </c>
      <c r="I26" s="21">
        <f>_xll.BDH("ADBE US Equity","PROF_MARGIN","FQ1 2013","FQ1 2013","Currency=USD","Period=FQ","BEST_FPERIOD_OVERRIDE=FQ","FILING_STATUS=MR","FA_ADJUSTED=GAAP","Sort=A","Dates=H","DateFormat=P","Fill=—","Direction=H","UseDPDF=Y")</f>
        <v>6.4607999999999999</v>
      </c>
      <c r="J26" s="21">
        <f>_xll.BDH("ADBE US Equity","PROF_MARGIN","FQ2 2013","FQ2 2013","Currency=USD","Period=FQ","BEST_FPERIOD_OVERRIDE=FQ","FILING_STATUS=MR","FA_ADJUSTED=GAAP","Sort=A","Dates=H","DateFormat=P","Fill=—","Direction=H","UseDPDF=Y")</f>
        <v>7.5747</v>
      </c>
      <c r="K26" s="21">
        <f>_xll.BDH("ADBE US Equity","PROF_MARGIN","FQ3 2013","FQ3 2013","Currency=USD","Period=FQ","BEST_FPERIOD_OVERRIDE=FQ","FILING_STATUS=MR","FA_ADJUSTED=GAAP","Sort=A","Dates=H","DateFormat=P","Fill=—","Direction=H","UseDPDF=Y")</f>
        <v>8.3408999999999995</v>
      </c>
      <c r="L26" s="21">
        <f>_xll.BDH("ADBE US Equity","PROF_MARGIN","FQ4 2013","FQ4 2013","Currency=USD","Period=FQ","BEST_FPERIOD_OVERRIDE=FQ","FILING_STATUS=MR","FA_ADJUSTED=GAAP","Sort=A","Dates=H","DateFormat=P","Fill=—","Direction=H","UseDPDF=Y")</f>
        <v>6.2705000000000002</v>
      </c>
      <c r="M26" s="21">
        <f>_xll.BDH("ADBE US Equity","PROF_MARGIN","FQ1 2014","FQ1 2014","Currency=USD","Period=FQ","BEST_FPERIOD_OVERRIDE=FQ","FILING_STATUS=MR","FA_ADJUSTED=GAAP","Sort=A","Dates=H","DateFormat=P","Fill=—","Direction=H","UseDPDF=Y")</f>
        <v>4.7039999999999997</v>
      </c>
      <c r="N26" s="21">
        <f>_xll.BDH("ADBE US Equity","PROF_MARGIN","FQ2 2014","FQ2 2014","Currency=USD","Period=FQ","BEST_FPERIOD_OVERRIDE=FQ","FILING_STATUS=MR","FA_ADJUSTED=GAAP","Sort=A","Dates=H","DateFormat=P","Fill=—","Direction=H","UseDPDF=Y")</f>
        <v>8.2873999999999999</v>
      </c>
      <c r="O26" s="21">
        <f>_xll.BDH("ADBE US Equity","PROF_MARGIN","FQ3 2014","FQ3 2014","Currency=USD","Period=FQ","BEST_FPERIOD_OVERRIDE=FQ","FILING_STATUS=MR","FA_ADJUSTED=GAAP","Sort=A","Dates=H","DateFormat=P","Fill=—","Direction=H","UseDPDF=Y")</f>
        <v>4.4446000000000003</v>
      </c>
      <c r="P26" s="21">
        <f>_xll.BDH("ADBE US Equity","PROF_MARGIN","FQ4 2014","FQ4 2014","Currency=USD","Period=FQ","BEST_FPERIOD_OVERRIDE=FQ","FILING_STATUS=MR","FA_ADJUSTED=GAAP","Sort=A","Dates=H","DateFormat=P","Fill=—","Direction=H","UseDPDF=Y")</f>
        <v>6.8285</v>
      </c>
      <c r="Q26" s="21">
        <f>_xll.BDH("ADBE US Equity","PROF_MARGIN","FQ1 2015","FQ1 2015","Currency=USD","Period=FQ","BEST_FPERIOD_OVERRIDE=FQ","FILING_STATUS=MR","FA_ADJUSTED=GAAP","Sort=A","Dates=H","DateFormat=P","Fill=—","Direction=H","UseDPDF=Y")</f>
        <v>7.6532</v>
      </c>
      <c r="R26" s="21">
        <f>_xll.BDH("ADBE US Equity","PROF_MARGIN","FQ2 2015","FQ2 2015","Currency=USD","Period=FQ","BEST_FPERIOD_OVERRIDE=FQ","FILING_STATUS=MR","FA_ADJUSTED=GAAP","Sort=A","Dates=H","DateFormat=P","Fill=—","Direction=H","UseDPDF=Y")</f>
        <v>12.6913</v>
      </c>
      <c r="S26" s="21">
        <f>_xll.BDH("ADBE US Equity","PROF_MARGIN","FQ3 2015","FQ3 2015","Currency=USD","Period=FQ","BEST_FPERIOD_OVERRIDE=FQ","FILING_STATUS=MR","FA_ADJUSTED=GAAP","Sort=A","Dates=H","DateFormat=P","Fill=—","Direction=H","UseDPDF=Y")</f>
        <v>14.326599999999999</v>
      </c>
      <c r="T26" s="21">
        <f>_xll.BDH("ADBE US Equity","PROF_MARGIN","FQ4 2015","FQ4 2015","Currency=USD","Period=FQ","BEST_FPERIOD_OVERRIDE=FQ","FILING_STATUS=MR","FA_ADJUSTED=GAAP","Sort=A","Dates=H","DateFormat=P","Fill=—","Direction=H","UseDPDF=Y")</f>
        <v>17.0472</v>
      </c>
      <c r="U26" s="21">
        <f>_xll.BDH("ADBE US Equity","PROF_MARGIN","FQ1 2016","FQ1 2016","Currency=USD","Period=FQ","BEST_FPERIOD_OVERRIDE=FQ","FILING_STATUS=MR","FA_ADJUSTED=GAAP","Sort=A","Dates=H","DateFormat=P","Fill=—","Direction=H","UseDPDF=Y")</f>
        <v>18.383600000000001</v>
      </c>
      <c r="V26" s="21">
        <f>_xll.BDH("ADBE US Equity","PROF_MARGIN","FQ2 2016","FQ2 2016","Currency=USD","Period=FQ","BEST_FPERIOD_OVERRIDE=FQ","FILING_STATUS=MR","FA_ADJUSTED=GAAP","Sort=A","Dates=H","DateFormat=P","Fill=—","Direction=H","UseDPDF=Y")</f>
        <v>17.4499</v>
      </c>
      <c r="W26" s="21">
        <f>_xll.BDH("ADBE US Equity","PROF_MARGIN","FQ3 2016","FQ3 2016","Currency=USD","Period=FQ","BEST_FPERIOD_OVERRIDE=FQ","FILING_STATUS=MR","FA_ADJUSTED=GAAP","Sort=A","Dates=H","DateFormat=P","Fill=—","Direction=H","UseDPDF=Y")</f>
        <v>18.4969</v>
      </c>
      <c r="X26" s="21">
        <f>_xll.BDH("ADBE US Equity","PROF_MARGIN","FQ4 2016","FQ4 2016","Currency=USD","Period=FQ","BEST_FPERIOD_OVERRIDE=FQ","FILING_STATUS=MR","FA_ADJUSTED=GAAP","Sort=A","Dates=H","DateFormat=P","Fill=—","Direction=H","UseDPDF=Y")</f>
        <v>24.845099999999999</v>
      </c>
      <c r="Y26" s="21">
        <f>_xll.BDH("ADBE US Equity","PROF_MARGIN","FQ1 2017","FQ1 2017","Currency=USD","Period=FQ","BEST_FPERIOD_OVERRIDE=FQ","FILING_STATUS=MR","FA_ADJUSTED=GAAP","Sort=A","Dates=H","DateFormat=P","Fill=—","Direction=H","UseDPDF=Y")</f>
        <v>23.6938</v>
      </c>
      <c r="Z26" s="21">
        <f>_xll.BDH("ADBE US Equity","PROF_MARGIN","FQ2 2017","FQ2 2017","Currency=USD","Period=FQ","BEST_FPERIOD_OVERRIDE=FQ","FILING_STATUS=MR","FA_ADJUSTED=GAAP","Sort=A","Dates=H","DateFormat=P","Fill=—","Direction=H","UseDPDF=Y")</f>
        <v>21.125800000000002</v>
      </c>
      <c r="AA26" s="21">
        <f>_xll.BDH("ADBE US Equity","PROF_MARGIN","FQ3 2017","FQ3 2017","Currency=USD","Period=FQ","BEST_FPERIOD_OVERRIDE=FQ","FILING_STATUS=MR","FA_ADJUSTED=GAAP","Sort=A","Dates=H","DateFormat=P","Fill=—","Direction=H","UseDPDF=Y")</f>
        <v>22.789400000000001</v>
      </c>
      <c r="AB26" s="21">
        <f>_xll.BDH("ADBE US Equity","PROF_MARGIN","FQ4 2017","FQ4 2017","Currency=USD","Period=FQ","BEST_FPERIOD_OVERRIDE=FQ","FILING_STATUS=MR","FA_ADJUSTED=GAAP","Sort=A","Dates=H","DateFormat=P","Fill=—","Direction=H","UseDPDF=Y")</f>
        <v>24.995000000000001</v>
      </c>
      <c r="AC26" s="21">
        <f>_xll.BDH("ADBE US Equity","PROF_MARGIN","FQ1 2018","FQ1 2018","Currency=USD","Period=FQ","BEST_FPERIOD_OVERRIDE=FQ","FILING_STATUS=MR","FA_ADJUSTED=GAAP","Sort=A","Dates=H","DateFormat=P","Fill=—","Direction=H","UseDPDF=Y")</f>
        <v>28.046700000000001</v>
      </c>
      <c r="AD26" s="21">
        <f>_xll.BDH("ADBE US Equity","PROF_MARGIN","FQ2 2018","FQ2 2018","Currency=USD","Period=FQ","BEST_FPERIOD_OVERRIDE=FQ","FILING_STATUS=MR","FA_ADJUSTED=GAAP","Sort=A","Dates=H","DateFormat=P","Fill=—","Direction=H","UseDPDF=Y")</f>
        <v>30.207699999999999</v>
      </c>
      <c r="AE26" s="21">
        <f>_xll.BDH("ADBE US Equity","PROF_MARGIN","FQ3 2018","FQ3 2018","Currency=USD","Period=FQ","BEST_FPERIOD_OVERRIDE=FQ","FILING_STATUS=MR","FA_ADJUSTED=GAAP","Sort=A","Dates=H","DateFormat=P","Fill=—","Direction=H","UseDPDF=Y")</f>
        <v>29.082000000000001</v>
      </c>
      <c r="AF26" s="21">
        <f>_xll.BDH("ADBE US Equity","PROF_MARGIN","FQ4 2018","FQ4 2018","Currency=USD","Period=FQ","BEST_FPERIOD_OVERRIDE=FQ","FILING_STATUS=MR","FA_ADJUSTED=GAAP","Sort=A","Dates=H","DateFormat=P","Fill=—","Direction=H","UseDPDF=Y")</f>
        <v>27.518999999999998</v>
      </c>
      <c r="AG26" s="21">
        <f>_xll.BDH("ADBE US Equity","PROF_MARGIN","FQ1 2019","FQ1 2019","Currency=USD","Period=FQ","BEST_FPERIOD_OVERRIDE=FQ","FILING_STATUS=MR","FA_ADJUSTED=GAAP","Sort=A","Dates=H","DateFormat=P","Fill=—","Direction=H","UseDPDF=Y")</f>
        <v>25.922899999999998</v>
      </c>
      <c r="AH26" s="21">
        <f>_xll.BDH("ADBE US Equity","PROF_MARGIN","FQ2 2019","FQ2 2019","Currency=USD","Period=FQ","BEST_FPERIOD_OVERRIDE=FQ","FILING_STATUS=MR","FA_ADJUSTED=GAAP","Sort=A","Dates=H","DateFormat=P","Fill=—","Direction=H","UseDPDF=Y")</f>
        <v>23.0685</v>
      </c>
      <c r="AI26" s="21">
        <f>_xll.BDH("ADBE US Equity","PROF_MARGIN","FQ3 2019","FQ3 2019","Currency=USD","Period=FQ","BEST_FPERIOD_OVERRIDE=FQ","FILING_STATUS=MR","FA_ADJUSTED=GAAP","Sort=A","Dates=H","DateFormat=P","Fill=—","Direction=H","UseDPDF=Y")</f>
        <v>27.972000000000001</v>
      </c>
      <c r="AJ26" s="21">
        <f>_xll.BDH("ADBE US Equity","PROF_MARGIN","FQ4 2019","FQ4 2019","Currency=USD","Period=FQ","BEST_FPERIOD_OVERRIDE=FQ","FILING_STATUS=MR","FA_ADJUSTED=GAAP","Sort=A","Dates=H","DateFormat=P","Fill=—","Direction=H","UseDPDF=Y")</f>
        <v>28.471800000000002</v>
      </c>
      <c r="AK26" s="21">
        <f>_xll.BDH("ADBE US Equity","PROF_MARGIN","FQ1 2020","FQ1 2020","Currency=USD","Period=FQ","BEST_FPERIOD_OVERRIDE=FQ","FILING_STATUS=MR","FA_ADJUSTED=GAAP","Sort=A","Dates=H","DateFormat=P","Fill=—","Direction=H","UseDPDF=Y")</f>
        <v>30.8962</v>
      </c>
      <c r="AL26" s="21">
        <f>_xll.BDH("ADBE US Equity","PROF_MARGIN","FQ2 2020","FQ2 2020","Currency=USD","Period=FQ","BEST_FPERIOD_OVERRIDE=FQ","FILING_STATUS=MR","FA_ADJUSTED=GAAP","Sort=A","Dates=H","DateFormat=P","Fill=—","Direction=H","UseDPDF=Y")</f>
        <v>35.166200000000003</v>
      </c>
      <c r="AM26" s="21">
        <f>_xll.BDH("ADBE US Equity","PROF_MARGIN","FQ3 2020","FQ3 2020","Currency=USD","Period=FQ","BEST_FPERIOD_OVERRIDE=FQ","FILING_STATUS=MR","FA_ADJUSTED=GAAP","Sort=A","Dates=H","DateFormat=P","Fill=—","Direction=H","UseDPDF=Y")</f>
        <v>29.612400000000001</v>
      </c>
      <c r="AN26" s="21">
        <f>_xll.BDH("ADBE US Equity","PROF_MARGIN","FQ4 2020","FQ4 2020","Currency=USD","Period=FQ","BEST_FPERIOD_OVERRIDE=FQ","FILING_STATUS=MR","FA_ADJUSTED=GAAP","Sort=A","Dates=H","DateFormat=P","Fill=—","Direction=H","UseDPDF=Y")</f>
        <v>65.712599999999995</v>
      </c>
      <c r="AO26" s="21">
        <f>_xll.BDH("ADBE US Equity","PROF_MARGIN","FQ1 2021","FQ1 2021","Currency=USD","Period=FQ","BEST_FPERIOD_OVERRIDE=FQ","FILING_STATUS=MR","FA_ADJUSTED=GAAP","Sort=A","Dates=H","DateFormat=P","Fill=—","Direction=H","UseDPDF=Y")</f>
        <v>32.291899999999998</v>
      </c>
      <c r="AP26" s="21">
        <f>_xll.BDH("ADBE US Equity","PROF_MARGIN","FQ2 2021","FQ2 2021","Currency=USD","Period=FQ","BEST_FPERIOD_OVERRIDE=FQ","FILING_STATUS=MR","FA_ADJUSTED=GAAP","Sort=A","Dates=H","DateFormat=P","Fill=—","Direction=H","UseDPDF=Y")</f>
        <v>29.1004</v>
      </c>
    </row>
    <row r="27" spans="1:42" x14ac:dyDescent="0.25">
      <c r="A27" s="18" t="s">
        <v>116</v>
      </c>
      <c r="B27" s="18" t="s">
        <v>117</v>
      </c>
      <c r="C27" s="21">
        <f>_xll.BDH("ADBE US Equity","NET_INCOME_TO_COMMON_MARGIN","FQ3 2011","FQ3 2011","Currency=USD","Period=FQ","BEST_FPERIOD_OVERRIDE=FQ","FILING_STATUS=MR","FA_ADJUSTED=GAAP","Sort=A","Dates=H","DateFormat=P","Fill=—","Direction=H","UseDPDF=Y")</f>
        <v>19.255700000000001</v>
      </c>
      <c r="D27" s="21">
        <f>_xll.BDH("ADBE US Equity","NET_INCOME_TO_COMMON_MARGIN","FQ4 2011","FQ4 2011","Currency=USD","Period=FQ","BEST_FPERIOD_OVERRIDE=FQ","FILING_STATUS=MR","FA_ADJUSTED=GAAP","Sort=A","Dates=H","DateFormat=P","Fill=—","Direction=H","UseDPDF=Y")</f>
        <v>15.0777</v>
      </c>
      <c r="E27" s="21">
        <f>_xll.BDH("ADBE US Equity","NET_INCOME_TO_COMMON_MARGIN","FQ1 2012","FQ1 2012","Currency=USD","Period=FQ","BEST_FPERIOD_OVERRIDE=FQ","FILING_STATUS=MR","FA_ADJUSTED=GAAP","Sort=A","Dates=H","DateFormat=P","Fill=—","Direction=H","UseDPDF=Y")</f>
        <v>17.7196</v>
      </c>
      <c r="F27" s="21">
        <f>_xll.BDH("ADBE US Equity","NET_INCOME_TO_COMMON_MARGIN","FQ2 2012","FQ2 2012","Currency=USD","Period=FQ","BEST_FPERIOD_OVERRIDE=FQ","FILING_STATUS=MR","FA_ADJUSTED=GAAP","Sort=A","Dates=H","DateFormat=P","Fill=—","Direction=H","UseDPDF=Y")</f>
        <v>19.909800000000001</v>
      </c>
      <c r="G27" s="21">
        <f>_xll.BDH("ADBE US Equity","NET_INCOME_TO_COMMON_MARGIN","FQ3 2012","FQ3 2012","Currency=USD","Period=FQ","BEST_FPERIOD_OVERRIDE=FQ","FILING_STATUS=MR","FA_ADJUSTED=GAAP","Sort=A","Dates=H","DateFormat=P","Fill=—","Direction=H","UseDPDF=Y")</f>
        <v>18.6342</v>
      </c>
      <c r="H27" s="21">
        <f>_xll.BDH("ADBE US Equity","NET_INCOME_TO_COMMON_MARGIN","FQ4 2012","FQ4 2012","Currency=USD","Period=FQ","BEST_FPERIOD_OVERRIDE=FQ","FILING_STATUS=MR","FA_ADJUSTED=GAAP","Sort=A","Dates=H","DateFormat=P","Fill=—","Direction=H","UseDPDF=Y")</f>
        <v>19.2758</v>
      </c>
      <c r="I27" s="21">
        <f>_xll.BDH("ADBE US Equity","NET_INCOME_TO_COMMON_MARGIN","FQ1 2013","FQ1 2013","Currency=USD","Period=FQ","BEST_FPERIOD_OVERRIDE=FQ","FILING_STATUS=MR","FA_ADJUSTED=GAAP","Sort=A","Dates=H","DateFormat=P","Fill=—","Direction=H","UseDPDF=Y")</f>
        <v>6.4607999999999999</v>
      </c>
      <c r="J27" s="21">
        <f>_xll.BDH("ADBE US Equity","NET_INCOME_TO_COMMON_MARGIN","FQ2 2013","FQ2 2013","Currency=USD","Period=FQ","BEST_FPERIOD_OVERRIDE=FQ","FILING_STATUS=MR","FA_ADJUSTED=GAAP","Sort=A","Dates=H","DateFormat=P","Fill=—","Direction=H","UseDPDF=Y")</f>
        <v>7.5747</v>
      </c>
      <c r="K27" s="21">
        <f>_xll.BDH("ADBE US Equity","NET_INCOME_TO_COMMON_MARGIN","FQ3 2013","FQ3 2013","Currency=USD","Period=FQ","BEST_FPERIOD_OVERRIDE=FQ","FILING_STATUS=MR","FA_ADJUSTED=GAAP","Sort=A","Dates=H","DateFormat=P","Fill=—","Direction=H","UseDPDF=Y")</f>
        <v>8.3408999999999995</v>
      </c>
      <c r="L27" s="21">
        <f>_xll.BDH("ADBE US Equity","NET_INCOME_TO_COMMON_MARGIN","FQ4 2013","FQ4 2013","Currency=USD","Period=FQ","BEST_FPERIOD_OVERRIDE=FQ","FILING_STATUS=MR","FA_ADJUSTED=GAAP","Sort=A","Dates=H","DateFormat=P","Fill=—","Direction=H","UseDPDF=Y")</f>
        <v>6.2705000000000002</v>
      </c>
      <c r="M27" s="21">
        <f>_xll.BDH("ADBE US Equity","NET_INCOME_TO_COMMON_MARGIN","FQ1 2014","FQ1 2014","Currency=USD","Period=FQ","BEST_FPERIOD_OVERRIDE=FQ","FILING_STATUS=MR","FA_ADJUSTED=GAAP","Sort=A","Dates=H","DateFormat=P","Fill=—","Direction=H","UseDPDF=Y")</f>
        <v>4.7039999999999997</v>
      </c>
      <c r="N27" s="21">
        <f>_xll.BDH("ADBE US Equity","NET_INCOME_TO_COMMON_MARGIN","FQ2 2014","FQ2 2014","Currency=USD","Period=FQ","BEST_FPERIOD_OVERRIDE=FQ","FILING_STATUS=MR","FA_ADJUSTED=GAAP","Sort=A","Dates=H","DateFormat=P","Fill=—","Direction=H","UseDPDF=Y")</f>
        <v>8.2873999999999999</v>
      </c>
      <c r="O27" s="21">
        <f>_xll.BDH("ADBE US Equity","NET_INCOME_TO_COMMON_MARGIN","FQ3 2014","FQ3 2014","Currency=USD","Period=FQ","BEST_FPERIOD_OVERRIDE=FQ","FILING_STATUS=MR","FA_ADJUSTED=GAAP","Sort=A","Dates=H","DateFormat=P","Fill=—","Direction=H","UseDPDF=Y")</f>
        <v>4.4446000000000003</v>
      </c>
      <c r="P27" s="21">
        <f>_xll.BDH("ADBE US Equity","NET_INCOME_TO_COMMON_MARGIN","FQ4 2014","FQ4 2014","Currency=USD","Period=FQ","BEST_FPERIOD_OVERRIDE=FQ","FILING_STATUS=MR","FA_ADJUSTED=GAAP","Sort=A","Dates=H","DateFormat=P","Fill=—","Direction=H","UseDPDF=Y")</f>
        <v>6.8285</v>
      </c>
      <c r="Q27" s="21">
        <f>_xll.BDH("ADBE US Equity","NET_INCOME_TO_COMMON_MARGIN","FQ1 2015","FQ1 2015","Currency=USD","Period=FQ","BEST_FPERIOD_OVERRIDE=FQ","FILING_STATUS=MR","FA_ADJUSTED=GAAP","Sort=A","Dates=H","DateFormat=P","Fill=—","Direction=H","UseDPDF=Y")</f>
        <v>7.6532</v>
      </c>
      <c r="R27" s="21">
        <f>_xll.BDH("ADBE US Equity","NET_INCOME_TO_COMMON_MARGIN","FQ2 2015","FQ2 2015","Currency=USD","Period=FQ","BEST_FPERIOD_OVERRIDE=FQ","FILING_STATUS=MR","FA_ADJUSTED=GAAP","Sort=A","Dates=H","DateFormat=P","Fill=—","Direction=H","UseDPDF=Y")</f>
        <v>12.6913</v>
      </c>
      <c r="S27" s="21">
        <f>_xll.BDH("ADBE US Equity","NET_INCOME_TO_COMMON_MARGIN","FQ3 2015","FQ3 2015","Currency=USD","Period=FQ","BEST_FPERIOD_OVERRIDE=FQ","FILING_STATUS=MR","FA_ADJUSTED=GAAP","Sort=A","Dates=H","DateFormat=P","Fill=—","Direction=H","UseDPDF=Y")</f>
        <v>14.326599999999999</v>
      </c>
      <c r="T27" s="21">
        <f>_xll.BDH("ADBE US Equity","NET_INCOME_TO_COMMON_MARGIN","FQ4 2015","FQ4 2015","Currency=USD","Period=FQ","BEST_FPERIOD_OVERRIDE=FQ","FILING_STATUS=MR","FA_ADJUSTED=GAAP","Sort=A","Dates=H","DateFormat=P","Fill=—","Direction=H","UseDPDF=Y")</f>
        <v>17.0472</v>
      </c>
      <c r="U27" s="21">
        <f>_xll.BDH("ADBE US Equity","NET_INCOME_TO_COMMON_MARGIN","FQ1 2016","FQ1 2016","Currency=USD","Period=FQ","BEST_FPERIOD_OVERRIDE=FQ","FILING_STATUS=MR","FA_ADJUSTED=GAAP","Sort=A","Dates=H","DateFormat=P","Fill=—","Direction=H","UseDPDF=Y")</f>
        <v>18.383600000000001</v>
      </c>
      <c r="V27" s="21">
        <f>_xll.BDH("ADBE US Equity","NET_INCOME_TO_COMMON_MARGIN","FQ2 2016","FQ2 2016","Currency=USD","Period=FQ","BEST_FPERIOD_OVERRIDE=FQ","FILING_STATUS=MR","FA_ADJUSTED=GAAP","Sort=A","Dates=H","DateFormat=P","Fill=—","Direction=H","UseDPDF=Y")</f>
        <v>17.4499</v>
      </c>
      <c r="W27" s="21">
        <f>_xll.BDH("ADBE US Equity","NET_INCOME_TO_COMMON_MARGIN","FQ3 2016","FQ3 2016","Currency=USD","Period=FQ","BEST_FPERIOD_OVERRIDE=FQ","FILING_STATUS=MR","FA_ADJUSTED=GAAP","Sort=A","Dates=H","DateFormat=P","Fill=—","Direction=H","UseDPDF=Y")</f>
        <v>18.4969</v>
      </c>
      <c r="X27" s="21">
        <f>_xll.BDH("ADBE US Equity","NET_INCOME_TO_COMMON_MARGIN","FQ4 2016","FQ4 2016","Currency=USD","Period=FQ","BEST_FPERIOD_OVERRIDE=FQ","FILING_STATUS=MR","FA_ADJUSTED=GAAP","Sort=A","Dates=H","DateFormat=P","Fill=—","Direction=H","UseDPDF=Y")</f>
        <v>24.845099999999999</v>
      </c>
      <c r="Y27" s="21">
        <f>_xll.BDH("ADBE US Equity","NET_INCOME_TO_COMMON_MARGIN","FQ1 2017","FQ1 2017","Currency=USD","Period=FQ","BEST_FPERIOD_OVERRIDE=FQ","FILING_STATUS=MR","FA_ADJUSTED=GAAP","Sort=A","Dates=H","DateFormat=P","Fill=—","Direction=H","UseDPDF=Y")</f>
        <v>23.6938</v>
      </c>
      <c r="Z27" s="21">
        <f>_xll.BDH("ADBE US Equity","NET_INCOME_TO_COMMON_MARGIN","FQ2 2017","FQ2 2017","Currency=USD","Period=FQ","BEST_FPERIOD_OVERRIDE=FQ","FILING_STATUS=MR","FA_ADJUSTED=GAAP","Sort=A","Dates=H","DateFormat=P","Fill=—","Direction=H","UseDPDF=Y")</f>
        <v>21.125800000000002</v>
      </c>
      <c r="AA27" s="21">
        <f>_xll.BDH("ADBE US Equity","NET_INCOME_TO_COMMON_MARGIN","FQ3 2017","FQ3 2017","Currency=USD","Period=FQ","BEST_FPERIOD_OVERRIDE=FQ","FILING_STATUS=MR","FA_ADJUSTED=GAAP","Sort=A","Dates=H","DateFormat=P","Fill=—","Direction=H","UseDPDF=Y")</f>
        <v>22.789400000000001</v>
      </c>
      <c r="AB27" s="21">
        <f>_xll.BDH("ADBE US Equity","NET_INCOME_TO_COMMON_MARGIN","FQ4 2017","FQ4 2017","Currency=USD","Period=FQ","BEST_FPERIOD_OVERRIDE=FQ","FILING_STATUS=MR","FA_ADJUSTED=GAAP","Sort=A","Dates=H","DateFormat=P","Fill=—","Direction=H","UseDPDF=Y")</f>
        <v>24.995000000000001</v>
      </c>
      <c r="AC27" s="21">
        <f>_xll.BDH("ADBE US Equity","NET_INCOME_TO_COMMON_MARGIN","FQ1 2018","FQ1 2018","Currency=USD","Period=FQ","BEST_FPERIOD_OVERRIDE=FQ","FILING_STATUS=MR","FA_ADJUSTED=GAAP","Sort=A","Dates=H","DateFormat=P","Fill=—","Direction=H","UseDPDF=Y")</f>
        <v>28.046700000000001</v>
      </c>
      <c r="AD27" s="21">
        <f>_xll.BDH("ADBE US Equity","NET_INCOME_TO_COMMON_MARGIN","FQ2 2018","FQ2 2018","Currency=USD","Period=FQ","BEST_FPERIOD_OVERRIDE=FQ","FILING_STATUS=MR","FA_ADJUSTED=GAAP","Sort=A","Dates=H","DateFormat=P","Fill=—","Direction=H","UseDPDF=Y")</f>
        <v>30.207699999999999</v>
      </c>
      <c r="AE27" s="21">
        <f>_xll.BDH("ADBE US Equity","NET_INCOME_TO_COMMON_MARGIN","FQ3 2018","FQ3 2018","Currency=USD","Period=FQ","BEST_FPERIOD_OVERRIDE=FQ","FILING_STATUS=MR","FA_ADJUSTED=GAAP","Sort=A","Dates=H","DateFormat=P","Fill=—","Direction=H","UseDPDF=Y")</f>
        <v>29.082000000000001</v>
      </c>
      <c r="AF27" s="21">
        <f>_xll.BDH("ADBE US Equity","NET_INCOME_TO_COMMON_MARGIN","FQ4 2018","FQ4 2018","Currency=USD","Period=FQ","BEST_FPERIOD_OVERRIDE=FQ","FILING_STATUS=MR","FA_ADJUSTED=GAAP","Sort=A","Dates=H","DateFormat=P","Fill=—","Direction=H","UseDPDF=Y")</f>
        <v>27.518999999999998</v>
      </c>
      <c r="AG27" s="21">
        <f>_xll.BDH("ADBE US Equity","NET_INCOME_TO_COMMON_MARGIN","FQ1 2019","FQ1 2019","Currency=USD","Period=FQ","BEST_FPERIOD_OVERRIDE=FQ","FILING_STATUS=MR","FA_ADJUSTED=GAAP","Sort=A","Dates=H","DateFormat=P","Fill=—","Direction=H","UseDPDF=Y")</f>
        <v>25.922899999999998</v>
      </c>
      <c r="AH27" s="21">
        <f>_xll.BDH("ADBE US Equity","NET_INCOME_TO_COMMON_MARGIN","FQ2 2019","FQ2 2019","Currency=USD","Period=FQ","BEST_FPERIOD_OVERRIDE=FQ","FILING_STATUS=MR","FA_ADJUSTED=GAAP","Sort=A","Dates=H","DateFormat=P","Fill=—","Direction=H","UseDPDF=Y")</f>
        <v>23.0685</v>
      </c>
      <c r="AI27" s="21">
        <f>_xll.BDH("ADBE US Equity","NET_INCOME_TO_COMMON_MARGIN","FQ3 2019","FQ3 2019","Currency=USD","Period=FQ","BEST_FPERIOD_OVERRIDE=FQ","FILING_STATUS=MR","FA_ADJUSTED=GAAP","Sort=A","Dates=H","DateFormat=P","Fill=—","Direction=H","UseDPDF=Y")</f>
        <v>27.972000000000001</v>
      </c>
      <c r="AJ27" s="21">
        <f>_xll.BDH("ADBE US Equity","NET_INCOME_TO_COMMON_MARGIN","FQ4 2019","FQ4 2019","Currency=USD","Period=FQ","BEST_FPERIOD_OVERRIDE=FQ","FILING_STATUS=MR","FA_ADJUSTED=GAAP","Sort=A","Dates=H","DateFormat=P","Fill=—","Direction=H","UseDPDF=Y")</f>
        <v>28.471800000000002</v>
      </c>
      <c r="AK27" s="21">
        <f>_xll.BDH("ADBE US Equity","NET_INCOME_TO_COMMON_MARGIN","FQ1 2020","FQ1 2020","Currency=USD","Period=FQ","BEST_FPERIOD_OVERRIDE=FQ","FILING_STATUS=MR","FA_ADJUSTED=GAAP","Sort=A","Dates=H","DateFormat=P","Fill=—","Direction=H","UseDPDF=Y")</f>
        <v>30.8962</v>
      </c>
      <c r="AL27" s="21">
        <f>_xll.BDH("ADBE US Equity","NET_INCOME_TO_COMMON_MARGIN","FQ2 2020","FQ2 2020","Currency=USD","Period=FQ","BEST_FPERIOD_OVERRIDE=FQ","FILING_STATUS=MR","FA_ADJUSTED=GAAP","Sort=A","Dates=H","DateFormat=P","Fill=—","Direction=H","UseDPDF=Y")</f>
        <v>35.166200000000003</v>
      </c>
      <c r="AM27" s="21">
        <f>_xll.BDH("ADBE US Equity","NET_INCOME_TO_COMMON_MARGIN","FQ3 2020","FQ3 2020","Currency=USD","Period=FQ","BEST_FPERIOD_OVERRIDE=FQ","FILING_STATUS=MR","FA_ADJUSTED=GAAP","Sort=A","Dates=H","DateFormat=P","Fill=—","Direction=H","UseDPDF=Y")</f>
        <v>29.612400000000001</v>
      </c>
      <c r="AN27" s="21">
        <f>_xll.BDH("ADBE US Equity","NET_INCOME_TO_COMMON_MARGIN","FQ4 2020","FQ4 2020","Currency=USD","Period=FQ","BEST_FPERIOD_OVERRIDE=FQ","FILING_STATUS=MR","FA_ADJUSTED=GAAP","Sort=A","Dates=H","DateFormat=P","Fill=—","Direction=H","UseDPDF=Y")</f>
        <v>65.712599999999995</v>
      </c>
      <c r="AO27" s="21">
        <f>_xll.BDH("ADBE US Equity","NET_INCOME_TO_COMMON_MARGIN","FQ1 2021","FQ1 2021","Currency=USD","Period=FQ","BEST_FPERIOD_OVERRIDE=FQ","FILING_STATUS=MR","FA_ADJUSTED=GAAP","Sort=A","Dates=H","DateFormat=P","Fill=—","Direction=H","UseDPDF=Y")</f>
        <v>32.291899999999998</v>
      </c>
      <c r="AP27" s="21">
        <f>_xll.BDH("ADBE US Equity","NET_INCOME_TO_COMMON_MARGIN","FQ2 2021","FQ2 2021","Currency=USD","Period=FQ","BEST_FPERIOD_OVERRIDE=FQ","FILING_STATUS=MR","FA_ADJUSTED=GAAP","Sort=A","Dates=H","DateFormat=P","Fill=—","Direction=H","UseDPDF=Y")</f>
        <v>29.1004</v>
      </c>
    </row>
    <row r="28" spans="1:42" x14ac:dyDescent="0.25">
      <c r="A28" s="18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</row>
    <row r="29" spans="1:42" x14ac:dyDescent="0.25">
      <c r="A29" s="14" t="s">
        <v>118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x14ac:dyDescent="0.25">
      <c r="A30" s="18" t="s">
        <v>119</v>
      </c>
      <c r="B30" s="18" t="s">
        <v>120</v>
      </c>
      <c r="C30" s="21">
        <f>_xll.BDH("ADBE US Equity","EFF_TAX_RATE","FQ3 2011","FQ3 2011","Currency=USD","Period=FQ","BEST_FPERIOD_OVERRIDE=FQ","FILING_STATUS=MR","FA_ADJUSTED=GAAP","Sort=A","Dates=H","DateFormat=P","Fill=—","Direction=H","UseDPDF=Y")</f>
        <v>24.002099999999999</v>
      </c>
      <c r="D30" s="21">
        <f>_xll.BDH("ADBE US Equity","EFF_TAX_RATE","FQ4 2011","FQ4 2011","Currency=USD","Period=FQ","BEST_FPERIOD_OVERRIDE=FQ","FILING_STATUS=MR","FA_ADJUSTED=GAAP","Sort=A","Dates=H","DateFormat=P","Fill=—","Direction=H","UseDPDF=Y")</f>
        <v>25.5</v>
      </c>
      <c r="E30" s="21">
        <f>_xll.BDH("ADBE US Equity","EFF_TAX_RATE","FQ1 2012","FQ1 2012","Currency=USD","Period=FQ","BEST_FPERIOD_OVERRIDE=FQ","FILING_STATUS=MR","FA_ADJUSTED=GAAP","Sort=A","Dates=H","DateFormat=P","Fill=—","Direction=H","UseDPDF=Y")</f>
        <v>31.499700000000001</v>
      </c>
      <c r="F30" s="21">
        <f>_xll.BDH("ADBE US Equity","EFF_TAX_RATE","FQ2 2012","FQ2 2012","Currency=USD","Period=FQ","BEST_FPERIOD_OVERRIDE=FQ","FILING_STATUS=MR","FA_ADJUSTED=GAAP","Sort=A","Dates=H","DateFormat=P","Fill=—","Direction=H","UseDPDF=Y")</f>
        <v>24.0001</v>
      </c>
      <c r="G30" s="21">
        <f>_xll.BDH("ADBE US Equity","EFF_TAX_RATE","FQ3 2012","FQ3 2012","Currency=USD","Period=FQ","BEST_FPERIOD_OVERRIDE=FQ","FILING_STATUS=MR","FA_ADJUSTED=GAAP","Sort=A","Dates=H","DateFormat=P","Fill=—","Direction=H","UseDPDF=Y")</f>
        <v>23.5001</v>
      </c>
      <c r="H30" s="21">
        <f>_xll.BDH("ADBE US Equity","EFF_TAX_RATE","FQ4 2012","FQ4 2012","Currency=USD","Period=FQ","BEST_FPERIOD_OVERRIDE=FQ","FILING_STATUS=MR","FA_ADJUSTED=GAAP","Sort=A","Dates=H","DateFormat=P","Fill=—","Direction=H","UseDPDF=Y")</f>
        <v>23.4999</v>
      </c>
      <c r="I30" s="21">
        <f>_xll.BDH("ADBE US Equity","EFF_TAX_RATE","FQ1 2013","FQ1 2013","Currency=USD","Period=FQ","BEST_FPERIOD_OVERRIDE=FQ","FILING_STATUS=MR","FA_ADJUSTED=GAAP","Sort=A","Dates=H","DateFormat=P","Fill=—","Direction=H","UseDPDF=Y")</f>
        <v>22.000599999999999</v>
      </c>
      <c r="J30" s="21">
        <f>_xll.BDH("ADBE US Equity","EFF_TAX_RATE","FQ2 2013","FQ2 2013","Currency=USD","Period=FQ","BEST_FPERIOD_OVERRIDE=FQ","FILING_STATUS=MR","FA_ADJUSTED=GAAP","Sort=A","Dates=H","DateFormat=P","Fill=—","Direction=H","UseDPDF=Y")</f>
        <v>16.000699999999998</v>
      </c>
      <c r="K30" s="21">
        <f>_xll.BDH("ADBE US Equity","EFF_TAX_RATE","FQ3 2013","FQ3 2013","Currency=USD","Period=FQ","BEST_FPERIOD_OVERRIDE=FQ","FILING_STATUS=MR","FA_ADJUSTED=GAAP","Sort=A","Dates=H","DateFormat=P","Fill=—","Direction=H","UseDPDF=Y")</f>
        <v>10.9994</v>
      </c>
      <c r="L30" s="21">
        <f>_xll.BDH("ADBE US Equity","EFF_TAX_RATE","FQ4 2013","FQ4 2013","Currency=USD","Period=FQ","BEST_FPERIOD_OVERRIDE=FQ","FILING_STATUS=MR","FA_ADJUSTED=GAAP","Sort=A","Dates=H","DateFormat=P","Fill=—","Direction=H","UseDPDF=Y")</f>
        <v>25.9998</v>
      </c>
      <c r="M30" s="21">
        <f>_xll.BDH("ADBE US Equity","EFF_TAX_RATE","FQ1 2014","FQ1 2014","Currency=USD","Period=FQ","BEST_FPERIOD_OVERRIDE=FQ","FILING_STATUS=MR","FA_ADJUSTED=GAAP","Sort=A","Dates=H","DateFormat=P","Fill=—","Direction=H","UseDPDF=Y")</f>
        <v>27.501100000000001</v>
      </c>
      <c r="N30" s="21">
        <f>_xll.BDH("ADBE US Equity","EFF_TAX_RATE","FQ2 2014","FQ2 2014","Currency=USD","Period=FQ","BEST_FPERIOD_OVERRIDE=FQ","FILING_STATUS=MR","FA_ADJUSTED=GAAP","Sort=A","Dates=H","DateFormat=P","Fill=—","Direction=H","UseDPDF=Y")</f>
        <v>27.000699999999998</v>
      </c>
      <c r="O30" s="21">
        <f>_xll.BDH("ADBE US Equity","EFF_TAX_RATE","FQ3 2014","FQ3 2014","Currency=USD","Period=FQ","BEST_FPERIOD_OVERRIDE=FQ","FILING_STATUS=MR","FA_ADJUSTED=GAAP","Sort=A","Dates=H","DateFormat=P","Fill=—","Direction=H","UseDPDF=Y")</f>
        <v>29</v>
      </c>
      <c r="P30" s="21">
        <f>_xll.BDH("ADBE US Equity","EFF_TAX_RATE","FQ4 2014","FQ4 2014","Currency=USD","Period=FQ","BEST_FPERIOD_OVERRIDE=FQ","FILING_STATUS=MR","FA_ADJUSTED=GAAP","Sort=A","Dates=H","DateFormat=P","Fill=—","Direction=H","UseDPDF=Y")</f>
        <v>21.000299999999999</v>
      </c>
      <c r="Q30" s="21">
        <f>_xll.BDH("ADBE US Equity","EFF_TAX_RATE","FQ1 2015","FQ1 2015","Currency=USD","Period=FQ","BEST_FPERIOD_OVERRIDE=FQ","FILING_STATUS=MR","FA_ADJUSTED=GAAP","Sort=A","Dates=H","DateFormat=P","Fill=—","Direction=H","UseDPDF=Y")</f>
        <v>48.000599999999999</v>
      </c>
      <c r="R30" s="21">
        <f>_xll.BDH("ADBE US Equity","EFF_TAX_RATE","FQ2 2015","FQ2 2015","Currency=USD","Period=FQ","BEST_FPERIOD_OVERRIDE=FQ","FILING_STATUS=MR","FA_ADJUSTED=GAAP","Sort=A","Dates=H","DateFormat=P","Fill=—","Direction=H","UseDPDF=Y")</f>
        <v>18.500399999999999</v>
      </c>
      <c r="S30" s="21">
        <f>_xll.BDH("ADBE US Equity","EFF_TAX_RATE","FQ3 2015","FQ3 2015","Currency=USD","Period=FQ","BEST_FPERIOD_OVERRIDE=FQ","FILING_STATUS=MR","FA_ADJUSTED=GAAP","Sort=A","Dates=H","DateFormat=P","Fill=—","Direction=H","UseDPDF=Y")</f>
        <v>24.999700000000001</v>
      </c>
      <c r="T30" s="21">
        <f>_xll.BDH("ADBE US Equity","EFF_TAX_RATE","FQ4 2015","FQ4 2015","Currency=USD","Period=FQ","BEST_FPERIOD_OVERRIDE=FQ","FILING_STATUS=MR","FA_ADJUSTED=GAAP","Sort=A","Dates=H","DateFormat=P","Fill=—","Direction=H","UseDPDF=Y")</f>
        <v>25</v>
      </c>
      <c r="U30" s="21">
        <f>_xll.BDH("ADBE US Equity","EFF_TAX_RATE","FQ1 2016","FQ1 2016","Currency=USD","Period=FQ","BEST_FPERIOD_OVERRIDE=FQ","FILING_STATUS=MR","FA_ADJUSTED=GAAP","Sort=A","Dates=H","DateFormat=P","Fill=—","Direction=H","UseDPDF=Y")</f>
        <v>13</v>
      </c>
      <c r="V30" s="21">
        <f>_xll.BDH("ADBE US Equity","EFF_TAX_RATE","FQ2 2016","FQ2 2016","Currency=USD","Period=FQ","BEST_FPERIOD_OVERRIDE=FQ","FILING_STATUS=MR","FA_ADJUSTED=GAAP","Sort=A","Dates=H","DateFormat=P","Fill=—","Direction=H","UseDPDF=Y")</f>
        <v>26.0001</v>
      </c>
      <c r="W30" s="21">
        <f>_xll.BDH("ADBE US Equity","EFF_TAX_RATE","FQ3 2016","FQ3 2016","Currency=USD","Period=FQ","BEST_FPERIOD_OVERRIDE=FQ","FILING_STATUS=MR","FA_ADJUSTED=GAAP","Sort=A","Dates=H","DateFormat=P","Fill=—","Direction=H","UseDPDF=Y")</f>
        <v>24.0002</v>
      </c>
      <c r="X30" s="21">
        <f>_xll.BDH("ADBE US Equity","EFF_TAX_RATE","FQ4 2016","FQ4 2016","Currency=USD","Period=FQ","BEST_FPERIOD_OVERRIDE=FQ","FILING_STATUS=MR","FA_ADJUSTED=GAAP","Sort=A","Dates=H","DateFormat=P","Fill=—","Direction=H","UseDPDF=Y")</f>
        <v>12.4999</v>
      </c>
      <c r="Y30" s="21">
        <f>_xll.BDH("ADBE US Equity","EFF_TAX_RATE","FQ1 2017","FQ1 2017","Currency=USD","Period=FQ","BEST_FPERIOD_OVERRIDE=FQ","FILING_STATUS=MR","FA_ADJUSTED=GAAP","Sort=A","Dates=H","DateFormat=P","Fill=—","Direction=H","UseDPDF=Y")</f>
        <v>13.5001</v>
      </c>
      <c r="Z30" s="21">
        <f>_xll.BDH("ADBE US Equity","EFF_TAX_RATE","FQ2 2017","FQ2 2017","Currency=USD","Period=FQ","BEST_FPERIOD_OVERRIDE=FQ","FILING_STATUS=MR","FA_ADJUSTED=GAAP","Sort=A","Dates=H","DateFormat=P","Fill=—","Direction=H","UseDPDF=Y")</f>
        <v>23.9999</v>
      </c>
      <c r="AA30" s="21">
        <f>_xll.BDH("ADBE US Equity","EFF_TAX_RATE","FQ3 2017","FQ3 2017","Currency=USD","Period=FQ","BEST_FPERIOD_OVERRIDE=FQ","FILING_STATUS=MR","FA_ADJUSTED=GAAP","Sort=A","Dates=H","DateFormat=P","Fill=—","Direction=H","UseDPDF=Y")</f>
        <v>22.4999</v>
      </c>
      <c r="AB30" s="21">
        <f>_xll.BDH("ADBE US Equity","EFF_TAX_RATE","FQ4 2017","FQ4 2017","Currency=USD","Period=FQ","BEST_FPERIOD_OVERRIDE=FQ","FILING_STATUS=MR","FA_ADJUSTED=GAAP","Sort=A","Dates=H","DateFormat=P","Fill=—","Direction=H","UseDPDF=Y")</f>
        <v>22.0001</v>
      </c>
      <c r="AC30" s="21">
        <f>_xll.BDH("ADBE US Equity","EFF_TAX_RATE","FQ1 2018","FQ1 2018","Currency=USD","Period=FQ","BEST_FPERIOD_OVERRIDE=FQ","FILING_STATUS=MR","FA_ADJUSTED=GAAP","Sort=A","Dates=H","DateFormat=P","Fill=—","Direction=H","UseDPDF=Y")</f>
        <v>17.0001</v>
      </c>
      <c r="AD30" s="21">
        <f>_xll.BDH("ADBE US Equity","EFF_TAX_RATE","FQ2 2018","FQ2 2018","Currency=USD","Period=FQ","BEST_FPERIOD_OVERRIDE=FQ","FILING_STATUS=MR","FA_ADJUSTED=GAAP","Sort=A","Dates=H","DateFormat=P","Fill=—","Direction=H","UseDPDF=Y")</f>
        <v>4</v>
      </c>
      <c r="AE30" s="21">
        <f>_xll.BDH("ADBE US Equity","EFF_TAX_RATE","FQ3 2018","FQ3 2018","Currency=USD","Period=FQ","BEST_FPERIOD_OVERRIDE=FQ","FILING_STATUS=MR","FA_ADJUSTED=GAAP","Sort=A","Dates=H","DateFormat=P","Fill=—","Direction=H","UseDPDF=Y")</f>
        <v>4.9999000000000002</v>
      </c>
      <c r="AF30" s="21">
        <f>_xll.BDH("ADBE US Equity","EFF_TAX_RATE","FQ4 2018","FQ4 2018","Currency=USD","Period=FQ","BEST_FPERIOD_OVERRIDE=FQ","FILING_STATUS=MR","FA_ADJUSTED=GAAP","Sort=A","Dates=H","DateFormat=P","Fill=—","Direction=H","UseDPDF=Y")</f>
        <v>3.0001000000000002</v>
      </c>
      <c r="AG30" s="21">
        <f>_xll.BDH("ADBE US Equity","EFF_TAX_RATE","FQ1 2019","FQ1 2019","Currency=USD","Period=FQ","BEST_FPERIOD_OVERRIDE=FQ","FILING_STATUS=MR","FA_ADJUSTED=GAAP","Sort=A","Dates=H","DateFormat=P","Fill=—","Direction=H","UseDPDF=Y")</f>
        <v>3.9999000000000002</v>
      </c>
      <c r="AH30" s="21">
        <f>_xll.BDH("ADBE US Equity","EFF_TAX_RATE","FQ2 2019","FQ2 2019","Currency=USD","Period=FQ","BEST_FPERIOD_OVERRIDE=FQ","FILING_STATUS=MR","FA_ADJUSTED=GAAP","Sort=A","Dates=H","DateFormat=P","Fill=—","Direction=H","UseDPDF=Y")</f>
        <v>10.970499999999999</v>
      </c>
      <c r="AI30" s="21">
        <f>_xll.BDH("ADBE US Equity","EFF_TAX_RATE","FQ3 2019","FQ3 2019","Currency=USD","Period=FQ","BEST_FPERIOD_OVERRIDE=FQ","FILING_STATUS=MR","FA_ADJUSTED=GAAP","Sort=A","Dates=H","DateFormat=P","Fill=—","Direction=H","UseDPDF=Y")</f>
        <v>5.0000999999999998</v>
      </c>
      <c r="AJ30" s="21">
        <f>_xll.BDH("ADBE US Equity","EFF_TAX_RATE","FQ4 2019","FQ4 2019","Currency=USD","Period=FQ","BEST_FPERIOD_OVERRIDE=FQ","FILING_STATUS=MR","FA_ADJUSTED=GAAP","Sort=A","Dates=H","DateFormat=P","Fill=—","Direction=H","UseDPDF=Y")</f>
        <v>11</v>
      </c>
      <c r="AK30" s="21" t="str">
        <f>_xll.BDH("ADBE US Equity","EFF_TAX_RATE","FQ1 2020","FQ1 2020","Currency=USD","Period=FQ","BEST_FPERIOD_OVERRIDE=FQ","FILING_STATUS=MR","FA_ADJUSTED=GAAP","Sort=A","Dates=H","DateFormat=P","Fill=—","Direction=H","UseDPDF=Y")</f>
        <v>—</v>
      </c>
      <c r="AL30" s="21" t="str">
        <f>_xll.BDH("ADBE US Equity","EFF_TAX_RATE","FQ2 2020","FQ2 2020","Currency=USD","Period=FQ","BEST_FPERIOD_OVERRIDE=FQ","FILING_STATUS=MR","FA_ADJUSTED=GAAP","Sort=A","Dates=H","DateFormat=P","Fill=—","Direction=H","UseDPDF=Y")</f>
        <v>—</v>
      </c>
      <c r="AM30" s="21">
        <f>_xll.BDH("ADBE US Equity","EFF_TAX_RATE","FQ3 2020","FQ3 2020","Currency=USD","Period=FQ","BEST_FPERIOD_OVERRIDE=FQ","FILING_STATUS=MR","FA_ADJUSTED=GAAP","Sort=A","Dates=H","DateFormat=P","Fill=—","Direction=H","UseDPDF=Y")</f>
        <v>9.9056999999999995</v>
      </c>
      <c r="AN30" s="21" t="str">
        <f>_xll.BDH("ADBE US Equity","EFF_TAX_RATE","FQ4 2020","FQ4 2020","Currency=USD","Period=FQ","BEST_FPERIOD_OVERRIDE=FQ","FILING_STATUS=MR","FA_ADJUSTED=GAAP","Sort=A","Dates=H","DateFormat=P","Fill=—","Direction=H","UseDPDF=Y")</f>
        <v>—</v>
      </c>
      <c r="AO30" s="21">
        <f>_xll.BDH("ADBE US Equity","EFF_TAX_RATE","FQ1 2021","FQ1 2021","Currency=USD","Period=FQ","BEST_FPERIOD_OVERRIDE=FQ","FILING_STATUS=MR","FA_ADJUSTED=GAAP","Sort=A","Dates=H","DateFormat=P","Fill=—","Direction=H","UseDPDF=Y")</f>
        <v>12.002800000000001</v>
      </c>
      <c r="AP30" s="21">
        <f>_xll.BDH("ADBE US Equity","EFF_TAX_RATE","FQ2 2021","FQ2 2021","Currency=USD","Period=FQ","BEST_FPERIOD_OVERRIDE=FQ","FILING_STATUS=MR","FA_ADJUSTED=GAAP","Sort=A","Dates=H","DateFormat=P","Fill=—","Direction=H","UseDPDF=Y")</f>
        <v>19.480499999999999</v>
      </c>
    </row>
    <row r="31" spans="1:42" x14ac:dyDescent="0.25">
      <c r="A31" s="18" t="s">
        <v>121</v>
      </c>
      <c r="B31" s="18" t="s">
        <v>122</v>
      </c>
      <c r="C31" s="21">
        <f>_xll.BDH("ADBE US Equity","DVD_PAYOUT_RATIO","FQ3 2011","FQ3 2011","Currency=USD","Period=FQ","BEST_FPERIOD_OVERRIDE=FQ","FILING_STATUS=MR","FA_ADJUSTED=GAAP","Sort=A","Dates=H","DateFormat=P","Fill=—","Direction=H","UseDPDF=Y")</f>
        <v>0</v>
      </c>
      <c r="D31" s="21">
        <f>_xll.BDH("ADBE US Equity","DVD_PAYOUT_RATIO","FQ4 2011","FQ4 2011","Currency=USD","Period=FQ","BEST_FPERIOD_OVERRIDE=FQ","FILING_STATUS=MR","FA_ADJUSTED=GAAP","Sort=A","Dates=H","DateFormat=P","Fill=—","Direction=H","UseDPDF=Y")</f>
        <v>0</v>
      </c>
      <c r="E31" s="21">
        <f>_xll.BDH("ADBE US Equity","DVD_PAYOUT_RATIO","FQ1 2012","FQ1 2012","Currency=USD","Period=FQ","BEST_FPERIOD_OVERRIDE=FQ","FILING_STATUS=MR","FA_ADJUSTED=GAAP","Sort=A","Dates=H","DateFormat=P","Fill=—","Direction=H","UseDPDF=Y")</f>
        <v>0</v>
      </c>
      <c r="F31" s="21">
        <f>_xll.BDH("ADBE US Equity","DVD_PAYOUT_RATIO","FQ2 2012","FQ2 2012","Currency=USD","Period=FQ","BEST_FPERIOD_OVERRIDE=FQ","FILING_STATUS=MR","FA_ADJUSTED=GAAP","Sort=A","Dates=H","DateFormat=P","Fill=—","Direction=H","UseDPDF=Y")</f>
        <v>0</v>
      </c>
      <c r="G31" s="21">
        <f>_xll.BDH("ADBE US Equity","DVD_PAYOUT_RATIO","FQ3 2012","FQ3 2012","Currency=USD","Period=FQ","BEST_FPERIOD_OVERRIDE=FQ","FILING_STATUS=MR","FA_ADJUSTED=GAAP","Sort=A","Dates=H","DateFormat=P","Fill=—","Direction=H","UseDPDF=Y")</f>
        <v>0</v>
      </c>
      <c r="H31" s="21">
        <f>_xll.BDH("ADBE US Equity","DVD_PAYOUT_RATIO","FQ4 2012","FQ4 2012","Currency=USD","Period=FQ","BEST_FPERIOD_OVERRIDE=FQ","FILING_STATUS=MR","FA_ADJUSTED=GAAP","Sort=A","Dates=H","DateFormat=P","Fill=—","Direction=H","UseDPDF=Y")</f>
        <v>0</v>
      </c>
      <c r="I31" s="21">
        <f>_xll.BDH("ADBE US Equity","DVD_PAYOUT_RATIO","FQ1 2013","FQ1 2013","Currency=USD","Period=FQ","BEST_FPERIOD_OVERRIDE=FQ","FILING_STATUS=MR","FA_ADJUSTED=GAAP","Sort=A","Dates=H","DateFormat=P","Fill=—","Direction=H","UseDPDF=Y")</f>
        <v>0</v>
      </c>
      <c r="J31" s="21">
        <f>_xll.BDH("ADBE US Equity","DVD_PAYOUT_RATIO","FQ2 2013","FQ2 2013","Currency=USD","Period=FQ","BEST_FPERIOD_OVERRIDE=FQ","FILING_STATUS=MR","FA_ADJUSTED=GAAP","Sort=A","Dates=H","DateFormat=P","Fill=—","Direction=H","UseDPDF=Y")</f>
        <v>0</v>
      </c>
      <c r="K31" s="21">
        <f>_xll.BDH("ADBE US Equity","DVD_PAYOUT_RATIO","FQ3 2013","FQ3 2013","Currency=USD","Period=FQ","BEST_FPERIOD_OVERRIDE=FQ","FILING_STATUS=MR","FA_ADJUSTED=GAAP","Sort=A","Dates=H","DateFormat=P","Fill=—","Direction=H","UseDPDF=Y")</f>
        <v>0</v>
      </c>
      <c r="L31" s="21">
        <f>_xll.BDH("ADBE US Equity","DVD_PAYOUT_RATIO","FQ4 2013","FQ4 2013","Currency=USD","Period=FQ","BEST_FPERIOD_OVERRIDE=FQ","FILING_STATUS=MR","FA_ADJUSTED=GAAP","Sort=A","Dates=H","DateFormat=P","Fill=—","Direction=H","UseDPDF=Y")</f>
        <v>0</v>
      </c>
      <c r="M31" s="21">
        <f>_xll.BDH("ADBE US Equity","DVD_PAYOUT_RATIO","FQ1 2014","FQ1 2014","Currency=USD","Period=FQ","BEST_FPERIOD_OVERRIDE=FQ","FILING_STATUS=MR","FA_ADJUSTED=GAAP","Sort=A","Dates=H","DateFormat=P","Fill=—","Direction=H","UseDPDF=Y")</f>
        <v>0</v>
      </c>
      <c r="N31" s="21">
        <f>_xll.BDH("ADBE US Equity","DVD_PAYOUT_RATIO","FQ2 2014","FQ2 2014","Currency=USD","Period=FQ","BEST_FPERIOD_OVERRIDE=FQ","FILING_STATUS=MR","FA_ADJUSTED=GAAP","Sort=A","Dates=H","DateFormat=P","Fill=—","Direction=H","UseDPDF=Y")</f>
        <v>0</v>
      </c>
      <c r="O31" s="21">
        <f>_xll.BDH("ADBE US Equity","DVD_PAYOUT_RATIO","FQ3 2014","FQ3 2014","Currency=USD","Period=FQ","BEST_FPERIOD_OVERRIDE=FQ","FILING_STATUS=MR","FA_ADJUSTED=GAAP","Sort=A","Dates=H","DateFormat=P","Fill=—","Direction=H","UseDPDF=Y")</f>
        <v>0</v>
      </c>
      <c r="P31" s="21">
        <f>_xll.BDH("ADBE US Equity","DVD_PAYOUT_RATIO","FQ4 2014","FQ4 2014","Currency=USD","Period=FQ","BEST_FPERIOD_OVERRIDE=FQ","FILING_STATUS=MR","FA_ADJUSTED=GAAP","Sort=A","Dates=H","DateFormat=P","Fill=—","Direction=H","UseDPDF=Y")</f>
        <v>0</v>
      </c>
      <c r="Q31" s="21">
        <f>_xll.BDH("ADBE US Equity","DVD_PAYOUT_RATIO","FQ1 2015","FQ1 2015","Currency=USD","Period=FQ","BEST_FPERIOD_OVERRIDE=FQ","FILING_STATUS=MR","FA_ADJUSTED=GAAP","Sort=A","Dates=H","DateFormat=P","Fill=—","Direction=H","UseDPDF=Y")</f>
        <v>0</v>
      </c>
      <c r="R31" s="21">
        <f>_xll.BDH("ADBE US Equity","DVD_PAYOUT_RATIO","FQ2 2015","FQ2 2015","Currency=USD","Period=FQ","BEST_FPERIOD_OVERRIDE=FQ","FILING_STATUS=MR","FA_ADJUSTED=GAAP","Sort=A","Dates=H","DateFormat=P","Fill=—","Direction=H","UseDPDF=Y")</f>
        <v>0</v>
      </c>
      <c r="S31" s="21">
        <f>_xll.BDH("ADBE US Equity","DVD_PAYOUT_RATIO","FQ3 2015","FQ3 2015","Currency=USD","Period=FQ","BEST_FPERIOD_OVERRIDE=FQ","FILING_STATUS=MR","FA_ADJUSTED=GAAP","Sort=A","Dates=H","DateFormat=P","Fill=—","Direction=H","UseDPDF=Y")</f>
        <v>0</v>
      </c>
      <c r="T31" s="21">
        <f>_xll.BDH("ADBE US Equity","DVD_PAYOUT_RATIO","FQ4 2015","FQ4 2015","Currency=USD","Period=FQ","BEST_FPERIOD_OVERRIDE=FQ","FILING_STATUS=MR","FA_ADJUSTED=GAAP","Sort=A","Dates=H","DateFormat=P","Fill=—","Direction=H","UseDPDF=Y")</f>
        <v>0</v>
      </c>
      <c r="U31" s="21">
        <f>_xll.BDH("ADBE US Equity","DVD_PAYOUT_RATIO","FQ1 2016","FQ1 2016","Currency=USD","Period=FQ","BEST_FPERIOD_OVERRIDE=FQ","FILING_STATUS=MR","FA_ADJUSTED=GAAP","Sort=A","Dates=H","DateFormat=P","Fill=—","Direction=H","UseDPDF=Y")</f>
        <v>0</v>
      </c>
      <c r="V31" s="21">
        <f>_xll.BDH("ADBE US Equity","DVD_PAYOUT_RATIO","FQ2 2016","FQ2 2016","Currency=USD","Period=FQ","BEST_FPERIOD_OVERRIDE=FQ","FILING_STATUS=MR","FA_ADJUSTED=GAAP","Sort=A","Dates=H","DateFormat=P","Fill=—","Direction=H","UseDPDF=Y")</f>
        <v>0</v>
      </c>
      <c r="W31" s="21">
        <f>_xll.BDH("ADBE US Equity","DVD_PAYOUT_RATIO","FQ3 2016","FQ3 2016","Currency=USD","Period=FQ","BEST_FPERIOD_OVERRIDE=FQ","FILING_STATUS=MR","FA_ADJUSTED=GAAP","Sort=A","Dates=H","DateFormat=P","Fill=—","Direction=H","UseDPDF=Y")</f>
        <v>0</v>
      </c>
      <c r="X31" s="21">
        <f>_xll.BDH("ADBE US Equity","DVD_PAYOUT_RATIO","FQ4 2016","FQ4 2016","Currency=USD","Period=FQ","BEST_FPERIOD_OVERRIDE=FQ","FILING_STATUS=MR","FA_ADJUSTED=GAAP","Sort=A","Dates=H","DateFormat=P","Fill=—","Direction=H","UseDPDF=Y")</f>
        <v>0</v>
      </c>
      <c r="Y31" s="21">
        <f>_xll.BDH("ADBE US Equity","DVD_PAYOUT_RATIO","FQ1 2017","FQ1 2017","Currency=USD","Period=FQ","BEST_FPERIOD_OVERRIDE=FQ","FILING_STATUS=MR","FA_ADJUSTED=GAAP","Sort=A","Dates=H","DateFormat=P","Fill=—","Direction=H","UseDPDF=Y")</f>
        <v>0</v>
      </c>
      <c r="Z31" s="21">
        <f>_xll.BDH("ADBE US Equity","DVD_PAYOUT_RATIO","FQ2 2017","FQ2 2017","Currency=USD","Period=FQ","BEST_FPERIOD_OVERRIDE=FQ","FILING_STATUS=MR","FA_ADJUSTED=GAAP","Sort=A","Dates=H","DateFormat=P","Fill=—","Direction=H","UseDPDF=Y")</f>
        <v>0</v>
      </c>
      <c r="AA31" s="21">
        <f>_xll.BDH("ADBE US Equity","DVD_PAYOUT_RATIO","FQ3 2017","FQ3 2017","Currency=USD","Period=FQ","BEST_FPERIOD_OVERRIDE=FQ","FILING_STATUS=MR","FA_ADJUSTED=GAAP","Sort=A","Dates=H","DateFormat=P","Fill=—","Direction=H","UseDPDF=Y")</f>
        <v>0</v>
      </c>
      <c r="AB31" s="21">
        <f>_xll.BDH("ADBE US Equity","DVD_PAYOUT_RATIO","FQ4 2017","FQ4 2017","Currency=USD","Period=FQ","BEST_FPERIOD_OVERRIDE=FQ","FILING_STATUS=MR","FA_ADJUSTED=GAAP","Sort=A","Dates=H","DateFormat=P","Fill=—","Direction=H","UseDPDF=Y")</f>
        <v>0</v>
      </c>
      <c r="AC31" s="21">
        <f>_xll.BDH("ADBE US Equity","DVD_PAYOUT_RATIO","FQ1 2018","FQ1 2018","Currency=USD","Period=FQ","BEST_FPERIOD_OVERRIDE=FQ","FILING_STATUS=MR","FA_ADJUSTED=GAAP","Sort=A","Dates=H","DateFormat=P","Fill=—","Direction=H","UseDPDF=Y")</f>
        <v>0</v>
      </c>
      <c r="AD31" s="21">
        <f>_xll.BDH("ADBE US Equity","DVD_PAYOUT_RATIO","FQ2 2018","FQ2 2018","Currency=USD","Period=FQ","BEST_FPERIOD_OVERRIDE=FQ","FILING_STATUS=MR","FA_ADJUSTED=GAAP","Sort=A","Dates=H","DateFormat=P","Fill=—","Direction=H","UseDPDF=Y")</f>
        <v>0</v>
      </c>
      <c r="AE31" s="21">
        <f>_xll.BDH("ADBE US Equity","DVD_PAYOUT_RATIO","FQ3 2018","FQ3 2018","Currency=USD","Period=FQ","BEST_FPERIOD_OVERRIDE=FQ","FILING_STATUS=MR","FA_ADJUSTED=GAAP","Sort=A","Dates=H","DateFormat=P","Fill=—","Direction=H","UseDPDF=Y")</f>
        <v>0</v>
      </c>
      <c r="AF31" s="21">
        <f>_xll.BDH("ADBE US Equity","DVD_PAYOUT_RATIO","FQ4 2018","FQ4 2018","Currency=USD","Period=FQ","BEST_FPERIOD_OVERRIDE=FQ","FILING_STATUS=MR","FA_ADJUSTED=GAAP","Sort=A","Dates=H","DateFormat=P","Fill=—","Direction=H","UseDPDF=Y")</f>
        <v>0</v>
      </c>
      <c r="AG31" s="21">
        <f>_xll.BDH("ADBE US Equity","DVD_PAYOUT_RATIO","FQ1 2019","FQ1 2019","Currency=USD","Period=FQ","BEST_FPERIOD_OVERRIDE=FQ","FILING_STATUS=MR","FA_ADJUSTED=GAAP","Sort=A","Dates=H","DateFormat=P","Fill=—","Direction=H","UseDPDF=Y")</f>
        <v>0</v>
      </c>
      <c r="AH31" s="21">
        <f>_xll.BDH("ADBE US Equity","DVD_PAYOUT_RATIO","FQ2 2019","FQ2 2019","Currency=USD","Period=FQ","BEST_FPERIOD_OVERRIDE=FQ","FILING_STATUS=MR","FA_ADJUSTED=GAAP","Sort=A","Dates=H","DateFormat=P","Fill=—","Direction=H","UseDPDF=Y")</f>
        <v>0</v>
      </c>
      <c r="AI31" s="21">
        <f>_xll.BDH("ADBE US Equity","DVD_PAYOUT_RATIO","FQ3 2019","FQ3 2019","Currency=USD","Period=FQ","BEST_FPERIOD_OVERRIDE=FQ","FILING_STATUS=MR","FA_ADJUSTED=GAAP","Sort=A","Dates=H","DateFormat=P","Fill=—","Direction=H","UseDPDF=Y")</f>
        <v>0</v>
      </c>
      <c r="AJ31" s="21">
        <f>_xll.BDH("ADBE US Equity","DVD_PAYOUT_RATIO","FQ4 2019","FQ4 2019","Currency=USD","Period=FQ","BEST_FPERIOD_OVERRIDE=FQ","FILING_STATUS=MR","FA_ADJUSTED=GAAP","Sort=A","Dates=H","DateFormat=P","Fill=—","Direction=H","UseDPDF=Y")</f>
        <v>0</v>
      </c>
      <c r="AK31" s="21">
        <f>_xll.BDH("ADBE US Equity","DVD_PAYOUT_RATIO","FQ1 2020","FQ1 2020","Currency=USD","Period=FQ","BEST_FPERIOD_OVERRIDE=FQ","FILING_STATUS=MR","FA_ADJUSTED=GAAP","Sort=A","Dates=H","DateFormat=P","Fill=—","Direction=H","UseDPDF=Y")</f>
        <v>0</v>
      </c>
      <c r="AL31" s="21">
        <f>_xll.BDH("ADBE US Equity","DVD_PAYOUT_RATIO","FQ2 2020","FQ2 2020","Currency=USD","Period=FQ","BEST_FPERIOD_OVERRIDE=FQ","FILING_STATUS=MR","FA_ADJUSTED=GAAP","Sort=A","Dates=H","DateFormat=P","Fill=—","Direction=H","UseDPDF=Y")</f>
        <v>0</v>
      </c>
      <c r="AM31" s="21">
        <f>_xll.BDH("ADBE US Equity","DVD_PAYOUT_RATIO","FQ3 2020","FQ3 2020","Currency=USD","Period=FQ","BEST_FPERIOD_OVERRIDE=FQ","FILING_STATUS=MR","FA_ADJUSTED=GAAP","Sort=A","Dates=H","DateFormat=P","Fill=—","Direction=H","UseDPDF=Y")</f>
        <v>0</v>
      </c>
      <c r="AN31" s="21">
        <f>_xll.BDH("ADBE US Equity","DVD_PAYOUT_RATIO","FQ4 2020","FQ4 2020","Currency=USD","Period=FQ","BEST_FPERIOD_OVERRIDE=FQ","FILING_STATUS=MR","FA_ADJUSTED=GAAP","Sort=A","Dates=H","DateFormat=P","Fill=—","Direction=H","UseDPDF=Y")</f>
        <v>0</v>
      </c>
      <c r="AO31" s="21">
        <f>_xll.BDH("ADBE US Equity","DVD_PAYOUT_RATIO","FQ1 2021","FQ1 2021","Currency=USD","Period=FQ","BEST_FPERIOD_OVERRIDE=FQ","FILING_STATUS=MR","FA_ADJUSTED=GAAP","Sort=A","Dates=H","DateFormat=P","Fill=—","Direction=H","UseDPDF=Y")</f>
        <v>0</v>
      </c>
      <c r="AP31" s="21">
        <f>_xll.BDH("ADBE US Equity","DVD_PAYOUT_RATIO","FQ2 2021","FQ2 2021","Currency=USD","Period=FQ","BEST_FPERIOD_OVERRIDE=FQ","FILING_STATUS=MR","FA_ADJUSTED=GAAP","Sort=A","Dates=H","DateFormat=P","Fill=—","Direction=H","UseDPDF=Y")</f>
        <v>0</v>
      </c>
    </row>
    <row r="32" spans="1:42" x14ac:dyDescent="0.25">
      <c r="A32" s="18" t="s">
        <v>123</v>
      </c>
      <c r="B32" s="18" t="s">
        <v>124</v>
      </c>
      <c r="C32" s="21">
        <f>_xll.BDH("ADBE US Equity","SUSTAIN_GROWTH_RT","FQ3 2011","FQ3 2011","Currency=USD","Period=FQ","BEST_FPERIOD_OVERRIDE=FQ","FILING_STATUS=MR","FA_ADJUSTED=GAAP","Sort=A","Dates=H","DateFormat=P","Fill=—","Direction=H","UseDPDF=Y")</f>
        <v>17.428799999999999</v>
      </c>
      <c r="D32" s="21">
        <f>_xll.BDH("ADBE US Equity","SUSTAIN_GROWTH_RT","FQ4 2011","FQ4 2011","Currency=USD","Period=FQ","BEST_FPERIOD_OVERRIDE=FQ","FILING_STATUS=MR","FA_ADJUSTED=GAAP","Sort=A","Dates=H","DateFormat=P","Fill=—","Direction=H","UseDPDF=Y")</f>
        <v>15.176500000000001</v>
      </c>
      <c r="E32" s="21">
        <f>_xll.BDH("ADBE US Equity","SUSTAIN_GROWTH_RT","FQ1 2012","FQ1 2012","Currency=USD","Period=FQ","BEST_FPERIOD_OVERRIDE=FQ","FILING_STATUS=MR","FA_ADJUSTED=GAAP","Sort=A","Dates=H","DateFormat=P","Fill=—","Direction=H","UseDPDF=Y")</f>
        <v>13.7309</v>
      </c>
      <c r="F32" s="21">
        <f>_xll.BDH("ADBE US Equity","SUSTAIN_GROWTH_RT","FQ2 2012","FQ2 2012","Currency=USD","Period=FQ","BEST_FPERIOD_OVERRIDE=FQ","FILING_STATUS=MR","FA_ADJUSTED=GAAP","Sort=A","Dates=H","DateFormat=P","Fill=—","Direction=H","UseDPDF=Y")</f>
        <v>13.541700000000001</v>
      </c>
      <c r="G32" s="21">
        <f>_xll.BDH("ADBE US Equity","SUSTAIN_GROWTH_RT","FQ3 2012","FQ3 2012","Currency=USD","Period=FQ","BEST_FPERIOD_OVERRIDE=FQ","FILING_STATUS=MR","FA_ADJUSTED=GAAP","Sort=A","Dates=H","DateFormat=P","Fill=—","Direction=H","UseDPDF=Y")</f>
        <v>13.0665</v>
      </c>
      <c r="H32" s="21">
        <f>_xll.BDH("ADBE US Equity","SUSTAIN_GROWTH_RT","FQ4 2012","FQ4 2012","Currency=USD","Period=FQ","BEST_FPERIOD_OVERRIDE=FQ","FILING_STATUS=MR","FA_ADJUSTED=GAAP","Sort=A","Dates=H","DateFormat=P","Fill=—","Direction=H","UseDPDF=Y")</f>
        <v>13.3797</v>
      </c>
      <c r="I32" s="21">
        <f>_xll.BDH("ADBE US Equity","SUSTAIN_GROWTH_RT","FQ1 2013","FQ1 2013","Currency=USD","Period=FQ","BEST_FPERIOD_OVERRIDE=FQ","FILING_STATUS=MR","FA_ADJUSTED=GAAP","Sort=A","Dates=H","DateFormat=P","Fill=—","Direction=H","UseDPDF=Y")</f>
        <v>11.142899999999999</v>
      </c>
      <c r="J32" s="21">
        <f>_xll.BDH("ADBE US Equity","SUSTAIN_GROWTH_RT","FQ2 2013","FQ2 2013","Currency=USD","Period=FQ","BEST_FPERIOD_OVERRIDE=FQ","FILING_STATUS=MR","FA_ADJUSTED=GAAP","Sort=A","Dates=H","DateFormat=P","Fill=—","Direction=H","UseDPDF=Y")</f>
        <v>8.6797000000000004</v>
      </c>
      <c r="K32" s="21">
        <f>_xll.BDH("ADBE US Equity","SUSTAIN_GROWTH_RT","FQ3 2013","FQ3 2013","Currency=USD","Period=FQ","BEST_FPERIOD_OVERRIDE=FQ","FILING_STATUS=MR","FA_ADJUSTED=GAAP","Sort=A","Dates=H","DateFormat=P","Fill=—","Direction=H","UseDPDF=Y")</f>
        <v>6.7351999999999999</v>
      </c>
      <c r="L32" s="21">
        <f>_xll.BDH("ADBE US Equity","SUSTAIN_GROWTH_RT","FQ4 2013","FQ4 2013","Currency=USD","Period=FQ","BEST_FPERIOD_OVERRIDE=FQ","FILING_STATUS=MR","FA_ADJUSTED=GAAP","Sort=A","Dates=H","DateFormat=P","Fill=—","Direction=H","UseDPDF=Y")</f>
        <v>4.3314000000000004</v>
      </c>
      <c r="M32" s="21">
        <f>_xll.BDH("ADBE US Equity","SUSTAIN_GROWTH_RT","FQ1 2014","FQ1 2014","Currency=USD","Period=FQ","BEST_FPERIOD_OVERRIDE=FQ","FILING_STATUS=MR","FA_ADJUSTED=GAAP","Sort=A","Dates=H","DateFormat=P","Fill=—","Direction=H","UseDPDF=Y")</f>
        <v>4.0534999999999997</v>
      </c>
      <c r="N32" s="21">
        <f>_xll.BDH("ADBE US Equity","SUSTAIN_GROWTH_RT","FQ2 2014","FQ2 2014","Currency=USD","Period=FQ","BEST_FPERIOD_OVERRIDE=FQ","FILING_STATUS=MR","FA_ADJUSTED=GAAP","Sort=A","Dates=H","DateFormat=P","Fill=—","Direction=H","UseDPDF=Y")</f>
        <v>4.1859000000000002</v>
      </c>
      <c r="O32" s="21">
        <f>_xll.BDH("ADBE US Equity","SUSTAIN_GROWTH_RT","FQ3 2014","FQ3 2014","Currency=USD","Period=FQ","BEST_FPERIOD_OVERRIDE=FQ","FILING_STATUS=MR","FA_ADJUSTED=GAAP","Sort=A","Dates=H","DateFormat=P","Fill=—","Direction=H","UseDPDF=Y")</f>
        <v>3.6204999999999998</v>
      </c>
      <c r="P32" s="21">
        <f>_xll.BDH("ADBE US Equity","SUSTAIN_GROWTH_RT","FQ4 2014","FQ4 2014","Currency=USD","Period=FQ","BEST_FPERIOD_OVERRIDE=FQ","FILING_STATUS=MR","FA_ADJUSTED=GAAP","Sort=A","Dates=H","DateFormat=P","Fill=—","Direction=H","UseDPDF=Y")</f>
        <v>3.7561999999999998</v>
      </c>
      <c r="Q32" s="21">
        <f>_xll.BDH("ADBE US Equity","SUSTAIN_GROWTH_RT","FQ1 2015","FQ1 2015","Currency=USD","Period=FQ","BEST_FPERIOD_OVERRIDE=FQ","FILING_STATUS=MR","FA_ADJUSTED=GAAP","Sort=A","Dates=H","DateFormat=P","Fill=—","Direction=H","UseDPDF=Y")</f>
        <v>4.4150999999999998</v>
      </c>
      <c r="R32" s="21">
        <f>_xll.BDH("ADBE US Equity","SUSTAIN_GROWTH_RT","FQ2 2015","FQ2 2015","Currency=USD","Period=FQ","BEST_FPERIOD_OVERRIDE=FQ","FILING_STATUS=MR","FA_ADJUSTED=GAAP","Sort=A","Dates=H","DateFormat=P","Fill=—","Direction=H","UseDPDF=Y")</f>
        <v>5.2896000000000001</v>
      </c>
      <c r="S32" s="21">
        <f>_xll.BDH("ADBE US Equity","SUSTAIN_GROWTH_RT","FQ3 2015","FQ3 2015","Currency=USD","Period=FQ","BEST_FPERIOD_OVERRIDE=FQ","FILING_STATUS=MR","FA_ADJUSTED=GAAP","Sort=A","Dates=H","DateFormat=P","Fill=—","Direction=H","UseDPDF=Y")</f>
        <v>7.0750999999999999</v>
      </c>
      <c r="T32" s="21">
        <f>_xll.BDH("ADBE US Equity","SUSTAIN_GROWTH_RT","FQ4 2015","FQ4 2015","Currency=USD","Period=FQ","BEST_FPERIOD_OVERRIDE=FQ","FILING_STATUS=MR","FA_ADJUSTED=GAAP","Sort=A","Dates=H","DateFormat=P","Fill=—","Direction=H","UseDPDF=Y")</f>
        <v>9.1387999999999998</v>
      </c>
      <c r="U32" s="21">
        <f>_xll.BDH("ADBE US Equity","SUSTAIN_GROWTH_RT","FQ1 2016","FQ1 2016","Currency=USD","Period=FQ","BEST_FPERIOD_OVERRIDE=FQ","FILING_STATUS=MR","FA_ADJUSTED=GAAP","Sort=A","Dates=H","DateFormat=P","Fill=—","Direction=H","UseDPDF=Y")</f>
        <v>11.6892</v>
      </c>
      <c r="V32" s="21">
        <f>_xll.BDH("ADBE US Equity","SUSTAIN_GROWTH_RT","FQ2 2016","FQ2 2016","Currency=USD","Period=FQ","BEST_FPERIOD_OVERRIDE=FQ","FILING_STATUS=MR","FA_ADJUSTED=GAAP","Sort=A","Dates=H","DateFormat=P","Fill=—","Direction=H","UseDPDF=Y")</f>
        <v>12.923999999999999</v>
      </c>
      <c r="W32" s="21">
        <f>_xll.BDH("ADBE US Equity","SUSTAIN_GROWTH_RT","FQ3 2016","FQ3 2016","Currency=USD","Period=FQ","BEST_FPERIOD_OVERRIDE=FQ","FILING_STATUS=MR","FA_ADJUSTED=GAAP","Sort=A","Dates=H","DateFormat=P","Fill=—","Direction=H","UseDPDF=Y")</f>
        <v>14.049899999999999</v>
      </c>
      <c r="X32" s="21">
        <f>_xll.BDH("ADBE US Equity","SUSTAIN_GROWTH_RT","FQ4 2016","FQ4 2016","Currency=USD","Period=FQ","BEST_FPERIOD_OVERRIDE=FQ","FILING_STATUS=MR","FA_ADJUSTED=GAAP","Sort=A","Dates=H","DateFormat=P","Fill=—","Direction=H","UseDPDF=Y")</f>
        <v>16.203399999999998</v>
      </c>
      <c r="Y32" s="21">
        <f>_xll.BDH("ADBE US Equity","SUSTAIN_GROWTH_RT","FQ1 2017","FQ1 2017","Currency=USD","Period=FQ","BEST_FPERIOD_OVERRIDE=FQ","FILING_STATUS=MR","FA_ADJUSTED=GAAP","Sort=A","Dates=H","DateFormat=P","Fill=—","Direction=H","UseDPDF=Y")</f>
        <v>17.8995</v>
      </c>
      <c r="Z32" s="21">
        <f>_xll.BDH("ADBE US Equity","SUSTAIN_GROWTH_RT","FQ2 2017","FQ2 2017","Currency=USD","Period=FQ","BEST_FPERIOD_OVERRIDE=FQ","FILING_STATUS=MR","FA_ADJUSTED=GAAP","Sort=A","Dates=H","DateFormat=P","Fill=—","Direction=H","UseDPDF=Y")</f>
        <v>19.175899999999999</v>
      </c>
      <c r="AA32" s="21">
        <f>_xll.BDH("ADBE US Equity","SUSTAIN_GROWTH_RT","FQ3 2017","FQ3 2017","Currency=USD","Period=FQ","BEST_FPERIOD_OVERRIDE=FQ","FILING_STATUS=MR","FA_ADJUSTED=GAAP","Sort=A","Dates=H","DateFormat=P","Fill=—","Direction=H","UseDPDF=Y")</f>
        <v>20.610800000000001</v>
      </c>
      <c r="AB32" s="21">
        <f>_xll.BDH("ADBE US Equity","SUSTAIN_GROWTH_RT","FQ4 2017","FQ4 2017","Currency=USD","Period=FQ","BEST_FPERIOD_OVERRIDE=FQ","FILING_STATUS=MR","FA_ADJUSTED=GAAP","Sort=A","Dates=H","DateFormat=P","Fill=—","Direction=H","UseDPDF=Y")</f>
        <v>21.328099999999999</v>
      </c>
      <c r="AC32" s="21">
        <f>_xll.BDH("ADBE US Equity","SUSTAIN_GROWTH_RT","FQ1 2018","FQ1 2018","Currency=USD","Period=FQ","BEST_FPERIOD_OVERRIDE=FQ","FILING_STATUS=MR","FA_ADJUSTED=GAAP","Sort=A","Dates=H","DateFormat=P","Fill=—","Direction=H","UseDPDF=Y")</f>
        <v>23.1599</v>
      </c>
      <c r="AD32" s="21">
        <f>_xll.BDH("ADBE US Equity","SUSTAIN_GROWTH_RT","FQ2 2018","FQ2 2018","Currency=USD","Period=FQ","BEST_FPERIOD_OVERRIDE=FQ","FILING_STATUS=MR","FA_ADJUSTED=GAAP","Sort=A","Dates=H","DateFormat=P","Fill=—","Direction=H","UseDPDF=Y")</f>
        <v>26.255800000000001</v>
      </c>
      <c r="AE32" s="21">
        <f>_xll.BDH("ADBE US Equity","SUSTAIN_GROWTH_RT","FQ3 2018","FQ3 2018","Currency=USD","Period=FQ","BEST_FPERIOD_OVERRIDE=FQ","FILING_STATUS=MR","FA_ADJUSTED=GAAP","Sort=A","Dates=H","DateFormat=P","Fill=—","Direction=H","UseDPDF=Y")</f>
        <v>28.347000000000001</v>
      </c>
      <c r="AF32" s="21">
        <f>_xll.BDH("ADBE US Equity","SUSTAIN_GROWTH_RT","FQ4 2018","FQ4 2018","Currency=USD","Period=FQ","BEST_FPERIOD_OVERRIDE=FQ","FILING_STATUS=MR","FA_ADJUSTED=GAAP","Sort=A","Dates=H","DateFormat=P","Fill=—","Direction=H","UseDPDF=Y")</f>
        <v>29.073899999999998</v>
      </c>
      <c r="AG32" s="21">
        <f>_xll.BDH("ADBE US Equity","SUSTAIN_GROWTH_RT","FQ1 2019","FQ1 2019","Currency=USD","Period=FQ","BEST_FPERIOD_OVERRIDE=FQ","FILING_STATUS=MR","FA_ADJUSTED=GAAP","Sort=A","Dates=H","DateFormat=P","Fill=—","Direction=H","UseDPDF=Y")</f>
        <v>28.985299999999999</v>
      </c>
      <c r="AH32" s="21">
        <f>_xll.BDH("ADBE US Equity","SUSTAIN_GROWTH_RT","FQ2 2019","FQ2 2019","Currency=USD","Period=FQ","BEST_FPERIOD_OVERRIDE=FQ","FILING_STATUS=MR","FA_ADJUSTED=GAAP","Sort=A","Dates=H","DateFormat=P","Fill=—","Direction=H","UseDPDF=Y")</f>
        <v>28.456600000000002</v>
      </c>
      <c r="AI32" s="21">
        <f>_xll.BDH("ADBE US Equity","SUSTAIN_GROWTH_RT","FQ3 2019","FQ3 2019","Currency=USD","Period=FQ","BEST_FPERIOD_OVERRIDE=FQ","FILING_STATUS=MR","FA_ADJUSTED=GAAP","Sort=A","Dates=H","DateFormat=P","Fill=—","Direction=H","UseDPDF=Y")</f>
        <v>29.084399999999999</v>
      </c>
      <c r="AJ32" s="21">
        <f>_xll.BDH("ADBE US Equity","SUSTAIN_GROWTH_RT","FQ4 2019","FQ4 2019","Currency=USD","Period=FQ","BEST_FPERIOD_OVERRIDE=FQ","FILING_STATUS=MR","FA_ADJUSTED=GAAP","Sort=A","Dates=H","DateFormat=P","Fill=—","Direction=H","UseDPDF=Y")</f>
        <v>29.6785</v>
      </c>
      <c r="AK32" s="21">
        <f>_xll.BDH("ADBE US Equity","SUSTAIN_GROWTH_RT","FQ1 2020","FQ1 2020","Currency=USD","Period=FQ","BEST_FPERIOD_OVERRIDE=FQ","FILING_STATUS=MR","FA_ADJUSTED=GAAP","Sort=A","Dates=H","DateFormat=P","Fill=—","Direction=H","UseDPDF=Y")</f>
        <v>31.791399999999999</v>
      </c>
      <c r="AL32" s="21">
        <f>_xll.BDH("ADBE US Equity","SUSTAIN_GROWTH_RT","FQ2 2020","FQ2 2020","Currency=USD","Period=FQ","BEST_FPERIOD_OVERRIDE=FQ","FILING_STATUS=MR","FA_ADJUSTED=GAAP","Sort=A","Dates=H","DateFormat=P","Fill=—","Direction=H","UseDPDF=Y")</f>
        <v>35.551600000000001</v>
      </c>
      <c r="AM32" s="21">
        <f>_xll.BDH("ADBE US Equity","SUSTAIN_GROWTH_RT","FQ3 2020","FQ3 2020","Currency=USD","Period=FQ","BEST_FPERIOD_OVERRIDE=FQ","FILING_STATUS=MR","FA_ADJUSTED=GAAP","Sort=A","Dates=H","DateFormat=P","Fill=—","Direction=H","UseDPDF=Y")</f>
        <v>35.1785</v>
      </c>
      <c r="AN32" s="21">
        <f>_xll.BDH("ADBE US Equity","SUSTAIN_GROWTH_RT","FQ4 2020","FQ4 2020","Currency=USD","Period=FQ","BEST_FPERIOD_OVERRIDE=FQ","FILING_STATUS=MR","FA_ADJUSTED=GAAP","Sort=A","Dates=H","DateFormat=P","Fill=—","Direction=H","UseDPDF=Y")</f>
        <v>44.212499999999999</v>
      </c>
      <c r="AO32" s="21">
        <f>_xll.BDH("ADBE US Equity","SUSTAIN_GROWTH_RT","FQ1 2021","FQ1 2021","Currency=USD","Period=FQ","BEST_FPERIOD_OVERRIDE=FQ","FILING_STATUS=MR","FA_ADJUSTED=GAAP","Sort=A","Dates=H","DateFormat=P","Fill=—","Direction=H","UseDPDF=Y")</f>
        <v>46.362099999999998</v>
      </c>
      <c r="AP32" s="21">
        <f>_xll.BDH("ADBE US Equity","SUSTAIN_GROWTH_RT","FQ2 2021","FQ2 2021","Currency=USD","Period=FQ","BEST_FPERIOD_OVERRIDE=FQ","FILING_STATUS=MR","FA_ADJUSTED=GAAP","Sort=A","Dates=H","DateFormat=P","Fill=—","Direction=H","UseDPDF=Y")</f>
        <v>45.138100000000001</v>
      </c>
    </row>
    <row r="33" spans="1:42" x14ac:dyDescent="0.25">
      <c r="A33" s="15" t="s">
        <v>125</v>
      </c>
      <c r="B33" s="15"/>
      <c r="C33" s="15" t="s"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167</v>
      </c>
      <c r="D4" s="3" t="s">
        <v>166</v>
      </c>
      <c r="E4" s="3" t="s">
        <v>165</v>
      </c>
      <c r="F4" s="3" t="s">
        <v>164</v>
      </c>
      <c r="G4" s="3" t="s">
        <v>163</v>
      </c>
      <c r="H4" s="3" t="s">
        <v>162</v>
      </c>
      <c r="I4" s="3" t="s">
        <v>161</v>
      </c>
      <c r="J4" s="3" t="s">
        <v>160</v>
      </c>
      <c r="K4" s="3" t="s">
        <v>159</v>
      </c>
      <c r="L4" s="3" t="s">
        <v>158</v>
      </c>
      <c r="M4" s="3" t="s">
        <v>157</v>
      </c>
      <c r="N4" s="3" t="s">
        <v>156</v>
      </c>
      <c r="O4" s="3" t="s">
        <v>155</v>
      </c>
      <c r="P4" s="3" t="s">
        <v>154</v>
      </c>
      <c r="Q4" s="3" t="s">
        <v>153</v>
      </c>
      <c r="R4" s="3" t="s">
        <v>152</v>
      </c>
      <c r="S4" s="3" t="s">
        <v>151</v>
      </c>
      <c r="T4" s="3" t="s">
        <v>150</v>
      </c>
      <c r="U4" s="3" t="s">
        <v>149</v>
      </c>
      <c r="V4" s="3" t="s">
        <v>148</v>
      </c>
      <c r="W4" s="3" t="s">
        <v>147</v>
      </c>
      <c r="X4" s="3" t="s">
        <v>146</v>
      </c>
      <c r="Y4" s="3" t="s">
        <v>145</v>
      </c>
      <c r="Z4" s="3" t="s">
        <v>144</v>
      </c>
      <c r="AA4" s="3" t="s">
        <v>143</v>
      </c>
      <c r="AB4" s="3" t="s">
        <v>142</v>
      </c>
      <c r="AC4" s="3" t="s">
        <v>141</v>
      </c>
      <c r="AD4" s="3" t="s">
        <v>140</v>
      </c>
      <c r="AE4" s="3" t="s">
        <v>139</v>
      </c>
      <c r="AF4" s="3" t="s">
        <v>138</v>
      </c>
      <c r="AG4" s="3" t="s">
        <v>137</v>
      </c>
      <c r="AH4" s="3" t="s">
        <v>136</v>
      </c>
      <c r="AI4" s="3" t="s">
        <v>135</v>
      </c>
      <c r="AJ4" s="3" t="s">
        <v>134</v>
      </c>
      <c r="AK4" s="3" t="s">
        <v>133</v>
      </c>
      <c r="AL4" s="3" t="s">
        <v>132</v>
      </c>
      <c r="AM4" s="3" t="s">
        <v>131</v>
      </c>
      <c r="AN4" s="3" t="s">
        <v>130</v>
      </c>
      <c r="AO4" s="3" t="s">
        <v>129</v>
      </c>
      <c r="AP4" s="3" t="s">
        <v>128</v>
      </c>
    </row>
    <row r="5" spans="1:42" x14ac:dyDescent="0.25">
      <c r="A5" s="4" t="s">
        <v>127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7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7" t="s">
        <v>93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8" t="s">
        <v>94</v>
      </c>
      <c r="B9" s="8" t="s">
        <v>95</v>
      </c>
      <c r="C9" s="21">
        <f>_xll.BDP("ADBE US Equity","GROSS_MARGIN","EQY_FUND_YEAR=2011","FUND_PER=C3","EQY_FUND_CRNCY=USD","FILING_STATUS=MR","FA_ADJUSTED=GAAP","Fill=—")</f>
        <v>89.50770814370432</v>
      </c>
      <c r="D9" s="21">
        <f>_xll.BDP("ADBE US Equity","GROSS_MARGIN","EQY_FUND_YEAR=2011","FUND_PER=C4","EQY_FUND_CRNCY=USD","FILING_STATUS=MR","FA_ADJUSTED=GAAP","Fill=—")</f>
        <v>89.614653562471744</v>
      </c>
      <c r="E9" s="21">
        <f>_xll.BDP("ADBE US Equity","GROSS_MARGIN","EQY_FUND_YEAR=2012","FUND_PER=C1","EQY_FUND_CRNCY=USD","FILING_STATUS=MR","FA_ADJUSTED=GAAP","Fill=—")</f>
        <v>89.641893572644989</v>
      </c>
      <c r="F9" s="21">
        <f>_xll.BDP("ADBE US Equity","GROSS_MARGIN","EQY_FUND_YEAR=2012","FUND_PER=C2","EQY_FUND_CRNCY=USD","FILING_STATUS=MR","FA_ADJUSTED=GAAP","Fill=—")</f>
        <v>88.976060403683704</v>
      </c>
      <c r="G9" s="21">
        <f>_xll.BDP("ADBE US Equity","GROSS_MARGIN","EQY_FUND_YEAR=2012","FUND_PER=C3","EQY_FUND_CRNCY=USD","FILING_STATUS=MR","FA_ADJUSTED=GAAP","Fill=—")</f>
        <v>88.960722701553024</v>
      </c>
      <c r="H9" s="21">
        <f>_xll.BDP("ADBE US Equity","GROSS_MARGIN","EQY_FUND_YEAR=2012","FUND_PER=C4","EQY_FUND_CRNCY=USD","FILING_STATUS=MR","FA_ADJUSTED=GAAP","Fill=—")</f>
        <v>89.014135232897416</v>
      </c>
      <c r="I9" s="21">
        <f>_xll.BDP("ADBE US Equity","GROSS_MARGIN","EQY_FUND_YEAR=2013","FUND_PER=C1","EQY_FUND_CRNCY=USD","FILING_STATUS=MR","FA_ADJUSTED=GAAP","Fill=—")</f>
        <v>84.453993707540533</v>
      </c>
      <c r="J9" s="21">
        <f>_xll.BDP("ADBE US Equity","GROSS_MARGIN","EQY_FUND_YEAR=2013","FUND_PER=C2","EQY_FUND_CRNCY=USD","FILING_STATUS=MR","FA_ADJUSTED=GAAP","Fill=—")</f>
        <v>85.534987232600514</v>
      </c>
      <c r="K9" s="21">
        <f>_xll.BDP("ADBE US Equity","GROSS_MARGIN","EQY_FUND_YEAR=2013","FUND_PER=C3","EQY_FUND_CRNCY=USD","FILING_STATUS=MR","FA_ADJUSTED=GAAP","Fill=—")</f>
        <v>85.431059341817488</v>
      </c>
      <c r="L9" s="21">
        <f>_xll.BDP("ADBE US Equity","GROSS_MARGIN","EQY_FUND_YEAR=2013","FUND_PER=C4","EQY_FUND_CRNCY=USD","FILING_STATUS=MR","FA_ADJUSTED=GAAP","Fill=—")</f>
        <v>85.535825253252582</v>
      </c>
      <c r="M9" s="21">
        <f>_xll.BDP("ADBE US Equity","GROSS_MARGIN","EQY_FUND_YEAR=2014","FUND_PER=C1","EQY_FUND_CRNCY=USD","FILING_STATUS=MR","FA_ADJUSTED=GAAP","Fill=—")</f>
        <v>85.150881894172699</v>
      </c>
      <c r="N9" s="21">
        <f>_xll.BDP("ADBE US Equity","GROSS_MARGIN","EQY_FUND_YEAR=2014","FUND_PER=C2","EQY_FUND_CRNCY=USD","FILING_STATUS=MR","FA_ADJUSTED=GAAP","Fill=—")</f>
        <v>85.33051817700094</v>
      </c>
      <c r="O9" s="21">
        <f>_xll.BDP("ADBE US Equity","GROSS_MARGIN","EQY_FUND_YEAR=2014","FUND_PER=C3","EQY_FUND_CRNCY=USD","FILING_STATUS=MR","FA_ADJUSTED=GAAP","Fill=—")</f>
        <v>84.997512799566138</v>
      </c>
      <c r="P9" s="21">
        <f>_xll.BDP("ADBE US Equity","GROSS_MARGIN","EQY_FUND_YEAR=2014","FUND_PER=C4","EQY_FUND_CRNCY=USD","FILING_STATUS=MR","FA_ADJUSTED=GAAP","Fill=—")</f>
        <v>84.999511702854917</v>
      </c>
      <c r="Q9" s="21">
        <f>_xll.BDP("ADBE US Equity","GROSS_MARGIN","EQY_FUND_YEAR=2015","FUND_PER=C1","EQY_FUND_CRNCY=USD","FILING_STATUS=MR","FA_ADJUSTED=GAAP","Fill=—")</f>
        <v>84.962057590240008</v>
      </c>
      <c r="R9" s="21">
        <f>_xll.BDP("ADBE US Equity","GROSS_MARGIN","EQY_FUND_YEAR=2015","FUND_PER=C2","EQY_FUND_CRNCY=USD","FILING_STATUS=MR","FA_ADJUSTED=GAAP","Fill=—")</f>
        <v>84.503810307488223</v>
      </c>
      <c r="S9" s="21">
        <f>_xll.BDP("ADBE US Equity","GROSS_MARGIN","EQY_FUND_YEAR=2015","FUND_PER=C3","EQY_FUND_CRNCY=USD","FILING_STATUS=MR","FA_ADJUSTED=GAAP","Fill=—")</f>
        <v>84.438539718042477</v>
      </c>
      <c r="T9" s="21">
        <f>_xll.BDP("ADBE US Equity","GROSS_MARGIN","EQY_FUND_YEAR=2015","FUND_PER=C4","EQY_FUND_CRNCY=USD","FILING_STATUS=MR","FA_ADJUSTED=GAAP","Fill=—")</f>
        <v>84.478880352896695</v>
      </c>
      <c r="U9" s="21">
        <f>_xll.BDP("ADBE US Equity","GROSS_MARGIN","EQY_FUND_YEAR=2016","FUND_PER=C1","EQY_FUND_CRNCY=USD","FILING_STATUS=MR","FA_ADJUSTED=GAAP","Fill=—")</f>
        <v>85.6454148850423</v>
      </c>
      <c r="V9" s="21">
        <f>_xll.BDP("ADBE US Equity","GROSS_MARGIN","EQY_FUND_YEAR=2016","FUND_PER=C2","EQY_FUND_CRNCY=USD","FILING_STATUS=MR","FA_ADJUSTED=GAAP","Fill=—")</f>
        <v>85.598682120052743</v>
      </c>
      <c r="W9" s="21">
        <f>_xll.BDP("ADBE US Equity","GROSS_MARGIN","EQY_FUND_YEAR=2016","FUND_PER=C3","EQY_FUND_CRNCY=USD","FILING_STATUS=MR","FA_ADJUSTED=GAAP","Fill=—")</f>
        <v>85.790145150354064</v>
      </c>
      <c r="X9" s="21">
        <f>_xll.BDP("ADBE US Equity","GROSS_MARGIN","EQY_FUND_YEAR=2016","FUND_PER=C4","EQY_FUND_CRNCY=USD","FILING_STATUS=MR","FA_ADJUSTED=GAAP","Fill=—")</f>
        <v>85.995084064545992</v>
      </c>
      <c r="Y9" s="21">
        <f>_xll.BDP("ADBE US Equity","GROSS_MARGIN","EQY_FUND_YEAR=2017","FUND_PER=C1","EQY_FUND_CRNCY=USD","FILING_STATUS=MR","FA_ADJUSTED=GAAP","Fill=—")</f>
        <v>85.886625365861775</v>
      </c>
      <c r="Z9" s="21">
        <f>_xll.BDP("ADBE US Equity","GROSS_MARGIN","EQY_FUND_YEAR=2017","FUND_PER=C2","EQY_FUND_CRNCY=USD","FILING_STATUS=MR","FA_ADJUSTED=GAAP","Fill=—")</f>
        <v>86.198041829432555</v>
      </c>
      <c r="AA9" s="21">
        <f>_xll.BDP("ADBE US Equity","GROSS_MARGIN","EQY_FUND_YEAR=2017","FUND_PER=C3","EQY_FUND_CRNCY=USD","FILING_STATUS=MR","FA_ADJUSTED=GAAP","Fill=—")</f>
        <v>86.031509506299443</v>
      </c>
      <c r="AB9" s="21">
        <f>_xll.BDP("ADBE US Equity","GROSS_MARGIN","EQY_FUND_YEAR=2017","FUND_PER=C4","EQY_FUND_CRNCY=USD","FILING_STATUS=MR","FA_ADJUSTED=GAAP","Fill=—")</f>
        <v>86.160510744017841</v>
      </c>
      <c r="AC9" s="21">
        <f>_xll.BDP("ADBE US Equity","GROSS_MARGIN","EQY_FUND_YEAR=2018","FUND_PER=C1","EQY_FUND_CRNCY=USD","FILING_STATUS=MR","FA_ADJUSTED=GAAP","Fill=—")</f>
        <v>87.546483868997143</v>
      </c>
      <c r="AD9" s="21">
        <f>_xll.BDP("ADBE US Equity","GROSS_MARGIN","EQY_FUND_YEAR=2018","FUND_PER=C2","EQY_FUND_CRNCY=USD","FILING_STATUS=MR","FA_ADJUSTED=GAAP","Fill=—")</f>
        <v>87.360617756281897</v>
      </c>
      <c r="AE9" s="21">
        <f>_xll.BDP("ADBE US Equity","GROSS_MARGIN","EQY_FUND_YEAR=2018","FUND_PER=C3","EQY_FUND_CRNCY=USD","FILING_STATUS=MR","FA_ADJUSTED=GAAP","Fill=—")</f>
        <v>87.270536996851519</v>
      </c>
      <c r="AF9" s="21">
        <f>_xll.BDP("ADBE US Equity","GROSS_MARGIN","EQY_FUND_YEAR=2018","FUND_PER=C4","EQY_FUND_CRNCY=USD","FILING_STATUS=MR","FA_ADJUSTED=GAAP","Fill=—")</f>
        <v>86.766357239107649</v>
      </c>
      <c r="AG9" s="21">
        <f>_xll.BDP("ADBE US Equity","GROSS_MARGIN","EQY_FUND_YEAR=2019","FUND_PER=C1","EQY_FUND_CRNCY=USD","FILING_STATUS=MR","FA_ADJUSTED=GAAP","Fill=—")</f>
        <v>84.725326861841808</v>
      </c>
      <c r="AH9" s="21">
        <f>_xll.BDP("ADBE US Equity","GROSS_MARGIN","EQY_FUND_YEAR=2019","FUND_PER=C2","EQY_FUND_CRNCY=USD","FILING_STATUS=MR","FA_ADJUSTED=GAAP","Fill=—")</f>
        <v>84.93919550982227</v>
      </c>
      <c r="AI9" s="21">
        <f>_xll.BDP("ADBE US Equity","GROSS_MARGIN","EQY_FUND_YEAR=2019","FUND_PER=C3","EQY_FUND_CRNCY=USD","FILING_STATUS=MR","FA_ADJUSTED=GAAP","Fill=—")</f>
        <v>85.07152463626359</v>
      </c>
      <c r="AJ9" s="21">
        <f>_xll.BDP("ADBE US Equity","GROSS_MARGIN","EQY_FUND_YEAR=2019","FUND_PER=C4","EQY_FUND_CRNCY=USD","FILING_STATUS=MR","FA_ADJUSTED=GAAP","Fill=—")</f>
        <v>85.026626720245645</v>
      </c>
      <c r="AK9" s="21">
        <f>_xll.BDP("ADBE US Equity","GROSS_MARGIN","EQY_FUND_YEAR=2020","FUND_PER=C1","EQY_FUND_CRNCY=USD","FILING_STATUS=MR","FA_ADJUSTED=GAAP","Fill=—")</f>
        <v>85.376900679391781</v>
      </c>
      <c r="AL9" s="21">
        <f>_xll.BDP("ADBE US Equity","GROSS_MARGIN","EQY_FUND_YEAR=2020","FUND_PER=C2","EQY_FUND_CRNCY=USD","FILING_STATUS=MR","FA_ADJUSTED=GAAP","Fill=—")</f>
        <v>86.058851905451036</v>
      </c>
      <c r="AM9" s="21">
        <f>_xll.BDP("ADBE US Equity","GROSS_MARGIN","EQY_FUND_YEAR=2020","FUND_PER=C3","EQY_FUND_CRNCY=USD","FILING_STATUS=MR","FA_ADJUSTED=GAAP","Fill=—")</f>
        <v>86.298178737822951</v>
      </c>
      <c r="AN9" s="21">
        <f>_xll.BDP("ADBE US Equity","GROSS_MARGIN","EQY_FUND_YEAR=2020","FUND_PER=C4","EQY_FUND_CRNCY=USD","FILING_STATUS=MR","FA_ADJUSTED=GAAP","Fill=—")</f>
        <v>86.61796705004663</v>
      </c>
      <c r="AO9" s="21">
        <f>_xll.BDP("ADBE US Equity","GROSS_MARGIN","EQY_FUND_YEAR=2021","FUND_PER=C1","EQY_FUND_CRNCY=USD","FILING_STATUS=MR","FA_ADJUSTED=GAAP","Fill=—")</f>
        <v>88.553137003841229</v>
      </c>
      <c r="AP9" s="21">
        <f>_xll.BDP("ADBE US Equity","GROSS_MARGIN","EQY_FUND_YEAR=2021","FUND_PER=C2","EQY_FUND_CRNCY=USD","FILING_STATUS=MR","FA_ADJUSTED=GAAP","Fill=—")</f>
        <v>88.488372093023258</v>
      </c>
    </row>
    <row r="10" spans="1:42" x14ac:dyDescent="0.25">
      <c r="A10" s="7" t="s">
        <v>96</v>
      </c>
      <c r="B10" s="7"/>
      <c r="C10" s="23" t="s">
        <v>97</v>
      </c>
      <c r="D10" s="23" t="s">
        <v>97</v>
      </c>
      <c r="E10" s="23" t="s">
        <v>97</v>
      </c>
      <c r="F10" s="23" t="s">
        <v>97</v>
      </c>
      <c r="G10" s="23" t="s">
        <v>97</v>
      </c>
      <c r="H10" s="23" t="s">
        <v>97</v>
      </c>
      <c r="I10" s="23" t="s">
        <v>97</v>
      </c>
      <c r="J10" s="23" t="s">
        <v>97</v>
      </c>
      <c r="K10" s="23" t="s">
        <v>97</v>
      </c>
      <c r="L10" s="23" t="s">
        <v>97</v>
      </c>
      <c r="M10" s="23" t="s">
        <v>97</v>
      </c>
      <c r="N10" s="23" t="s">
        <v>97</v>
      </c>
      <c r="O10" s="23" t="s">
        <v>97</v>
      </c>
      <c r="P10" s="23" t="s">
        <v>97</v>
      </c>
      <c r="Q10" s="23" t="s">
        <v>97</v>
      </c>
      <c r="R10" s="23" t="s">
        <v>97</v>
      </c>
      <c r="S10" s="23" t="s">
        <v>97</v>
      </c>
      <c r="T10" s="23" t="s">
        <v>97</v>
      </c>
      <c r="U10" s="23" t="s">
        <v>97</v>
      </c>
      <c r="V10" s="23" t="s">
        <v>97</v>
      </c>
      <c r="W10" s="23" t="s">
        <v>97</v>
      </c>
      <c r="X10" s="23" t="s">
        <v>97</v>
      </c>
      <c r="Y10" s="23" t="s">
        <v>97</v>
      </c>
      <c r="Z10" s="23" t="s">
        <v>97</v>
      </c>
      <c r="AA10" s="23" t="s">
        <v>97</v>
      </c>
      <c r="AB10" s="23" t="s">
        <v>97</v>
      </c>
      <c r="AC10" s="23" t="s">
        <v>97</v>
      </c>
      <c r="AD10" s="23" t="s">
        <v>97</v>
      </c>
      <c r="AE10" s="23" t="s">
        <v>97</v>
      </c>
      <c r="AF10" s="23" t="s">
        <v>97</v>
      </c>
      <c r="AG10" s="23" t="s">
        <v>97</v>
      </c>
      <c r="AH10" s="23" t="s">
        <v>97</v>
      </c>
      <c r="AI10" s="23" t="s">
        <v>97</v>
      </c>
      <c r="AJ10" s="23" t="s">
        <v>97</v>
      </c>
      <c r="AK10" s="23" t="s">
        <v>97</v>
      </c>
      <c r="AL10" s="23" t="s">
        <v>97</v>
      </c>
      <c r="AM10" s="23" t="s">
        <v>97</v>
      </c>
      <c r="AN10" s="23" t="s">
        <v>97</v>
      </c>
      <c r="AO10" s="23" t="s">
        <v>97</v>
      </c>
      <c r="AP10" s="23" t="s">
        <v>97</v>
      </c>
    </row>
    <row r="11" spans="1:42" x14ac:dyDescent="0.25">
      <c r="A11" s="8" t="s">
        <v>98</v>
      </c>
      <c r="B11" s="8"/>
      <c r="C11" s="21">
        <v>96</v>
      </c>
      <c r="D11" s="21">
        <v>96</v>
      </c>
      <c r="E11" s="21">
        <v>96</v>
      </c>
      <c r="F11" s="21">
        <v>96</v>
      </c>
      <c r="G11" s="21">
        <v>96</v>
      </c>
      <c r="H11" s="21">
        <v>96</v>
      </c>
      <c r="I11" s="21">
        <v>92</v>
      </c>
      <c r="J11" s="21">
        <v>93</v>
      </c>
      <c r="K11" s="21">
        <v>93</v>
      </c>
      <c r="L11" s="21">
        <v>93</v>
      </c>
      <c r="M11" s="21">
        <v>94</v>
      </c>
      <c r="N11" s="21">
        <v>94</v>
      </c>
      <c r="O11" s="21">
        <v>94</v>
      </c>
      <c r="P11" s="21">
        <v>94</v>
      </c>
      <c r="Q11" s="21">
        <v>94</v>
      </c>
      <c r="R11" s="21">
        <v>93</v>
      </c>
      <c r="S11" s="21">
        <v>93</v>
      </c>
      <c r="T11" s="21">
        <v>93</v>
      </c>
      <c r="U11" s="21">
        <v>94</v>
      </c>
      <c r="V11" s="21">
        <v>94</v>
      </c>
      <c r="W11" s="21">
        <v>94</v>
      </c>
      <c r="X11" s="21">
        <v>94</v>
      </c>
      <c r="Y11" s="21">
        <v>95</v>
      </c>
      <c r="Z11" s="21">
        <v>95</v>
      </c>
      <c r="AA11" s="21">
        <v>95</v>
      </c>
      <c r="AB11" s="21">
        <v>95</v>
      </c>
      <c r="AC11" s="21">
        <v>96</v>
      </c>
      <c r="AD11" s="21">
        <v>96</v>
      </c>
      <c r="AE11" s="21">
        <v>96</v>
      </c>
      <c r="AF11" s="21">
        <v>96</v>
      </c>
      <c r="AG11" s="21">
        <v>96</v>
      </c>
      <c r="AH11" s="21">
        <v>96</v>
      </c>
      <c r="AI11" s="21">
        <v>96</v>
      </c>
      <c r="AJ11" s="21">
        <v>96</v>
      </c>
      <c r="AK11" s="21">
        <v>96</v>
      </c>
      <c r="AL11" s="21">
        <v>96</v>
      </c>
      <c r="AM11" s="21">
        <v>96</v>
      </c>
      <c r="AN11" s="21" t="s">
        <v>97</v>
      </c>
      <c r="AO11" s="21">
        <v>97</v>
      </c>
      <c r="AP11" s="21">
        <v>96</v>
      </c>
    </row>
    <row r="12" spans="1:42" x14ac:dyDescent="0.25">
      <c r="A12" s="7" t="s">
        <v>126</v>
      </c>
      <c r="B12" s="7"/>
      <c r="C12" s="23" t="s">
        <v>97</v>
      </c>
      <c r="D12" s="23" t="s">
        <v>97</v>
      </c>
      <c r="E12" s="23" t="s">
        <v>97</v>
      </c>
      <c r="F12" s="23" t="s">
        <v>97</v>
      </c>
      <c r="G12" s="23" t="s">
        <v>97</v>
      </c>
      <c r="H12" s="23" t="s">
        <v>97</v>
      </c>
      <c r="I12" s="23" t="s">
        <v>97</v>
      </c>
      <c r="J12" s="23" t="s">
        <v>97</v>
      </c>
      <c r="K12" s="23" t="s">
        <v>97</v>
      </c>
      <c r="L12" s="23" t="s">
        <v>97</v>
      </c>
      <c r="M12" s="23" t="s">
        <v>97</v>
      </c>
      <c r="N12" s="23" t="s">
        <v>97</v>
      </c>
      <c r="O12" s="23" t="s">
        <v>97</v>
      </c>
      <c r="P12" s="23" t="s">
        <v>97</v>
      </c>
      <c r="Q12" s="23" t="s">
        <v>97</v>
      </c>
      <c r="R12" s="23" t="s">
        <v>97</v>
      </c>
      <c r="S12" s="23" t="s">
        <v>97</v>
      </c>
      <c r="T12" s="23" t="s">
        <v>97</v>
      </c>
      <c r="U12" s="23" t="s">
        <v>97</v>
      </c>
      <c r="V12" s="23" t="s">
        <v>97</v>
      </c>
      <c r="W12" s="23" t="s">
        <v>97</v>
      </c>
      <c r="X12" s="23" t="s">
        <v>97</v>
      </c>
      <c r="Y12" s="23" t="s">
        <v>97</v>
      </c>
      <c r="Z12" s="23" t="s">
        <v>97</v>
      </c>
      <c r="AA12" s="23">
        <v>28</v>
      </c>
      <c r="AB12" s="23" t="s">
        <v>97</v>
      </c>
      <c r="AC12" s="23" t="s">
        <v>97</v>
      </c>
      <c r="AD12" s="23" t="s">
        <v>97</v>
      </c>
      <c r="AE12" s="23" t="s">
        <v>97</v>
      </c>
      <c r="AF12" s="23" t="s">
        <v>97</v>
      </c>
      <c r="AG12" s="23" t="s">
        <v>97</v>
      </c>
      <c r="AH12" s="23" t="s">
        <v>97</v>
      </c>
      <c r="AI12" s="23" t="s">
        <v>97</v>
      </c>
      <c r="AJ12" s="23" t="s">
        <v>97</v>
      </c>
      <c r="AK12" s="23" t="s">
        <v>97</v>
      </c>
      <c r="AL12" s="23" t="s">
        <v>97</v>
      </c>
      <c r="AM12" s="23" t="s">
        <v>97</v>
      </c>
      <c r="AN12" s="23" t="s">
        <v>97</v>
      </c>
      <c r="AO12" s="23" t="s">
        <v>97</v>
      </c>
      <c r="AP12" s="23" t="s">
        <v>97</v>
      </c>
    </row>
    <row r="13" spans="1:42" x14ac:dyDescent="0.25">
      <c r="A13" s="8" t="s">
        <v>99</v>
      </c>
      <c r="B13" s="8"/>
      <c r="C13" s="21" t="s">
        <v>97</v>
      </c>
      <c r="D13" s="21" t="s">
        <v>97</v>
      </c>
      <c r="E13" s="21" t="s">
        <v>97</v>
      </c>
      <c r="F13" s="21" t="s">
        <v>97</v>
      </c>
      <c r="G13" s="21" t="s">
        <v>97</v>
      </c>
      <c r="H13" s="21" t="s">
        <v>97</v>
      </c>
      <c r="I13" s="21" t="s">
        <v>97</v>
      </c>
      <c r="J13" s="21" t="s">
        <v>97</v>
      </c>
      <c r="K13" s="21" t="s">
        <v>97</v>
      </c>
      <c r="L13" s="21" t="s">
        <v>97</v>
      </c>
      <c r="M13" s="21" t="s">
        <v>97</v>
      </c>
      <c r="N13" s="21" t="s">
        <v>97</v>
      </c>
      <c r="O13" s="21" t="s">
        <v>97</v>
      </c>
      <c r="P13" s="21" t="s">
        <v>97</v>
      </c>
      <c r="Q13" s="21" t="s">
        <v>97</v>
      </c>
      <c r="R13" s="21" t="s">
        <v>97</v>
      </c>
      <c r="S13" s="21" t="s">
        <v>97</v>
      </c>
      <c r="T13" s="21" t="s">
        <v>97</v>
      </c>
      <c r="U13" s="21" t="s">
        <v>97</v>
      </c>
      <c r="V13" s="21" t="s">
        <v>97</v>
      </c>
      <c r="W13" s="21" t="s">
        <v>97</v>
      </c>
      <c r="X13" s="21" t="s">
        <v>97</v>
      </c>
      <c r="Y13" s="21">
        <v>63</v>
      </c>
      <c r="Z13" s="21">
        <v>64</v>
      </c>
      <c r="AA13" s="21">
        <v>64</v>
      </c>
      <c r="AB13" s="21">
        <v>63</v>
      </c>
      <c r="AC13" s="21">
        <v>64</v>
      </c>
      <c r="AD13" s="21">
        <v>63</v>
      </c>
      <c r="AE13" s="21">
        <v>63</v>
      </c>
      <c r="AF13" s="21">
        <v>62</v>
      </c>
      <c r="AG13" s="21">
        <v>56</v>
      </c>
      <c r="AH13" s="21">
        <v>57</v>
      </c>
      <c r="AI13" s="21">
        <v>58</v>
      </c>
      <c r="AJ13" s="21">
        <v>57</v>
      </c>
      <c r="AK13" s="21" t="s">
        <v>97</v>
      </c>
      <c r="AL13" s="21" t="s">
        <v>97</v>
      </c>
      <c r="AM13" s="21">
        <v>60</v>
      </c>
      <c r="AN13" s="21" t="s">
        <v>97</v>
      </c>
      <c r="AO13" s="21" t="s">
        <v>97</v>
      </c>
      <c r="AP13" s="21" t="s">
        <v>97</v>
      </c>
    </row>
    <row r="14" spans="1:42" x14ac:dyDescent="0.25">
      <c r="A14" s="8" t="s">
        <v>100</v>
      </c>
      <c r="B14" s="8"/>
      <c r="C14" s="21" t="s">
        <v>97</v>
      </c>
      <c r="D14" s="21" t="s">
        <v>97</v>
      </c>
      <c r="E14" s="21" t="s">
        <v>97</v>
      </c>
      <c r="F14" s="21" t="s">
        <v>97</v>
      </c>
      <c r="G14" s="21" t="s">
        <v>97</v>
      </c>
      <c r="H14" s="21" t="s">
        <v>97</v>
      </c>
      <c r="I14" s="21" t="s">
        <v>97</v>
      </c>
      <c r="J14" s="21" t="s">
        <v>97</v>
      </c>
      <c r="K14" s="21" t="s">
        <v>97</v>
      </c>
      <c r="L14" s="21" t="s">
        <v>97</v>
      </c>
      <c r="M14" s="21" t="s">
        <v>97</v>
      </c>
      <c r="N14" s="21" t="s">
        <v>97</v>
      </c>
      <c r="O14" s="21" t="s">
        <v>97</v>
      </c>
      <c r="P14" s="21" t="s">
        <v>97</v>
      </c>
      <c r="Q14" s="21" t="s">
        <v>97</v>
      </c>
      <c r="R14" s="21" t="s">
        <v>97</v>
      </c>
      <c r="S14" s="21" t="s">
        <v>97</v>
      </c>
      <c r="T14" s="21" t="s">
        <v>97</v>
      </c>
      <c r="U14" s="21" t="s">
        <v>97</v>
      </c>
      <c r="V14" s="21" t="s">
        <v>97</v>
      </c>
      <c r="W14" s="21" t="s">
        <v>97</v>
      </c>
      <c r="X14" s="21" t="s">
        <v>97</v>
      </c>
      <c r="Y14" s="21">
        <v>92</v>
      </c>
      <c r="Z14" s="21">
        <v>91</v>
      </c>
      <c r="AA14" s="21">
        <v>91</v>
      </c>
      <c r="AB14" s="21">
        <v>91</v>
      </c>
      <c r="AC14" s="21">
        <v>93</v>
      </c>
      <c r="AD14" s="21">
        <v>92</v>
      </c>
      <c r="AE14" s="21">
        <v>91</v>
      </c>
      <c r="AF14" s="21">
        <v>91</v>
      </c>
      <c r="AG14" s="21">
        <v>93</v>
      </c>
      <c r="AH14" s="21">
        <v>93</v>
      </c>
      <c r="AI14" s="21">
        <v>92</v>
      </c>
      <c r="AJ14" s="21">
        <v>92</v>
      </c>
      <c r="AK14" s="21" t="s">
        <v>97</v>
      </c>
      <c r="AL14" s="21" t="s">
        <v>97</v>
      </c>
      <c r="AM14" s="21">
        <v>92</v>
      </c>
      <c r="AN14" s="21" t="s">
        <v>97</v>
      </c>
      <c r="AO14" s="21" t="s">
        <v>97</v>
      </c>
      <c r="AP14" s="21" t="s">
        <v>97</v>
      </c>
    </row>
    <row r="15" spans="1:42" x14ac:dyDescent="0.25">
      <c r="A15" s="8" t="s">
        <v>101</v>
      </c>
      <c r="B15" s="8"/>
      <c r="C15" s="21">
        <v>97</v>
      </c>
      <c r="D15" s="21">
        <v>97</v>
      </c>
      <c r="E15" s="21">
        <v>95</v>
      </c>
      <c r="F15" s="21">
        <v>95</v>
      </c>
      <c r="G15" s="21">
        <v>95</v>
      </c>
      <c r="H15" s="21">
        <v>95</v>
      </c>
      <c r="I15" s="21">
        <v>91</v>
      </c>
      <c r="J15" s="21">
        <v>93</v>
      </c>
      <c r="K15" s="21">
        <v>94</v>
      </c>
      <c r="L15" s="21">
        <v>95</v>
      </c>
      <c r="M15" s="21">
        <v>95</v>
      </c>
      <c r="N15" s="21">
        <v>94</v>
      </c>
      <c r="O15" s="21">
        <v>95</v>
      </c>
      <c r="P15" s="21">
        <v>95</v>
      </c>
      <c r="Q15" s="21">
        <v>96</v>
      </c>
      <c r="R15" s="21">
        <v>95</v>
      </c>
      <c r="S15" s="21">
        <v>95</v>
      </c>
      <c r="T15" s="21">
        <v>96</v>
      </c>
      <c r="U15" s="21">
        <v>95</v>
      </c>
      <c r="V15" s="21">
        <v>95</v>
      </c>
      <c r="W15" s="21">
        <v>96</v>
      </c>
      <c r="X15" s="21">
        <v>96</v>
      </c>
      <c r="Y15" s="21" t="s">
        <v>97</v>
      </c>
      <c r="Z15" s="21" t="s">
        <v>97</v>
      </c>
      <c r="AA15" s="21" t="s">
        <v>97</v>
      </c>
      <c r="AB15" s="21" t="s">
        <v>97</v>
      </c>
      <c r="AC15" s="21" t="s">
        <v>97</v>
      </c>
      <c r="AD15" s="21" t="s">
        <v>97</v>
      </c>
      <c r="AE15" s="21" t="s">
        <v>97</v>
      </c>
      <c r="AF15" s="21" t="s">
        <v>97</v>
      </c>
      <c r="AG15" s="21" t="s">
        <v>97</v>
      </c>
      <c r="AH15" s="21" t="s">
        <v>97</v>
      </c>
      <c r="AI15" s="21" t="s">
        <v>97</v>
      </c>
      <c r="AJ15" s="21" t="s">
        <v>97</v>
      </c>
      <c r="AK15" s="21" t="s">
        <v>97</v>
      </c>
      <c r="AL15" s="21" t="s">
        <v>97</v>
      </c>
      <c r="AM15" s="21" t="s">
        <v>97</v>
      </c>
      <c r="AN15" s="21" t="s">
        <v>97</v>
      </c>
      <c r="AO15" s="21" t="s">
        <v>97</v>
      </c>
      <c r="AP15" s="21" t="s">
        <v>97</v>
      </c>
    </row>
    <row r="16" spans="1:42" x14ac:dyDescent="0.25">
      <c r="A16" s="8" t="s">
        <v>102</v>
      </c>
      <c r="B16" s="8"/>
      <c r="C16" s="21">
        <v>65</v>
      </c>
      <c r="D16" s="21">
        <v>67</v>
      </c>
      <c r="E16" s="21">
        <v>70</v>
      </c>
      <c r="F16" s="21">
        <v>68</v>
      </c>
      <c r="G16" s="21">
        <v>68</v>
      </c>
      <c r="H16" s="21">
        <v>68</v>
      </c>
      <c r="I16" s="21">
        <v>63</v>
      </c>
      <c r="J16" s="21">
        <v>65</v>
      </c>
      <c r="K16" s="21">
        <v>65</v>
      </c>
      <c r="L16" s="21">
        <v>67</v>
      </c>
      <c r="M16" s="21">
        <v>66</v>
      </c>
      <c r="N16" s="21">
        <v>65</v>
      </c>
      <c r="O16" s="21">
        <v>65</v>
      </c>
      <c r="P16" s="21">
        <v>66</v>
      </c>
      <c r="Q16" s="21">
        <v>66</v>
      </c>
      <c r="R16" s="21">
        <v>65</v>
      </c>
      <c r="S16" s="21">
        <v>66</v>
      </c>
      <c r="T16" s="21">
        <v>65</v>
      </c>
      <c r="U16" s="21">
        <v>65</v>
      </c>
      <c r="V16" s="21">
        <v>65</v>
      </c>
      <c r="W16" s="21">
        <v>66</v>
      </c>
      <c r="X16" s="21">
        <v>67</v>
      </c>
      <c r="Y16" s="21" t="s">
        <v>97</v>
      </c>
      <c r="Z16" s="21" t="s">
        <v>97</v>
      </c>
      <c r="AA16" s="21" t="s">
        <v>97</v>
      </c>
      <c r="AB16" s="21" t="s">
        <v>97</v>
      </c>
      <c r="AC16" s="21" t="s">
        <v>97</v>
      </c>
      <c r="AD16" s="21" t="s">
        <v>97</v>
      </c>
      <c r="AE16" s="21" t="s">
        <v>97</v>
      </c>
      <c r="AF16" s="21" t="s">
        <v>97</v>
      </c>
      <c r="AG16" s="21" t="s">
        <v>97</v>
      </c>
      <c r="AH16" s="21" t="s">
        <v>97</v>
      </c>
      <c r="AI16" s="21" t="s">
        <v>97</v>
      </c>
      <c r="AJ16" s="21" t="s">
        <v>97</v>
      </c>
      <c r="AK16" s="21" t="s">
        <v>97</v>
      </c>
      <c r="AL16" s="21" t="s">
        <v>97</v>
      </c>
      <c r="AM16" s="21" t="s">
        <v>97</v>
      </c>
      <c r="AN16" s="21" t="s">
        <v>97</v>
      </c>
      <c r="AO16" s="21" t="s">
        <v>97</v>
      </c>
      <c r="AP16" s="21" t="s">
        <v>97</v>
      </c>
    </row>
    <row r="17" spans="1:42" x14ac:dyDescent="0.25">
      <c r="A17" s="8" t="s">
        <v>103</v>
      </c>
      <c r="B17" s="8" t="s">
        <v>104</v>
      </c>
      <c r="C17" s="21">
        <f>_xll.BDP("ADBE US Equity","EBITDA_TO_REVENUE","EQY_FUND_YEAR=2011","FUND_PER=C3","EQY_FUND_CRNCY=USD","FILING_STATUS=MR","FA_ADJUSTED=GAAP","Fill=—")</f>
        <v>34.270553445272782</v>
      </c>
      <c r="D17" s="21">
        <f>_xll.BDP("ADBE US Equity","EBITDA_TO_REVENUE","EQY_FUND_YEAR=2011","FUND_PER=C4","EQY_FUND_CRNCY=USD","FILING_STATUS=MR","FA_ADJUSTED=GAAP","Fill=—")</f>
        <v>32.481503740994974</v>
      </c>
      <c r="E17" s="21">
        <f>_xll.BDP("ADBE US Equity","EBITDA_TO_REVENUE","EQY_FUND_YEAR=2012","FUND_PER=C1","EQY_FUND_CRNCY=USD","FILING_STATUS=MR","FA_ADJUSTED=GAAP","Fill=—")</f>
        <v>34.331528290694777</v>
      </c>
      <c r="F17" s="21">
        <f>_xll.BDP("ADBE US Equity","EBITDA_TO_REVENUE","EQY_FUND_YEAR=2012","FUND_PER=C2","EQY_FUND_CRNCY=USD","FILING_STATUS=MR","FA_ADJUSTED=GAAP","Fill=—")</f>
        <v>34.159911027903334</v>
      </c>
      <c r="G17" s="21">
        <f>_xll.BDP("ADBE US Equity","EBITDA_TO_REVENUE","EQY_FUND_YEAR=2012","FUND_PER=C3","EQY_FUND_CRNCY=USD","FILING_STATUS=MR","FA_ADJUSTED=GAAP","Fill=—")</f>
        <v>33.645760678643391</v>
      </c>
      <c r="H17" s="21">
        <f>_xll.BDP("ADBE US Equity","EBITDA_TO_REVENUE","EQY_FUND_YEAR=2012","FUND_PER=C4","EQY_FUND_CRNCY=USD","FILING_STATUS=MR","FA_ADJUSTED=GAAP","Fill=—")</f>
        <v>33.607301352937561</v>
      </c>
      <c r="I17" s="21">
        <f>_xll.BDP("ADBE US Equity","EBITDA_TO_REVENUE","EQY_FUND_YEAR=2013","FUND_PER=C1","EQY_FUND_CRNCY=USD","FILING_STATUS=MR","FA_ADJUSTED=GAAP","Fill=—")</f>
        <v>17.360917496549664</v>
      </c>
      <c r="J17" s="21">
        <f>_xll.BDP("ADBE US Equity","EBITDA_TO_REVENUE","EQY_FUND_YEAR=2013","FUND_PER=C2","EQY_FUND_CRNCY=USD","FILING_STATUS=MR","FA_ADJUSTED=GAAP","Fill=—")</f>
        <v>18.194163559453873</v>
      </c>
      <c r="K17" s="21">
        <f>_xll.BDP("ADBE US Equity","EBITDA_TO_REVENUE","EQY_FUND_YEAR=2013","FUND_PER=C3","EQY_FUND_CRNCY=USD","FILING_STATUS=MR","FA_ADJUSTED=GAAP","Fill=—")</f>
        <v>18.574958827505579</v>
      </c>
      <c r="L17" s="21">
        <f>_xll.BDP("ADBE US Equity","EBITDA_TO_REVENUE","EQY_FUND_YEAR=2013","FUND_PER=C4","EQY_FUND_CRNCY=USD","FILING_STATUS=MR","FA_ADJUSTED=GAAP","Fill=—")</f>
        <v>18.345400025645834</v>
      </c>
      <c r="M17" s="21">
        <f>_xll.BDP("ADBE US Equity","EBITDA_TO_REVENUE","EQY_FUND_YEAR=2014","FUND_PER=C1","EQY_FUND_CRNCY=USD","FILING_STATUS=MR","FA_ADJUSTED=GAAP","Fill=—")</f>
        <v>15.636323641163061</v>
      </c>
      <c r="N17" s="21">
        <f>_xll.BDP("ADBE US Equity","EBITDA_TO_REVENUE","EQY_FUND_YEAR=2014","FUND_PER=C2","EQY_FUND_CRNCY=USD","FILING_STATUS=MR","FA_ADJUSTED=GAAP","Fill=—")</f>
        <v>17.854663283579779</v>
      </c>
      <c r="O17" s="21">
        <f>_xll.BDP("ADBE US Equity","EBITDA_TO_REVENUE","EQY_FUND_YEAR=2014","FUND_PER=C3","EQY_FUND_CRNCY=USD","FILING_STATUS=MR","FA_ADJUSTED=GAAP","Fill=—")</f>
        <v>17.035387217579125</v>
      </c>
      <c r="P17" s="21">
        <f>_xll.BDP("ADBE US Equity","EBITDA_TO_REVENUE","EQY_FUND_YEAR=2014","FUND_PER=C4","EQY_FUND_CRNCY=USD","FILING_STATUS=MR","FA_ADJUSTED=GAAP","Fill=—")</f>
        <v>17.512988101223396</v>
      </c>
      <c r="Q17" s="21">
        <f>_xll.BDP("ADBE US Equity","EBITDA_TO_REVENUE","EQY_FUND_YEAR=2015","FUND_PER=C1","EQY_FUND_CRNCY=USD","FILING_STATUS=MR","FA_ADJUSTED=GAAP","Fill=—")</f>
        <v>22.77896934765381</v>
      </c>
      <c r="R17" s="21">
        <f>_xll.BDP("ADBE US Equity","EBITDA_TO_REVENUE","EQY_FUND_YEAR=2015","FUND_PER=C2","EQY_FUND_CRNCY=USD","FILING_STATUS=MR","FA_ADJUSTED=GAAP","Fill=—")</f>
        <v>23.431376822218088</v>
      </c>
      <c r="S17" s="21">
        <f>_xll.BDP("ADBE US Equity","EBITDA_TO_REVENUE","EQY_FUND_YEAR=2015","FUND_PER=C3","EQY_FUND_CRNCY=USD","FILING_STATUS=MR","FA_ADJUSTED=GAAP","Fill=—")</f>
        <v>24.81365575776266</v>
      </c>
      <c r="T17" s="21">
        <f>_xll.BDP("ADBE US Equity","EBITDA_TO_REVENUE","EQY_FUND_YEAR=2015","FUND_PER=C4","EQY_FUND_CRNCY=USD","FILING_STATUS=MR","FA_ADJUSTED=GAAP","Fill=—")</f>
        <v>25.911065577787223</v>
      </c>
      <c r="U17" s="21">
        <f>_xll.BDP("ADBE US Equity","EBITDA_TO_REVENUE","EQY_FUND_YEAR=2016","FUND_PER=C1","EQY_FUND_CRNCY=USD","FILING_STATUS=MR","FA_ADJUSTED=GAAP","Fill=—")</f>
        <v>28.117411906732642</v>
      </c>
      <c r="V17" s="21">
        <f>_xll.BDP("ADBE US Equity","EBITDA_TO_REVENUE","EQY_FUND_YEAR=2016","FUND_PER=C2","EQY_FUND_CRNCY=USD","FILING_STATUS=MR","FA_ADJUSTED=GAAP","Fill=—")</f>
        <v>29.390548819501056</v>
      </c>
      <c r="W17" s="21">
        <f>_xll.BDP("ADBE US Equity","EBITDA_TO_REVENUE","EQY_FUND_YEAR=2016","FUND_PER=C3","EQY_FUND_CRNCY=USD","FILING_STATUS=MR","FA_ADJUSTED=GAAP","Fill=—")</f>
        <v>29.933907378007262</v>
      </c>
      <c r="X17" s="21">
        <f>_xll.BDP("ADBE US Equity","EBITDA_TO_REVENUE","EQY_FUND_YEAR=2016","FUND_PER=C4","EQY_FUND_CRNCY=USD","FILING_STATUS=MR","FA_ADJUSTED=GAAP","Fill=—")</f>
        <v>31.175315103263685</v>
      </c>
      <c r="Y17" s="21">
        <f>_xll.BDP("ADBE US Equity","EBITDA_TO_REVENUE","EQY_FUND_YEAR=2017","FUND_PER=C1","EQY_FUND_CRNCY=USD","FILING_STATUS=MR","FA_ADJUSTED=GAAP","Fill=—")</f>
        <v>32.6946337100674</v>
      </c>
      <c r="Z17" s="21">
        <f>_xll.BDP("ADBE US Equity","EBITDA_TO_REVENUE","EQY_FUND_YEAR=2017","FUND_PER=C2","EQY_FUND_CRNCY=USD","FILING_STATUS=MR","FA_ADJUSTED=GAAP","Fill=—")</f>
        <v>32.877212467528864</v>
      </c>
      <c r="AA17" s="21">
        <f>_xll.BDP("ADBE US Equity","EBITDA_TO_REVENUE","EQY_FUND_YEAR=2017","FUND_PER=C3","EQY_FUND_CRNCY=USD","FILING_STATUS=MR","FA_ADJUSTED=GAAP","Fill=—")</f>
        <v>33.305910770910181</v>
      </c>
      <c r="AB17" s="21">
        <f>_xll.BDP("ADBE US Equity","EBITDA_TO_REVENUE","EQY_FUND_YEAR=2017","FUND_PER=C4","EQY_FUND_CRNCY=USD","FILING_STATUS=MR","FA_ADJUSTED=GAAP","Fill=—")</f>
        <v>34.158601548584841</v>
      </c>
      <c r="AC17" s="21">
        <f>_xll.BDP("ADBE US Equity","EBITDA_TO_REVENUE","EQY_FUND_YEAR=2018","FUND_PER=C1","EQY_FUND_CRNCY=USD","FILING_STATUS=MR","FA_ADJUSTED=GAAP","Fill=—")</f>
        <v>37.483158541319234</v>
      </c>
      <c r="AD17" s="21">
        <f>_xll.BDP("ADBE US Equity","EBITDA_TO_REVENUE","EQY_FUND_YEAR=2018","FUND_PER=C2","EQY_FUND_CRNCY=USD","FILING_STATUS=MR","FA_ADJUSTED=GAAP","Fill=—")</f>
        <v>36.359086981819516</v>
      </c>
      <c r="AE17" s="21">
        <f>_xll.BDP("ADBE US Equity","EBITDA_TO_REVENUE","EQY_FUND_YEAR=2018","FUND_PER=C3","EQY_FUND_CRNCY=USD","FILING_STATUS=MR","FA_ADJUSTED=GAAP","Fill=—")</f>
        <v>35.939944402329608</v>
      </c>
      <c r="AF17" s="21">
        <f>_xll.BDP("ADBE US Equity","EBITDA_TO_REVENUE","EQY_FUND_YEAR=2018","FUND_PER=C4","EQY_FUND_CRNCY=USD","FILING_STATUS=MR","FA_ADJUSTED=GAAP","Fill=—")</f>
        <v>35.291895643946283</v>
      </c>
      <c r="AG17" s="21">
        <f>_xll.BDP("ADBE US Equity","EBITDA_TO_REVENUE","EQY_FUND_YEAR=2019","FUND_PER=C1","EQY_FUND_CRNCY=USD","FILING_STATUS=MR","FA_ADJUSTED=GAAP","Fill=—")</f>
        <v>32.285483820117761</v>
      </c>
      <c r="AH17" s="21">
        <f>_xll.BDP("ADBE US Equity","EBITDA_TO_REVENUE","EQY_FUND_YEAR=2019","FUND_PER=C2","EQY_FUND_CRNCY=USD","FILING_STATUS=MR","FA_ADJUSTED=GAAP","Fill=—")</f>
        <v>33.994387277829745</v>
      </c>
      <c r="AI17" s="21">
        <f>_xll.BDP("ADBE US Equity","EBITDA_TO_REVENUE","EQY_FUND_YEAR=2019","FUND_PER=C3","EQY_FUND_CRNCY=USD","FILING_STATUS=MR","FA_ADJUSTED=GAAP","Fill=—")</f>
        <v>35.016505685291598</v>
      </c>
      <c r="AJ17" s="21">
        <f>_xll.BDP("ADBE US Equity","EBITDA_TO_REVENUE","EQY_FUND_YEAR=2019","FUND_PER=C4","EQY_FUND_CRNCY=USD","FILING_STATUS=MR","FA_ADJUSTED=GAAP","Fill=—")</f>
        <v>35.848926046814441</v>
      </c>
      <c r="AK17" s="21">
        <f>_xll.BDP("ADBE US Equity","EBITDA_TO_REVENUE","EQY_FUND_YEAR=2020","FUND_PER=C1","EQY_FUND_CRNCY=USD","FILING_STATUS=MR","FA_ADJUSTED=GAAP","Fill=—")</f>
        <v>36.395988353283727</v>
      </c>
      <c r="AL17" s="21">
        <f>_xll.BDP("ADBE US Equity","EBITDA_TO_REVENUE","EQY_FUND_YEAR=2020","FUND_PER=C2","EQY_FUND_CRNCY=USD","FILING_STATUS=MR","FA_ADJUSTED=GAAP","Fill=—")</f>
        <v>38.398456343463579</v>
      </c>
      <c r="AM17" s="21">
        <f>_xll.BDP("ADBE US Equity","EBITDA_TO_REVENUE","EQY_FUND_YEAR=2020","FUND_PER=C3","EQY_FUND_CRNCY=USD","FILING_STATUS=MR","FA_ADJUSTED=GAAP","Fill=—")</f>
        <v>38.002964845404492</v>
      </c>
      <c r="AN17" s="21">
        <f>_xll.BDP("ADBE US Equity","EBITDA_TO_REVENUE","EQY_FUND_YEAR=2020","FUND_PER=C4","EQY_FUND_CRNCY=USD","FILING_STATUS=MR","FA_ADJUSTED=GAAP","Fill=—")</f>
        <v>39.734224432701275</v>
      </c>
      <c r="AO17" s="21">
        <f>_xll.BDP("ADBE US Equity","EBITDA_TO_REVENUE","EQY_FUND_YEAR=2021","FUND_PER=C1","EQY_FUND_CRNCY=USD","FILING_STATUS=MR","FA_ADJUSTED=GAAP","Fill=—")</f>
        <v>42.25352112676056</v>
      </c>
      <c r="AP17" s="21">
        <f>_xll.BDP("ADBE US Equity","EBITDA_TO_REVENUE","EQY_FUND_YEAR=2021","FUND_PER=C2","EQY_FUND_CRNCY=USD","FILING_STATUS=MR","FA_ADJUSTED=GAAP","Fill=—")</f>
        <v>41.989664082687341</v>
      </c>
    </row>
    <row r="18" spans="1:42" x14ac:dyDescent="0.25">
      <c r="A18" s="6" t="s">
        <v>105</v>
      </c>
      <c r="B18" s="6" t="s">
        <v>104</v>
      </c>
      <c r="C18" s="24">
        <v>3.69325699712441</v>
      </c>
      <c r="D18" s="24">
        <v>-4.0064062117746504</v>
      </c>
      <c r="E18" s="24">
        <v>-4.2843117315362704</v>
      </c>
      <c r="F18" s="24">
        <v>-1.5988897007385701</v>
      </c>
      <c r="G18" s="24">
        <v>-1.82311618957535</v>
      </c>
      <c r="H18" s="24">
        <v>3.4659632755921601</v>
      </c>
      <c r="I18" s="24">
        <v>-49.4315633140477</v>
      </c>
      <c r="J18" s="24">
        <v>-46.738257017121597</v>
      </c>
      <c r="K18" s="24">
        <v>-44.792572829605497</v>
      </c>
      <c r="L18" s="24">
        <v>-45.412456656367603</v>
      </c>
      <c r="M18" s="24">
        <v>-9.9337667474592504</v>
      </c>
      <c r="N18" s="24">
        <v>-1.8659884565182701</v>
      </c>
      <c r="O18" s="24">
        <v>-8.2884274468654304</v>
      </c>
      <c r="P18" s="24">
        <v>-4.5374426286698704</v>
      </c>
      <c r="Q18" s="24">
        <v>45.679822188386503</v>
      </c>
      <c r="R18" s="24">
        <v>31.233935919149001</v>
      </c>
      <c r="S18" s="24">
        <v>45.659479294482701</v>
      </c>
      <c r="T18" s="24">
        <v>47.953427479080098</v>
      </c>
      <c r="U18" s="24">
        <v>23.4358411919345</v>
      </c>
      <c r="V18" s="24">
        <v>25.4324447086486</v>
      </c>
      <c r="W18" s="24">
        <v>20.634810928305001</v>
      </c>
      <c r="X18" s="24">
        <v>20.316605268189299</v>
      </c>
      <c r="Y18" s="24">
        <v>16.278959101925899</v>
      </c>
      <c r="Z18" s="24">
        <v>11.8632115378314</v>
      </c>
      <c r="AA18" s="24">
        <v>11.264830882249999</v>
      </c>
      <c r="AB18" s="24">
        <v>9.5693884728991492</v>
      </c>
      <c r="AC18" s="24">
        <v>14.6462107512811</v>
      </c>
      <c r="AD18" s="24">
        <v>10.59054216641</v>
      </c>
      <c r="AE18" s="24">
        <v>7.9086051722170101</v>
      </c>
      <c r="AF18" s="24">
        <v>3.31774116516829</v>
      </c>
      <c r="AG18" s="24">
        <v>-13.8666941065453</v>
      </c>
      <c r="AH18" s="24">
        <v>-6.5037386664852104</v>
      </c>
      <c r="AI18" s="24">
        <v>-2.5693918721743101</v>
      </c>
      <c r="AJ18" s="24">
        <v>1.5783510186021099</v>
      </c>
      <c r="AK18" s="24">
        <v>12.7317403697588</v>
      </c>
      <c r="AL18" s="24">
        <v>12.955282882435901</v>
      </c>
      <c r="AM18" s="24">
        <v>8.52871785665881</v>
      </c>
      <c r="AN18" s="24">
        <v>10.8379760107737</v>
      </c>
      <c r="AO18" s="24">
        <v>16.093897492218101</v>
      </c>
      <c r="AP18" s="24">
        <v>9.3524802143085992</v>
      </c>
    </row>
    <row r="19" spans="1:42" x14ac:dyDescent="0.25">
      <c r="A19" s="8" t="s">
        <v>106</v>
      </c>
      <c r="B19" s="8" t="s">
        <v>107</v>
      </c>
      <c r="C19" s="21">
        <f>_xll.BDP("ADBE US Equity","OPER_MARGIN","EQY_FUND_YEAR=2011","FUND_PER=C3","EQY_FUND_CRNCY=USD","FILING_STATUS=MR","FA_ADJUSTED=GAAP","Fill=—")</f>
        <v>27.844027130994871</v>
      </c>
      <c r="D19" s="21">
        <f>_xll.BDP("ADBE US Equity","OPER_MARGIN","EQY_FUND_YEAR=2011","FUND_PER=C4","EQY_FUND_CRNCY=USD","FILING_STATUS=MR","FA_ADJUSTED=GAAP","Fill=—")</f>
        <v>26.072858918975072</v>
      </c>
      <c r="E19" s="21">
        <f>_xll.BDP("ADBE US Equity","OPER_MARGIN","EQY_FUND_YEAR=2012","FUND_PER=C1","EQY_FUND_CRNCY=USD","FILING_STATUS=MR","FA_ADJUSTED=GAAP","Fill=—")</f>
        <v>27.64767226038537</v>
      </c>
      <c r="F19" s="21">
        <f>_xll.BDP("ADBE US Equity","OPER_MARGIN","EQY_FUND_YEAR=2012","FUND_PER=C2","EQY_FUND_CRNCY=USD","FILING_STATUS=MR","FA_ADJUSTED=GAAP","Fill=—")</f>
        <v>27.383070873944366</v>
      </c>
      <c r="G19" s="21">
        <f>_xll.BDP("ADBE US Equity","OPER_MARGIN","EQY_FUND_YEAR=2012","FUND_PER=C3","EQY_FUND_CRNCY=USD","FILING_STATUS=MR","FA_ADJUSTED=GAAP","Fill=—")</f>
        <v>26.841820426681156</v>
      </c>
      <c r="H19" s="21">
        <f>_xll.BDP("ADBE US Equity","OPER_MARGIN","EQY_FUND_YEAR=2012","FUND_PER=C4","EQY_FUND_CRNCY=USD","FILING_STATUS=MR","FA_ADJUSTED=GAAP","Fill=—")</f>
        <v>26.800126348957932</v>
      </c>
      <c r="I19" s="21">
        <f>_xll.BDP("ADBE US Equity","OPER_MARGIN","EQY_FUND_YEAR=2013","FUND_PER=C1","EQY_FUND_CRNCY=USD","FILING_STATUS=MR","FA_ADJUSTED=GAAP","Fill=—")</f>
        <v>9.7456723218103871</v>
      </c>
      <c r="J19" s="21">
        <f>_xll.BDP("ADBE US Equity","OPER_MARGIN","EQY_FUND_YEAR=2013","FUND_PER=C2","EQY_FUND_CRNCY=USD","FILING_STATUS=MR","FA_ADJUSTED=GAAP","Fill=—")</f>
        <v>10.381030329633743</v>
      </c>
      <c r="K19" s="21">
        <f>_xll.BDP("ADBE US Equity","OPER_MARGIN","EQY_FUND_YEAR=2013","FUND_PER=C3","EQY_FUND_CRNCY=USD","FILING_STATUS=MR","FA_ADJUSTED=GAAP","Fill=—")</f>
        <v>10.614987484822672</v>
      </c>
      <c r="L19" s="21">
        <f>_xll.BDP("ADBE US Equity","OPER_MARGIN","EQY_FUND_YEAR=2013","FUND_PER=C4","EQY_FUND_CRNCY=USD","FILING_STATUS=MR","FA_ADJUSTED=GAAP","Fill=—")</f>
        <v>10.424117931367812</v>
      </c>
      <c r="M19" s="21">
        <f>_xll.BDP("ADBE US Equity","OPER_MARGIN","EQY_FUND_YEAR=2014","FUND_PER=C1","EQY_FUND_CRNCY=USD","FILING_STATUS=MR","FA_ADJUSTED=GAAP","Fill=—")</f>
        <v>7.8736551613806345</v>
      </c>
      <c r="N19" s="21">
        <f>_xll.BDP("ADBE US Equity","OPER_MARGIN","EQY_FUND_YEAR=2014","FUND_PER=C2","EQY_FUND_CRNCY=USD","FILING_STATUS=MR","FA_ADJUSTED=GAAP","Fill=—")</f>
        <v>10.346714834397638</v>
      </c>
      <c r="O19" s="21">
        <f>_xll.BDP("ADBE US Equity","OPER_MARGIN","EQY_FUND_YEAR=2014","FUND_PER=C3","EQY_FUND_CRNCY=USD","FILING_STATUS=MR","FA_ADJUSTED=GAAP","Fill=—")</f>
        <v>9.3755581560816683</v>
      </c>
      <c r="P19" s="21">
        <f>_xll.BDP("ADBE US Equity","OPER_MARGIN","EQY_FUND_YEAR=2014","FUND_PER=C4","EQY_FUND_CRNCY=USD","FILING_STATUS=MR","FA_ADJUSTED=GAAP","Fill=—")</f>
        <v>9.9512546825284875</v>
      </c>
      <c r="Q19" s="21">
        <f>_xll.BDP("ADBE US Equity","OPER_MARGIN","EQY_FUND_YEAR=2015","FUND_PER=C1","EQY_FUND_CRNCY=USD","FILING_STATUS=MR","FA_ADJUSTED=GAAP","Fill=—")</f>
        <v>15.59934762676245</v>
      </c>
      <c r="R19" s="21">
        <f>_xll.BDP("ADBE US Equity","OPER_MARGIN","EQY_FUND_YEAR=2015","FUND_PER=C2","EQY_FUND_CRNCY=USD","FILING_STATUS=MR","FA_ADJUSTED=GAAP","Fill=—")</f>
        <v>16.142108245400621</v>
      </c>
      <c r="S19" s="21">
        <f>_xll.BDP("ADBE US Equity","OPER_MARGIN","EQY_FUND_YEAR=2015","FUND_PER=C3","EQY_FUND_CRNCY=USD","FILING_STATUS=MR","FA_ADJUSTED=GAAP","Fill=—")</f>
        <v>17.559249401064513</v>
      </c>
      <c r="T19" s="21">
        <f>_xll.BDP("ADBE US Equity","OPER_MARGIN","EQY_FUND_YEAR=2015","FUND_PER=C4","EQY_FUND_CRNCY=USD","FILING_STATUS=MR","FA_ADJUSTED=GAAP","Fill=—")</f>
        <v>18.832091095192983</v>
      </c>
      <c r="U19" s="21">
        <f>_xll.BDP("ADBE US Equity","OPER_MARGIN","EQY_FUND_YEAR=2016","FUND_PER=C1","EQY_FUND_CRNCY=USD","FILING_STATUS=MR","FA_ADJUSTED=GAAP","Fill=—")</f>
        <v>22.247539460795828</v>
      </c>
      <c r="V19" s="21">
        <f>_xll.BDP("ADBE US Equity","OPER_MARGIN","EQY_FUND_YEAR=2016","FUND_PER=C2","EQY_FUND_CRNCY=USD","FILING_STATUS=MR","FA_ADJUSTED=GAAP","Fill=—")</f>
        <v>23.435898210093008</v>
      </c>
      <c r="W19" s="21">
        <f>_xll.BDP("ADBE US Equity","OPER_MARGIN","EQY_FUND_YEAR=2016","FUND_PER=C3","EQY_FUND_CRNCY=USD","FILING_STATUS=MR","FA_ADJUSTED=GAAP","Fill=—")</f>
        <v>24.053682385655616</v>
      </c>
      <c r="X19" s="21">
        <f>_xll.BDP("ADBE US Equity","OPER_MARGIN","EQY_FUND_YEAR=2016","FUND_PER=C4","EQY_FUND_CRNCY=USD","FILING_STATUS=MR","FA_ADJUSTED=GAAP","Fill=—")</f>
        <v>25.512338519719258</v>
      </c>
      <c r="Y19" s="21">
        <f>_xll.BDP("ADBE US Equity","OPER_MARGIN","EQY_FUND_YEAR=2017","FUND_PER=C1","EQY_FUND_CRNCY=USD","FILING_STATUS=MR","FA_ADJUSTED=GAAP","Fill=—")</f>
        <v>27.889282286521659</v>
      </c>
      <c r="Z19" s="21">
        <f>_xll.BDP("ADBE US Equity","OPER_MARGIN","EQY_FUND_YEAR=2017","FUND_PER=C2","EQY_FUND_CRNCY=USD","FILING_STATUS=MR","FA_ADJUSTED=GAAP","Fill=—")</f>
        <v>28.1739202440417</v>
      </c>
      <c r="AA19" s="21">
        <f>_xll.BDP("ADBE US Equity","OPER_MARGIN","EQY_FUND_YEAR=2017","FUND_PER=C3","EQY_FUND_CRNCY=USD","FILING_STATUS=MR","FA_ADJUSTED=GAAP","Fill=—")</f>
        <v>28.683301510318405</v>
      </c>
      <c r="AB19" s="21">
        <f>_xll.BDP("ADBE US Equity","OPER_MARGIN","EQY_FUND_YEAR=2017","FUND_PER=C4","EQY_FUND_CRNCY=USD","FILING_STATUS=MR","FA_ADJUSTED=GAAP","Fill=—")</f>
        <v>29.693809700876734</v>
      </c>
      <c r="AC19" s="21">
        <f>_xll.BDP("ADBE US Equity","OPER_MARGIN","EQY_FUND_YEAR=2018","FUND_PER=C1","EQY_FUND_CRNCY=USD","FILING_STATUS=MR","FA_ADJUSTED=GAAP","Fill=—")</f>
        <v>33.802352825733408</v>
      </c>
      <c r="AD19" s="21">
        <f>_xll.BDP("ADBE US Equity","OPER_MARGIN","EQY_FUND_YEAR=2018","FUND_PER=C2","EQY_FUND_CRNCY=USD","FILING_STATUS=MR","FA_ADJUSTED=GAAP","Fill=—")</f>
        <v>32.782320034569352</v>
      </c>
      <c r="AE19" s="21">
        <f>_xll.BDP("ADBE US Equity","OPER_MARGIN","EQY_FUND_YEAR=2018","FUND_PER=C3","EQY_FUND_CRNCY=USD","FILING_STATUS=MR","FA_ADJUSTED=GAAP","Fill=—")</f>
        <v>32.287880234862158</v>
      </c>
      <c r="AF19" s="21">
        <f>_xll.BDP("ADBE US Equity","OPER_MARGIN","EQY_FUND_YEAR=2018","FUND_PER=C4","EQY_FUND_CRNCY=USD","FILING_STATUS=MR","FA_ADJUSTED=GAAP","Fill=—")</f>
        <v>31.454778334637133</v>
      </c>
      <c r="AG19" s="21">
        <f>_xll.BDP("ADBE US Equity","OPER_MARGIN","EQY_FUND_YEAR=2019","FUND_PER=C1","EQY_FUND_CRNCY=USD","FILING_STATUS=MR","FA_ADJUSTED=GAAP","Fill=—")</f>
        <v>26.714510797225323</v>
      </c>
      <c r="AH19" s="21">
        <f>_xll.BDP("ADBE US Equity","OPER_MARGIN","EQY_FUND_YEAR=2019","FUND_PER=C2","EQY_FUND_CRNCY=USD","FILING_STATUS=MR","FA_ADJUSTED=GAAP","Fill=—")</f>
        <v>27.015902712815716</v>
      </c>
      <c r="AI19" s="21">
        <f>_xll.BDP("ADBE US Equity","OPER_MARGIN","EQY_FUND_YEAR=2019","FUND_PER=C3","EQY_FUND_CRNCY=USD","FILING_STATUS=MR","FA_ADJUSTED=GAAP","Fill=—")</f>
        <v>28.096344296368748</v>
      </c>
      <c r="AJ19" s="21">
        <f>_xll.BDP("ADBE US Equity","OPER_MARGIN","EQY_FUND_YEAR=2019","FUND_PER=C4","EQY_FUND_CRNCY=USD","FILING_STATUS=MR","FA_ADJUSTED=GAAP","Fill=—")</f>
        <v>29.254624597305039</v>
      </c>
      <c r="AK19" s="21">
        <f>_xll.BDP("ADBE US Equity","OPER_MARGIN","EQY_FUND_YEAR=2020","FUND_PER=C1","EQY_FUND_CRNCY=USD","FILING_STATUS=MR","FA_ADJUSTED=GAAP","Fill=—")</f>
        <v>30.313814299579423</v>
      </c>
      <c r="AL19" s="21">
        <f>_xll.BDP("ADBE US Equity","OPER_MARGIN","EQY_FUND_YEAR=2020","FUND_PER=C2","EQY_FUND_CRNCY=USD","FILING_STATUS=MR","FA_ADJUSTED=GAAP","Fill=—")</f>
        <v>31.403762662807527</v>
      </c>
      <c r="AM19" s="21">
        <f>_xll.BDP("ADBE US Equity","OPER_MARGIN","EQY_FUND_YEAR=2020","FUND_PER=C3","EQY_FUND_CRNCY=USD","FILING_STATUS=MR","FA_ADJUSTED=GAAP","Fill=—")</f>
        <v>31.999152901313003</v>
      </c>
      <c r="AN19" s="21">
        <f>_xll.BDP("ADBE US Equity","OPER_MARGIN","EQY_FUND_YEAR=2020","FUND_PER=C4","EQY_FUND_CRNCY=USD","FILING_STATUS=MR","FA_ADJUSTED=GAAP","Fill=—")</f>
        <v>32.926639726453217</v>
      </c>
      <c r="AO19" s="21">
        <f>_xll.BDP("ADBE US Equity","OPER_MARGIN","EQY_FUND_YEAR=2021","FUND_PER=C1","EQY_FUND_CRNCY=USD","FILING_STATUS=MR","FA_ADJUSTED=GAAP","Fill=—")</f>
        <v>37.234314980793854</v>
      </c>
      <c r="AP19" s="21">
        <f>_xll.BDP("ADBE US Equity","OPER_MARGIN","EQY_FUND_YEAR=2021","FUND_PER=C2","EQY_FUND_CRNCY=USD","FILING_STATUS=MR","FA_ADJUSTED=GAAP","Fill=—")</f>
        <v>36.950904392764862</v>
      </c>
    </row>
    <row r="20" spans="1:42" x14ac:dyDescent="0.25">
      <c r="A20" s="8" t="s">
        <v>114</v>
      </c>
      <c r="B20" s="8" t="s">
        <v>115</v>
      </c>
      <c r="C20" s="21">
        <f>_xll.BDP("ADBE US Equity","PROF_MARGIN","EQY_FUND_YEAR=2011","FUND_PER=C3","EQY_FUND_CRNCY=USD","FILING_STATUS=MR","FA_ADJUSTED=GAAP","Fill=—")</f>
        <v>21.511329438983164</v>
      </c>
      <c r="D20" s="21">
        <f>_xll.BDP("ADBE US Equity","PROF_MARGIN","EQY_FUND_YEAR=2011","FUND_PER=C4","EQY_FUND_CRNCY=USD","FILING_STATUS=MR","FA_ADJUSTED=GAAP","Fill=—")</f>
        <v>19.753226676356146</v>
      </c>
      <c r="E20" s="21">
        <f>_xll.BDP("ADBE US Equity","PROF_MARGIN","EQY_FUND_YEAR=2012","FUND_PER=C1","EQY_FUND_CRNCY=USD","FILING_STATUS=MR","FA_ADJUSTED=GAAP","Fill=—")</f>
        <v>17.719618836225866</v>
      </c>
      <c r="F20" s="21">
        <f>_xll.BDP("ADBE US Equity","PROF_MARGIN","EQY_FUND_YEAR=2012","FUND_PER=C2","EQY_FUND_CRNCY=USD","FILING_STATUS=MR","FA_ADJUSTED=GAAP","Fill=—")</f>
        <v>18.854719314328591</v>
      </c>
      <c r="G20" s="21">
        <f>_xll.BDP("ADBE US Equity","PROF_MARGIN","EQY_FUND_YEAR=2012","FUND_PER=C3","EQY_FUND_CRNCY=USD","FILING_STATUS=MR","FA_ADJUSTED=GAAP","Fill=—")</f>
        <v>18.781391825672433</v>
      </c>
      <c r="H20" s="21">
        <f>_xll.BDP("ADBE US Equity","PROF_MARGIN","EQY_FUND_YEAR=2012","FUND_PER=C4","EQY_FUND_CRNCY=USD","FILING_STATUS=MR","FA_ADJUSTED=GAAP","Fill=—")</f>
        <v>18.910901049282224</v>
      </c>
      <c r="I20" s="21">
        <f>_xll.BDP("ADBE US Equity","PROF_MARGIN","EQY_FUND_YEAR=2013","FUND_PER=C1","EQY_FUND_CRNCY=USD","FILING_STATUS=MR","FA_ADJUSTED=GAAP","Fill=—")</f>
        <v>6.4608338550591196</v>
      </c>
      <c r="J20" s="21">
        <f>_xll.BDP("ADBE US Equity","PROF_MARGIN","EQY_FUND_YEAR=2013","FUND_PER=C2","EQY_FUND_CRNCY=USD","FILING_STATUS=MR","FA_ADJUSTED=GAAP","Fill=—")</f>
        <v>7.018502572801923</v>
      </c>
      <c r="K20" s="21">
        <f>_xll.BDP("ADBE US Equity","PROF_MARGIN","EQY_FUND_YEAR=2013","FUND_PER=C3","EQY_FUND_CRNCY=USD","FILING_STATUS=MR","FA_ADJUSTED=GAAP","Fill=—")</f>
        <v>7.4551831217826461</v>
      </c>
      <c r="L20" s="21">
        <f>_xll.BDP("ADBE US Equity","PROF_MARGIN","EQY_FUND_YEAR=2013","FUND_PER=C4","EQY_FUND_CRNCY=USD","FILING_STATUS=MR","FA_ADJUSTED=GAAP","Fill=—")</f>
        <v>7.1508714650674197</v>
      </c>
      <c r="M20" s="21">
        <f>_xll.BDP("ADBE US Equity","PROF_MARGIN","EQY_FUND_YEAR=2014","FUND_PER=C1","EQY_FUND_CRNCY=USD","FILING_STATUS=MR","FA_ADJUSTED=GAAP","Fill=—")</f>
        <v>4.7040355157381111</v>
      </c>
      <c r="N20" s="21">
        <f>_xll.BDP("ADBE US Equity","PROF_MARGIN","EQY_FUND_YEAR=2014","FUND_PER=C2","EQY_FUND_CRNCY=USD","FILING_STATUS=MR","FA_ADJUSTED=GAAP","Fill=—")</f>
        <v>6.5547147260976022</v>
      </c>
      <c r="O20" s="21">
        <f>_xll.BDP("ADBE US Equity","PROF_MARGIN","EQY_FUND_YEAR=2014","FUND_PER=C3","EQY_FUND_CRNCY=USD","FILING_STATUS=MR","FA_ADJUSTED=GAAP","Fill=—")</f>
        <v>5.8644900328167306</v>
      </c>
      <c r="P20" s="21">
        <f>_xll.BDP("ADBE US Equity","PROF_MARGIN","EQY_FUND_YEAR=2014","FUND_PER=C4","EQY_FUND_CRNCY=USD","FILING_STATUS=MR","FA_ADJUSTED=GAAP","Fill=—")</f>
        <v>6.471926531173251</v>
      </c>
      <c r="Q20" s="21">
        <f>_xll.BDP("ADBE US Equity","PROF_MARGIN","EQY_FUND_YEAR=2015","FUND_PER=C1","EQY_FUND_CRNCY=USD","FILING_STATUS=MR","FA_ADJUSTED=GAAP","Fill=—")</f>
        <v>7.6532143987320378</v>
      </c>
      <c r="R20" s="21">
        <f>_xll.BDP("ADBE US Equity","PROF_MARGIN","EQY_FUND_YEAR=2015","FUND_PER=C2","EQY_FUND_CRNCY=USD","FILING_STATUS=MR","FA_ADJUSTED=GAAP","Fill=—")</f>
        <v>10.231013512293851</v>
      </c>
      <c r="S20" s="21">
        <f>_xll.BDP("ADBE US Equity","PROF_MARGIN","EQY_FUND_YEAR=2015","FUND_PER=C3","EQY_FUND_CRNCY=USD","FILING_STATUS=MR","FA_ADJUSTED=GAAP","Fill=—")</f>
        <v>11.660462118244009</v>
      </c>
      <c r="T20" s="21">
        <f>_xll.BDP("ADBE US Equity","PROF_MARGIN","EQY_FUND_YEAR=2015","FUND_PER=C4","EQY_FUND_CRNCY=USD","FILING_STATUS=MR","FA_ADJUSTED=GAAP","Fill=—")</f>
        <v>13.127923176487343</v>
      </c>
      <c r="U20" s="21">
        <f>_xll.BDP("ADBE US Equity","PROF_MARGIN","EQY_FUND_YEAR=2016","FUND_PER=C1","EQY_FUND_CRNCY=USD","FILING_STATUS=MR","FA_ADJUSTED=GAAP","Fill=—")</f>
        <v>18.38361640528144</v>
      </c>
      <c r="V20" s="21">
        <f>_xll.BDP("ADBE US Equity","PROF_MARGIN","EQY_FUND_YEAR=2016","FUND_PER=C2","EQY_FUND_CRNCY=USD","FILING_STATUS=MR","FA_ADJUSTED=GAAP","Fill=—")</f>
        <v>17.914202651000487</v>
      </c>
      <c r="W20" s="21">
        <f>_xll.BDP("ADBE US Equity","PROF_MARGIN","EQY_FUND_YEAR=2016","FUND_PER=C3","EQY_FUND_CRNCY=USD","FILING_STATUS=MR","FA_ADJUSTED=GAAP","Fill=—")</f>
        <v>18.115096734323107</v>
      </c>
      <c r="X20" s="21">
        <f>_xll.BDP("ADBE US Equity","PROF_MARGIN","EQY_FUND_YEAR=2016","FUND_PER=C4","EQY_FUND_CRNCY=USD","FILING_STATUS=MR","FA_ADJUSTED=GAAP","Fill=—")</f>
        <v>19.96406140307425</v>
      </c>
      <c r="Y20" s="21">
        <f>_xll.BDP("ADBE US Equity","PROF_MARGIN","EQY_FUND_YEAR=2017","FUND_PER=C1","EQY_FUND_CRNCY=USD","FILING_STATUS=MR","FA_ADJUSTED=GAAP","Fill=—")</f>
        <v>23.693809517579805</v>
      </c>
      <c r="Z20" s="21">
        <f>_xll.BDP("ADBE US Equity","PROF_MARGIN","EQY_FUND_YEAR=2017","FUND_PER=C2","EQY_FUND_CRNCY=USD","FILING_STATUS=MR","FA_ADJUSTED=GAAP","Fill=—")</f>
        <v>22.376163778477036</v>
      </c>
      <c r="AA20" s="21">
        <f>_xll.BDP("ADBE US Equity","PROF_MARGIN","EQY_FUND_YEAR=2017","FUND_PER=C3","EQY_FUND_CRNCY=USD","FILING_STATUS=MR","FA_ADJUSTED=GAAP","Fill=—")</f>
        <v>22.519835086904216</v>
      </c>
      <c r="AB20" s="21">
        <f>_xll.BDP("ADBE US Equity","PROF_MARGIN","EQY_FUND_YEAR=2017","FUND_PER=C4","EQY_FUND_CRNCY=USD","FILING_STATUS=MR","FA_ADJUSTED=GAAP","Fill=—")</f>
        <v>23.200066287703699</v>
      </c>
      <c r="AC20" s="21">
        <f>_xll.BDP("ADBE US Equity","PROF_MARGIN","EQY_FUND_YEAR=2018","FUND_PER=C1","EQY_FUND_CRNCY=USD","FILING_STATUS=MR","FA_ADJUSTED=GAAP","Fill=—")</f>
        <v>28.046698641187103</v>
      </c>
      <c r="AD20" s="21">
        <f>_xll.BDP("ADBE US Equity","PROF_MARGIN","EQY_FUND_YEAR=2018","FUND_PER=C2","EQY_FUND_CRNCY=USD","FILING_STATUS=MR","FA_ADJUSTED=GAAP","Fill=—")</f>
        <v>29.156609480788347</v>
      </c>
      <c r="AE20" s="21">
        <f>_xll.BDP("ADBE US Equity","PROF_MARGIN","EQY_FUND_YEAR=2018","FUND_PER=C3","EQY_FUND_CRNCY=USD","FILING_STATUS=MR","FA_ADJUSTED=GAAP","Fill=—")</f>
        <v>29.130577759134539</v>
      </c>
      <c r="AF20" s="21">
        <f>_xll.BDP("ADBE US Equity","PROF_MARGIN","EQY_FUND_YEAR=2018","FUND_PER=C4","EQY_FUND_CRNCY=USD","FILING_STATUS=MR","FA_ADJUSTED=GAAP","Fill=—")</f>
        <v>28.690716553075035</v>
      </c>
      <c r="AG20" s="21">
        <f>_xll.BDP("ADBE US Equity","PROF_MARGIN","EQY_FUND_YEAR=2019","FUND_PER=C1","EQY_FUND_CRNCY=USD","FILING_STATUS=MR","FA_ADJUSTED=GAAP","Fill=—")</f>
        <v>25.922914201217555</v>
      </c>
      <c r="AH20" s="21">
        <f>_xll.BDP("ADBE US Equity","PROF_MARGIN","EQY_FUND_YEAR=2019","FUND_PER=C2","EQY_FUND_CRNCY=USD","FILING_STATUS=MR","FA_ADJUSTED=GAAP","Fill=—")</f>
        <v>24.452759588400376</v>
      </c>
      <c r="AI20" s="21">
        <f>_xll.BDP("ADBE US Equity","PROF_MARGIN","EQY_FUND_YEAR=2019","FUND_PER=C3","EQY_FUND_CRNCY=USD","FILING_STATUS=MR","FA_ADJUSTED=GAAP","Fill=—")</f>
        <v>25.675510453600687</v>
      </c>
      <c r="AJ20" s="21">
        <f>_xll.BDP("ADBE US Equity","PROF_MARGIN","EQY_FUND_YEAR=2019","FUND_PER=C4","EQY_FUND_CRNCY=USD","FILING_STATUS=MR","FA_ADJUSTED=GAAP","Fill=—")</f>
        <v>26.420011928784991</v>
      </c>
      <c r="AK20" s="21">
        <f>_xll.BDP("ADBE US Equity","PROF_MARGIN","EQY_FUND_YEAR=2020","FUND_PER=C1","EQY_FUND_CRNCY=USD","FILING_STATUS=MR","FA_ADJUSTED=GAAP","Fill=—")</f>
        <v>30.896150113231961</v>
      </c>
      <c r="AL20" s="21">
        <f>_xll.BDP("ADBE US Equity","PROF_MARGIN","EQY_FUND_YEAR=2020","FUND_PER=C2","EQY_FUND_CRNCY=USD","FILING_STATUS=MR","FA_ADJUSTED=GAAP","Fill=—")</f>
        <v>33.043897732754459</v>
      </c>
      <c r="AM20" s="21">
        <f>_xll.BDP("ADBE US Equity","PROF_MARGIN","EQY_FUND_YEAR=2020","FUND_PER=C3","EQY_FUND_CRNCY=USD","FILING_STATUS=MR","FA_ADJUSTED=GAAP","Fill=—")</f>
        <v>31.872088098263447</v>
      </c>
      <c r="AN20" s="21">
        <f>_xll.BDP("ADBE US Equity","PROF_MARGIN","EQY_FUND_YEAR=2020","FUND_PER=C4","EQY_FUND_CRNCY=USD","FILING_STATUS=MR","FA_ADJUSTED=GAAP","Fill=—")</f>
        <v>40.876593099160708</v>
      </c>
      <c r="AO20" s="21">
        <f>_xll.BDP("ADBE US Equity","PROF_MARGIN","EQY_FUND_YEAR=2021","FUND_PER=C1","EQY_FUND_CRNCY=USD","FILING_STATUS=MR","FA_ADJUSTED=GAAP","Fill=—")</f>
        <v>32.291933418693979</v>
      </c>
      <c r="AP20" s="21">
        <f>_xll.BDP("ADBE US Equity","PROF_MARGIN","EQY_FUND_YEAR=2021","FUND_PER=C2","EQY_FUND_CRNCY=USD","FILING_STATUS=MR","FA_ADJUSTED=GAAP","Fill=—")</f>
        <v>30.710594315245476</v>
      </c>
    </row>
    <row r="21" spans="1:42" x14ac:dyDescent="0.25">
      <c r="A21" s="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</row>
    <row r="22" spans="1:42" x14ac:dyDescent="0.25">
      <c r="A22" s="7" t="s">
        <v>118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x14ac:dyDescent="0.25">
      <c r="A23" s="8" t="s">
        <v>119</v>
      </c>
      <c r="B23" s="8" t="s">
        <v>120</v>
      </c>
      <c r="C23" s="21">
        <f>_xll.BDP("ADBE US Equity","EFF_TAX_RATE","EQY_FUND_YEAR=2011","FUND_PER=C3","EQY_FUND_CRNCY=USD","FILING_STATUS=MR","FA_ADJUSTED=GAAP","Fill=—")</f>
        <v>17.819587307524472</v>
      </c>
      <c r="D23" s="21">
        <f>_xll.BDP("ADBE US Equity","EFF_TAX_RATE","EQY_FUND_YEAR=2011","FUND_PER=C4","EQY_FUND_CRNCY=USD","FILING_STATUS=MR","FA_ADJUSTED=GAAP","Fill=—")</f>
        <v>19.549568694879397</v>
      </c>
      <c r="E23" s="21">
        <f>_xll.BDP("ADBE US Equity","EFF_TAX_RATE","EQY_FUND_YEAR=2012","FUND_PER=C1","EQY_FUND_CRNCY=USD","FILING_STATUS=MR","FA_ADJUSTED=GAAP","Fill=—")</f>
        <v>31.499720760271771</v>
      </c>
      <c r="F23" s="21">
        <f>_xll.BDP("ADBE US Equity","EFF_TAX_RATE","EQY_FUND_YEAR=2012","FUND_PER=C2","EQY_FUND_CRNCY=USD","FILING_STATUS=MR","FA_ADJUSTED=GAAP","Fill=—")</f>
        <v>27.589295354818383</v>
      </c>
      <c r="G23" s="21">
        <f>_xll.BDP("ADBE US Equity","EFF_TAX_RATE","EQY_FUND_YEAR=2012","FUND_PER=C3","EQY_FUND_CRNCY=USD","FILING_STATUS=MR","FA_ADJUSTED=GAAP","Fill=—")</f>
        <v>26.289631388989847</v>
      </c>
      <c r="H23" s="21">
        <f>_xll.BDP("ADBE US Equity","EFF_TAX_RATE","EQY_FUND_YEAR=2012","FUND_PER=C4","EQY_FUND_CRNCY=USD","FILING_STATUS=MR","FA_ADJUSTED=GAAP","Fill=—")</f>
        <v>25.564938675037585</v>
      </c>
      <c r="I23" s="21">
        <f>_xll.BDP("ADBE US Equity","EFF_TAX_RATE","EQY_FUND_YEAR=2013","FUND_PER=C1","EQY_FUND_CRNCY=USD","FILING_STATUS=MR","FA_ADJUSTED=GAAP","Fill=—")</f>
        <v>22.00062287384409</v>
      </c>
      <c r="J23" s="21">
        <f>_xll.BDP("ADBE US Equity","EFF_TAX_RATE","EQY_FUND_YEAR=2013","FUND_PER=C2","EQY_FUND_CRNCY=USD","FILING_STATUS=MR","FA_ADJUSTED=GAAP","Fill=—")</f>
        <v>18.869372490851095</v>
      </c>
      <c r="K23" s="21">
        <f>_xll.BDP("ADBE US Equity","EFF_TAX_RATE","EQY_FUND_YEAR=2013","FUND_PER=C3","EQY_FUND_CRNCY=USD","FILING_STATUS=MR","FA_ADJUSTED=GAAP","Fill=—")</f>
        <v>16.129405572085073</v>
      </c>
      <c r="L23" s="21">
        <f>_xll.BDP("ADBE US Equity","EFF_TAX_RATE","EQY_FUND_YEAR=2013","FUND_PER=C4","EQY_FUND_CRNCY=USD","FILING_STATUS=MR","FA_ADJUSTED=GAAP","Fill=—")</f>
        <v>18.575788802749475</v>
      </c>
      <c r="M23" s="21">
        <f>_xll.BDP("ADBE US Equity","EFF_TAX_RATE","EQY_FUND_YEAR=2014","FUND_PER=C1","EQY_FUND_CRNCY=USD","FILING_STATUS=MR","FA_ADJUSTED=GAAP","Fill=—")</f>
        <v>27.501078715404059</v>
      </c>
      <c r="N23" s="21">
        <f>_xll.BDP("ADBE US Equity","EFF_TAX_RATE","EQY_FUND_YEAR=2014","FUND_PER=C2","EQY_FUND_CRNCY=USD","FILING_STATUS=MR","FA_ADJUSTED=GAAP","Fill=—")</f>
        <v>27.175109984261102</v>
      </c>
      <c r="O23" s="21">
        <f>_xll.BDP("ADBE US Equity","EFF_TAX_RATE","EQY_FUND_YEAR=2014","FUND_PER=C3","EQY_FUND_CRNCY=USD","FILING_STATUS=MR","FA_ADJUSTED=GAAP","Fill=—")</f>
        <v>27.636179702209144</v>
      </c>
      <c r="P23" s="21">
        <f>_xll.BDP("ADBE US Equity","EFF_TAX_RATE","EQY_FUND_YEAR=2014","FUND_PER=C4","EQY_FUND_CRNCY=USD","FILING_STATUS=MR","FA_ADJUSTED=GAAP","Fill=—")</f>
        <v>25.729710882847783</v>
      </c>
      <c r="Q23" s="21">
        <f>_xll.BDP("ADBE US Equity","EFF_TAX_RATE","EQY_FUND_YEAR=2015","FUND_PER=C1","EQY_FUND_CRNCY=USD","FILING_STATUS=MR","FA_ADJUSTED=GAAP","Fill=—")</f>
        <v>48.000588062334607</v>
      </c>
      <c r="R23" s="21">
        <f>_xll.BDP("ADBE US Equity","EFF_TAX_RATE","EQY_FUND_YEAR=2015","FUND_PER=C2","EQY_FUND_CRNCY=USD","FILING_STATUS=MR","FA_ADJUSTED=GAAP","Fill=—")</f>
        <v>32.490950607456817</v>
      </c>
      <c r="S23" s="21">
        <f>_xll.BDP("ADBE US Equity","EFF_TAX_RATE","EQY_FUND_YEAR=2015","FUND_PER=C3","EQY_FUND_CRNCY=USD","FILING_STATUS=MR","FA_ADJUSTED=GAAP","Fill=—")</f>
        <v>29.469992597613555</v>
      </c>
      <c r="T23" s="21">
        <f>_xll.BDP("ADBE US Equity","EFF_TAX_RATE","EQY_FUND_YEAR=2015","FUND_PER=C4","EQY_FUND_CRNCY=USD","FILING_STATUS=MR","FA_ADJUSTED=GAAP","Fill=—")</f>
        <v>27.950939651926515</v>
      </c>
      <c r="U23" s="21">
        <f>_xll.BDP("ADBE US Equity","EFF_TAX_RATE","EQY_FUND_YEAR=2016","FUND_PER=C1","EQY_FUND_CRNCY=USD","FILING_STATUS=MR","FA_ADJUSTED=GAAP","Fill=—")</f>
        <v>13.000030789546607</v>
      </c>
      <c r="V23" s="21">
        <f>_xll.BDP("ADBE US Equity","EFF_TAX_RATE","EQY_FUND_YEAR=2016","FUND_PER=C2","EQY_FUND_CRNCY=USD","FILING_STATUS=MR","FA_ADJUSTED=GAAP","Fill=—")</f>
        <v>19.892081647611377</v>
      </c>
      <c r="W23" s="21">
        <f>_xll.BDP("ADBE US Equity","EFF_TAX_RATE","EQY_FUND_YEAR=2016","FUND_PER=C3","EQY_FUND_CRNCY=USD","FILING_STATUS=MR","FA_ADJUSTED=GAAP","Fill=—")</f>
        <v>21.388069555761327</v>
      </c>
      <c r="X23" s="21">
        <f>_xll.BDP("ADBE US Equity","EFF_TAX_RATE","EQY_FUND_YEAR=2016","FUND_PER=C4","EQY_FUND_CRNCY=USD","FILING_STATUS=MR","FA_ADJUSTED=GAAP","Fill=—")</f>
        <v>18.559608901722342</v>
      </c>
      <c r="Y23" s="21">
        <f>_xll.BDP("ADBE US Equity","EFF_TAX_RATE","EQY_FUND_YEAR=2017","FUND_PER=C1","EQY_FUND_CRNCY=USD","FILING_STATUS=MR","FA_ADJUSTED=GAAP","Fill=—")</f>
        <v>13.500147623265427</v>
      </c>
      <c r="Z23" s="21">
        <f>_xll.BDP("ADBE US Equity","EFF_TAX_RATE","EQY_FUND_YEAR=2017","FUND_PER=C2","EQY_FUND_CRNCY=USD","FILING_STATUS=MR","FA_ADJUSTED=GAAP","Fill=—")</f>
        <v>18.926199842643587</v>
      </c>
      <c r="AA23" s="21">
        <f>_xll.BDP("ADBE US Equity","EFF_TAX_RATE","EQY_FUND_YEAR=2017","FUND_PER=C3","EQY_FUND_CRNCY=USD","FILING_STATUS=MR","FA_ADJUSTED=GAAP","Fill=—")</f>
        <v>20.220670146236959</v>
      </c>
      <c r="AB23" s="21">
        <f>_xll.BDP("ADBE US Equity","EFF_TAX_RATE","EQY_FUND_YEAR=2017","FUND_PER=C4","EQY_FUND_CRNCY=USD","FILING_STATUS=MR","FA_ADJUSTED=GAAP","Fill=—")</f>
        <v>20.755917387437833</v>
      </c>
      <c r="AC23" s="21">
        <f>_xll.BDP("ADBE US Equity","EFF_TAX_RATE","EQY_FUND_YEAR=2018","FUND_PER=C1","EQY_FUND_CRNCY=USD","FILING_STATUS=MR","FA_ADJUSTED=GAAP","Fill=—")</f>
        <v>17.000093949910465</v>
      </c>
      <c r="AD23" s="21">
        <f>_xll.BDP("ADBE US Equity","EFF_TAX_RATE","EQY_FUND_YEAR=2018","FUND_PER=C2","EQY_FUND_CRNCY=USD","FILING_STATUS=MR","FA_ADJUSTED=GAAP","Fill=—")</f>
        <v>10.554646842283182</v>
      </c>
      <c r="AE23" s="21">
        <f>_xll.BDP("ADBE US Equity","EFF_TAX_RATE","EQY_FUND_YEAR=2018","FUND_PER=C3","EQY_FUND_CRNCY=USD","FILING_STATUS=MR","FA_ADJUSTED=GAAP","Fill=—")</f>
        <v>8.6947326509947445</v>
      </c>
      <c r="AF23" s="21">
        <f>_xll.BDP("ADBE US Equity","EFF_TAX_RATE","EQY_FUND_YEAR=2018","FUND_PER=C4","EQY_FUND_CRNCY=USD","FILING_STATUS=MR","FA_ADJUSTED=GAAP","Fill=—")</f>
        <v>7.2695423848445673</v>
      </c>
      <c r="AG23" s="21">
        <f>_xll.BDP("ADBE US Equity","EFF_TAX_RATE","EQY_FUND_YEAR=2019","FUND_PER=C1","EQY_FUND_CRNCY=USD","FILING_STATUS=MR","FA_ADJUSTED=GAAP","Fill=—")</f>
        <v>3.9999487423362678</v>
      </c>
      <c r="AH23" s="21">
        <f>_xll.BDP("ADBE US Equity","EFF_TAX_RATE","EQY_FUND_YEAR=2019","FUND_PER=C2","EQY_FUND_CRNCY=USD","FILING_STATUS=MR","FA_ADJUSTED=GAAP","Fill=—")</f>
        <v>7.5017692852087761</v>
      </c>
      <c r="AI23" s="21">
        <f>_xll.BDP("ADBE US Equity","EFF_TAX_RATE","EQY_FUND_YEAR=2019","FUND_PER=C3","EQY_FUND_CRNCY=USD","FILING_STATUS=MR","FA_ADJUSTED=GAAP","Fill=—")</f>
        <v>6.5836298932384336</v>
      </c>
      <c r="AJ23" s="21">
        <f>_xll.BDP("ADBE US Equity","EFF_TAX_RATE","EQY_FUND_YEAR=2019","FUND_PER=C4","EQY_FUND_CRNCY=USD","FILING_STATUS=MR","FA_ADJUSTED=GAAP","Fill=—")</f>
        <v>7.9033843920616356</v>
      </c>
      <c r="AK23" s="21" t="str">
        <f>_xll.BDP("ADBE US Equity","EFF_TAX_RATE","EQY_FUND_YEAR=2020","FUND_PER=C1","EQY_FUND_CRNCY=USD","FILING_STATUS=MR","FA_ADJUSTED=GAAP","Fill=—")</f>
        <v>—</v>
      </c>
      <c r="AL23" s="21" t="str">
        <f>_xll.BDP("ADBE US Equity","EFF_TAX_RATE","EQY_FUND_YEAR=2020","FUND_PER=C2","EQY_FUND_CRNCY=USD","FILING_STATUS=MR","FA_ADJUSTED=GAAP","Fill=—")</f>
        <v>—</v>
      </c>
      <c r="AM23" s="21" t="str">
        <f>_xll.BDP("ADBE US Equity","EFF_TAX_RATE","EQY_FUND_YEAR=2020","FUND_PER=C3","EQY_FUND_CRNCY=USD","FILING_STATUS=MR","FA_ADJUSTED=GAAP","Fill=—")</f>
        <v>—</v>
      </c>
      <c r="AN23" s="21" t="str">
        <f>_xll.BDP("ADBE US Equity","EFF_TAX_RATE","EQY_FUND_YEAR=2020","FUND_PER=C4","EQY_FUND_CRNCY=USD","FILING_STATUS=MR","FA_ADJUSTED=GAAP","Fill=—")</f>
        <v>—</v>
      </c>
      <c r="AO23" s="21">
        <f>_xll.BDP("ADBE US Equity","EFF_TAX_RATE","EQY_FUND_YEAR=2021","FUND_PER=C1","EQY_FUND_CRNCY=USD","FILING_STATUS=MR","FA_ADJUSTED=GAAP","Fill=—")</f>
        <v>12.002791346824843</v>
      </c>
      <c r="AP23" s="21">
        <f>_xll.BDP("ADBE US Equity","EFF_TAX_RATE","EQY_FUND_YEAR=2021","FUND_PER=C2","EQY_FUND_CRNCY=USD","FILING_STATUS=MR","FA_ADJUSTED=GAAP","Fill=—")</f>
        <v>15.679318907413977</v>
      </c>
    </row>
    <row r="24" spans="1:42" x14ac:dyDescent="0.25">
      <c r="A24" s="8" t="s">
        <v>121</v>
      </c>
      <c r="B24" s="8" t="s">
        <v>122</v>
      </c>
      <c r="C24" s="21">
        <f>_xll.BDP("ADBE US Equity","DVD_PAYOUT_RATIO","EQY_FUND_YEAR=2011","FUND_PER=C3","EQY_FUND_CRNCY=USD","FILING_STATUS=MR","FA_ADJUSTED=GAAP","Fill=—")</f>
        <v>0</v>
      </c>
      <c r="D24" s="21">
        <f>_xll.BDP("ADBE US Equity","DVD_PAYOUT_RATIO","EQY_FUND_YEAR=2011","FUND_PER=C4","EQY_FUND_CRNCY=USD","FILING_STATUS=MR","FA_ADJUSTED=GAAP","Fill=—")</f>
        <v>0</v>
      </c>
      <c r="E24" s="21">
        <f>_xll.BDP("ADBE US Equity","DVD_PAYOUT_RATIO","EQY_FUND_YEAR=2012","FUND_PER=C1","EQY_FUND_CRNCY=USD","FILING_STATUS=MR","FA_ADJUSTED=GAAP","Fill=—")</f>
        <v>0</v>
      </c>
      <c r="F24" s="21">
        <f>_xll.BDP("ADBE US Equity","DVD_PAYOUT_RATIO","EQY_FUND_YEAR=2012","FUND_PER=C2","EQY_FUND_CRNCY=USD","FILING_STATUS=MR","FA_ADJUSTED=GAAP","Fill=—")</f>
        <v>0</v>
      </c>
      <c r="G24" s="21">
        <f>_xll.BDP("ADBE US Equity","DVD_PAYOUT_RATIO","EQY_FUND_YEAR=2012","FUND_PER=C3","EQY_FUND_CRNCY=USD","FILING_STATUS=MR","FA_ADJUSTED=GAAP","Fill=—")</f>
        <v>0</v>
      </c>
      <c r="H24" s="21">
        <f>_xll.BDP("ADBE US Equity","DVD_PAYOUT_RATIO","EQY_FUND_YEAR=2012","FUND_PER=C4","EQY_FUND_CRNCY=USD","FILING_STATUS=MR","FA_ADJUSTED=GAAP","Fill=—")</f>
        <v>0</v>
      </c>
      <c r="I24" s="21">
        <f>_xll.BDP("ADBE US Equity","DVD_PAYOUT_RATIO","EQY_FUND_YEAR=2013","FUND_PER=C1","EQY_FUND_CRNCY=USD","FILING_STATUS=MR","FA_ADJUSTED=GAAP","Fill=—")</f>
        <v>0</v>
      </c>
      <c r="J24" s="21">
        <f>_xll.BDP("ADBE US Equity","DVD_PAYOUT_RATIO","EQY_FUND_YEAR=2013","FUND_PER=C2","EQY_FUND_CRNCY=USD","FILING_STATUS=MR","FA_ADJUSTED=GAAP","Fill=—")</f>
        <v>0</v>
      </c>
      <c r="K24" s="21">
        <f>_xll.BDP("ADBE US Equity","DVD_PAYOUT_RATIO","EQY_FUND_YEAR=2013","FUND_PER=C3","EQY_FUND_CRNCY=USD","FILING_STATUS=MR","FA_ADJUSTED=GAAP","Fill=—")</f>
        <v>0</v>
      </c>
      <c r="L24" s="21">
        <f>_xll.BDP("ADBE US Equity","DVD_PAYOUT_RATIO","EQY_FUND_YEAR=2013","FUND_PER=C4","EQY_FUND_CRNCY=USD","FILING_STATUS=MR","FA_ADJUSTED=GAAP","Fill=—")</f>
        <v>0</v>
      </c>
      <c r="M24" s="21">
        <f>_xll.BDP("ADBE US Equity","DVD_PAYOUT_RATIO","EQY_FUND_YEAR=2014","FUND_PER=C1","EQY_FUND_CRNCY=USD","FILING_STATUS=MR","FA_ADJUSTED=GAAP","Fill=—")</f>
        <v>0</v>
      </c>
      <c r="N24" s="21">
        <f>_xll.BDP("ADBE US Equity","DVD_PAYOUT_RATIO","EQY_FUND_YEAR=2014","FUND_PER=C2","EQY_FUND_CRNCY=USD","FILING_STATUS=MR","FA_ADJUSTED=GAAP","Fill=—")</f>
        <v>0</v>
      </c>
      <c r="O24" s="21">
        <f>_xll.BDP("ADBE US Equity","DVD_PAYOUT_RATIO","EQY_FUND_YEAR=2014","FUND_PER=C3","EQY_FUND_CRNCY=USD","FILING_STATUS=MR","FA_ADJUSTED=GAAP","Fill=—")</f>
        <v>0</v>
      </c>
      <c r="P24" s="21">
        <f>_xll.BDP("ADBE US Equity","DVD_PAYOUT_RATIO","EQY_FUND_YEAR=2014","FUND_PER=C4","EQY_FUND_CRNCY=USD","FILING_STATUS=MR","FA_ADJUSTED=GAAP","Fill=—")</f>
        <v>0</v>
      </c>
      <c r="Q24" s="21">
        <f>_xll.BDP("ADBE US Equity","DVD_PAYOUT_RATIO","EQY_FUND_YEAR=2015","FUND_PER=C1","EQY_FUND_CRNCY=USD","FILING_STATUS=MR","FA_ADJUSTED=GAAP","Fill=—")</f>
        <v>0</v>
      </c>
      <c r="R24" s="21">
        <f>_xll.BDP("ADBE US Equity","DVD_PAYOUT_RATIO","EQY_FUND_YEAR=2015","FUND_PER=C2","EQY_FUND_CRNCY=USD","FILING_STATUS=MR","FA_ADJUSTED=GAAP","Fill=—")</f>
        <v>0</v>
      </c>
      <c r="S24" s="21">
        <f>_xll.BDP("ADBE US Equity","DVD_PAYOUT_RATIO","EQY_FUND_YEAR=2015","FUND_PER=C3","EQY_FUND_CRNCY=USD","FILING_STATUS=MR","FA_ADJUSTED=GAAP","Fill=—")</f>
        <v>0</v>
      </c>
      <c r="T24" s="21">
        <f>_xll.BDP("ADBE US Equity","DVD_PAYOUT_RATIO","EQY_FUND_YEAR=2015","FUND_PER=C4","EQY_FUND_CRNCY=USD","FILING_STATUS=MR","FA_ADJUSTED=GAAP","Fill=—")</f>
        <v>0</v>
      </c>
      <c r="U24" s="21">
        <f>_xll.BDP("ADBE US Equity","DVD_PAYOUT_RATIO","EQY_FUND_YEAR=2016","FUND_PER=C1","EQY_FUND_CRNCY=USD","FILING_STATUS=MR","FA_ADJUSTED=GAAP","Fill=—")</f>
        <v>0</v>
      </c>
      <c r="V24" s="21">
        <f>_xll.BDP("ADBE US Equity","DVD_PAYOUT_RATIO","EQY_FUND_YEAR=2016","FUND_PER=C2","EQY_FUND_CRNCY=USD","FILING_STATUS=MR","FA_ADJUSTED=GAAP","Fill=—")</f>
        <v>0</v>
      </c>
      <c r="W24" s="21">
        <f>_xll.BDP("ADBE US Equity","DVD_PAYOUT_RATIO","EQY_FUND_YEAR=2016","FUND_PER=C3","EQY_FUND_CRNCY=USD","FILING_STATUS=MR","FA_ADJUSTED=GAAP","Fill=—")</f>
        <v>0</v>
      </c>
      <c r="X24" s="21">
        <f>_xll.BDP("ADBE US Equity","DVD_PAYOUT_RATIO","EQY_FUND_YEAR=2016","FUND_PER=C4","EQY_FUND_CRNCY=USD","FILING_STATUS=MR","FA_ADJUSTED=GAAP","Fill=—")</f>
        <v>0</v>
      </c>
      <c r="Y24" s="21">
        <f>_xll.BDP("ADBE US Equity","DVD_PAYOUT_RATIO","EQY_FUND_YEAR=2017","FUND_PER=C1","EQY_FUND_CRNCY=USD","FILING_STATUS=MR","FA_ADJUSTED=GAAP","Fill=—")</f>
        <v>0</v>
      </c>
      <c r="Z24" s="21">
        <f>_xll.BDP("ADBE US Equity","DVD_PAYOUT_RATIO","EQY_FUND_YEAR=2017","FUND_PER=C2","EQY_FUND_CRNCY=USD","FILING_STATUS=MR","FA_ADJUSTED=GAAP","Fill=—")</f>
        <v>0</v>
      </c>
      <c r="AA24" s="21">
        <f>_xll.BDP("ADBE US Equity","DVD_PAYOUT_RATIO","EQY_FUND_YEAR=2017","FUND_PER=C3","EQY_FUND_CRNCY=USD","FILING_STATUS=MR","FA_ADJUSTED=GAAP","Fill=—")</f>
        <v>0</v>
      </c>
      <c r="AB24" s="21">
        <f>_xll.BDP("ADBE US Equity","DVD_PAYOUT_RATIO","EQY_FUND_YEAR=2017","FUND_PER=C4","EQY_FUND_CRNCY=USD","FILING_STATUS=MR","FA_ADJUSTED=GAAP","Fill=—")</f>
        <v>0</v>
      </c>
      <c r="AC24" s="21">
        <f>_xll.BDP("ADBE US Equity","DVD_PAYOUT_RATIO","EQY_FUND_YEAR=2018","FUND_PER=C1","EQY_FUND_CRNCY=USD","FILING_STATUS=MR","FA_ADJUSTED=GAAP","Fill=—")</f>
        <v>0</v>
      </c>
      <c r="AD24" s="21">
        <f>_xll.BDP("ADBE US Equity","DVD_PAYOUT_RATIO","EQY_FUND_YEAR=2018","FUND_PER=C2","EQY_FUND_CRNCY=USD","FILING_STATUS=MR","FA_ADJUSTED=GAAP","Fill=—")</f>
        <v>0</v>
      </c>
      <c r="AE24" s="21">
        <f>_xll.BDP("ADBE US Equity","DVD_PAYOUT_RATIO","EQY_FUND_YEAR=2018","FUND_PER=C3","EQY_FUND_CRNCY=USD","FILING_STATUS=MR","FA_ADJUSTED=GAAP","Fill=—")</f>
        <v>0</v>
      </c>
      <c r="AF24" s="21">
        <f>_xll.BDP("ADBE US Equity","DVD_PAYOUT_RATIO","EQY_FUND_YEAR=2018","FUND_PER=C4","EQY_FUND_CRNCY=USD","FILING_STATUS=MR","FA_ADJUSTED=GAAP","Fill=—")</f>
        <v>0</v>
      </c>
      <c r="AG24" s="21">
        <f>_xll.BDP("ADBE US Equity","DVD_PAYOUT_RATIO","EQY_FUND_YEAR=2019","FUND_PER=C1","EQY_FUND_CRNCY=USD","FILING_STATUS=MR","FA_ADJUSTED=GAAP","Fill=—")</f>
        <v>0</v>
      </c>
      <c r="AH24" s="21">
        <f>_xll.BDP("ADBE US Equity","DVD_PAYOUT_RATIO","EQY_FUND_YEAR=2019","FUND_PER=C2","EQY_FUND_CRNCY=USD","FILING_STATUS=MR","FA_ADJUSTED=GAAP","Fill=—")</f>
        <v>0</v>
      </c>
      <c r="AI24" s="21">
        <f>_xll.BDP("ADBE US Equity","DVD_PAYOUT_RATIO","EQY_FUND_YEAR=2019","FUND_PER=C3","EQY_FUND_CRNCY=USD","FILING_STATUS=MR","FA_ADJUSTED=GAAP","Fill=—")</f>
        <v>0</v>
      </c>
      <c r="AJ24" s="21">
        <f>_xll.BDP("ADBE US Equity","DVD_PAYOUT_RATIO","EQY_FUND_YEAR=2019","FUND_PER=C4","EQY_FUND_CRNCY=USD","FILING_STATUS=MR","FA_ADJUSTED=GAAP","Fill=—")</f>
        <v>0</v>
      </c>
      <c r="AK24" s="21">
        <f>_xll.BDP("ADBE US Equity","DVD_PAYOUT_RATIO","EQY_FUND_YEAR=2020","FUND_PER=C1","EQY_FUND_CRNCY=USD","FILING_STATUS=MR","FA_ADJUSTED=GAAP","Fill=—")</f>
        <v>0</v>
      </c>
      <c r="AL24" s="21">
        <f>_xll.BDP("ADBE US Equity","DVD_PAYOUT_RATIO","EQY_FUND_YEAR=2020","FUND_PER=C2","EQY_FUND_CRNCY=USD","FILING_STATUS=MR","FA_ADJUSTED=GAAP","Fill=—")</f>
        <v>0</v>
      </c>
      <c r="AM24" s="21">
        <f>_xll.BDP("ADBE US Equity","DVD_PAYOUT_RATIO","EQY_FUND_YEAR=2020","FUND_PER=C3","EQY_FUND_CRNCY=USD","FILING_STATUS=MR","FA_ADJUSTED=GAAP","Fill=—")</f>
        <v>0</v>
      </c>
      <c r="AN24" s="21">
        <f>_xll.BDP("ADBE US Equity","DVD_PAYOUT_RATIO","EQY_FUND_YEAR=2020","FUND_PER=C4","EQY_FUND_CRNCY=USD","FILING_STATUS=MR","FA_ADJUSTED=GAAP","Fill=—")</f>
        <v>0</v>
      </c>
      <c r="AO24" s="21">
        <f>_xll.BDP("ADBE US Equity","DVD_PAYOUT_RATIO","EQY_FUND_YEAR=2021","FUND_PER=C1","EQY_FUND_CRNCY=USD","FILING_STATUS=MR","FA_ADJUSTED=GAAP","Fill=—")</f>
        <v>0</v>
      </c>
      <c r="AP24" s="21">
        <f>_xll.BDP("ADBE US Equity","DVD_PAYOUT_RATIO","EQY_FUND_YEAR=2021","FUND_PER=C2","EQY_FUND_CRNCY=USD","FILING_STATUS=MR","FA_ADJUSTED=GAAP","Fill=—")</f>
        <v>0</v>
      </c>
    </row>
    <row r="25" spans="1:42" x14ac:dyDescent="0.25">
      <c r="A25" s="15" t="s">
        <v>125</v>
      </c>
      <c r="B25" s="15"/>
      <c r="C25" s="15" t="s">
        <v>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202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201</v>
      </c>
      <c r="B6" s="8" t="s">
        <v>200</v>
      </c>
      <c r="C6" s="21">
        <f>_xll.BDH("ADBE US Equity","CASH_RATIO","FQ3 2011","FQ3 2011","Currency=USD","Period=FQ","BEST_FPERIOD_OVERRIDE=FQ","FILING_STATUS=MR","Sort=A","Dates=H","DateFormat=P","Fill=—","Direction=H","UseDPDF=Y")</f>
        <v>2.6343000000000001</v>
      </c>
      <c r="D6" s="21">
        <f>_xll.BDH("ADBE US Equity","CASH_RATIO","FQ4 2011","FQ4 2011","Currency=USD","Period=FQ","BEST_FPERIOD_OVERRIDE=FQ","FILING_STATUS=MR","Sort=A","Dates=H","DateFormat=P","Fill=—","Direction=H","UseDPDF=Y")</f>
        <v>2.3279000000000001</v>
      </c>
      <c r="E6" s="21">
        <f>_xll.BDH("ADBE US Equity","CASH_RATIO","FQ1 2012","FQ1 2012","Currency=USD","Period=FQ","BEST_FPERIOD_OVERRIDE=FQ","FILING_STATUS=MR","Sort=A","Dates=H","DateFormat=P","Fill=—","Direction=H","UseDPDF=Y")</f>
        <v>2.4807999999999999</v>
      </c>
      <c r="F6" s="21">
        <f>_xll.BDH("ADBE US Equity","CASH_RATIO","FQ2 2012","FQ2 2012","Currency=USD","Period=FQ","BEST_FPERIOD_OVERRIDE=FQ","FILING_STATUS=MR","Sort=A","Dates=H","DateFormat=P","Fill=—","Direction=H","UseDPDF=Y")</f>
        <v>2.4068999999999998</v>
      </c>
      <c r="G6" s="21">
        <f>_xll.BDH("ADBE US Equity","CASH_RATIO","FQ3 2012","FQ3 2012","Currency=USD","Period=FQ","BEST_FPERIOD_OVERRIDE=FQ","FILING_STATUS=MR","Sort=A","Dates=H","DateFormat=P","Fill=—","Direction=H","UseDPDF=Y")</f>
        <v>2.7762000000000002</v>
      </c>
      <c r="H6" s="21">
        <f>_xll.BDH("ADBE US Equity","CASH_RATIO","FQ4 2012","FQ4 2012","Currency=USD","Period=FQ","BEST_FPERIOD_OVERRIDE=FQ","FILING_STATUS=MR","Sort=A","Dates=H","DateFormat=P","Fill=—","Direction=H","UseDPDF=Y")</f>
        <v>2.7823000000000002</v>
      </c>
      <c r="I6" s="21">
        <f>_xll.BDH("ADBE US Equity","CASH_RATIO","FQ1 2013","FQ1 2013","Currency=USD","Period=FQ","BEST_FPERIOD_OVERRIDE=FQ","FILING_STATUS=MR","Sort=A","Dates=H","DateFormat=P","Fill=—","Direction=H","UseDPDF=Y")</f>
        <v>2.8954</v>
      </c>
      <c r="J6" s="21">
        <f>_xll.BDH("ADBE US Equity","CASH_RATIO","FQ2 2013","FQ2 2013","Currency=USD","Period=FQ","BEST_FPERIOD_OVERRIDE=FQ","FILING_STATUS=MR","Sort=A","Dates=H","DateFormat=P","Fill=—","Direction=H","UseDPDF=Y")</f>
        <v>3.0562</v>
      </c>
      <c r="K6" s="21">
        <f>_xll.BDH("ADBE US Equity","CASH_RATIO","FQ3 2013","FQ3 2013","Currency=USD","Period=FQ","BEST_FPERIOD_OVERRIDE=FQ","FILING_STATUS=MR","Sort=A","Dates=H","DateFormat=P","Fill=—","Direction=H","UseDPDF=Y")</f>
        <v>2.3805000000000001</v>
      </c>
      <c r="L6" s="21">
        <f>_xll.BDH("ADBE US Equity","CASH_RATIO","FQ4 2013","FQ4 2013","Currency=USD","Period=FQ","BEST_FPERIOD_OVERRIDE=FQ","FILING_STATUS=MR","Sort=A","Dates=H","DateFormat=P","Fill=—","Direction=H","UseDPDF=Y")</f>
        <v>2.0802999999999998</v>
      </c>
      <c r="M6" s="21">
        <f>_xll.BDH("ADBE US Equity","CASH_RATIO","FQ1 2014","FQ1 2014","Currency=USD","Period=FQ","BEST_FPERIOD_OVERRIDE=FQ","FILING_STATUS=MR","Sort=A","Dates=H","DateFormat=P","Fill=—","Direction=H","UseDPDF=Y")</f>
        <v>1.4828000000000001</v>
      </c>
      <c r="N6" s="21">
        <f>_xll.BDH("ADBE US Equity","CASH_RATIO","FQ2 2014","FQ2 2014","Currency=USD","Period=FQ","BEST_FPERIOD_OVERRIDE=FQ","FILING_STATUS=MR","Sort=A","Dates=H","DateFormat=P","Fill=—","Direction=H","UseDPDF=Y")</f>
        <v>1.5015000000000001</v>
      </c>
      <c r="O6" s="21">
        <f>_xll.BDH("ADBE US Equity","CASH_RATIO","FQ3 2014","FQ3 2014","Currency=USD","Period=FQ","BEST_FPERIOD_OVERRIDE=FQ","FILING_STATUS=MR","Sort=A","Dates=H","DateFormat=P","Fill=—","Direction=H","UseDPDF=Y")</f>
        <v>1.5678000000000001</v>
      </c>
      <c r="P6" s="21">
        <f>_xll.BDH("ADBE US Equity","CASH_RATIO","FQ4 2014","FQ4 2014","Currency=USD","Period=FQ","BEST_FPERIOD_OVERRIDE=FQ","FILING_STATUS=MR","Sort=A","Dates=H","DateFormat=P","Fill=—","Direction=H","UseDPDF=Y")</f>
        <v>1.4990999999999999</v>
      </c>
      <c r="Q6" s="21">
        <f>_xll.BDH("ADBE US Equity","CASH_RATIO","FQ1 2015","FQ1 2015","Currency=USD","Period=FQ","BEST_FPERIOD_OVERRIDE=FQ","FILING_STATUS=MR","Sort=A","Dates=H","DateFormat=P","Fill=—","Direction=H","UseDPDF=Y")</f>
        <v>1.7766</v>
      </c>
      <c r="R6" s="21">
        <f>_xll.BDH("ADBE US Equity","CASH_RATIO","FQ2 2015","FQ2 2015","Currency=USD","Period=FQ","BEST_FPERIOD_OVERRIDE=FQ","FILING_STATUS=MR","Sort=A","Dates=H","DateFormat=P","Fill=—","Direction=H","UseDPDF=Y")</f>
        <v>1.7621</v>
      </c>
      <c r="S6" s="21">
        <f>_xll.BDH("ADBE US Equity","CASH_RATIO","FQ3 2015","FQ3 2015","Currency=USD","Period=FQ","BEST_FPERIOD_OVERRIDE=FQ","FILING_STATUS=MR","Sort=A","Dates=H","DateFormat=P","Fill=—","Direction=H","UseDPDF=Y")</f>
        <v>1.7802</v>
      </c>
      <c r="T6" s="21">
        <f>_xll.BDH("ADBE US Equity","CASH_RATIO","FQ4 2015","FQ4 2015","Currency=USD","Period=FQ","BEST_FPERIOD_OVERRIDE=FQ","FILING_STATUS=MR","Sort=A","Dates=H","DateFormat=P","Fill=—","Direction=H","UseDPDF=Y")</f>
        <v>1.8016999999999999</v>
      </c>
      <c r="U6" s="21">
        <f>_xll.BDH("ADBE US Equity","CASH_RATIO","FQ1 2016","FQ1 2016","Currency=USD","Period=FQ","BEST_FPERIOD_OVERRIDE=FQ","FILING_STATUS=MR","Sort=A","Dates=H","DateFormat=P","Fill=—","Direction=H","UseDPDF=Y")</f>
        <v>1.8361000000000001</v>
      </c>
      <c r="V6" s="21">
        <f>_xll.BDH("ADBE US Equity","CASH_RATIO","FQ2 2016","FQ2 2016","Currency=USD","Period=FQ","BEST_FPERIOD_OVERRIDE=FQ","FILING_STATUS=MR","Sort=A","Dates=H","DateFormat=P","Fill=—","Direction=H","UseDPDF=Y")</f>
        <v>1.8102</v>
      </c>
      <c r="W6" s="21">
        <f>_xll.BDH("ADBE US Equity","CASH_RATIO","FQ3 2016","FQ3 2016","Currency=USD","Period=FQ","BEST_FPERIOD_OVERRIDE=FQ","FILING_STATUS=MR","Sort=A","Dates=H","DateFormat=P","Fill=—","Direction=H","UseDPDF=Y")</f>
        <v>1.7745</v>
      </c>
      <c r="X6" s="21">
        <f>_xll.BDH("ADBE US Equity","CASH_RATIO","FQ4 2016","FQ4 2016","Currency=USD","Period=FQ","BEST_FPERIOD_OVERRIDE=FQ","FILING_STATUS=MR","Sort=A","Dates=H","DateFormat=P","Fill=—","Direction=H","UseDPDF=Y")</f>
        <v>1.6934</v>
      </c>
      <c r="Y6" s="21">
        <f>_xll.BDH("ADBE US Equity","CASH_RATIO","FQ1 2017","FQ1 2017","Currency=USD","Period=FQ","BEST_FPERIOD_OVERRIDE=FQ","FILING_STATUS=MR","Sort=A","Dates=H","DateFormat=P","Fill=—","Direction=H","UseDPDF=Y")</f>
        <v>1.5733000000000001</v>
      </c>
      <c r="Z6" s="21">
        <f>_xll.BDH("ADBE US Equity","CASH_RATIO","FQ2 2017","FQ2 2017","Currency=USD","Period=FQ","BEST_FPERIOD_OVERRIDE=FQ","FILING_STATUS=MR","Sort=A","Dates=H","DateFormat=P","Fill=—","Direction=H","UseDPDF=Y")</f>
        <v>1.6179999999999999</v>
      </c>
      <c r="AA6" s="21">
        <f>_xll.BDH("ADBE US Equity","CASH_RATIO","FQ3 2017","FQ3 2017","Currency=USD","Period=FQ","BEST_FPERIOD_OVERRIDE=FQ","FILING_STATUS=MR","Sort=A","Dates=H","DateFormat=P","Fill=—","Direction=H","UseDPDF=Y")</f>
        <v>1.6692</v>
      </c>
      <c r="AB6" s="21">
        <f>_xll.BDH("ADBE US Equity","CASH_RATIO","FQ4 2017","FQ4 2017","Currency=USD","Period=FQ","BEST_FPERIOD_OVERRIDE=FQ","FILING_STATUS=MR","Sort=A","Dates=H","DateFormat=P","Fill=—","Direction=H","UseDPDF=Y")</f>
        <v>1.6497999999999999</v>
      </c>
      <c r="AC6" s="21">
        <f>_xll.BDH("ADBE US Equity","CASH_RATIO","FQ1 2018","FQ1 2018","Currency=USD","Period=FQ","BEST_FPERIOD_OVERRIDE=FQ","FILING_STATUS=MR","Sort=A","Dates=H","DateFormat=P","Fill=—","Direction=H","UseDPDF=Y")</f>
        <v>1.7383999999999999</v>
      </c>
      <c r="AD6" s="21">
        <f>_xll.BDH("ADBE US Equity","CASH_RATIO","FQ2 2018","FQ2 2018","Currency=USD","Period=FQ","BEST_FPERIOD_OVERRIDE=FQ","FILING_STATUS=MR","Sort=A","Dates=H","DateFormat=P","Fill=—","Direction=H","UseDPDF=Y")</f>
        <v>1.6985999999999999</v>
      </c>
      <c r="AE6" s="21">
        <f>_xll.BDH("ADBE US Equity","CASH_RATIO","FQ3 2018","FQ3 2018","Currency=USD","Period=FQ","BEST_FPERIOD_OVERRIDE=FQ","FILING_STATUS=MR","Sort=A","Dates=H","DateFormat=P","Fill=—","Direction=H","UseDPDF=Y")</f>
        <v>1.3039000000000001</v>
      </c>
      <c r="AF6" s="21">
        <f>_xll.BDH("ADBE US Equity","CASH_RATIO","FQ4 2018","FQ4 2018","Currency=USD","Period=FQ","BEST_FPERIOD_OVERRIDE=FQ","FILING_STATUS=MR","Sort=A","Dates=H","DateFormat=P","Fill=—","Direction=H","UseDPDF=Y")</f>
        <v>0.75070000000000003</v>
      </c>
      <c r="AG6" s="21">
        <f>_xll.BDH("ADBE US Equity","CASH_RATIO","FQ1 2019","FQ1 2019","Currency=USD","Period=FQ","BEST_FPERIOD_OVERRIDE=FQ","FILING_STATUS=MR","Sort=A","Dates=H","DateFormat=P","Fill=—","Direction=H","UseDPDF=Y")</f>
        <v>0.60719999999999996</v>
      </c>
      <c r="AH6" s="21">
        <f>_xll.BDH("ADBE US Equity","CASH_RATIO","FQ2 2019","FQ2 2019","Currency=USD","Period=FQ","BEST_FPERIOD_OVERRIDE=FQ","FILING_STATUS=MR","Sort=A","Dates=H","DateFormat=P","Fill=—","Direction=H","UseDPDF=Y")</f>
        <v>0.4526</v>
      </c>
      <c r="AI6" s="21">
        <f>_xll.BDH("ADBE US Equity","CASH_RATIO","FQ3 2019","FQ3 2019","Currency=USD","Period=FQ","BEST_FPERIOD_OVERRIDE=FQ","FILING_STATUS=MR","Sort=A","Dates=H","DateFormat=P","Fill=—","Direction=H","UseDPDF=Y")</f>
        <v>0.46789999999999998</v>
      </c>
      <c r="AJ6" s="21">
        <f>_xll.BDH("ADBE US Equity","CASH_RATIO","FQ4 2019","FQ4 2019","Currency=USD","Period=FQ","BEST_FPERIOD_OVERRIDE=FQ","FILING_STATUS=MR","Sort=A","Dates=H","DateFormat=P","Fill=—","Direction=H","UseDPDF=Y")</f>
        <v>0.51</v>
      </c>
      <c r="AK6" s="21">
        <f>_xll.BDH("ADBE US Equity","CASH_RATIO","FQ1 2020","FQ1 2020","Currency=USD","Period=FQ","BEST_FPERIOD_OVERRIDE=FQ","FILING_STATUS=MR","Sort=A","Dates=H","DateFormat=P","Fill=—","Direction=H","UseDPDF=Y")</f>
        <v>0.79779999999999995</v>
      </c>
      <c r="AL6" s="21">
        <f>_xll.BDH("ADBE US Equity","CASH_RATIO","FQ2 2020","FQ2 2020","Currency=USD","Period=FQ","BEST_FPERIOD_OVERRIDE=FQ","FILING_STATUS=MR","Sort=A","Dates=H","DateFormat=P","Fill=—","Direction=H","UseDPDF=Y")</f>
        <v>0.84260000000000002</v>
      </c>
      <c r="AM6" s="21">
        <f>_xll.BDH("ADBE US Equity","CASH_RATIO","FQ3 2020","FQ3 2020","Currency=USD","Period=FQ","BEST_FPERIOD_OVERRIDE=FQ","FILING_STATUS=MR","Sort=A","Dates=H","DateFormat=P","Fill=—","Direction=H","UseDPDF=Y")</f>
        <v>1.0261</v>
      </c>
      <c r="AN6" s="21">
        <f>_xll.BDH("ADBE US Equity","CASH_RATIO","FQ4 2020","FQ4 2020","Currency=USD","Period=FQ","BEST_FPERIOD_OVERRIDE=FQ","FILING_STATUS=MR","Sort=A","Dates=H","DateFormat=P","Fill=—","Direction=H","UseDPDF=Y")</f>
        <v>1.0871</v>
      </c>
      <c r="AO6" s="21">
        <f>_xll.BDH("ADBE US Equity","CASH_RATIO","FQ1 2021","FQ1 2021","Currency=USD","Period=FQ","BEST_FPERIOD_OVERRIDE=FQ","FILING_STATUS=MR","Sort=A","Dates=H","DateFormat=P","Fill=—","Direction=H","UseDPDF=Y")</f>
        <v>0.8548</v>
      </c>
      <c r="AP6" s="21">
        <f>_xll.BDH("ADBE US Equity","CASH_RATIO","FQ2 2021","FQ2 2021","Currency=USD","Period=FQ","BEST_FPERIOD_OVERRIDE=FQ","FILING_STATUS=MR","Sort=A","Dates=H","DateFormat=P","Fill=—","Direction=H","UseDPDF=Y")</f>
        <v>0.93859999999999999</v>
      </c>
    </row>
    <row r="7" spans="1:42" x14ac:dyDescent="0.25">
      <c r="A7" s="8" t="s">
        <v>199</v>
      </c>
      <c r="B7" s="8" t="s">
        <v>198</v>
      </c>
      <c r="C7" s="21">
        <f>_xll.BDH("ADBE US Equity","CUR_RATIO","FQ3 2011","FQ3 2011","Currency=USD","Period=FQ","BEST_FPERIOD_OVERRIDE=FQ","FILING_STATUS=MR","Sort=A","Dates=H","DateFormat=P","Fill=—","Direction=H","UseDPDF=Y")</f>
        <v>3.3608000000000002</v>
      </c>
      <c r="D7" s="21">
        <f>_xll.BDH("ADBE US Equity","CUR_RATIO","FQ4 2011","FQ4 2011","Currency=USD","Period=FQ","BEST_FPERIOD_OVERRIDE=FQ","FILING_STATUS=MR","Sort=A","Dates=H","DateFormat=P","Fill=—","Direction=H","UseDPDF=Y")</f>
        <v>3.0152999999999999</v>
      </c>
      <c r="E7" s="21">
        <f>_xll.BDH("ADBE US Equity","CUR_RATIO","FQ1 2012","FQ1 2012","Currency=USD","Period=FQ","BEST_FPERIOD_OVERRIDE=FQ","FILING_STATUS=MR","Sort=A","Dates=H","DateFormat=P","Fill=—","Direction=H","UseDPDF=Y")</f>
        <v>3.1440000000000001</v>
      </c>
      <c r="F7" s="21">
        <f>_xll.BDH("ADBE US Equity","CUR_RATIO","FQ2 2012","FQ2 2012","Currency=USD","Period=FQ","BEST_FPERIOD_OVERRIDE=FQ","FILING_STATUS=MR","Sort=A","Dates=H","DateFormat=P","Fill=—","Direction=H","UseDPDF=Y")</f>
        <v>3.0272000000000001</v>
      </c>
      <c r="G7" s="21">
        <f>_xll.BDH("ADBE US Equity","CUR_RATIO","FQ3 2012","FQ3 2012","Currency=USD","Period=FQ","BEST_FPERIOD_OVERRIDE=FQ","FILING_STATUS=MR","Sort=A","Dates=H","DateFormat=P","Fill=—","Direction=H","UseDPDF=Y")</f>
        <v>3.4283000000000001</v>
      </c>
      <c r="H7" s="21">
        <f>_xll.BDH("ADBE US Equity","CUR_RATIO","FQ4 2012","FQ4 2012","Currency=USD","Period=FQ","BEST_FPERIOD_OVERRIDE=FQ","FILING_STATUS=MR","Sort=A","Dates=H","DateFormat=P","Fill=—","Direction=H","UseDPDF=Y")</f>
        <v>3.4575</v>
      </c>
      <c r="I7" s="21">
        <f>_xll.BDH("ADBE US Equity","CUR_RATIO","FQ1 2013","FQ1 2013","Currency=USD","Period=FQ","BEST_FPERIOD_OVERRIDE=FQ","FILING_STATUS=MR","Sort=A","Dates=H","DateFormat=P","Fill=—","Direction=H","UseDPDF=Y")</f>
        <v>3.4588000000000001</v>
      </c>
      <c r="J7" s="21">
        <f>_xll.BDH("ADBE US Equity","CUR_RATIO","FQ2 2013","FQ2 2013","Currency=USD","Period=FQ","BEST_FPERIOD_OVERRIDE=FQ","FILING_STATUS=MR","Sort=A","Dates=H","DateFormat=P","Fill=—","Direction=H","UseDPDF=Y")</f>
        <v>3.6032999999999999</v>
      </c>
      <c r="K7" s="21">
        <f>_xll.BDH("ADBE US Equity","CUR_RATIO","FQ3 2013","FQ3 2013","Currency=USD","Period=FQ","BEST_FPERIOD_OVERRIDE=FQ","FILING_STATUS=MR","Sort=A","Dates=H","DateFormat=P","Fill=—","Direction=H","UseDPDF=Y")</f>
        <v>2.9238</v>
      </c>
      <c r="L7" s="21">
        <f>_xll.BDH("ADBE US Equity","CUR_RATIO","FQ4 2013","FQ4 2013","Currency=USD","Period=FQ","BEST_FPERIOD_OVERRIDE=FQ","FILING_STATUS=MR","Sort=A","Dates=H","DateFormat=P","Fill=—","Direction=H","UseDPDF=Y")</f>
        <v>2.6518999999999999</v>
      </c>
      <c r="M7" s="21">
        <f>_xll.BDH("ADBE US Equity","CUR_RATIO","FQ1 2014","FQ1 2014","Currency=USD","Period=FQ","BEST_FPERIOD_OVERRIDE=FQ","FILING_STATUS=MR","Sort=A","Dates=H","DateFormat=P","Fill=—","Direction=H","UseDPDF=Y")</f>
        <v>1.8664000000000001</v>
      </c>
      <c r="N7" s="21">
        <f>_xll.BDH("ADBE US Equity","CUR_RATIO","FQ2 2014","FQ2 2014","Currency=USD","Period=FQ","BEST_FPERIOD_OVERRIDE=FQ","FILING_STATUS=MR","Sort=A","Dates=H","DateFormat=P","Fill=—","Direction=H","UseDPDF=Y")</f>
        <v>1.855</v>
      </c>
      <c r="O7" s="21">
        <f>_xll.BDH("ADBE US Equity","CUR_RATIO","FQ3 2014","FQ3 2014","Currency=USD","Period=FQ","BEST_FPERIOD_OVERRIDE=FQ","FILING_STATUS=MR","Sort=A","Dates=H","DateFormat=P","Fill=—","Direction=H","UseDPDF=Y")</f>
        <v>1.9060000000000001</v>
      </c>
      <c r="P7" s="21">
        <f>_xll.BDH("ADBE US Equity","CUR_RATIO","FQ4 2014","FQ4 2014","Currency=USD","Period=FQ","BEST_FPERIOD_OVERRIDE=FQ","FILING_STATUS=MR","Sort=A","Dates=H","DateFormat=P","Fill=—","Direction=H","UseDPDF=Y")</f>
        <v>1.845</v>
      </c>
      <c r="Q7" s="21">
        <f>_xll.BDH("ADBE US Equity","CUR_RATIO","FQ1 2015","FQ1 2015","Currency=USD","Period=FQ","BEST_FPERIOD_OVERRIDE=FQ","FILING_STATUS=MR","Sort=A","Dates=H","DateFormat=P","Fill=—","Direction=H","UseDPDF=Y")</f>
        <v>2.2214</v>
      </c>
      <c r="R7" s="21">
        <f>_xll.BDH("ADBE US Equity","CUR_RATIO","FQ2 2015","FQ2 2015","Currency=USD","Period=FQ","BEST_FPERIOD_OVERRIDE=FQ","FILING_STATUS=MR","Sort=A","Dates=H","DateFormat=P","Fill=—","Direction=H","UseDPDF=Y")</f>
        <v>2.1570999999999998</v>
      </c>
      <c r="S7" s="21">
        <f>_xll.BDH("ADBE US Equity","CUR_RATIO","FQ3 2015","FQ3 2015","Currency=USD","Period=FQ","BEST_FPERIOD_OVERRIDE=FQ","FILING_STATUS=MR","Sort=A","Dates=H","DateFormat=P","Fill=—","Direction=H","UseDPDF=Y")</f>
        <v>2.1962000000000002</v>
      </c>
      <c r="T7" s="21">
        <f>_xll.BDH("ADBE US Equity","CUR_RATIO","FQ4 2015","FQ4 2015","Currency=USD","Period=FQ","BEST_FPERIOD_OVERRIDE=FQ","FILING_STATUS=MR","Sort=A","Dates=H","DateFormat=P","Fill=—","Direction=H","UseDPDF=Y")</f>
        <v>2.1783000000000001</v>
      </c>
      <c r="U7" s="21">
        <f>_xll.BDH("ADBE US Equity","CUR_RATIO","FQ1 2016","FQ1 2016","Currency=USD","Period=FQ","BEST_FPERIOD_OVERRIDE=FQ","FILING_STATUS=MR","Sort=A","Dates=H","DateFormat=P","Fill=—","Direction=H","UseDPDF=Y")</f>
        <v>2.2113999999999998</v>
      </c>
      <c r="V7" s="21">
        <f>_xll.BDH("ADBE US Equity","CUR_RATIO","FQ2 2016","FQ2 2016","Currency=USD","Period=FQ","BEST_FPERIOD_OVERRIDE=FQ","FILING_STATUS=MR","Sort=A","Dates=H","DateFormat=P","Fill=—","Direction=H","UseDPDF=Y")</f>
        <v>2.1959</v>
      </c>
      <c r="W7" s="21">
        <f>_xll.BDH("ADBE US Equity","CUR_RATIO","FQ3 2016","FQ3 2016","Currency=USD","Period=FQ","BEST_FPERIOD_OVERRIDE=FQ","FILING_STATUS=MR","Sort=A","Dates=H","DateFormat=P","Fill=—","Direction=H","UseDPDF=Y")</f>
        <v>2.1625999999999999</v>
      </c>
      <c r="X7" s="21">
        <f>_xll.BDH("ADBE US Equity","CUR_RATIO","FQ4 2016","FQ4 2016","Currency=USD","Period=FQ","BEST_FPERIOD_OVERRIDE=FQ","FILING_STATUS=MR","Sort=A","Dates=H","DateFormat=P","Fill=—","Direction=H","UseDPDF=Y")</f>
        <v>2.077</v>
      </c>
      <c r="Y7" s="21">
        <f>_xll.BDH("ADBE US Equity","CUR_RATIO","FQ1 2017","FQ1 2017","Currency=USD","Period=FQ","BEST_FPERIOD_OVERRIDE=FQ","FILING_STATUS=MR","Sort=A","Dates=H","DateFormat=P","Fill=—","Direction=H","UseDPDF=Y")</f>
        <v>1.9483999999999999</v>
      </c>
      <c r="Z7" s="21">
        <f>_xll.BDH("ADBE US Equity","CUR_RATIO","FQ2 2017","FQ2 2017","Currency=USD","Period=FQ","BEST_FPERIOD_OVERRIDE=FQ","FILING_STATUS=MR","Sort=A","Dates=H","DateFormat=P","Fill=—","Direction=H","UseDPDF=Y")</f>
        <v>1.9857</v>
      </c>
      <c r="AA7" s="21">
        <f>_xll.BDH("ADBE US Equity","CUR_RATIO","FQ3 2017","FQ3 2017","Currency=USD","Period=FQ","BEST_FPERIOD_OVERRIDE=FQ","FILING_STATUS=MR","Sort=A","Dates=H","DateFormat=P","Fill=—","Direction=H","UseDPDF=Y")</f>
        <v>2.0463</v>
      </c>
      <c r="AB7" s="21">
        <f>_xll.BDH("ADBE US Equity","CUR_RATIO","FQ4 2017","FQ4 2017","Currency=USD","Period=FQ","BEST_FPERIOD_OVERRIDE=FQ","FILING_STATUS=MR","Sort=A","Dates=H","DateFormat=P","Fill=—","Direction=H","UseDPDF=Y")</f>
        <v>2.0547</v>
      </c>
      <c r="AC7" s="21">
        <f>_xll.BDH("ADBE US Equity","CUR_RATIO","FQ1 2018","FQ1 2018","Currency=USD","Period=FQ","BEST_FPERIOD_OVERRIDE=FQ","FILING_STATUS=MR","Sort=A","Dates=H","DateFormat=P","Fill=—","Direction=H","UseDPDF=Y")</f>
        <v>2.1153</v>
      </c>
      <c r="AD7" s="21">
        <f>_xll.BDH("ADBE US Equity","CUR_RATIO","FQ2 2018","FQ2 2018","Currency=USD","Period=FQ","BEST_FPERIOD_OVERRIDE=FQ","FILING_STATUS=MR","Sort=A","Dates=H","DateFormat=P","Fill=—","Direction=H","UseDPDF=Y")</f>
        <v>2.0760000000000001</v>
      </c>
      <c r="AE7" s="21">
        <f>_xll.BDH("ADBE US Equity","CUR_RATIO","FQ3 2018","FQ3 2018","Currency=USD","Period=FQ","BEST_FPERIOD_OVERRIDE=FQ","FILING_STATUS=MR","Sort=A","Dates=H","DateFormat=P","Fill=—","Direction=H","UseDPDF=Y")</f>
        <v>1.6616</v>
      </c>
      <c r="AF7" s="21">
        <f>_xll.BDH("ADBE US Equity","CUR_RATIO","FQ4 2018","FQ4 2018","Currency=USD","Period=FQ","BEST_FPERIOD_OVERRIDE=FQ","FILING_STATUS=MR","Sort=A","Dates=H","DateFormat=P","Fill=—","Direction=H","UseDPDF=Y")</f>
        <v>1.1292</v>
      </c>
      <c r="AG7" s="21">
        <f>_xll.BDH("ADBE US Equity","CUR_RATIO","FQ1 2019","FQ1 2019","Currency=USD","Period=FQ","BEST_FPERIOD_OVERRIDE=FQ","FILING_STATUS=MR","Sort=A","Dates=H","DateFormat=P","Fill=—","Direction=H","UseDPDF=Y")</f>
        <v>0.96609999999999996</v>
      </c>
      <c r="AH7" s="21">
        <f>_xll.BDH("ADBE US Equity","CUR_RATIO","FQ2 2019","FQ2 2019","Currency=USD","Period=FQ","BEST_FPERIOD_OVERRIDE=FQ","FILING_STATUS=MR","Sort=A","Dates=H","DateFormat=P","Fill=—","Direction=H","UseDPDF=Y")</f>
        <v>0.69499999999999995</v>
      </c>
      <c r="AI7" s="21">
        <f>_xll.BDH("ADBE US Equity","CUR_RATIO","FQ3 2019","FQ3 2019","Currency=USD","Period=FQ","BEST_FPERIOD_OVERRIDE=FQ","FILING_STATUS=MR","Sort=A","Dates=H","DateFormat=P","Fill=—","Direction=H","UseDPDF=Y")</f>
        <v>0.7369</v>
      </c>
      <c r="AJ7" s="21">
        <f>_xll.BDH("ADBE US Equity","CUR_RATIO","FQ4 2019","FQ4 2019","Currency=USD","Period=FQ","BEST_FPERIOD_OVERRIDE=FQ","FILING_STATUS=MR","Sort=A","Dates=H","DateFormat=P","Fill=—","Direction=H","UseDPDF=Y")</f>
        <v>0.79290000000000005</v>
      </c>
      <c r="AK7" s="21">
        <f>_xll.BDH("ADBE US Equity","CUR_RATIO","FQ1 2020","FQ1 2020","Currency=USD","Period=FQ","BEST_FPERIOD_OVERRIDE=FQ","FILING_STATUS=MR","Sort=A","Dates=H","DateFormat=P","Fill=—","Direction=H","UseDPDF=Y")</f>
        <v>1.2346999999999999</v>
      </c>
      <c r="AL7" s="21">
        <f>_xll.BDH("ADBE US Equity","CUR_RATIO","FQ2 2020","FQ2 2020","Currency=USD","Period=FQ","BEST_FPERIOD_OVERRIDE=FQ","FILING_STATUS=MR","Sort=A","Dates=H","DateFormat=P","Fill=—","Direction=H","UseDPDF=Y")</f>
        <v>1.2876000000000001</v>
      </c>
      <c r="AM7" s="21">
        <f>_xll.BDH("ADBE US Equity","CUR_RATIO","FQ3 2020","FQ3 2020","Currency=USD","Period=FQ","BEST_FPERIOD_OVERRIDE=FQ","FILING_STATUS=MR","Sort=A","Dates=H","DateFormat=P","Fill=—","Direction=H","UseDPDF=Y")</f>
        <v>1.44</v>
      </c>
      <c r="AN7" s="21">
        <f>_xll.BDH("ADBE US Equity","CUR_RATIO","FQ4 2020","FQ4 2020","Currency=USD","Period=FQ","BEST_FPERIOD_OVERRIDE=FQ","FILING_STATUS=MR","Sort=A","Dates=H","DateFormat=P","Fill=—","Direction=H","UseDPDF=Y")</f>
        <v>1.4779</v>
      </c>
      <c r="AO7" s="21">
        <f>_xll.BDH("ADBE US Equity","CUR_RATIO","FQ1 2021","FQ1 2021","Currency=USD","Period=FQ","BEST_FPERIOD_OVERRIDE=FQ","FILING_STATUS=MR","Sort=A","Dates=H","DateFormat=P","Fill=—","Direction=H","UseDPDF=Y")</f>
        <v>1.2718</v>
      </c>
      <c r="AP7" s="21">
        <f>_xll.BDH("ADBE US Equity","CUR_RATIO","FQ2 2021","FQ2 2021","Currency=USD","Period=FQ","BEST_FPERIOD_OVERRIDE=FQ","FILING_STATUS=MR","Sort=A","Dates=H","DateFormat=P","Fill=—","Direction=H","UseDPDF=Y")</f>
        <v>1.3146</v>
      </c>
    </row>
    <row r="8" spans="1:42" x14ac:dyDescent="0.25">
      <c r="A8" s="8" t="s">
        <v>197</v>
      </c>
      <c r="B8" s="8" t="s">
        <v>196</v>
      </c>
      <c r="C8" s="21">
        <f>_xll.BDH("ADBE US Equity","QUICK_RATIO","FQ3 2011","FQ3 2011","Currency=USD","Period=FQ","BEST_FPERIOD_OVERRIDE=FQ","FILING_STATUS=MR","Sort=A","Dates=H","DateFormat=P","Fill=—","Direction=H","UseDPDF=Y")</f>
        <v>3.1760999999999999</v>
      </c>
      <c r="D8" s="21">
        <f>_xll.BDH("ADBE US Equity","QUICK_RATIO","FQ4 2011","FQ4 2011","Currency=USD","Period=FQ","BEST_FPERIOD_OVERRIDE=FQ","FILING_STATUS=MR","Sort=A","Dates=H","DateFormat=P","Fill=—","Direction=H","UseDPDF=Y")</f>
        <v>2.8350999999999997</v>
      </c>
      <c r="E8" s="21">
        <f>_xll.BDH("ADBE US Equity","QUICK_RATIO","FQ1 2012","FQ1 2012","Currency=USD","Period=FQ","BEST_FPERIOD_OVERRIDE=FQ","FILING_STATUS=MR","Sort=A","Dates=H","DateFormat=P","Fill=—","Direction=H","UseDPDF=Y")</f>
        <v>2.9401000000000002</v>
      </c>
      <c r="F8" s="21">
        <f>_xll.BDH("ADBE US Equity","QUICK_RATIO","FQ2 2012","FQ2 2012","Currency=USD","Period=FQ","BEST_FPERIOD_OVERRIDE=FQ","FILING_STATUS=MR","Sort=A","Dates=H","DateFormat=P","Fill=—","Direction=H","UseDPDF=Y")</f>
        <v>2.8319000000000001</v>
      </c>
      <c r="G8" s="21">
        <f>_xll.BDH("ADBE US Equity","QUICK_RATIO","FQ3 2012","FQ3 2012","Currency=USD","Period=FQ","BEST_FPERIOD_OVERRIDE=FQ","FILING_STATUS=MR","Sort=A","Dates=H","DateFormat=P","Fill=—","Direction=H","UseDPDF=Y")</f>
        <v>3.2606999999999999</v>
      </c>
      <c r="H8" s="21">
        <f>_xll.BDH("ADBE US Equity","QUICK_RATIO","FQ4 2012","FQ4 2012","Currency=USD","Period=FQ","BEST_FPERIOD_OVERRIDE=FQ","FILING_STATUS=MR","Sort=A","Dates=H","DateFormat=P","Fill=—","Direction=H","UseDPDF=Y")</f>
        <v>3.2675999999999998</v>
      </c>
      <c r="I8" s="21">
        <f>_xll.BDH("ADBE US Equity","QUICK_RATIO","FQ1 2013","FQ1 2013","Currency=USD","Period=FQ","BEST_FPERIOD_OVERRIDE=FQ","FILING_STATUS=MR","Sort=A","Dates=H","DateFormat=P","Fill=—","Direction=H","UseDPDF=Y")</f>
        <v>3.2795999999999998</v>
      </c>
      <c r="J8" s="21">
        <f>_xll.BDH("ADBE US Equity","QUICK_RATIO","FQ2 2013","FQ2 2013","Currency=USD","Period=FQ","BEST_FPERIOD_OVERRIDE=FQ","FILING_STATUS=MR","Sort=A","Dates=H","DateFormat=P","Fill=—","Direction=H","UseDPDF=Y")</f>
        <v>3.4279000000000002</v>
      </c>
      <c r="K8" s="21">
        <f>_xll.BDH("ADBE US Equity","QUICK_RATIO","FQ3 2013","FQ3 2013","Currency=USD","Period=FQ","BEST_FPERIOD_OVERRIDE=FQ","FILING_STATUS=MR","Sort=A","Dates=H","DateFormat=P","Fill=—","Direction=H","UseDPDF=Y")</f>
        <v>2.7734999999999999</v>
      </c>
      <c r="L8" s="21">
        <f>_xll.BDH("ADBE US Equity","QUICK_RATIO","FQ4 2013","FQ4 2013","Currency=USD","Period=FQ","BEST_FPERIOD_OVERRIDE=FQ","FILING_STATUS=MR","Sort=A","Dates=H","DateFormat=P","Fill=—","Direction=H","UseDPDF=Y")</f>
        <v>2.4733999999999998</v>
      </c>
      <c r="M8" s="21">
        <f>_xll.BDH("ADBE US Equity","QUICK_RATIO","FQ1 2014","FQ1 2014","Currency=USD","Period=FQ","BEST_FPERIOD_OVERRIDE=FQ","FILING_STATUS=MR","Sort=A","Dates=H","DateFormat=P","Fill=—","Direction=H","UseDPDF=Y")</f>
        <v>1.7244000000000002</v>
      </c>
      <c r="N8" s="21">
        <f>_xll.BDH("ADBE US Equity","QUICK_RATIO","FQ2 2014","FQ2 2014","Currency=USD","Period=FQ","BEST_FPERIOD_OVERRIDE=FQ","FILING_STATUS=MR","Sort=A","Dates=H","DateFormat=P","Fill=—","Direction=H","UseDPDF=Y")</f>
        <v>1.7410999999999999</v>
      </c>
      <c r="O8" s="21">
        <f>_xll.BDH("ADBE US Equity","QUICK_RATIO","FQ3 2014","FQ3 2014","Currency=USD","Period=FQ","BEST_FPERIOD_OVERRIDE=FQ","FILING_STATUS=MR","Sort=A","Dates=H","DateFormat=P","Fill=—","Direction=H","UseDPDF=Y")</f>
        <v>1.8031999999999999</v>
      </c>
      <c r="P8" s="21">
        <f>_xll.BDH("ADBE US Equity","QUICK_RATIO","FQ4 2014","FQ4 2014","Currency=USD","Period=FQ","BEST_FPERIOD_OVERRIDE=FQ","FILING_STATUS=MR","Sort=A","Dates=H","DateFormat=P","Fill=—","Direction=H","UseDPDF=Y")</f>
        <v>1.7364000000000002</v>
      </c>
      <c r="Q8" s="21">
        <f>_xll.BDH("ADBE US Equity","QUICK_RATIO","FQ1 2015","FQ1 2015","Currency=USD","Period=FQ","BEST_FPERIOD_OVERRIDE=FQ","FILING_STATUS=MR","Sort=A","Dates=H","DateFormat=P","Fill=—","Direction=H","UseDPDF=Y")</f>
        <v>2.0743</v>
      </c>
      <c r="R8" s="21">
        <f>_xll.BDH("ADBE US Equity","QUICK_RATIO","FQ2 2015","FQ2 2015","Currency=USD","Period=FQ","BEST_FPERIOD_OVERRIDE=FQ","FILING_STATUS=MR","Sort=A","Dates=H","DateFormat=P","Fill=—","Direction=H","UseDPDF=Y")</f>
        <v>2.0215999999999998</v>
      </c>
      <c r="S8" s="21">
        <f>_xll.BDH("ADBE US Equity","QUICK_RATIO","FQ3 2015","FQ3 2015","Currency=USD","Period=FQ","BEST_FPERIOD_OVERRIDE=FQ","FILING_STATUS=MR","Sort=A","Dates=H","DateFormat=P","Fill=—","Direction=H","UseDPDF=Y")</f>
        <v>2.0682999999999998</v>
      </c>
      <c r="T8" s="21">
        <f>_xll.BDH("ADBE US Equity","QUICK_RATIO","FQ4 2015","FQ4 2015","Currency=USD","Period=FQ","BEST_FPERIOD_OVERRIDE=FQ","FILING_STATUS=MR","Sort=A","Dates=H","DateFormat=P","Fill=—","Direction=H","UseDPDF=Y")</f>
        <v>2.1053000000000002</v>
      </c>
      <c r="U8" s="21">
        <f>_xll.BDH("ADBE US Equity","QUICK_RATIO","FQ1 2016","FQ1 2016","Currency=USD","Period=FQ","BEST_FPERIOD_OVERRIDE=FQ","FILING_STATUS=MR","Sort=A","Dates=H","DateFormat=P","Fill=—","Direction=H","UseDPDF=Y")</f>
        <v>2.1046</v>
      </c>
      <c r="V8" s="21">
        <f>_xll.BDH("ADBE US Equity","QUICK_RATIO","FQ2 2016","FQ2 2016","Currency=USD","Period=FQ","BEST_FPERIOD_OVERRIDE=FQ","FILING_STATUS=MR","Sort=A","Dates=H","DateFormat=P","Fill=—","Direction=H","UseDPDF=Y")</f>
        <v>2.0897000000000001</v>
      </c>
      <c r="W8" s="21">
        <f>_xll.BDH("ADBE US Equity","QUICK_RATIO","FQ3 2016","FQ3 2016","Currency=USD","Period=FQ","BEST_FPERIOD_OVERRIDE=FQ","FILING_STATUS=MR","Sort=A","Dates=H","DateFormat=P","Fill=—","Direction=H","UseDPDF=Y")</f>
        <v>2.0663</v>
      </c>
      <c r="X8" s="21">
        <f>_xll.BDH("ADBE US Equity","QUICK_RATIO","FQ4 2016","FQ4 2016","Currency=USD","Period=FQ","BEST_FPERIOD_OVERRIDE=FQ","FILING_STATUS=MR","Sort=A","Dates=H","DateFormat=P","Fill=—","Direction=H","UseDPDF=Y")</f>
        <v>1.9897</v>
      </c>
      <c r="Y8" s="21">
        <f>_xll.BDH("ADBE US Equity","QUICK_RATIO","FQ1 2017","FQ1 2017","Currency=USD","Period=FQ","BEST_FPERIOD_OVERRIDE=FQ","FILING_STATUS=MR","Sort=A","Dates=H","DateFormat=P","Fill=—","Direction=H","UseDPDF=Y")</f>
        <v>1.8613</v>
      </c>
      <c r="Z8" s="21">
        <f>_xll.BDH("ADBE US Equity","QUICK_RATIO","FQ2 2017","FQ2 2017","Currency=USD","Period=FQ","BEST_FPERIOD_OVERRIDE=FQ","FILING_STATUS=MR","Sort=A","Dates=H","DateFormat=P","Fill=—","Direction=H","UseDPDF=Y")</f>
        <v>1.9137999999999999</v>
      </c>
      <c r="AA8" s="21">
        <f>_xll.BDH("ADBE US Equity","QUICK_RATIO","FQ3 2017","FQ3 2017","Currency=USD","Period=FQ","BEST_FPERIOD_OVERRIDE=FQ","FILING_STATUS=MR","Sort=A","Dates=H","DateFormat=P","Fill=—","Direction=H","UseDPDF=Y")</f>
        <v>1.9821</v>
      </c>
      <c r="AB8" s="21">
        <f>_xll.BDH("ADBE US Equity","QUICK_RATIO","FQ4 2017","FQ4 2017","Currency=USD","Period=FQ","BEST_FPERIOD_OVERRIDE=FQ","FILING_STATUS=MR","Sort=A","Dates=H","DateFormat=P","Fill=—","Direction=H","UseDPDF=Y")</f>
        <v>1.9950999999999999</v>
      </c>
      <c r="AC8" s="21">
        <f>_xll.BDH("ADBE US Equity","QUICK_RATIO","FQ1 2018","FQ1 2018","Currency=USD","Period=FQ","BEST_FPERIOD_OVERRIDE=FQ","FILING_STATUS=MR","Sort=A","Dates=H","DateFormat=P","Fill=—","Direction=H","UseDPDF=Y")</f>
        <v>2.0388999999999999</v>
      </c>
      <c r="AD8" s="21">
        <f>_xll.BDH("ADBE US Equity","QUICK_RATIO","FQ2 2018","FQ2 2018","Currency=USD","Period=FQ","BEST_FPERIOD_OVERRIDE=FQ","FILING_STATUS=MR","Sort=A","Dates=H","DateFormat=P","Fill=—","Direction=H","UseDPDF=Y")</f>
        <v>1.9868999999999999</v>
      </c>
      <c r="AE8" s="21">
        <f>_xll.BDH("ADBE US Equity","QUICK_RATIO","FQ3 2018","FQ3 2018","Currency=USD","Period=FQ","BEST_FPERIOD_OVERRIDE=FQ","FILING_STATUS=MR","Sort=A","Dates=H","DateFormat=P","Fill=—","Direction=H","UseDPDF=Y")</f>
        <v>1.5794000000000001</v>
      </c>
      <c r="AF8" s="21">
        <f>_xll.BDH("ADBE US Equity","QUICK_RATIO","FQ4 2018","FQ4 2018","Currency=USD","Period=FQ","BEST_FPERIOD_OVERRIDE=FQ","FILING_STATUS=MR","Sort=A","Dates=H","DateFormat=P","Fill=—","Direction=H","UseDPDF=Y")</f>
        <v>1.0566</v>
      </c>
      <c r="AG8" s="21">
        <f>_xll.BDH("ADBE US Equity","QUICK_RATIO","FQ1 2019","FQ1 2019","Currency=USD","Period=FQ","BEST_FPERIOD_OVERRIDE=FQ","FILING_STATUS=MR","Sort=A","Dates=H","DateFormat=P","Fill=—","Direction=H","UseDPDF=Y")</f>
        <v>0.85980000000000001</v>
      </c>
      <c r="AH8" s="21">
        <f>_xll.BDH("ADBE US Equity","QUICK_RATIO","FQ2 2019","FQ2 2019","Currency=USD","Period=FQ","BEST_FPERIOD_OVERRIDE=FQ","FILING_STATUS=MR","Sort=A","Dates=H","DateFormat=P","Fill=—","Direction=H","UseDPDF=Y")</f>
        <v>0.61809999999999998</v>
      </c>
      <c r="AI8" s="21">
        <f>_xll.BDH("ADBE US Equity","QUICK_RATIO","FQ3 2019","FQ3 2019","Currency=USD","Period=FQ","BEST_FPERIOD_OVERRIDE=FQ","FILING_STATUS=MR","Sort=A","Dates=H","DateFormat=P","Fill=—","Direction=H","UseDPDF=Y")</f>
        <v>0.64370000000000005</v>
      </c>
      <c r="AJ8" s="21">
        <f>_xll.BDH("ADBE US Equity","QUICK_RATIO","FQ4 2019","FQ4 2019","Currency=USD","Period=FQ","BEST_FPERIOD_OVERRIDE=FQ","FILING_STATUS=MR","Sort=A","Dates=H","DateFormat=P","Fill=—","Direction=H","UseDPDF=Y")</f>
        <v>0.69730000000000003</v>
      </c>
      <c r="AK8" s="21">
        <f>_xll.BDH("ADBE US Equity","QUICK_RATIO","FQ1 2020","FQ1 2020","Currency=USD","Period=FQ","BEST_FPERIOD_OVERRIDE=FQ","FILING_STATUS=MR","Sort=A","Dates=H","DateFormat=P","Fill=—","Direction=H","UseDPDF=Y")</f>
        <v>1.0634999999999999</v>
      </c>
      <c r="AL8" s="21">
        <f>_xll.BDH("ADBE US Equity","QUICK_RATIO","FQ2 2020","FQ2 2020","Currency=USD","Period=FQ","BEST_FPERIOD_OVERRIDE=FQ","FILING_STATUS=MR","Sort=A","Dates=H","DateFormat=P","Fill=—","Direction=H","UseDPDF=Y")</f>
        <v>1.1071</v>
      </c>
      <c r="AM8" s="21">
        <f>_xll.BDH("ADBE US Equity","QUICK_RATIO","FQ3 2020","FQ3 2020","Currency=USD","Period=FQ","BEST_FPERIOD_OVERRIDE=FQ","FILING_STATUS=MR","Sort=A","Dates=H","DateFormat=P","Fill=—","Direction=H","UseDPDF=Y")</f>
        <v>1.2829999999999999</v>
      </c>
      <c r="AN8" s="21">
        <f>_xll.BDH("ADBE US Equity","QUICK_RATIO","FQ4 2020","FQ4 2020","Currency=USD","Period=FQ","BEST_FPERIOD_OVERRIDE=FQ","FILING_STATUS=MR","Sort=A","Dates=H","DateFormat=P","Fill=—","Direction=H","UseDPDF=Y")</f>
        <v>1.3407</v>
      </c>
      <c r="AO8" s="21">
        <f>_xll.BDH("ADBE US Equity","QUICK_RATIO","FQ1 2021","FQ1 2021","Currency=USD","Period=FQ","BEST_FPERIOD_OVERRIDE=FQ","FILING_STATUS=MR","Sort=A","Dates=H","DateFormat=P","Fill=—","Direction=H","UseDPDF=Y")</f>
        <v>1.1166</v>
      </c>
      <c r="AP8" s="21">
        <f>_xll.BDH("ADBE US Equity","QUICK_RATIO","FQ2 2021","FQ2 2021","Currency=USD","Period=FQ","BEST_FPERIOD_OVERRIDE=FQ","FILING_STATUS=MR","Sort=A","Dates=H","DateFormat=P","Fill=—","Direction=H","UseDPDF=Y")</f>
        <v>1.179</v>
      </c>
    </row>
    <row r="9" spans="1:42" x14ac:dyDescent="0.25">
      <c r="A9" s="8" t="s">
        <v>195</v>
      </c>
      <c r="B9" s="8" t="s">
        <v>194</v>
      </c>
      <c r="C9" s="21">
        <f>_xll.BDH("ADBE US Equity","CFO_TO_AVG_CURRENT_LIABILITIES","FQ3 2011","FQ3 2011","Currency=USD","Period=FQ","BEST_FPERIOD_OVERRIDE=FQ","FILING_STATUS=MR","Sort=A","Dates=H","DateFormat=P","Fill=—","Direction=H","UseDPDF=Y")</f>
        <v>1.6897</v>
      </c>
      <c r="D9" s="21">
        <f>_xll.BDH("ADBE US Equity","CFO_TO_AVG_CURRENT_LIABILITIES","FQ4 2011","FQ4 2011","Currency=USD","Period=FQ","BEST_FPERIOD_OVERRIDE=FQ","FILING_STATUS=MR","Sort=A","Dates=H","DateFormat=P","Fill=—","Direction=H","UseDPDF=Y")</f>
        <v>1.6175000000000002</v>
      </c>
      <c r="E9" s="21">
        <f>_xll.BDH("ADBE US Equity","CFO_TO_AVG_CURRENT_LIABILITIES","FQ1 2012","FQ1 2012","Currency=USD","Period=FQ","BEST_FPERIOD_OVERRIDE=FQ","FILING_STATUS=MR","Sort=A","Dates=H","DateFormat=P","Fill=—","Direction=H","UseDPDF=Y")</f>
        <v>1.7686999999999999</v>
      </c>
      <c r="F9" s="21">
        <f>_xll.BDH("ADBE US Equity","CFO_TO_AVG_CURRENT_LIABILITIES","FQ2 2012","FQ2 2012","Currency=USD","Period=FQ","BEST_FPERIOD_OVERRIDE=FQ","FILING_STATUS=MR","Sort=A","Dates=H","DateFormat=P","Fill=—","Direction=H","UseDPDF=Y")</f>
        <v>1.3801999999999999</v>
      </c>
      <c r="G9" s="21">
        <f>_xll.BDH("ADBE US Equity","CFO_TO_AVG_CURRENT_LIABILITIES","FQ3 2012","FQ3 2012","Currency=USD","Period=FQ","BEST_FPERIOD_OVERRIDE=FQ","FILING_STATUS=MR","Sort=A","Dates=H","DateFormat=P","Fill=—","Direction=H","UseDPDF=Y")</f>
        <v>1.383</v>
      </c>
      <c r="H9" s="21">
        <f>_xll.BDH("ADBE US Equity","CFO_TO_AVG_CURRENT_LIABILITIES","FQ4 2012","FQ4 2012","Currency=USD","Period=FQ","BEST_FPERIOD_OVERRIDE=FQ","FILING_STATUS=MR","Sort=A","Dates=H","DateFormat=P","Fill=—","Direction=H","UseDPDF=Y")</f>
        <v>1.1889000000000001</v>
      </c>
      <c r="I9" s="21">
        <f>_xll.BDH("ADBE US Equity","CFO_TO_AVG_CURRENT_LIABILITIES","FQ1 2013","FQ1 2013","Currency=USD","Period=FQ","BEST_FPERIOD_OVERRIDE=FQ","FILING_STATUS=MR","Sort=A","Dates=H","DateFormat=P","Fill=—","Direction=H","UseDPDF=Y")</f>
        <v>1.2669000000000001</v>
      </c>
      <c r="J9" s="21">
        <f>_xll.BDH("ADBE US Equity","CFO_TO_AVG_CURRENT_LIABILITIES","FQ2 2013","FQ2 2013","Currency=USD","Period=FQ","BEST_FPERIOD_OVERRIDE=FQ","FILING_STATUS=MR","Sort=A","Dates=H","DateFormat=P","Fill=—","Direction=H","UseDPDF=Y")</f>
        <v>1.3385</v>
      </c>
      <c r="K9" s="21">
        <f>_xll.BDH("ADBE US Equity","CFO_TO_AVG_CURRENT_LIABILITIES","FQ3 2013","FQ3 2013","Currency=USD","Period=FQ","BEST_FPERIOD_OVERRIDE=FQ","FILING_STATUS=MR","Sort=A","Dates=H","DateFormat=P","Fill=—","Direction=H","UseDPDF=Y")</f>
        <v>1.8037000000000001</v>
      </c>
      <c r="L9" s="21">
        <f>_xll.BDH("ADBE US Equity","CFO_TO_AVG_CURRENT_LIABILITIES","FQ4 2013","FQ4 2013","Currency=USD","Period=FQ","BEST_FPERIOD_OVERRIDE=FQ","FILING_STATUS=MR","Sort=A","Dates=H","DateFormat=P","Fill=—","Direction=H","UseDPDF=Y")</f>
        <v>1.4977</v>
      </c>
      <c r="M9" s="21">
        <f>_xll.BDH("ADBE US Equity","CFO_TO_AVG_CURRENT_LIABILITIES","FQ1 2014","FQ1 2014","Currency=USD","Period=FQ","BEST_FPERIOD_OVERRIDE=FQ","FILING_STATUS=MR","Sort=A","Dates=H","DateFormat=P","Fill=—","Direction=H","UseDPDF=Y")</f>
        <v>1.1991000000000001</v>
      </c>
      <c r="N9" s="21">
        <f>_xll.BDH("ADBE US Equity","CFO_TO_AVG_CURRENT_LIABILITIES","FQ2 2014","FQ2 2014","Currency=USD","Period=FQ","BEST_FPERIOD_OVERRIDE=FQ","FILING_STATUS=MR","Sort=A","Dates=H","DateFormat=P","Fill=—","Direction=H","UseDPDF=Y")</f>
        <v>1.0168999999999999</v>
      </c>
      <c r="O9" s="21">
        <f>_xll.BDH("ADBE US Equity","CFO_TO_AVG_CURRENT_LIABILITIES","FQ3 2014","FQ3 2014","Currency=USD","Period=FQ","BEST_FPERIOD_OVERRIDE=FQ","FILING_STATUS=MR","Sort=A","Dates=H","DateFormat=P","Fill=—","Direction=H","UseDPDF=Y")</f>
        <v>0.67300000000000004</v>
      </c>
      <c r="P9" s="21">
        <f>_xll.BDH("ADBE US Equity","CFO_TO_AVG_CURRENT_LIABILITIES","FQ4 2014","FQ4 2014","Currency=USD","Period=FQ","BEST_FPERIOD_OVERRIDE=FQ","FILING_STATUS=MR","Sort=A","Dates=H","DateFormat=P","Fill=—","Direction=H","UseDPDF=Y")</f>
        <v>0.64049999999999996</v>
      </c>
      <c r="Q9" s="21">
        <f>_xll.BDH("ADBE US Equity","CFO_TO_AVG_CURRENT_LIABILITIES","FQ1 2015","FQ1 2015","Currency=USD","Period=FQ","BEST_FPERIOD_OVERRIDE=FQ","FILING_STATUS=MR","Sort=A","Dates=H","DateFormat=P","Fill=—","Direction=H","UseDPDF=Y")</f>
        <v>0.625</v>
      </c>
      <c r="R9" s="21">
        <f>_xll.BDH("ADBE US Equity","CFO_TO_AVG_CURRENT_LIABILITIES","FQ2 2015","FQ2 2015","Currency=USD","Period=FQ","BEST_FPERIOD_OVERRIDE=FQ","FILING_STATUS=MR","Sort=A","Dates=H","DateFormat=P","Fill=—","Direction=H","UseDPDF=Y")</f>
        <v>0.63670000000000004</v>
      </c>
      <c r="S9" s="21">
        <f>_xll.BDH("ADBE US Equity","CFO_TO_AVG_CURRENT_LIABILITIES","FQ3 2015","FQ3 2015","Currency=USD","Period=FQ","BEST_FPERIOD_OVERRIDE=FQ","FILING_STATUS=MR","Sort=A","Dates=H","DateFormat=P","Fill=—","Direction=H","UseDPDF=Y")</f>
        <v>0.65710000000000002</v>
      </c>
      <c r="T9" s="21">
        <f>_xll.BDH("ADBE US Equity","CFO_TO_AVG_CURRENT_LIABILITIES","FQ4 2015","FQ4 2015","Currency=USD","Period=FQ","BEST_FPERIOD_OVERRIDE=FQ","FILING_STATUS=MR","Sort=A","Dates=H","DateFormat=P","Fill=—","Direction=H","UseDPDF=Y")</f>
        <v>0.62429999999999997</v>
      </c>
      <c r="U9" s="21">
        <f>_xll.BDH("ADBE US Equity","CFO_TO_AVG_CURRENT_LIABILITIES","FQ1 2016","FQ1 2016","Currency=USD","Period=FQ","BEST_FPERIOD_OVERRIDE=FQ","FILING_STATUS=MR","Sort=A","Dates=H","DateFormat=P","Fill=—","Direction=H","UseDPDF=Y")</f>
        <v>0.88759999999999994</v>
      </c>
      <c r="V9" s="21">
        <f>_xll.BDH("ADBE US Equity","CFO_TO_AVG_CURRENT_LIABILITIES","FQ2 2016","FQ2 2016","Currency=USD","Period=FQ","BEST_FPERIOD_OVERRIDE=FQ","FILING_STATUS=MR","Sort=A","Dates=H","DateFormat=P","Fill=—","Direction=H","UseDPDF=Y")</f>
        <v>0.83340000000000003</v>
      </c>
      <c r="W9" s="21">
        <f>_xll.BDH("ADBE US Equity","CFO_TO_AVG_CURRENT_LIABILITIES","FQ3 2016","FQ3 2016","Currency=USD","Period=FQ","BEST_FPERIOD_OVERRIDE=FQ","FILING_STATUS=MR","Sort=A","Dates=H","DateFormat=P","Fill=—","Direction=H","UseDPDF=Y")</f>
        <v>0.85780000000000001</v>
      </c>
      <c r="X9" s="21">
        <f>_xll.BDH("ADBE US Equity","CFO_TO_AVG_CURRENT_LIABILITIES","FQ4 2016","FQ4 2016","Currency=USD","Period=FQ","BEST_FPERIOD_OVERRIDE=FQ","FILING_STATUS=MR","Sort=A","Dates=H","DateFormat=P","Fill=—","Direction=H","UseDPDF=Y")</f>
        <v>0.87549999999999994</v>
      </c>
      <c r="Y9" s="21">
        <f>_xll.BDH("ADBE US Equity","CFO_TO_AVG_CURRENT_LIABILITIES","FQ1 2017","FQ1 2017","Currency=USD","Period=FQ","BEST_FPERIOD_OVERRIDE=FQ","FILING_STATUS=MR","Sort=A","Dates=H","DateFormat=P","Fill=—","Direction=H","UseDPDF=Y")</f>
        <v>0.93820000000000003</v>
      </c>
      <c r="Z9" s="21">
        <f>_xll.BDH("ADBE US Equity","CFO_TO_AVG_CURRENT_LIABILITIES","FQ2 2017","FQ2 2017","Currency=USD","Period=FQ","BEST_FPERIOD_OVERRIDE=FQ","FILING_STATUS=MR","Sort=A","Dates=H","DateFormat=P","Fill=—","Direction=H","UseDPDF=Y")</f>
        <v>0.95289999999999997</v>
      </c>
      <c r="AA9" s="21">
        <f>_xll.BDH("ADBE US Equity","CFO_TO_AVG_CURRENT_LIABILITIES","FQ3 2017","FQ3 2017","Currency=USD","Period=FQ","BEST_FPERIOD_OVERRIDE=FQ","FILING_STATUS=MR","Sort=A","Dates=H","DateFormat=P","Fill=—","Direction=H","UseDPDF=Y")</f>
        <v>0.97009999999999996</v>
      </c>
      <c r="AB9" s="21">
        <f>_xll.BDH("ADBE US Equity","CFO_TO_AVG_CURRENT_LIABILITIES","FQ4 2017","FQ4 2017","Currency=USD","Period=FQ","BEST_FPERIOD_OVERRIDE=FQ","FILING_STATUS=MR","Sort=A","Dates=H","DateFormat=P","Fill=—","Direction=H","UseDPDF=Y")</f>
        <v>0.91900000000000004</v>
      </c>
      <c r="AC9" s="21">
        <f>_xll.BDH("ADBE US Equity","CFO_TO_AVG_CURRENT_LIABILITIES","FQ1 2018","FQ1 2018","Currency=USD","Period=FQ","BEST_FPERIOD_OVERRIDE=FQ","FILING_STATUS=MR","Sort=A","Dates=H","DateFormat=P","Fill=—","Direction=H","UseDPDF=Y")</f>
        <v>0.97740000000000005</v>
      </c>
      <c r="AD9" s="21">
        <f>_xll.BDH("ADBE US Equity","CFO_TO_AVG_CURRENT_LIABILITIES","FQ2 2018","FQ2 2018","Currency=USD","Period=FQ","BEST_FPERIOD_OVERRIDE=FQ","FILING_STATUS=MR","Sort=A","Dates=H","DateFormat=P","Fill=—","Direction=H","UseDPDF=Y")</f>
        <v>1.034</v>
      </c>
      <c r="AE9" s="21">
        <f>_xll.BDH("ADBE US Equity","CFO_TO_AVG_CURRENT_LIABILITIES","FQ3 2018","FQ3 2018","Currency=USD","Period=FQ","BEST_FPERIOD_OVERRIDE=FQ","FILING_STATUS=MR","Sort=A","Dates=H","DateFormat=P","Fill=—","Direction=H","UseDPDF=Y")</f>
        <v>1.0714999999999999</v>
      </c>
      <c r="AF9" s="21">
        <f>_xll.BDH("ADBE US Equity","CFO_TO_AVG_CURRENT_LIABILITIES","FQ4 2018","FQ4 2018","Currency=USD","Period=FQ","BEST_FPERIOD_OVERRIDE=FQ","FILING_STATUS=MR","Sort=A","Dates=H","DateFormat=P","Fill=—","Direction=H","UseDPDF=Y")</f>
        <v>1.0294000000000001</v>
      </c>
      <c r="AG9" s="21">
        <f>_xll.BDH("ADBE US Equity","CFO_TO_AVG_CURRENT_LIABILITIES","FQ1 2019","FQ1 2019","Currency=USD","Period=FQ","BEST_FPERIOD_OVERRIDE=FQ","FILING_STATUS=MR","Sort=A","Dates=H","DateFormat=P","Fill=—","Direction=H","UseDPDF=Y")</f>
        <v>0.91590000000000005</v>
      </c>
      <c r="AH9" s="21">
        <f>_xll.BDH("ADBE US Equity","CFO_TO_AVG_CURRENT_LIABILITIES","FQ2 2019","FQ2 2019","Currency=USD","Period=FQ","BEST_FPERIOD_OVERRIDE=FQ","FILING_STATUS=MR","Sort=A","Dates=H","DateFormat=P","Fill=—","Direction=H","UseDPDF=Y")</f>
        <v>0.73340000000000005</v>
      </c>
      <c r="AI9" s="21">
        <f>_xll.BDH("ADBE US Equity","CFO_TO_AVG_CURRENT_LIABILITIES","FQ3 2019","FQ3 2019","Currency=USD","Period=FQ","BEST_FPERIOD_OVERRIDE=FQ","FILING_STATUS=MR","Sort=A","Dates=H","DateFormat=P","Fill=—","Direction=H","UseDPDF=Y")</f>
        <v>0.71640000000000004</v>
      </c>
      <c r="AJ9" s="21">
        <f>_xll.BDH("ADBE US Equity","CFO_TO_AVG_CURRENT_LIABILITIES","FQ4 2019","FQ4 2019","Currency=USD","Period=FQ","BEST_FPERIOD_OVERRIDE=FQ","FILING_STATUS=MR","Sort=A","Dates=H","DateFormat=P","Fill=—","Direction=H","UseDPDF=Y")</f>
        <v>0.70799999999999996</v>
      </c>
      <c r="AK9" s="21">
        <f>_xll.BDH("ADBE US Equity","CFO_TO_AVG_CURRENT_LIABILITIES","FQ1 2020","FQ1 2020","Currency=USD","Period=FQ","BEST_FPERIOD_OVERRIDE=FQ","FILING_STATUS=MR","Sort=A","Dates=H","DateFormat=P","Fill=—","Direction=H","UseDPDF=Y")</f>
        <v>0.89810000000000001</v>
      </c>
      <c r="AL9" s="21">
        <f>_xll.BDH("ADBE US Equity","CFO_TO_AVG_CURRENT_LIABILITIES","FQ2 2020","FQ2 2020","Currency=USD","Period=FQ","BEST_FPERIOD_OVERRIDE=FQ","FILING_STATUS=MR","Sort=A","Dates=H","DateFormat=P","Fill=—","Direction=H","UseDPDF=Y")</f>
        <v>0.74829999999999997</v>
      </c>
      <c r="AM9" s="21">
        <f>_xll.BDH("ADBE US Equity","CFO_TO_AVG_CURRENT_LIABILITIES","FQ3 2020","FQ3 2020","Currency=USD","Period=FQ","BEST_FPERIOD_OVERRIDE=FQ","FILING_STATUS=MR","Sort=A","Dates=H","DateFormat=P","Fill=—","Direction=H","UseDPDF=Y")</f>
        <v>0.82299999999999995</v>
      </c>
      <c r="AN9" s="21">
        <f>_xll.BDH("ADBE US Equity","CFO_TO_AVG_CURRENT_LIABILITIES","FQ4 2020","FQ4 2020","Currency=USD","Period=FQ","BEST_FPERIOD_OVERRIDE=FQ","FILING_STATUS=MR","Sort=A","Dates=H","DateFormat=P","Fill=—","Direction=H","UseDPDF=Y")</f>
        <v>0.83589999999999998</v>
      </c>
      <c r="AO9" s="21">
        <f>_xll.BDH("ADBE US Equity","CFO_TO_AVG_CURRENT_LIABILITIES","FQ1 2021","FQ1 2021","Currency=USD","Period=FQ","BEST_FPERIOD_OVERRIDE=FQ","FILING_STATUS=MR","Sort=A","Dates=H","DateFormat=P","Fill=—","Direction=H","UseDPDF=Y")</f>
        <v>1.1191</v>
      </c>
      <c r="AP9" s="21">
        <f>_xll.BDH("ADBE US Equity","CFO_TO_AVG_CURRENT_LIABILITIES","FQ2 2021","FQ2 2021","Currency=USD","Period=FQ","BEST_FPERIOD_OVERRIDE=FQ","FILING_STATUS=MR","Sort=A","Dates=H","DateFormat=P","Fill=—","Direction=H","UseDPDF=Y")</f>
        <v>1.2341</v>
      </c>
    </row>
    <row r="10" spans="1:42" x14ac:dyDescent="0.25">
      <c r="A10" s="8" t="s">
        <v>193</v>
      </c>
      <c r="B10" s="8" t="s">
        <v>192</v>
      </c>
      <c r="C10" s="21">
        <f>_xll.BDH("ADBE US Equity","COM_EQY_TO_TOT_ASSET","FQ3 2011","FQ3 2011","Currency=USD","Period=FQ","BEST_FPERIOD_OVERRIDE=FQ","FILING_STATUS=MR","Sort=A","Dates=H","DateFormat=P","Fill=—","Direction=H","UseDPDF=Y")</f>
        <v>65.514099999999999</v>
      </c>
      <c r="D10" s="21">
        <f>_xll.BDH("ADBE US Equity","COM_EQY_TO_TOT_ASSET","FQ4 2011","FQ4 2011","Currency=USD","Period=FQ","BEST_FPERIOD_OVERRIDE=FQ","FILING_STATUS=MR","Sort=A","Dates=H","DateFormat=P","Fill=—","Direction=H","UseDPDF=Y")</f>
        <v>64.319800000000001</v>
      </c>
      <c r="E10" s="21">
        <f>_xll.BDH("ADBE US Equity","COM_EQY_TO_TOT_ASSET","FQ1 2012","FQ1 2012","Currency=USD","Period=FQ","BEST_FPERIOD_OVERRIDE=FQ","FILING_STATUS=MR","Sort=A","Dates=H","DateFormat=P","Fill=—","Direction=H","UseDPDF=Y")</f>
        <v>65.547899999999998</v>
      </c>
      <c r="F10" s="21">
        <f>_xll.BDH("ADBE US Equity","COM_EQY_TO_TOT_ASSET","FQ2 2012","FQ2 2012","Currency=USD","Period=FQ","BEST_FPERIOD_OVERRIDE=FQ","FILING_STATUS=MR","Sort=A","Dates=H","DateFormat=P","Fill=—","Direction=H","UseDPDF=Y")</f>
        <v>65.126599999999996</v>
      </c>
      <c r="G10" s="21" t="str">
        <f>_xll.BDH("ADBE US Equity","COM_EQY_TO_TOT_ASSET","FQ3 2012","FQ3 2012","Currency=USD","Period=FQ","BEST_FPERIOD_OVERRIDE=FQ","FILING_STATUS=MR","Sort=A","Dates=H","DateFormat=P","Fill=—","Direction=H","UseDPDF=Y")</f>
        <v>#N/A Requesting Data...</v>
      </c>
      <c r="H10" s="21">
        <f>_xll.BDH("ADBE US Equity","COM_EQY_TO_TOT_ASSET","FQ4 2012","FQ4 2012","Currency=USD","Period=FQ","BEST_FPERIOD_OVERRIDE=FQ","FILING_STATUS=MR","Sort=A","Dates=H","DateFormat=P","Fill=—","Direction=H","UseDPDF=Y")</f>
        <v>66.384799999999998</v>
      </c>
      <c r="I10" s="21">
        <f>_xll.BDH("ADBE US Equity","COM_EQY_TO_TOT_ASSET","FQ1 2013","FQ1 2013","Currency=USD","Period=FQ","BEST_FPERIOD_OVERRIDE=FQ","FILING_STATUS=MR","Sort=A","Dates=H","DateFormat=P","Fill=—","Direction=H","UseDPDF=Y")</f>
        <v>66.944000000000003</v>
      </c>
      <c r="J10" s="21">
        <f>_xll.BDH("ADBE US Equity","COM_EQY_TO_TOT_ASSET","FQ2 2013","FQ2 2013","Currency=USD","Period=FQ","BEST_FPERIOD_OVERRIDE=FQ","FILING_STATUS=MR","Sort=A","Dates=H","DateFormat=P","Fill=—","Direction=H","UseDPDF=Y")</f>
        <v>67.383799999999994</v>
      </c>
      <c r="K10" s="21">
        <f>_xll.BDH("ADBE US Equity","COM_EQY_TO_TOT_ASSET","FQ3 2013","FQ3 2013","Currency=USD","Period=FQ","BEST_FPERIOD_OVERRIDE=FQ","FILING_STATUS=MR","Sort=A","Dates=H","DateFormat=P","Fill=—","Direction=H","UseDPDF=Y")</f>
        <v>66.783799999999999</v>
      </c>
      <c r="L10" s="21">
        <f>_xll.BDH("ADBE US Equity","COM_EQY_TO_TOT_ASSET","FQ4 2013","FQ4 2013","Currency=USD","Period=FQ","BEST_FPERIOD_OVERRIDE=FQ","FILING_STATUS=MR","Sort=A","Dates=H","DateFormat=P","Fill=—","Direction=H","UseDPDF=Y")</f>
        <v>64.782700000000006</v>
      </c>
      <c r="M10" s="21">
        <f>_xll.BDH("ADBE US Equity","COM_EQY_TO_TOT_ASSET","FQ1 2014","FQ1 2014","Currency=USD","Period=FQ","BEST_FPERIOD_OVERRIDE=FQ","FILING_STATUS=MR","Sort=A","Dates=H","DateFormat=P","Fill=—","Direction=H","UseDPDF=Y")</f>
        <v>64.522300000000001</v>
      </c>
      <c r="N10" s="21">
        <f>_xll.BDH("ADBE US Equity","COM_EQY_TO_TOT_ASSET","FQ2 2014","FQ2 2014","Currency=USD","Period=FQ","BEST_FPERIOD_OVERRIDE=FQ","FILING_STATUS=MR","Sort=A","Dates=H","DateFormat=P","Fill=—","Direction=H","UseDPDF=Y")</f>
        <v>63.987299999999998</v>
      </c>
      <c r="O10" s="21">
        <f>_xll.BDH("ADBE US Equity","COM_EQY_TO_TOT_ASSET","FQ3 2014","FQ3 2014","Currency=USD","Period=FQ","BEST_FPERIOD_OVERRIDE=FQ","FILING_STATUS=MR","Sort=A","Dates=H","DateFormat=P","Fill=—","Direction=H","UseDPDF=Y")</f>
        <v>64.145799999999994</v>
      </c>
      <c r="P10" s="21">
        <f>_xll.BDH("ADBE US Equity","COM_EQY_TO_TOT_ASSET","FQ4 2014","FQ4 2014","Currency=USD","Period=FQ","BEST_FPERIOD_OVERRIDE=FQ","FILING_STATUS=MR","Sort=A","Dates=H","DateFormat=P","Fill=—","Direction=H","UseDPDF=Y")</f>
        <v>62.822299999999998</v>
      </c>
      <c r="Q10" s="21">
        <f>_xll.BDH("ADBE US Equity","COM_EQY_TO_TOT_ASSET","FQ1 2015","FQ1 2015","Currency=USD","Period=FQ","BEST_FPERIOD_OVERRIDE=FQ","FILING_STATUS=MR","Sort=A","Dates=H","DateFormat=P","Fill=—","Direction=H","UseDPDF=Y")</f>
        <v>59.854399999999998</v>
      </c>
      <c r="R10" s="21">
        <f>_xll.BDH("ADBE US Equity","COM_EQY_TO_TOT_ASSET","FQ2 2015","FQ2 2015","Currency=USD","Period=FQ","BEST_FPERIOD_OVERRIDE=FQ","FILING_STATUS=MR","Sort=A","Dates=H","DateFormat=P","Fill=—","Direction=H","UseDPDF=Y")</f>
        <v>59.201799999999999</v>
      </c>
      <c r="S10" s="21">
        <f>_xll.BDH("ADBE US Equity","COM_EQY_TO_TOT_ASSET","FQ3 2015","FQ3 2015","Currency=USD","Period=FQ","BEST_FPERIOD_OVERRIDE=FQ","FILING_STATUS=MR","Sort=A","Dates=H","DateFormat=P","Fill=—","Direction=H","UseDPDF=Y")</f>
        <v>59.446399999999997</v>
      </c>
      <c r="T10" s="21">
        <f>_xll.BDH("ADBE US Equity","COM_EQY_TO_TOT_ASSET","FQ4 2015","FQ4 2015","Currency=USD","Period=FQ","BEST_FPERIOD_OVERRIDE=FQ","FILING_STATUS=MR","Sort=A","Dates=H","DateFormat=P","Fill=—","Direction=H","UseDPDF=Y")</f>
        <v>59.707500000000003</v>
      </c>
      <c r="U10" s="21">
        <f>_xll.BDH("ADBE US Equity","COM_EQY_TO_TOT_ASSET","FQ1 2016","FQ1 2016","Currency=USD","Period=FQ","BEST_FPERIOD_OVERRIDE=FQ","FILING_STATUS=MR","Sort=A","Dates=H","DateFormat=P","Fill=—","Direction=H","UseDPDF=Y")</f>
        <v>59.522500000000001</v>
      </c>
      <c r="V10" s="21">
        <f>_xll.BDH("ADBE US Equity","COM_EQY_TO_TOT_ASSET","FQ2 2016","FQ2 2016","Currency=USD","Period=FQ","BEST_FPERIOD_OVERRIDE=FQ","FILING_STATUS=MR","Sort=A","Dates=H","DateFormat=P","Fill=—","Direction=H","UseDPDF=Y")</f>
        <v>59.333199999999998</v>
      </c>
      <c r="W10" s="21">
        <f>_xll.BDH("ADBE US Equity","COM_EQY_TO_TOT_ASSET","FQ3 2016","FQ3 2016","Currency=USD","Period=FQ","BEST_FPERIOD_OVERRIDE=FQ","FILING_STATUS=MR","Sort=A","Dates=H","DateFormat=P","Fill=—","Direction=H","UseDPDF=Y")</f>
        <v>58.8476</v>
      </c>
      <c r="X10" s="21">
        <f>_xll.BDH("ADBE US Equity","COM_EQY_TO_TOT_ASSET","FQ4 2016","FQ4 2016","Currency=USD","Period=FQ","BEST_FPERIOD_OVERRIDE=FQ","FILING_STATUS=MR","Sort=A","Dates=H","DateFormat=P","Fill=—","Direction=H","UseDPDF=Y")</f>
        <v>58.475900000000003</v>
      </c>
      <c r="Y10" s="21">
        <f>_xll.BDH("ADBE US Equity","COM_EQY_TO_TOT_ASSET","FQ1 2017","FQ1 2017","Currency=USD","Period=FQ","BEST_FPERIOD_OVERRIDE=FQ","FILING_STATUS=MR","Sort=A","Dates=H","DateFormat=P","Fill=—","Direction=H","UseDPDF=Y")</f>
        <v>58.174100000000003</v>
      </c>
      <c r="Z10" s="21">
        <f>_xll.BDH("ADBE US Equity","COM_EQY_TO_TOT_ASSET","FQ2 2017","FQ2 2017","Currency=USD","Period=FQ","BEST_FPERIOD_OVERRIDE=FQ","FILING_STATUS=MR","Sort=A","Dates=H","DateFormat=P","Fill=—","Direction=H","UseDPDF=Y")</f>
        <v>58.3917</v>
      </c>
      <c r="AA10" s="21">
        <f>_xll.BDH("ADBE US Equity","COM_EQY_TO_TOT_ASSET","FQ3 2017","FQ3 2017","Currency=USD","Period=FQ","BEST_FPERIOD_OVERRIDE=FQ","FILING_STATUS=MR","Sort=A","Dates=H","DateFormat=P","Fill=—","Direction=H","UseDPDF=Y")</f>
        <v>58.751300000000001</v>
      </c>
      <c r="AB10" s="21">
        <f>_xll.BDH("ADBE US Equity","COM_EQY_TO_TOT_ASSET","FQ4 2017","FQ4 2017","Currency=USD","Period=FQ","BEST_FPERIOD_OVERRIDE=FQ","FILING_STATUS=MR","Sort=A","Dates=H","DateFormat=P","Fill=—","Direction=H","UseDPDF=Y")</f>
        <v>58.2012</v>
      </c>
      <c r="AC10" s="21">
        <f>_xll.BDH("ADBE US Equity","COM_EQY_TO_TOT_ASSET","FQ1 2018","FQ1 2018","Currency=USD","Period=FQ","BEST_FPERIOD_OVERRIDE=FQ","FILING_STATUS=MR","Sort=A","Dates=H","DateFormat=P","Fill=—","Direction=H","UseDPDF=Y")</f>
        <v>57.662100000000002</v>
      </c>
      <c r="AD10" s="21">
        <f>_xll.BDH("ADBE US Equity","COM_EQY_TO_TOT_ASSET","FQ2 2018","FQ2 2018","Currency=USD","Period=FQ","BEST_FPERIOD_OVERRIDE=FQ","FILING_STATUS=MR","Sort=A","Dates=H","DateFormat=P","Fill=—","Direction=H","UseDPDF=Y")</f>
        <v>57.411799999999999</v>
      </c>
      <c r="AE10" s="21">
        <f>_xll.BDH("ADBE US Equity","COM_EQY_TO_TOT_ASSET","FQ3 2018","FQ3 2018","Currency=USD","Period=FQ","BEST_FPERIOD_OVERRIDE=FQ","FILING_STATUS=MR","Sort=A","Dates=H","DateFormat=P","Fill=—","Direction=H","UseDPDF=Y")</f>
        <v>57.561300000000003</v>
      </c>
      <c r="AF10" s="21">
        <f>_xll.BDH("ADBE US Equity","COM_EQY_TO_TOT_ASSET","FQ4 2018","FQ4 2018","Currency=USD","Period=FQ","BEST_FPERIOD_OVERRIDE=FQ","FILING_STATUS=MR","Sort=A","Dates=H","DateFormat=P","Fill=—","Direction=H","UseDPDF=Y")</f>
        <v>49.881599999999999</v>
      </c>
      <c r="AG10" s="21">
        <f>_xll.BDH("ADBE US Equity","COM_EQY_TO_TOT_ASSET","FQ1 2019","FQ1 2019","Currency=USD","Period=FQ","BEST_FPERIOD_OVERRIDE=FQ","FILING_STATUS=MR","Sort=A","Dates=H","DateFormat=P","Fill=—","Direction=H","UseDPDF=Y")</f>
        <v>50.608600000000003</v>
      </c>
      <c r="AH10" s="21">
        <f>_xll.BDH("ADBE US Equity","COM_EQY_TO_TOT_ASSET","FQ2 2019","FQ2 2019","Currency=USD","Period=FQ","BEST_FPERIOD_OVERRIDE=FQ","FILING_STATUS=MR","Sort=A","Dates=H","DateFormat=P","Fill=—","Direction=H","UseDPDF=Y")</f>
        <v>50.502099999999999</v>
      </c>
      <c r="AI10" s="21">
        <f>_xll.BDH("ADBE US Equity","COM_EQY_TO_TOT_ASSET","FQ3 2019","FQ3 2019","Currency=USD","Period=FQ","BEST_FPERIOD_OVERRIDE=FQ","FILING_STATUS=MR","Sort=A","Dates=H","DateFormat=P","Fill=—","Direction=H","UseDPDF=Y")</f>
        <v>51.073700000000002</v>
      </c>
      <c r="AJ10" s="21">
        <f>_xll.BDH("ADBE US Equity","COM_EQY_TO_TOT_ASSET","FQ4 2019","FQ4 2019","Currency=USD","Period=FQ","BEST_FPERIOD_OVERRIDE=FQ","FILING_STATUS=MR","Sort=A","Dates=H","DateFormat=P","Fill=—","Direction=H","UseDPDF=Y")</f>
        <v>50.717399999999998</v>
      </c>
      <c r="AK10" s="21">
        <f>_xll.BDH("ADBE US Equity","COM_EQY_TO_TOT_ASSET","FQ1 2020","FQ1 2020","Currency=USD","Period=FQ","BEST_FPERIOD_OVERRIDE=FQ","FILING_STATUS=MR","Sort=A","Dates=H","DateFormat=P","Fill=—","Direction=H","UseDPDF=Y")</f>
        <v>49.330599999999997</v>
      </c>
      <c r="AL10" s="21">
        <f>_xll.BDH("ADBE US Equity","COM_EQY_TO_TOT_ASSET","FQ2 2020","FQ2 2020","Currency=USD","Period=FQ","BEST_FPERIOD_OVERRIDE=FQ","FILING_STATUS=MR","Sort=A","Dates=H","DateFormat=P","Fill=—","Direction=H","UseDPDF=Y")</f>
        <v>50.368000000000002</v>
      </c>
      <c r="AM10" s="21">
        <f>_xll.BDH("ADBE US Equity","COM_EQY_TO_TOT_ASSET","FQ3 2020","FQ3 2020","Currency=USD","Period=FQ","BEST_FPERIOD_OVERRIDE=FQ","FILING_STATUS=MR","Sort=A","Dates=H","DateFormat=P","Fill=—","Direction=H","UseDPDF=Y")</f>
        <v>52.2575</v>
      </c>
      <c r="AN10" s="21">
        <f>_xll.BDH("ADBE US Equity","COM_EQY_TO_TOT_ASSET","FQ4 2020","FQ4 2020","Currency=USD","Period=FQ","BEST_FPERIOD_OVERRIDE=FQ","FILING_STATUS=MR","Sort=A","Dates=H","DateFormat=P","Fill=—","Direction=H","UseDPDF=Y")</f>
        <v>54.6203</v>
      </c>
      <c r="AO10" s="21">
        <f>_xll.BDH("ADBE US Equity","COM_EQY_TO_TOT_ASSET","FQ1 2021","FQ1 2021","Currency=USD","Period=FQ","BEST_FPERIOD_OVERRIDE=FQ","FILING_STATUS=MR","Sort=A","Dates=H","DateFormat=P","Fill=—","Direction=H","UseDPDF=Y")</f>
        <v>54.216500000000003</v>
      </c>
      <c r="AP10" s="21">
        <f>_xll.BDH("ADBE US Equity","COM_EQY_TO_TOT_ASSET","FQ2 2021","FQ2 2021","Currency=USD","Period=FQ","BEST_FPERIOD_OVERRIDE=FQ","FILING_STATUS=MR","Sort=A","Dates=H","DateFormat=P","Fill=—","Direction=H","UseDPDF=Y")</f>
        <v>54.147399999999998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191</v>
      </c>
      <c r="B12" s="8" t="s">
        <v>190</v>
      </c>
      <c r="C12" s="21">
        <f>_xll.BDH("ADBE US Equity","LT_DEBT_TO_TOT_EQY","FQ3 2011","FQ3 2011","Currency=USD","Period=FQ","BEST_FPERIOD_OVERRIDE=FQ","FILING_STATUS=MR","Sort=A","Dates=H","DateFormat=P","Fill=—","Direction=H","UseDPDF=Y")</f>
        <v>27.09</v>
      </c>
      <c r="D12" s="21">
        <f>_xll.BDH("ADBE US Equity","LT_DEBT_TO_TOT_EQY","FQ4 2011","FQ4 2011","Currency=USD","Period=FQ","BEST_FPERIOD_OVERRIDE=FQ","FILING_STATUS=MR","Sort=A","Dates=H","DateFormat=P","Fill=—","Direction=H","UseDPDF=Y")</f>
        <v>26.025700000000001</v>
      </c>
      <c r="E12" s="21">
        <f>_xll.BDH("ADBE US Equity","LT_DEBT_TO_TOT_EQY","FQ1 2012","FQ1 2012","Currency=USD","Period=FQ","BEST_FPERIOD_OVERRIDE=FQ","FILING_STATUS=MR","Sort=A","Dates=H","DateFormat=P","Fill=—","Direction=H","UseDPDF=Y")</f>
        <v>25.105499999999999</v>
      </c>
      <c r="F12" s="21">
        <f>_xll.BDH("ADBE US Equity","LT_DEBT_TO_TOT_EQY","FQ2 2012","FQ2 2012","Currency=USD","Period=FQ","BEST_FPERIOD_OVERRIDE=FQ","FILING_STATUS=MR","Sort=A","Dates=H","DateFormat=P","Fill=—","Direction=H","UseDPDF=Y")</f>
        <v>24.602499999999999</v>
      </c>
      <c r="G12" s="21">
        <f>_xll.BDH("ADBE US Equity","LT_DEBT_TO_TOT_EQY","FQ3 2012","FQ3 2012","Currency=USD","Period=FQ","BEST_FPERIOD_OVERRIDE=FQ","FILING_STATUS=MR","Sort=A","Dates=H","DateFormat=P","Fill=—","Direction=H","UseDPDF=Y")</f>
        <v>23.294799999999999</v>
      </c>
      <c r="H12" s="21">
        <f>_xll.BDH("ADBE US Equity","LT_DEBT_TO_TOT_EQY","FQ4 2012","FQ4 2012","Currency=USD","Period=FQ","BEST_FPERIOD_OVERRIDE=FQ","FILING_STATUS=MR","Sort=A","Dates=H","DateFormat=P","Fill=—","Direction=H","UseDPDF=Y")</f>
        <v>22.459099999999999</v>
      </c>
      <c r="I12" s="21">
        <f>_xll.BDH("ADBE US Equity","LT_DEBT_TO_TOT_EQY","FQ1 2013","FQ1 2013","Currency=USD","Period=FQ","BEST_FPERIOD_OVERRIDE=FQ","FILING_STATUS=MR","Sort=A","Dates=H","DateFormat=P","Fill=—","Direction=H","UseDPDF=Y")</f>
        <v>22.1738</v>
      </c>
      <c r="J12" s="21">
        <f>_xll.BDH("ADBE US Equity","LT_DEBT_TO_TOT_EQY","FQ2 2013","FQ2 2013","Currency=USD","Period=FQ","BEST_FPERIOD_OVERRIDE=FQ","FILING_STATUS=MR","Sort=A","Dates=H","DateFormat=P","Fill=—","Direction=H","UseDPDF=Y")</f>
        <v>21.733699999999999</v>
      </c>
      <c r="K12" s="21">
        <f>_xll.BDH("ADBE US Equity","LT_DEBT_TO_TOT_EQY","FQ3 2013","FQ3 2013","Currency=USD","Period=FQ","BEST_FPERIOD_OVERRIDE=FQ","FILING_STATUS=MR","Sort=A","Dates=H","DateFormat=P","Fill=—","Direction=H","UseDPDF=Y")</f>
        <v>21.981300000000001</v>
      </c>
      <c r="L12" s="21">
        <f>_xll.BDH("ADBE US Equity","LT_DEBT_TO_TOT_EQY","FQ4 2013","FQ4 2013","Currency=USD","Period=FQ","BEST_FPERIOD_OVERRIDE=FQ","FILING_STATUS=MR","Sort=A","Dates=H","DateFormat=P","Fill=—","Direction=H","UseDPDF=Y")</f>
        <v>22.2956</v>
      </c>
      <c r="M12" s="21">
        <f>_xll.BDH("ADBE US Equity","LT_DEBT_TO_TOT_EQY","FQ1 2014","FQ1 2014","Currency=USD","Period=FQ","BEST_FPERIOD_OVERRIDE=FQ","FILING_STATUS=MR","Sort=A","Dates=H","DateFormat=P","Fill=—","Direction=H","UseDPDF=Y")</f>
        <v>13.559699999999999</v>
      </c>
      <c r="N12" s="21">
        <f>_xll.BDH("ADBE US Equity","LT_DEBT_TO_TOT_EQY","FQ2 2014","FQ2 2014","Currency=USD","Period=FQ","BEST_FPERIOD_OVERRIDE=FQ","FILING_STATUS=MR","Sort=A","Dates=H","DateFormat=P","Fill=—","Direction=H","UseDPDF=Y")</f>
        <v>13.508599999999999</v>
      </c>
      <c r="O12" s="21">
        <f>_xll.BDH("ADBE US Equity","LT_DEBT_TO_TOT_EQY","FQ3 2014","FQ3 2014","Currency=USD","Period=FQ","BEST_FPERIOD_OVERRIDE=FQ","FILING_STATUS=MR","Sort=A","Dates=H","DateFormat=P","Fill=—","Direction=H","UseDPDF=Y")</f>
        <v>13.397600000000001</v>
      </c>
      <c r="P12" s="21" t="str">
        <f>_xll.BDH("ADBE US Equity","LT_DEBT_TO_TOT_EQY","FQ4 2014","FQ4 2014","Currency=USD","Period=FQ","BEST_FPERIOD_OVERRIDE=FQ","FILING_STATUS=MR","Sort=A","Dates=H","DateFormat=P","Fill=—","Direction=H","UseDPDF=Y")</f>
        <v>#N/A Requesting Data...</v>
      </c>
      <c r="Q12" s="21">
        <f>_xll.BDH("ADBE US Equity","LT_DEBT_TO_TOT_EQY","FQ1 2015","FQ1 2015","Currency=USD","Period=FQ","BEST_FPERIOD_OVERRIDE=FQ","FILING_STATUS=MR","Sort=A","Dates=H","DateFormat=P","Fill=—","Direction=H","UseDPDF=Y")</f>
        <v>28.859400000000001</v>
      </c>
      <c r="R12" s="21">
        <f>_xll.BDH("ADBE US Equity","LT_DEBT_TO_TOT_EQY","FQ2 2015","FQ2 2015","Currency=USD","Period=FQ","BEST_FPERIOD_OVERRIDE=FQ","FILING_STATUS=MR","Sort=A","Dates=H","DateFormat=P","Fill=—","Direction=H","UseDPDF=Y")</f>
        <v>28.810099999999998</v>
      </c>
      <c r="S12" s="21">
        <f>_xll.BDH("ADBE US Equity","LT_DEBT_TO_TOT_EQY","FQ3 2015","FQ3 2015","Currency=USD","Period=FQ","BEST_FPERIOD_OVERRIDE=FQ","FILING_STATUS=MR","Sort=A","Dates=H","DateFormat=P","Fill=—","Direction=H","UseDPDF=Y")</f>
        <v>27.8614</v>
      </c>
      <c r="T12" s="21">
        <f>_xll.BDH("ADBE US Equity","LT_DEBT_TO_TOT_EQY","FQ4 2015","FQ4 2015","Currency=USD","Period=FQ","BEST_FPERIOD_OVERRIDE=FQ","FILING_STATUS=MR","Sort=A","Dates=H","DateFormat=P","Fill=—","Direction=H","UseDPDF=Y")</f>
        <v>27.24</v>
      </c>
      <c r="U12" s="21">
        <f>_xll.BDH("ADBE US Equity","LT_DEBT_TO_TOT_EQY","FQ1 2016","FQ1 2016","Currency=USD","Period=FQ","BEST_FPERIOD_OVERRIDE=FQ","FILING_STATUS=MR","Sort=A","Dates=H","DateFormat=P","Fill=—","Direction=H","UseDPDF=Y")</f>
        <v>27.069299999999998</v>
      </c>
      <c r="V12" s="21">
        <f>_xll.BDH("ADBE US Equity","LT_DEBT_TO_TOT_EQY","FQ2 2016","FQ2 2016","Currency=USD","Period=FQ","BEST_FPERIOD_OVERRIDE=FQ","FILING_STATUS=MR","Sort=A","Dates=H","DateFormat=P","Fill=—","Direction=H","UseDPDF=Y")</f>
        <v>26.465599999999998</v>
      </c>
      <c r="W12" s="21">
        <f>_xll.BDH("ADBE US Equity","LT_DEBT_TO_TOT_EQY","FQ3 2016","FQ3 2016","Currency=USD","Period=FQ","BEST_FPERIOD_OVERRIDE=FQ","FILING_STATUS=MR","Sort=A","Dates=H","DateFormat=P","Fill=—","Direction=H","UseDPDF=Y")</f>
        <v>26.334199999999999</v>
      </c>
      <c r="X12" s="21">
        <f>_xll.BDH("ADBE US Equity","LT_DEBT_TO_TOT_EQY","FQ4 2016","FQ4 2016","Currency=USD","Period=FQ","BEST_FPERIOD_OVERRIDE=FQ","FILING_STATUS=MR","Sort=A","Dates=H","DateFormat=P","Fill=—","Direction=H","UseDPDF=Y")</f>
        <v>25.4847</v>
      </c>
      <c r="Y12" s="21">
        <f>_xll.BDH("ADBE US Equity","LT_DEBT_TO_TOT_EQY","FQ1 2017","FQ1 2017","Currency=USD","Period=FQ","BEST_FPERIOD_OVERRIDE=FQ","FILING_STATUS=MR","Sort=A","Dates=H","DateFormat=P","Fill=—","Direction=H","UseDPDF=Y")</f>
        <v>24.827400000000001</v>
      </c>
      <c r="Z12" s="21">
        <f>_xll.BDH("ADBE US Equity","LT_DEBT_TO_TOT_EQY","FQ2 2017","FQ2 2017","Currency=USD","Period=FQ","BEST_FPERIOD_OVERRIDE=FQ","FILING_STATUS=MR","Sort=A","Dates=H","DateFormat=P","Fill=—","Direction=H","UseDPDF=Y")</f>
        <v>24.197800000000001</v>
      </c>
      <c r="AA12" s="21">
        <f>_xll.BDH("ADBE US Equity","LT_DEBT_TO_TOT_EQY","FQ3 2017","FQ3 2017","Currency=USD","Period=FQ","BEST_FPERIOD_OVERRIDE=FQ","FILING_STATUS=MR","Sort=A","Dates=H","DateFormat=P","Fill=—","Direction=H","UseDPDF=Y")</f>
        <v>23.122599999999998</v>
      </c>
      <c r="AB12" s="21">
        <f>_xll.BDH("ADBE US Equity","LT_DEBT_TO_TOT_EQY","FQ4 2017","FQ4 2017","Currency=USD","Period=FQ","BEST_FPERIOD_OVERRIDE=FQ","FILING_STATUS=MR","Sort=A","Dates=H","DateFormat=P","Fill=—","Direction=H","UseDPDF=Y")</f>
        <v>22.2394</v>
      </c>
      <c r="AC12" s="21">
        <f>_xll.BDH("ADBE US Equity","LT_DEBT_TO_TOT_EQY","FQ1 2018","FQ1 2018","Currency=USD","Period=FQ","BEST_FPERIOD_OVERRIDE=FQ","FILING_STATUS=MR","Sort=A","Dates=H","DateFormat=P","Fill=—","Direction=H","UseDPDF=Y")</f>
        <v>21.713999999999999</v>
      </c>
      <c r="AD12" s="21">
        <f>_xll.BDH("ADBE US Equity","LT_DEBT_TO_TOT_EQY","FQ2 2018","FQ2 2018","Currency=USD","Period=FQ","BEST_FPERIOD_OVERRIDE=FQ","FILING_STATUS=MR","Sort=A","Dates=H","DateFormat=P","Fill=—","Direction=H","UseDPDF=Y")</f>
        <v>21.527100000000001</v>
      </c>
      <c r="AE12" s="21">
        <f>_xll.BDH("ADBE US Equity","LT_DEBT_TO_TOT_EQY","FQ3 2018","FQ3 2018","Currency=USD","Period=FQ","BEST_FPERIOD_OVERRIDE=FQ","FILING_STATUS=MR","Sort=A","Dates=H","DateFormat=P","Fill=—","Direction=H","UseDPDF=Y")</f>
        <v>21.154</v>
      </c>
      <c r="AF12" s="21">
        <f>_xll.BDH("ADBE US Equity","LT_DEBT_TO_TOT_EQY","FQ4 2018","FQ4 2018","Currency=USD","Period=FQ","BEST_FPERIOD_OVERRIDE=FQ","FILING_STATUS=MR","Sort=A","Dates=H","DateFormat=P","Fill=—","Direction=H","UseDPDF=Y")</f>
        <v>44.058399999999999</v>
      </c>
      <c r="AG12" s="21">
        <f>_xll.BDH("ADBE US Equity","LT_DEBT_TO_TOT_EQY","FQ1 2019","FQ1 2019","Currency=USD","Period=FQ","BEST_FPERIOD_OVERRIDE=FQ","FILING_STATUS=MR","Sort=A","Dates=H","DateFormat=P","Fill=—","Direction=H","UseDPDF=Y")</f>
        <v>32.789700000000003</v>
      </c>
      <c r="AH12" s="21">
        <f>_xll.BDH("ADBE US Equity","LT_DEBT_TO_TOT_EQY","FQ2 2019","FQ2 2019","Currency=USD","Period=FQ","BEST_FPERIOD_OVERRIDE=FQ","FILING_STATUS=MR","Sort=A","Dates=H","DateFormat=P","Fill=—","Direction=H","UseDPDF=Y")</f>
        <v>9.9473000000000003</v>
      </c>
      <c r="AI12" s="21">
        <f>_xll.BDH("ADBE US Equity","LT_DEBT_TO_TOT_EQY","FQ3 2019","FQ3 2019","Currency=USD","Period=FQ","BEST_FPERIOD_OVERRIDE=FQ","FILING_STATUS=MR","Sort=A","Dates=H","DateFormat=P","Fill=—","Direction=H","UseDPDF=Y")</f>
        <v>9.65</v>
      </c>
      <c r="AJ12" s="21">
        <f>_xll.BDH("ADBE US Equity","LT_DEBT_TO_TOT_EQY","FQ4 2019","FQ4 2019","Currency=USD","Period=FQ","BEST_FPERIOD_OVERRIDE=FQ","FILING_STATUS=MR","Sort=A","Dates=H","DateFormat=P","Fill=—","Direction=H","UseDPDF=Y")</f>
        <v>9.3914000000000009</v>
      </c>
      <c r="AK12" s="21">
        <f>_xll.BDH("ADBE US Equity","LT_DEBT_TO_TOT_EQY","FQ1 2020","FQ1 2020","Currency=USD","Period=FQ","BEST_FPERIOD_OVERRIDE=FQ","FILING_STATUS=MR","Sort=A","Dates=H","DateFormat=P","Fill=—","Direction=H","UseDPDF=Y")</f>
        <v>44.213999999999999</v>
      </c>
      <c r="AL12" s="21">
        <f>_xll.BDH("ADBE US Equity","LT_DEBT_TO_TOT_EQY","FQ2 2020","FQ2 2020","Currency=USD","Period=FQ","BEST_FPERIOD_OVERRIDE=FQ","FILING_STATUS=MR","Sort=A","Dates=H","DateFormat=P","Fill=—","Direction=H","UseDPDF=Y")</f>
        <v>42.385800000000003</v>
      </c>
      <c r="AM12" s="21">
        <f>_xll.BDH("ADBE US Equity","LT_DEBT_TO_TOT_EQY","FQ3 2020","FQ3 2020","Currency=USD","Period=FQ","BEST_FPERIOD_OVERRIDE=FQ","FILING_STATUS=MR","Sort=A","Dates=H","DateFormat=P","Fill=—","Direction=H","UseDPDF=Y")</f>
        <v>39.58</v>
      </c>
      <c r="AN12" s="21">
        <f>_xll.BDH("ADBE US Equity","LT_DEBT_TO_TOT_EQY","FQ4 2020","FQ4 2020","Currency=USD","Period=FQ","BEST_FPERIOD_OVERRIDE=FQ","FILING_STATUS=MR","Sort=A","Dates=H","DateFormat=P","Fill=—","Direction=H","UseDPDF=Y")</f>
        <v>34.801000000000002</v>
      </c>
      <c r="AO12" s="21">
        <f>_xll.BDH("ADBE US Equity","LT_DEBT_TO_TOT_EQY","FQ1 2021","FQ1 2021","Currency=USD","Period=FQ","BEST_FPERIOD_OVERRIDE=FQ","FILING_STATUS=MR","Sort=A","Dates=H","DateFormat=P","Fill=—","Direction=H","UseDPDF=Y")</f>
        <v>34.054299999999998</v>
      </c>
      <c r="AP12" s="21">
        <f>_xll.BDH("ADBE US Equity","LT_DEBT_TO_TOT_EQY","FQ2 2021","FQ2 2021","Currency=USD","Period=FQ","BEST_FPERIOD_OVERRIDE=FQ","FILING_STATUS=MR","Sort=A","Dates=H","DateFormat=P","Fill=—","Direction=H","UseDPDF=Y")</f>
        <v>33.186500000000002</v>
      </c>
    </row>
    <row r="13" spans="1:42" x14ac:dyDescent="0.25">
      <c r="A13" s="8" t="s">
        <v>189</v>
      </c>
      <c r="B13" s="8" t="s">
        <v>188</v>
      </c>
      <c r="C13" s="21">
        <f>_xll.BDH("ADBE US Equity","LT_DEBT_TO_TOT_CAP","FQ3 2011","FQ3 2011","Currency=USD","Period=FQ","BEST_FPERIOD_OVERRIDE=FQ","FILING_STATUS=MR","Sort=A","Dates=H","DateFormat=P","Fill=—","Direction=H","UseDPDF=Y")</f>
        <v>21.2882</v>
      </c>
      <c r="D13" s="21">
        <f>_xll.BDH("ADBE US Equity","LT_DEBT_TO_TOT_CAP","FQ4 2011","FQ4 2011","Currency=USD","Period=FQ","BEST_FPERIOD_OVERRIDE=FQ","FILING_STATUS=MR","Sort=A","Dates=H","DateFormat=P","Fill=—","Direction=H","UseDPDF=Y")</f>
        <v>20.625</v>
      </c>
      <c r="E13" s="21">
        <f>_xll.BDH("ADBE US Equity","LT_DEBT_TO_TOT_CAP","FQ1 2012","FQ1 2012","Currency=USD","Period=FQ","BEST_FPERIOD_OVERRIDE=FQ","FILING_STATUS=MR","Sort=A","Dates=H","DateFormat=P","Fill=—","Direction=H","UseDPDF=Y")</f>
        <v>20.0425</v>
      </c>
      <c r="F13" s="21">
        <f>_xll.BDH("ADBE US Equity","LT_DEBT_TO_TOT_CAP","FQ2 2012","FQ2 2012","Currency=USD","Period=FQ","BEST_FPERIOD_OVERRIDE=FQ","FILING_STATUS=MR","Sort=A","Dates=H","DateFormat=P","Fill=—","Direction=H","UseDPDF=Y")</f>
        <v>19.720400000000001</v>
      </c>
      <c r="G13" s="21">
        <f>_xll.BDH("ADBE US Equity","LT_DEBT_TO_TOT_CAP","FQ3 2012","FQ3 2012","Currency=USD","Period=FQ","BEST_FPERIOD_OVERRIDE=FQ","FILING_STATUS=MR","Sort=A","Dates=H","DateFormat=P","Fill=—","Direction=H","UseDPDF=Y")</f>
        <v>18.8672</v>
      </c>
      <c r="H13" s="21">
        <f>_xll.BDH("ADBE US Equity","LT_DEBT_TO_TOT_CAP","FQ4 2012","FQ4 2012","Currency=USD","Period=FQ","BEST_FPERIOD_OVERRIDE=FQ","FILING_STATUS=MR","Sort=A","Dates=H","DateFormat=P","Fill=—","Direction=H","UseDPDF=Y")</f>
        <v>18.314900000000002</v>
      </c>
      <c r="I13" s="21">
        <f>_xll.BDH("ADBE US Equity","LT_DEBT_TO_TOT_CAP","FQ1 2013","FQ1 2013","Currency=USD","Period=FQ","BEST_FPERIOD_OVERRIDE=FQ","FILING_STATUS=MR","Sort=A","Dates=H","DateFormat=P","Fill=—","Direction=H","UseDPDF=Y")</f>
        <v>18.1006</v>
      </c>
      <c r="J13" s="21">
        <f>_xll.BDH("ADBE US Equity","LT_DEBT_TO_TOT_CAP","FQ2 2013","FQ2 2013","Currency=USD","Period=FQ","BEST_FPERIOD_OVERRIDE=FQ","FILING_STATUS=MR","Sort=A","Dates=H","DateFormat=P","Fill=—","Direction=H","UseDPDF=Y")</f>
        <v>17.8111</v>
      </c>
      <c r="K13" s="21">
        <f>_xll.BDH("ADBE US Equity","LT_DEBT_TO_TOT_CAP","FQ3 2013","FQ3 2013","Currency=USD","Period=FQ","BEST_FPERIOD_OVERRIDE=FQ","FILING_STATUS=MR","Sort=A","Dates=H","DateFormat=P","Fill=—","Direction=H","UseDPDF=Y")</f>
        <v>17.982600000000001</v>
      </c>
      <c r="L13" s="21">
        <f>_xll.BDH("ADBE US Equity","LT_DEBT_TO_TOT_CAP","FQ4 2013","FQ4 2013","Currency=USD","Period=FQ","BEST_FPERIOD_OVERRIDE=FQ","FILING_STATUS=MR","Sort=A","Dates=H","DateFormat=P","Fill=—","Direction=H","UseDPDF=Y")</f>
        <v>18.198399999999999</v>
      </c>
      <c r="M13" s="21">
        <f>_xll.BDH("ADBE US Equity","LT_DEBT_TO_TOT_CAP","FQ1 2014","FQ1 2014","Currency=USD","Period=FQ","BEST_FPERIOD_OVERRIDE=FQ","FILING_STATUS=MR","Sort=A","Dates=H","DateFormat=P","Fill=—","Direction=H","UseDPDF=Y")</f>
        <v>11.0388</v>
      </c>
      <c r="N13" s="21">
        <f>_xll.BDH("ADBE US Equity","LT_DEBT_TO_TOT_CAP","FQ2 2014","FQ2 2014","Currency=USD","Period=FQ","BEST_FPERIOD_OVERRIDE=FQ","FILING_STATUS=MR","Sort=A","Dates=H","DateFormat=P","Fill=—","Direction=H","UseDPDF=Y")</f>
        <v>11.0098</v>
      </c>
      <c r="O13" s="21">
        <f>_xll.BDH("ADBE US Equity","LT_DEBT_TO_TOT_CAP","FQ3 2014","FQ3 2014","Currency=USD","Period=FQ","BEST_FPERIOD_OVERRIDE=FQ","FILING_STATUS=MR","Sort=A","Dates=H","DateFormat=P","Fill=—","Direction=H","UseDPDF=Y")</f>
        <v>10.9452</v>
      </c>
      <c r="P13" s="21">
        <f>_xll.BDH("ADBE US Equity","LT_DEBT_TO_TOT_CAP","FQ4 2014","FQ4 2014","Currency=USD","Period=FQ","BEST_FPERIOD_OVERRIDE=FQ","FILING_STATUS=MR","Sort=A","Dates=H","DateFormat=P","Fill=—","Direction=H","UseDPDF=Y")</f>
        <v>10.9899</v>
      </c>
      <c r="Q13" s="21">
        <f>_xll.BDH("ADBE US Equity","LT_DEBT_TO_TOT_CAP","FQ1 2015","FQ1 2015","Currency=USD","Period=FQ","BEST_FPERIOD_OVERRIDE=FQ","FILING_STATUS=MR","Sort=A","Dates=H","DateFormat=P","Fill=—","Direction=H","UseDPDF=Y")</f>
        <v>22.395900000000001</v>
      </c>
      <c r="R13" s="21">
        <f>_xll.BDH("ADBE US Equity","LT_DEBT_TO_TOT_CAP","FQ2 2015","FQ2 2015","Currency=USD","Period=FQ","BEST_FPERIOD_OVERRIDE=FQ","FILING_STATUS=MR","Sort=A","Dates=H","DateFormat=P","Fill=—","Direction=H","UseDPDF=Y")</f>
        <v>22.366299999999999</v>
      </c>
      <c r="S13" s="21">
        <f>_xll.BDH("ADBE US Equity","LT_DEBT_TO_TOT_CAP","FQ3 2015","FQ3 2015","Currency=USD","Period=FQ","BEST_FPERIOD_OVERRIDE=FQ","FILING_STATUS=MR","Sort=A","Dates=H","DateFormat=P","Fill=—","Direction=H","UseDPDF=Y")</f>
        <v>21.790299999999998</v>
      </c>
      <c r="T13" s="21">
        <f>_xll.BDH("ADBE US Equity","LT_DEBT_TO_TOT_CAP","FQ4 2015","FQ4 2015","Currency=USD","Period=FQ","BEST_FPERIOD_OVERRIDE=FQ","FILING_STATUS=MR","Sort=A","Dates=H","DateFormat=P","Fill=—","Direction=H","UseDPDF=Y")</f>
        <v>21.4084</v>
      </c>
      <c r="U13" s="21">
        <f>_xll.BDH("ADBE US Equity","LT_DEBT_TO_TOT_CAP","FQ1 2016","FQ1 2016","Currency=USD","Period=FQ","BEST_FPERIOD_OVERRIDE=FQ","FILING_STATUS=MR","Sort=A","Dates=H","DateFormat=P","Fill=—","Direction=H","UseDPDF=Y")</f>
        <v>21.302800000000001</v>
      </c>
      <c r="V13" s="21">
        <f>_xll.BDH("ADBE US Equity","LT_DEBT_TO_TOT_CAP","FQ2 2016","FQ2 2016","Currency=USD","Period=FQ","BEST_FPERIOD_OVERRIDE=FQ","FILING_STATUS=MR","Sort=A","Dates=H","DateFormat=P","Fill=—","Direction=H","UseDPDF=Y")</f>
        <v>20.927099999999999</v>
      </c>
      <c r="W13" s="21">
        <f>_xll.BDH("ADBE US Equity","LT_DEBT_TO_TOT_CAP","FQ3 2016","FQ3 2016","Currency=USD","Period=FQ","BEST_FPERIOD_OVERRIDE=FQ","FILING_STATUS=MR","Sort=A","Dates=H","DateFormat=P","Fill=—","Direction=H","UseDPDF=Y")</f>
        <v>20.844899999999999</v>
      </c>
      <c r="X13" s="21">
        <f>_xll.BDH("ADBE US Equity","LT_DEBT_TO_TOT_CAP","FQ4 2016","FQ4 2016","Currency=USD","Period=FQ","BEST_FPERIOD_OVERRIDE=FQ","FILING_STATUS=MR","Sort=A","Dates=H","DateFormat=P","Fill=—","Direction=H","UseDPDF=Y")</f>
        <v>20.309000000000001</v>
      </c>
      <c r="Y13" s="21">
        <f>_xll.BDH("ADBE US Equity","LT_DEBT_TO_TOT_CAP","FQ1 2017","FQ1 2017","Currency=USD","Period=FQ","BEST_FPERIOD_OVERRIDE=FQ","FILING_STATUS=MR","Sort=A","Dates=H","DateFormat=P","Fill=—","Direction=H","UseDPDF=Y")</f>
        <v>19.889399999999998</v>
      </c>
      <c r="Z13" s="21">
        <f>_xll.BDH("ADBE US Equity","LT_DEBT_TO_TOT_CAP","FQ2 2017","FQ2 2017","Currency=USD","Period=FQ","BEST_FPERIOD_OVERRIDE=FQ","FILING_STATUS=MR","Sort=A","Dates=H","DateFormat=P","Fill=—","Direction=H","UseDPDF=Y")</f>
        <v>19.4833</v>
      </c>
      <c r="AA13" s="21">
        <f>_xll.BDH("ADBE US Equity","LT_DEBT_TO_TOT_CAP","FQ3 2017","FQ3 2017","Currency=USD","Period=FQ","BEST_FPERIOD_OVERRIDE=FQ","FILING_STATUS=MR","Sort=A","Dates=H","DateFormat=P","Fill=—","Direction=H","UseDPDF=Y")</f>
        <v>18.780200000000001</v>
      </c>
      <c r="AB13" s="21">
        <f>_xll.BDH("ADBE US Equity","LT_DEBT_TO_TOT_CAP","FQ4 2017","FQ4 2017","Currency=USD","Period=FQ","BEST_FPERIOD_OVERRIDE=FQ","FILING_STATUS=MR","Sort=A","Dates=H","DateFormat=P","Fill=—","Direction=H","UseDPDF=Y")</f>
        <v>18.193300000000001</v>
      </c>
      <c r="AC13" s="21">
        <f>_xll.BDH("ADBE US Equity","LT_DEBT_TO_TOT_CAP","FQ1 2018","FQ1 2018","Currency=USD","Period=FQ","BEST_FPERIOD_OVERRIDE=FQ","FILING_STATUS=MR","Sort=A","Dates=H","DateFormat=P","Fill=—","Direction=H","UseDPDF=Y")</f>
        <v>17.840199999999999</v>
      </c>
      <c r="AD13" s="21">
        <f>_xll.BDH("ADBE US Equity","LT_DEBT_TO_TOT_CAP","FQ2 2018","FQ2 2018","Currency=USD","Period=FQ","BEST_FPERIOD_OVERRIDE=FQ","FILING_STATUS=MR","Sort=A","Dates=H","DateFormat=P","Fill=—","Direction=H","UseDPDF=Y")</f>
        <v>17.713799999999999</v>
      </c>
      <c r="AE13" s="21">
        <f>_xll.BDH("ADBE US Equity","LT_DEBT_TO_TOT_CAP","FQ3 2018","FQ3 2018","Currency=USD","Period=FQ","BEST_FPERIOD_OVERRIDE=FQ","FILING_STATUS=MR","Sort=A","Dates=H","DateFormat=P","Fill=—","Direction=H","UseDPDF=Y")</f>
        <v>17.4604</v>
      </c>
      <c r="AF13" s="21">
        <f>_xll.BDH("ADBE US Equity","LT_DEBT_TO_TOT_CAP","FQ4 2018","FQ4 2018","Currency=USD","Period=FQ","BEST_FPERIOD_OVERRIDE=FQ","FILING_STATUS=MR","Sort=A","Dates=H","DateFormat=P","Fill=—","Direction=H","UseDPDF=Y")</f>
        <v>30.5837</v>
      </c>
      <c r="AG13" s="21">
        <f>_xll.BDH("ADBE US Equity","LT_DEBT_TO_TOT_CAP","FQ1 2019","FQ1 2019","Currency=USD","Period=FQ","BEST_FPERIOD_OVERRIDE=FQ","FILING_STATUS=MR","Sort=A","Dates=H","DateFormat=P","Fill=—","Direction=H","UseDPDF=Y")</f>
        <v>23.118500000000001</v>
      </c>
      <c r="AH13" s="21">
        <f>_xll.BDH("ADBE US Equity","LT_DEBT_TO_TOT_CAP","FQ2 2019","FQ2 2019","Currency=USD","Period=FQ","BEST_FPERIOD_OVERRIDE=FQ","FILING_STATUS=MR","Sort=A","Dates=H","DateFormat=P","Fill=—","Direction=H","UseDPDF=Y")</f>
        <v>7.0239000000000003</v>
      </c>
      <c r="AI13" s="21">
        <f>_xll.BDH("ADBE US Equity","LT_DEBT_TO_TOT_CAP","FQ3 2019","FQ3 2019","Currency=USD","Period=FQ","BEST_FPERIOD_OVERRIDE=FQ","FILING_STATUS=MR","Sort=A","Dates=H","DateFormat=P","Fill=—","Direction=H","UseDPDF=Y")</f>
        <v>6.8737000000000004</v>
      </c>
      <c r="AJ13" s="21">
        <f>_xll.BDH("ADBE US Equity","LT_DEBT_TO_TOT_CAP","FQ4 2019","FQ4 2019","Currency=USD","Period=FQ","BEST_FPERIOD_OVERRIDE=FQ","FILING_STATUS=MR","Sort=A","Dates=H","DateFormat=P","Fill=—","Direction=H","UseDPDF=Y")</f>
        <v>6.7419000000000002</v>
      </c>
      <c r="AK13" s="21">
        <f>_xll.BDH("ADBE US Equity","LT_DEBT_TO_TOT_CAP","FQ1 2020","FQ1 2020","Currency=USD","Period=FQ","BEST_FPERIOD_OVERRIDE=FQ","FILING_STATUS=MR","Sort=A","Dates=H","DateFormat=P","Fill=—","Direction=H","UseDPDF=Y")</f>
        <v>30.488900000000001</v>
      </c>
      <c r="AL13" s="21">
        <f>_xll.BDH("ADBE US Equity","LT_DEBT_TO_TOT_CAP","FQ2 2020","FQ2 2020","Currency=USD","Period=FQ","BEST_FPERIOD_OVERRIDE=FQ","FILING_STATUS=MR","Sort=A","Dates=H","DateFormat=P","Fill=—","Direction=H","UseDPDF=Y")</f>
        <v>29.605899999999998</v>
      </c>
      <c r="AM13" s="21">
        <f>_xll.BDH("ADBE US Equity","LT_DEBT_TO_TOT_CAP","FQ3 2020","FQ3 2020","Currency=USD","Period=FQ","BEST_FPERIOD_OVERRIDE=FQ","FILING_STATUS=MR","Sort=A","Dates=H","DateFormat=P","Fill=—","Direction=H","UseDPDF=Y")</f>
        <v>28.2012</v>
      </c>
      <c r="AN13" s="21">
        <f>_xll.BDH("ADBE US Equity","LT_DEBT_TO_TOT_CAP","FQ4 2020","FQ4 2020","Currency=USD","Period=FQ","BEST_FPERIOD_OVERRIDE=FQ","FILING_STATUS=MR","Sort=A","Dates=H","DateFormat=P","Fill=—","Direction=H","UseDPDF=Y")</f>
        <v>25.6844</v>
      </c>
      <c r="AO13" s="21">
        <f>_xll.BDH("ADBE US Equity","LT_DEBT_TO_TOT_CAP","FQ1 2021","FQ1 2021","Currency=USD","Period=FQ","BEST_FPERIOD_OVERRIDE=FQ","FILING_STATUS=MR","Sort=A","Dates=H","DateFormat=P","Fill=—","Direction=H","UseDPDF=Y")</f>
        <v>25.272600000000001</v>
      </c>
      <c r="AP13" s="21">
        <f>_xll.BDH("ADBE US Equity","LT_DEBT_TO_TOT_CAP","FQ2 2021","FQ2 2021","Currency=USD","Period=FQ","BEST_FPERIOD_OVERRIDE=FQ","FILING_STATUS=MR","Sort=A","Dates=H","DateFormat=P","Fill=—","Direction=H","UseDPDF=Y")</f>
        <v>24.788399999999999</v>
      </c>
    </row>
    <row r="14" spans="1:42" x14ac:dyDescent="0.25">
      <c r="A14" s="8" t="s">
        <v>187</v>
      </c>
      <c r="B14" s="8" t="s">
        <v>186</v>
      </c>
      <c r="C14" s="21">
        <f>_xll.BDH("ADBE US Equity","LT_DEBT_TO_TOT_ASSET","FQ3 2011","FQ3 2011","Currency=USD","Period=FQ","BEST_FPERIOD_OVERRIDE=FQ","FILING_STATUS=MR","Sort=A","Dates=H","DateFormat=P","Fill=—","Direction=H","UseDPDF=Y")</f>
        <v>17.747800000000002</v>
      </c>
      <c r="D14" s="21">
        <f>_xll.BDH("ADBE US Equity","LT_DEBT_TO_TOT_ASSET","FQ4 2011","FQ4 2011","Currency=USD","Period=FQ","BEST_FPERIOD_OVERRIDE=FQ","FILING_STATUS=MR","Sort=A","Dates=H","DateFormat=P","Fill=—","Direction=H","UseDPDF=Y")</f>
        <v>16.739699999999999</v>
      </c>
      <c r="E14" s="21">
        <f>_xll.BDH("ADBE US Equity","LT_DEBT_TO_TOT_ASSET","FQ1 2012","FQ1 2012","Currency=USD","Period=FQ","BEST_FPERIOD_OVERRIDE=FQ","FILING_STATUS=MR","Sort=A","Dates=H","DateFormat=P","Fill=—","Direction=H","UseDPDF=Y")</f>
        <v>16.456199999999999</v>
      </c>
      <c r="F14" s="21">
        <f>_xll.BDH("ADBE US Equity","LT_DEBT_TO_TOT_ASSET","FQ2 2012","FQ2 2012","Currency=USD","Period=FQ","BEST_FPERIOD_OVERRIDE=FQ","FILING_STATUS=MR","Sort=A","Dates=H","DateFormat=P","Fill=—","Direction=H","UseDPDF=Y")</f>
        <v>16.0228</v>
      </c>
      <c r="G14" s="21">
        <f>_xll.BDH("ADBE US Equity","LT_DEBT_TO_TOT_ASSET","FQ3 2012","FQ3 2012","Currency=USD","Period=FQ","BEST_FPERIOD_OVERRIDE=FQ","FILING_STATUS=MR","Sort=A","Dates=H","DateFormat=P","Fill=—","Direction=H","UseDPDF=Y")</f>
        <v>15.575099999999999</v>
      </c>
      <c r="H14" s="21">
        <f>_xll.BDH("ADBE US Equity","LT_DEBT_TO_TOT_ASSET","FQ4 2012","FQ4 2012","Currency=USD","Period=FQ","BEST_FPERIOD_OVERRIDE=FQ","FILING_STATUS=MR","Sort=A","Dates=H","DateFormat=P","Fill=—","Direction=H","UseDPDF=Y")</f>
        <v>14.9094</v>
      </c>
      <c r="I14" s="21">
        <f>_xll.BDH("ADBE US Equity","LT_DEBT_TO_TOT_ASSET","FQ1 2013","FQ1 2013","Currency=USD","Period=FQ","BEST_FPERIOD_OVERRIDE=FQ","FILING_STATUS=MR","Sort=A","Dates=H","DateFormat=P","Fill=—","Direction=H","UseDPDF=Y")</f>
        <v>14.843999999999999</v>
      </c>
      <c r="J14" s="21">
        <f>_xll.BDH("ADBE US Equity","LT_DEBT_TO_TOT_ASSET","FQ2 2013","FQ2 2013","Currency=USD","Period=FQ","BEST_FPERIOD_OVERRIDE=FQ","FILING_STATUS=MR","Sort=A","Dates=H","DateFormat=P","Fill=—","Direction=H","UseDPDF=Y")</f>
        <v>14.645</v>
      </c>
      <c r="K14" s="21">
        <f>_xll.BDH("ADBE US Equity","LT_DEBT_TO_TOT_ASSET","FQ3 2013","FQ3 2013","Currency=USD","Period=FQ","BEST_FPERIOD_OVERRIDE=FQ","FILING_STATUS=MR","Sort=A","Dates=H","DateFormat=P","Fill=—","Direction=H","UseDPDF=Y")</f>
        <v>14.68</v>
      </c>
      <c r="L14" s="21">
        <f>_xll.BDH("ADBE US Equity","LT_DEBT_TO_TOT_ASSET","FQ4 2013","FQ4 2013","Currency=USD","Period=FQ","BEST_FPERIOD_OVERRIDE=FQ","FILING_STATUS=MR","Sort=A","Dates=H","DateFormat=P","Fill=—","Direction=H","UseDPDF=Y")</f>
        <v>14.4437</v>
      </c>
      <c r="M14" s="21">
        <f>_xll.BDH("ADBE US Equity","LT_DEBT_TO_TOT_ASSET","FQ1 2014","FQ1 2014","Currency=USD","Period=FQ","BEST_FPERIOD_OVERRIDE=FQ","FILING_STATUS=MR","Sort=A","Dates=H","DateFormat=P","Fill=—","Direction=H","UseDPDF=Y")</f>
        <v>8.7491000000000003</v>
      </c>
      <c r="N14" s="21">
        <f>_xll.BDH("ADBE US Equity","LT_DEBT_TO_TOT_ASSET","FQ2 2014","FQ2 2014","Currency=USD","Period=FQ","BEST_FPERIOD_OVERRIDE=FQ","FILING_STATUS=MR","Sort=A","Dates=H","DateFormat=P","Fill=—","Direction=H","UseDPDF=Y")</f>
        <v>8.6438000000000006</v>
      </c>
      <c r="O14" s="21">
        <f>_xll.BDH("ADBE US Equity","LT_DEBT_TO_TOT_ASSET","FQ3 2014","FQ3 2014","Currency=USD","Period=FQ","BEST_FPERIOD_OVERRIDE=FQ","FILING_STATUS=MR","Sort=A","Dates=H","DateFormat=P","Fill=—","Direction=H","UseDPDF=Y")</f>
        <v>8.5939999999999994</v>
      </c>
      <c r="P14" s="21">
        <f>_xll.BDH("ADBE US Equity","LT_DEBT_TO_TOT_ASSET","FQ4 2014","FQ4 2014","Currency=USD","Period=FQ","BEST_FPERIOD_OVERRIDE=FQ","FILING_STATUS=MR","Sort=A","Dates=H","DateFormat=P","Fill=—","Direction=H","UseDPDF=Y")</f>
        <v>8.4471000000000007</v>
      </c>
      <c r="Q14" s="21">
        <f>_xll.BDH("ADBE US Equity","LT_DEBT_TO_TOT_ASSET","FQ1 2015","FQ1 2015","Currency=USD","Period=FQ","BEST_FPERIOD_OVERRIDE=FQ","FILING_STATUS=MR","Sort=A","Dates=H","DateFormat=P","Fill=—","Direction=H","UseDPDF=Y")</f>
        <v>17.273599999999998</v>
      </c>
      <c r="R14" s="21">
        <f>_xll.BDH("ADBE US Equity","LT_DEBT_TO_TOT_ASSET","FQ2 2015","FQ2 2015","Currency=USD","Period=FQ","BEST_FPERIOD_OVERRIDE=FQ","FILING_STATUS=MR","Sort=A","Dates=H","DateFormat=P","Fill=—","Direction=H","UseDPDF=Y")</f>
        <v>17.056100000000001</v>
      </c>
      <c r="S14" s="21">
        <f>_xll.BDH("ADBE US Equity","LT_DEBT_TO_TOT_ASSET","FQ3 2015","FQ3 2015","Currency=USD","Period=FQ","BEST_FPERIOD_OVERRIDE=FQ","FILING_STATUS=MR","Sort=A","Dates=H","DateFormat=P","Fill=—","Direction=H","UseDPDF=Y")</f>
        <v>16.5626</v>
      </c>
      <c r="T14" s="21">
        <f>_xll.BDH("ADBE US Equity","LT_DEBT_TO_TOT_ASSET","FQ4 2015","FQ4 2015","Currency=USD","Period=FQ","BEST_FPERIOD_OVERRIDE=FQ","FILING_STATUS=MR","Sort=A","Dates=H","DateFormat=P","Fill=—","Direction=H","UseDPDF=Y")</f>
        <v>16.264299999999999</v>
      </c>
      <c r="U14" s="21">
        <f>_xll.BDH("ADBE US Equity","LT_DEBT_TO_TOT_ASSET","FQ1 2016","FQ1 2016","Currency=USD","Period=FQ","BEST_FPERIOD_OVERRIDE=FQ","FILING_STATUS=MR","Sort=A","Dates=H","DateFormat=P","Fill=—","Direction=H","UseDPDF=Y")</f>
        <v>16.112300000000001</v>
      </c>
      <c r="V14" s="21">
        <f>_xll.BDH("ADBE US Equity","LT_DEBT_TO_TOT_ASSET","FQ2 2016","FQ2 2016","Currency=USD","Period=FQ","BEST_FPERIOD_OVERRIDE=FQ","FILING_STATUS=MR","Sort=A","Dates=H","DateFormat=P","Fill=—","Direction=H","UseDPDF=Y")</f>
        <v>15.7029</v>
      </c>
      <c r="W14" s="21">
        <f>_xll.BDH("ADBE US Equity","LT_DEBT_TO_TOT_ASSET","FQ3 2016","FQ3 2016","Currency=USD","Period=FQ","BEST_FPERIOD_OVERRIDE=FQ","FILING_STATUS=MR","Sort=A","Dates=H","DateFormat=P","Fill=—","Direction=H","UseDPDF=Y")</f>
        <v>15.4971</v>
      </c>
      <c r="X14" s="21">
        <f>_xll.BDH("ADBE US Equity","LT_DEBT_TO_TOT_ASSET","FQ4 2016","FQ4 2016","Currency=USD","Period=FQ","BEST_FPERIOD_OVERRIDE=FQ","FILING_STATUS=MR","Sort=A","Dates=H","DateFormat=P","Fill=—","Direction=H","UseDPDF=Y")</f>
        <v>14.9024</v>
      </c>
      <c r="Y14" s="21">
        <f>_xll.BDH("ADBE US Equity","LT_DEBT_TO_TOT_ASSET","FQ1 2017","FQ1 2017","Currency=USD","Period=FQ","BEST_FPERIOD_OVERRIDE=FQ","FILING_STATUS=MR","Sort=A","Dates=H","DateFormat=P","Fill=—","Direction=H","UseDPDF=Y")</f>
        <v>14.443099999999999</v>
      </c>
      <c r="Z14" s="21">
        <f>_xll.BDH("ADBE US Equity","LT_DEBT_TO_TOT_ASSET","FQ2 2017","FQ2 2017","Currency=USD","Period=FQ","BEST_FPERIOD_OVERRIDE=FQ","FILING_STATUS=MR","Sort=A","Dates=H","DateFormat=P","Fill=—","Direction=H","UseDPDF=Y")</f>
        <v>14.1295</v>
      </c>
      <c r="AA14" s="21">
        <f>_xll.BDH("ADBE US Equity","LT_DEBT_TO_TOT_ASSET","FQ3 2017","FQ3 2017","Currency=USD","Period=FQ","BEST_FPERIOD_OVERRIDE=FQ","FILING_STATUS=MR","Sort=A","Dates=H","DateFormat=P","Fill=—","Direction=H","UseDPDF=Y")</f>
        <v>13.5848</v>
      </c>
      <c r="AB14" s="21">
        <f>_xll.BDH("ADBE US Equity","LT_DEBT_TO_TOT_ASSET","FQ4 2017","FQ4 2017","Currency=USD","Period=FQ","BEST_FPERIOD_OVERRIDE=FQ","FILING_STATUS=MR","Sort=A","Dates=H","DateFormat=P","Fill=—","Direction=H","UseDPDF=Y")</f>
        <v>12.9436</v>
      </c>
      <c r="AC14" s="21">
        <f>_xll.BDH("ADBE US Equity","LT_DEBT_TO_TOT_ASSET","FQ1 2018","FQ1 2018","Currency=USD","Period=FQ","BEST_FPERIOD_OVERRIDE=FQ","FILING_STATUS=MR","Sort=A","Dates=H","DateFormat=P","Fill=—","Direction=H","UseDPDF=Y")</f>
        <v>12.520799999999999</v>
      </c>
      <c r="AD14" s="21">
        <f>_xll.BDH("ADBE US Equity","LT_DEBT_TO_TOT_ASSET","FQ2 2018","FQ2 2018","Currency=USD","Period=FQ","BEST_FPERIOD_OVERRIDE=FQ","FILING_STATUS=MR","Sort=A","Dates=H","DateFormat=P","Fill=—","Direction=H","UseDPDF=Y")</f>
        <v>12.3591</v>
      </c>
      <c r="AE14" s="21">
        <f>_xll.BDH("ADBE US Equity","LT_DEBT_TO_TOT_ASSET","FQ3 2018","FQ3 2018","Currency=USD","Period=FQ","BEST_FPERIOD_OVERRIDE=FQ","FILING_STATUS=MR","Sort=A","Dates=H","DateFormat=P","Fill=—","Direction=H","UseDPDF=Y")</f>
        <v>12.176500000000001</v>
      </c>
      <c r="AF14" s="21">
        <f>_xll.BDH("ADBE US Equity","LT_DEBT_TO_TOT_ASSET","FQ4 2018","FQ4 2018","Currency=USD","Period=FQ","BEST_FPERIOD_OVERRIDE=FQ","FILING_STATUS=MR","Sort=A","Dates=H","DateFormat=P","Fill=—","Direction=H","UseDPDF=Y")</f>
        <v>21.977</v>
      </c>
      <c r="AG14" s="21">
        <f>_xll.BDH("ADBE US Equity","LT_DEBT_TO_TOT_ASSET","FQ1 2019","FQ1 2019","Currency=USD","Period=FQ","BEST_FPERIOD_OVERRIDE=FQ","FILING_STATUS=MR","Sort=A","Dates=H","DateFormat=P","Fill=—","Direction=H","UseDPDF=Y")</f>
        <v>16.5944</v>
      </c>
      <c r="AH14" s="21">
        <f>_xll.BDH("ADBE US Equity","LT_DEBT_TO_TOT_ASSET","FQ2 2019","FQ2 2019","Currency=USD","Period=FQ","BEST_FPERIOD_OVERRIDE=FQ","FILING_STATUS=MR","Sort=A","Dates=H","DateFormat=P","Fill=—","Direction=H","UseDPDF=Y")</f>
        <v>5.0236000000000001</v>
      </c>
      <c r="AI14" s="21">
        <f>_xll.BDH("ADBE US Equity","LT_DEBT_TO_TOT_ASSET","FQ3 2019","FQ3 2019","Currency=USD","Period=FQ","BEST_FPERIOD_OVERRIDE=FQ","FILING_STATUS=MR","Sort=A","Dates=H","DateFormat=P","Fill=—","Direction=H","UseDPDF=Y")</f>
        <v>4.9286000000000003</v>
      </c>
      <c r="AJ14" s="21">
        <f>_xll.BDH("ADBE US Equity","LT_DEBT_TO_TOT_ASSET","FQ4 2019","FQ4 2019","Currency=USD","Period=FQ","BEST_FPERIOD_OVERRIDE=FQ","FILING_STATUS=MR","Sort=A","Dates=H","DateFormat=P","Fill=—","Direction=H","UseDPDF=Y")</f>
        <v>4.7630999999999997</v>
      </c>
      <c r="AK14" s="21">
        <f>_xll.BDH("ADBE US Equity","LT_DEBT_TO_TOT_ASSET","FQ1 2020","FQ1 2020","Currency=USD","Period=FQ","BEST_FPERIOD_OVERRIDE=FQ","FILING_STATUS=MR","Sort=A","Dates=H","DateFormat=P","Fill=—","Direction=H","UseDPDF=Y")</f>
        <v>21.8111</v>
      </c>
      <c r="AL14" s="21">
        <f>_xll.BDH("ADBE US Equity","LT_DEBT_TO_TOT_ASSET","FQ2 2020","FQ2 2020","Currency=USD","Period=FQ","BEST_FPERIOD_OVERRIDE=FQ","FILING_STATUS=MR","Sort=A","Dates=H","DateFormat=P","Fill=—","Direction=H","UseDPDF=Y")</f>
        <v>21.3489</v>
      </c>
      <c r="AM14" s="21">
        <f>_xll.BDH("ADBE US Equity","LT_DEBT_TO_TOT_ASSET","FQ3 2020","FQ3 2020","Currency=USD","Period=FQ","BEST_FPERIOD_OVERRIDE=FQ","FILING_STATUS=MR","Sort=A","Dates=H","DateFormat=P","Fill=—","Direction=H","UseDPDF=Y")</f>
        <v>20.683499999999999</v>
      </c>
      <c r="AN14" s="21">
        <f>_xll.BDH("ADBE US Equity","LT_DEBT_TO_TOT_ASSET","FQ4 2020","FQ4 2020","Currency=USD","Period=FQ","BEST_FPERIOD_OVERRIDE=FQ","FILING_STATUS=MR","Sort=A","Dates=H","DateFormat=P","Fill=—","Direction=H","UseDPDF=Y")</f>
        <v>19.008400000000002</v>
      </c>
      <c r="AO14" s="21">
        <f>_xll.BDH("ADBE US Equity","LT_DEBT_TO_TOT_ASSET","FQ1 2021","FQ1 2021","Currency=USD","Period=FQ","BEST_FPERIOD_OVERRIDE=FQ","FILING_STATUS=MR","Sort=A","Dates=H","DateFormat=P","Fill=—","Direction=H","UseDPDF=Y")</f>
        <v>18.463100000000001</v>
      </c>
      <c r="AP14" s="21">
        <f>_xll.BDH("ADBE US Equity","LT_DEBT_TO_TOT_ASSET","FQ2 2021","FQ2 2021","Currency=USD","Period=FQ","BEST_FPERIOD_OVERRIDE=FQ","FILING_STATUS=MR","Sort=A","Dates=H","DateFormat=P","Fill=—","Direction=H","UseDPDF=Y")</f>
        <v>17.9697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185</v>
      </c>
      <c r="B16" s="8" t="s">
        <v>184</v>
      </c>
      <c r="C16" s="21">
        <f>_xll.BDH("ADBE US Equity","TOT_DEBT_TO_TOT_EQY","FQ3 2011","FQ3 2011","Currency=USD","Period=FQ","BEST_FPERIOD_OVERRIDE=FQ","FILING_STATUS=MR","Sort=A","Dates=H","DateFormat=P","Fill=—","Direction=H","UseDPDF=Y")</f>
        <v>27.253699999999998</v>
      </c>
      <c r="D16" s="21">
        <f>_xll.BDH("ADBE US Equity","TOT_DEBT_TO_TOT_EQY","FQ4 2011","FQ4 2011","Currency=USD","Period=FQ","BEST_FPERIOD_OVERRIDE=FQ","FILING_STATUS=MR","Sort=A","Dates=H","DateFormat=P","Fill=—","Direction=H","UseDPDF=Y")</f>
        <v>26.184999999999999</v>
      </c>
      <c r="E16" s="21">
        <f>_xll.BDH("ADBE US Equity","TOT_DEBT_TO_TOT_EQY","FQ1 2012","FQ1 2012","Currency=USD","Period=FQ","BEST_FPERIOD_OVERRIDE=FQ","FILING_STATUS=MR","Sort=A","Dates=H","DateFormat=P","Fill=—","Direction=H","UseDPDF=Y")</f>
        <v>25.261199999999999</v>
      </c>
      <c r="F16" s="21">
        <f>_xll.BDH("ADBE US Equity","TOT_DEBT_TO_TOT_EQY","FQ2 2012","FQ2 2012","Currency=USD","Period=FQ","BEST_FPERIOD_OVERRIDE=FQ","FILING_STATUS=MR","Sort=A","Dates=H","DateFormat=P","Fill=—","Direction=H","UseDPDF=Y")</f>
        <v>24.757100000000001</v>
      </c>
      <c r="G16" s="21">
        <f>_xll.BDH("ADBE US Equity","TOT_DEBT_TO_TOT_EQY","FQ3 2012","FQ3 2012","Currency=USD","Period=FQ","BEST_FPERIOD_OVERRIDE=FQ","FILING_STATUS=MR","Sort=A","Dates=H","DateFormat=P","Fill=—","Direction=H","UseDPDF=Y")</f>
        <v>23.467099999999999</v>
      </c>
      <c r="H16" s="21">
        <f>_xll.BDH("ADBE US Equity","TOT_DEBT_TO_TOT_EQY","FQ4 2012","FQ4 2012","Currency=USD","Period=FQ","BEST_FPERIOD_OVERRIDE=FQ","FILING_STATUS=MR","Sort=A","Dates=H","DateFormat=P","Fill=—","Direction=H","UseDPDF=Y")</f>
        <v>22.627400000000002</v>
      </c>
      <c r="I16" s="21">
        <f>_xll.BDH("ADBE US Equity","TOT_DEBT_TO_TOT_EQY","FQ1 2013","FQ1 2013","Currency=USD","Period=FQ","BEST_FPERIOD_OVERRIDE=FQ","FILING_STATUS=MR","Sort=A","Dates=H","DateFormat=P","Fill=—","Direction=H","UseDPDF=Y")</f>
        <v>22.5031</v>
      </c>
      <c r="J16" s="21">
        <f>_xll.BDH("ADBE US Equity","TOT_DEBT_TO_TOT_EQY","FQ2 2013","FQ2 2013","Currency=USD","Period=FQ","BEST_FPERIOD_OVERRIDE=FQ","FILING_STATUS=MR","Sort=A","Dates=H","DateFormat=P","Fill=—","Direction=H","UseDPDF=Y")</f>
        <v>22.023599999999998</v>
      </c>
      <c r="K16" s="21">
        <f>_xll.BDH("ADBE US Equity","TOT_DEBT_TO_TOT_EQY","FQ3 2013","FQ3 2013","Currency=USD","Period=FQ","BEST_FPERIOD_OVERRIDE=FQ","FILING_STATUS=MR","Sort=A","Dates=H","DateFormat=P","Fill=—","Direction=H","UseDPDF=Y")</f>
        <v>22.236799999999999</v>
      </c>
      <c r="L16" s="21">
        <f>_xll.BDH("ADBE US Equity","TOT_DEBT_TO_TOT_EQY","FQ4 2013","FQ4 2013","Currency=USD","Period=FQ","BEST_FPERIOD_OVERRIDE=FQ","FILING_STATUS=MR","Sort=A","Dates=H","DateFormat=P","Fill=—","Direction=H","UseDPDF=Y")</f>
        <v>22.5138</v>
      </c>
      <c r="M16" s="21">
        <f>_xll.BDH("ADBE US Equity","TOT_DEBT_TO_TOT_EQY","FQ1 2014","FQ1 2014","Currency=USD","Period=FQ","BEST_FPERIOD_OVERRIDE=FQ","FILING_STATUS=MR","Sort=A","Dates=H","DateFormat=P","Fill=—","Direction=H","UseDPDF=Y")</f>
        <v>22.837</v>
      </c>
      <c r="N16" s="21">
        <f>_xll.BDH("ADBE US Equity","TOT_DEBT_TO_TOT_EQY","FQ2 2014","FQ2 2014","Currency=USD","Period=FQ","BEST_FPERIOD_OVERRIDE=FQ","FILING_STATUS=MR","Sort=A","Dates=H","DateFormat=P","Fill=—","Direction=H","UseDPDF=Y")</f>
        <v>22.695799999999998</v>
      </c>
      <c r="O16" s="21">
        <f>_xll.BDH("ADBE US Equity","TOT_DEBT_TO_TOT_EQY","FQ3 2014","FQ3 2014","Currency=USD","Period=FQ","BEST_FPERIOD_OVERRIDE=FQ","FILING_STATUS=MR","Sort=A","Dates=H","DateFormat=P","Fill=—","Direction=H","UseDPDF=Y")</f>
        <v>22.406700000000001</v>
      </c>
      <c r="P16" s="21">
        <f>_xll.BDH("ADBE US Equity","TOT_DEBT_TO_TOT_EQY","FQ4 2014","FQ4 2014","Currency=USD","Period=FQ","BEST_FPERIOD_OVERRIDE=FQ","FILING_STATUS=MR","Sort=A","Dates=H","DateFormat=P","Fill=—","Direction=H","UseDPDF=Y")</f>
        <v>22.348500000000001</v>
      </c>
      <c r="Q16" s="21">
        <f>_xll.BDH("ADBE US Equity","TOT_DEBT_TO_TOT_EQY","FQ1 2015","FQ1 2015","Currency=USD","Period=FQ","BEST_FPERIOD_OVERRIDE=FQ","FILING_STATUS=MR","Sort=A","Dates=H","DateFormat=P","Fill=—","Direction=H","UseDPDF=Y")</f>
        <v>28.860399999999998</v>
      </c>
      <c r="R16" s="21">
        <f>_xll.BDH("ADBE US Equity","TOT_DEBT_TO_TOT_EQY","FQ2 2015","FQ2 2015","Currency=USD","Period=FQ","BEST_FPERIOD_OVERRIDE=FQ","FILING_STATUS=MR","Sort=A","Dates=H","DateFormat=P","Fill=—","Direction=H","UseDPDF=Y")</f>
        <v>28.810099999999998</v>
      </c>
      <c r="S16" s="21">
        <f>_xll.BDH("ADBE US Equity","TOT_DEBT_TO_TOT_EQY","FQ3 2015","FQ3 2015","Currency=USD","Period=FQ","BEST_FPERIOD_OVERRIDE=FQ","FILING_STATUS=MR","Sort=A","Dates=H","DateFormat=P","Fill=—","Direction=H","UseDPDF=Y")</f>
        <v>27.8614</v>
      </c>
      <c r="T16" s="21">
        <f>_xll.BDH("ADBE US Equity","TOT_DEBT_TO_TOT_EQY","FQ4 2015","FQ4 2015","Currency=USD","Period=FQ","BEST_FPERIOD_OVERRIDE=FQ","FILING_STATUS=MR","Sort=A","Dates=H","DateFormat=P","Fill=—","Direction=H","UseDPDF=Y")</f>
        <v>27.24</v>
      </c>
      <c r="U16" s="21">
        <f>_xll.BDH("ADBE US Equity","TOT_DEBT_TO_TOT_EQY","FQ1 2016","FQ1 2016","Currency=USD","Period=FQ","BEST_FPERIOD_OVERRIDE=FQ","FILING_STATUS=MR","Sort=A","Dates=H","DateFormat=P","Fill=—","Direction=H","UseDPDF=Y")</f>
        <v>27.069299999999998</v>
      </c>
      <c r="V16" s="21">
        <f>_xll.BDH("ADBE US Equity","TOT_DEBT_TO_TOT_EQY","FQ2 2016","FQ2 2016","Currency=USD","Period=FQ","BEST_FPERIOD_OVERRIDE=FQ","FILING_STATUS=MR","Sort=A","Dates=H","DateFormat=P","Fill=—","Direction=H","UseDPDF=Y")</f>
        <v>26.465599999999998</v>
      </c>
      <c r="W16" s="21">
        <f>_xll.BDH("ADBE US Equity","TOT_DEBT_TO_TOT_EQY","FQ3 2016","FQ3 2016","Currency=USD","Period=FQ","BEST_FPERIOD_OVERRIDE=FQ","FILING_STATUS=MR","Sort=A","Dates=H","DateFormat=P","Fill=—","Direction=H","UseDPDF=Y")</f>
        <v>26.334199999999999</v>
      </c>
      <c r="X16" s="21">
        <f>_xll.BDH("ADBE US Equity","TOT_DEBT_TO_TOT_EQY","FQ4 2016","FQ4 2016","Currency=USD","Period=FQ","BEST_FPERIOD_OVERRIDE=FQ","FILING_STATUS=MR","Sort=A","Dates=H","DateFormat=P","Fill=—","Direction=H","UseDPDF=Y")</f>
        <v>25.4847</v>
      </c>
      <c r="Y16" s="21">
        <f>_xll.BDH("ADBE US Equity","TOT_DEBT_TO_TOT_EQY","FQ1 2017","FQ1 2017","Currency=USD","Period=FQ","BEST_FPERIOD_OVERRIDE=FQ","FILING_STATUS=MR","Sort=A","Dates=H","DateFormat=P","Fill=—","Direction=H","UseDPDF=Y")</f>
        <v>24.827400000000001</v>
      </c>
      <c r="Z16" s="21">
        <f>_xll.BDH("ADBE US Equity","TOT_DEBT_TO_TOT_EQY","FQ2 2017","FQ2 2017","Currency=USD","Period=FQ","BEST_FPERIOD_OVERRIDE=FQ","FILING_STATUS=MR","Sort=A","Dates=H","DateFormat=P","Fill=—","Direction=H","UseDPDF=Y")</f>
        <v>24.197800000000001</v>
      </c>
      <c r="AA16" s="21">
        <f>_xll.BDH("ADBE US Equity","TOT_DEBT_TO_TOT_EQY","FQ3 2017","FQ3 2017","Currency=USD","Period=FQ","BEST_FPERIOD_OVERRIDE=FQ","FILING_STATUS=MR","Sort=A","Dates=H","DateFormat=P","Fill=—","Direction=H","UseDPDF=Y")</f>
        <v>23.122599999999998</v>
      </c>
      <c r="AB16" s="21">
        <f>_xll.BDH("ADBE US Equity","TOT_DEBT_TO_TOT_EQY","FQ4 2017","FQ4 2017","Currency=USD","Period=FQ","BEST_FPERIOD_OVERRIDE=FQ","FILING_STATUS=MR","Sort=A","Dates=H","DateFormat=P","Fill=—","Direction=H","UseDPDF=Y")</f>
        <v>22.2394</v>
      </c>
      <c r="AC16" s="21">
        <f>_xll.BDH("ADBE US Equity","TOT_DEBT_TO_TOT_EQY","FQ1 2018","FQ1 2018","Currency=USD","Period=FQ","BEST_FPERIOD_OVERRIDE=FQ","FILING_STATUS=MR","Sort=A","Dates=H","DateFormat=P","Fill=—","Direction=H","UseDPDF=Y")</f>
        <v>21.713999999999999</v>
      </c>
      <c r="AD16" s="21">
        <f>_xll.BDH("ADBE US Equity","TOT_DEBT_TO_TOT_EQY","FQ2 2018","FQ2 2018","Currency=USD","Period=FQ","BEST_FPERIOD_OVERRIDE=FQ","FILING_STATUS=MR","Sort=A","Dates=H","DateFormat=P","Fill=—","Direction=H","UseDPDF=Y")</f>
        <v>21.527100000000001</v>
      </c>
      <c r="AE16" s="21">
        <f>_xll.BDH("ADBE US Equity","TOT_DEBT_TO_TOT_EQY","FQ3 2018","FQ3 2018","Currency=USD","Period=FQ","BEST_FPERIOD_OVERRIDE=FQ","FILING_STATUS=MR","Sort=A","Dates=H","DateFormat=P","Fill=—","Direction=H","UseDPDF=Y")</f>
        <v>21.154</v>
      </c>
      <c r="AF16" s="21">
        <f>_xll.BDH("ADBE US Equity","TOT_DEBT_TO_TOT_EQY","FQ4 2018","FQ4 2018","Currency=USD","Period=FQ","BEST_FPERIOD_OVERRIDE=FQ","FILING_STATUS=MR","Sort=A","Dates=H","DateFormat=P","Fill=—","Direction=H","UseDPDF=Y")</f>
        <v>44.058399999999999</v>
      </c>
      <c r="AG16" s="21">
        <f>_xll.BDH("ADBE US Equity","TOT_DEBT_TO_TOT_EQY","FQ1 2019","FQ1 2019","Currency=USD","Period=FQ","BEST_FPERIOD_OVERRIDE=FQ","FILING_STATUS=MR","Sort=A","Dates=H","DateFormat=P","Fill=—","Direction=H","UseDPDF=Y")</f>
        <v>41.833500000000001</v>
      </c>
      <c r="AH16" s="21">
        <f>_xll.BDH("ADBE US Equity","TOT_DEBT_TO_TOT_EQY","FQ2 2019","FQ2 2019","Currency=USD","Period=FQ","BEST_FPERIOD_OVERRIDE=FQ","FILING_STATUS=MR","Sort=A","Dates=H","DateFormat=P","Fill=—","Direction=H","UseDPDF=Y")</f>
        <v>41.620399999999997</v>
      </c>
      <c r="AI16" s="21">
        <f>_xll.BDH("ADBE US Equity","TOT_DEBT_TO_TOT_EQY","FQ3 2019","FQ3 2019","Currency=USD","Period=FQ","BEST_FPERIOD_OVERRIDE=FQ","FILING_STATUS=MR","Sort=A","Dates=H","DateFormat=P","Fill=—","Direction=H","UseDPDF=Y")</f>
        <v>40.389600000000002</v>
      </c>
      <c r="AJ16" s="21">
        <f>_xll.BDH("ADBE US Equity","TOT_DEBT_TO_TOT_EQY","FQ4 2019","FQ4 2019","Currency=USD","Period=FQ","BEST_FPERIOD_OVERRIDE=FQ","FILING_STATUS=MR","Sort=A","Dates=H","DateFormat=P","Fill=—","Direction=H","UseDPDF=Y")</f>
        <v>39.299199999999999</v>
      </c>
      <c r="AK16" s="21">
        <f>_xll.BDH("ADBE US Equity","TOT_DEBT_TO_TOT_EQY","FQ1 2020","FQ1 2020","Currency=USD","Period=FQ","BEST_FPERIOD_OVERRIDE=FQ","FILING_STATUS=MR","Sort=A","Dates=H","DateFormat=P","Fill=—","Direction=H","UseDPDF=Y")</f>
        <v>45.0167</v>
      </c>
      <c r="AL16" s="21">
        <f>_xll.BDH("ADBE US Equity","TOT_DEBT_TO_TOT_EQY","FQ2 2020","FQ2 2020","Currency=USD","Period=FQ","BEST_FPERIOD_OVERRIDE=FQ","FILING_STATUS=MR","Sort=A","Dates=H","DateFormat=P","Fill=—","Direction=H","UseDPDF=Y")</f>
        <v>43.167000000000002</v>
      </c>
      <c r="AM16" s="21">
        <f>_xll.BDH("ADBE US Equity","TOT_DEBT_TO_TOT_EQY","FQ3 2020","FQ3 2020","Currency=USD","Period=FQ","BEST_FPERIOD_OVERRIDE=FQ","FILING_STATUS=MR","Sort=A","Dates=H","DateFormat=P","Fill=—","Direction=H","UseDPDF=Y")</f>
        <v>40.348300000000002</v>
      </c>
      <c r="AN16" s="21">
        <f>_xll.BDH("ADBE US Equity","TOT_DEBT_TO_TOT_EQY","FQ4 2020","FQ4 2020","Currency=USD","Period=FQ","BEST_FPERIOD_OVERRIDE=FQ","FILING_STATUS=MR","Sort=A","Dates=H","DateFormat=P","Fill=—","Direction=H","UseDPDF=Y")</f>
        <v>35.494599999999998</v>
      </c>
      <c r="AO16" s="21">
        <f>_xll.BDH("ADBE US Equity","TOT_DEBT_TO_TOT_EQY","FQ1 2021","FQ1 2021","Currency=USD","Period=FQ","BEST_FPERIOD_OVERRIDE=FQ","FILING_STATUS=MR","Sort=A","Dates=H","DateFormat=P","Fill=—","Direction=H","UseDPDF=Y")</f>
        <v>34.7483</v>
      </c>
      <c r="AP16" s="21">
        <f>_xll.BDH("ADBE US Equity","TOT_DEBT_TO_TOT_EQY","FQ2 2021","FQ2 2021","Currency=USD","Period=FQ","BEST_FPERIOD_OVERRIDE=FQ","FILING_STATUS=MR","Sort=A","Dates=H","DateFormat=P","Fill=—","Direction=H","UseDPDF=Y")</f>
        <v>33.879600000000003</v>
      </c>
    </row>
    <row r="17" spans="1:42" x14ac:dyDescent="0.25">
      <c r="A17" s="8" t="s">
        <v>183</v>
      </c>
      <c r="B17" s="8" t="s">
        <v>182</v>
      </c>
      <c r="C17" s="21">
        <f>_xll.BDH("ADBE US Equity","TOT_DEBT_TO_TOT_CAP","FQ3 2011","FQ3 2011","Currency=USD","Period=FQ","BEST_FPERIOD_OVERRIDE=FQ","FILING_STATUS=MR","Sort=A","Dates=H","DateFormat=P","Fill=—","Direction=H","UseDPDF=Y")</f>
        <v>21.416799999999999</v>
      </c>
      <c r="D17" s="21">
        <f>_xll.BDH("ADBE US Equity","TOT_DEBT_TO_TOT_CAP","FQ4 2011","FQ4 2011","Currency=USD","Period=FQ","BEST_FPERIOD_OVERRIDE=FQ","FILING_STATUS=MR","Sort=A","Dates=H","DateFormat=P","Fill=—","Direction=H","UseDPDF=Y")</f>
        <v>20.751300000000001</v>
      </c>
      <c r="E17" s="21">
        <f>_xll.BDH("ADBE US Equity","TOT_DEBT_TO_TOT_CAP","FQ1 2012","FQ1 2012","Currency=USD","Period=FQ","BEST_FPERIOD_OVERRIDE=FQ","FILING_STATUS=MR","Sort=A","Dates=H","DateFormat=P","Fill=—","Direction=H","UseDPDF=Y")</f>
        <v>20.166799999999999</v>
      </c>
      <c r="F17" s="21">
        <f>_xll.BDH("ADBE US Equity","TOT_DEBT_TO_TOT_CAP","FQ2 2012","FQ2 2012","Currency=USD","Period=FQ","BEST_FPERIOD_OVERRIDE=FQ","FILING_STATUS=MR","Sort=A","Dates=H","DateFormat=P","Fill=—","Direction=H","UseDPDF=Y")</f>
        <v>19.844200000000001</v>
      </c>
      <c r="G17" s="21">
        <f>_xll.BDH("ADBE US Equity","TOT_DEBT_TO_TOT_CAP","FQ3 2012","FQ3 2012","Currency=USD","Period=FQ","BEST_FPERIOD_OVERRIDE=FQ","FILING_STATUS=MR","Sort=A","Dates=H","DateFormat=P","Fill=—","Direction=H","UseDPDF=Y")</f>
        <v>19.006799999999998</v>
      </c>
      <c r="H17" s="21">
        <f>_xll.BDH("ADBE US Equity","TOT_DEBT_TO_TOT_CAP","FQ4 2012","FQ4 2012","Currency=USD","Period=FQ","BEST_FPERIOD_OVERRIDE=FQ","FILING_STATUS=MR","Sort=A","Dates=H","DateFormat=P","Fill=—","Direction=H","UseDPDF=Y")</f>
        <v>18.452100000000002</v>
      </c>
      <c r="I17" s="21">
        <f>_xll.BDH("ADBE US Equity","TOT_DEBT_TO_TOT_CAP","FQ1 2013","FQ1 2013","Currency=USD","Period=FQ","BEST_FPERIOD_OVERRIDE=FQ","FILING_STATUS=MR","Sort=A","Dates=H","DateFormat=P","Fill=—","Direction=H","UseDPDF=Y")</f>
        <v>18.369399999999999</v>
      </c>
      <c r="J17" s="21">
        <f>_xll.BDH("ADBE US Equity","TOT_DEBT_TO_TOT_CAP","FQ2 2013","FQ2 2013","Currency=USD","Period=FQ","BEST_FPERIOD_OVERRIDE=FQ","FILING_STATUS=MR","Sort=A","Dates=H","DateFormat=P","Fill=—","Direction=H","UseDPDF=Y")</f>
        <v>18.0487</v>
      </c>
      <c r="K17" s="21">
        <f>_xll.BDH("ADBE US Equity","TOT_DEBT_TO_TOT_CAP","FQ3 2013","FQ3 2013","Currency=USD","Period=FQ","BEST_FPERIOD_OVERRIDE=FQ","FILING_STATUS=MR","Sort=A","Dates=H","DateFormat=P","Fill=—","Direction=H","UseDPDF=Y")</f>
        <v>18.191600000000001</v>
      </c>
      <c r="L17" s="21">
        <f>_xll.BDH("ADBE US Equity","TOT_DEBT_TO_TOT_CAP","FQ4 2013","FQ4 2013","Currency=USD","Period=FQ","BEST_FPERIOD_OVERRIDE=FQ","FILING_STATUS=MR","Sort=A","Dates=H","DateFormat=P","Fill=—","Direction=H","UseDPDF=Y")</f>
        <v>18.3766</v>
      </c>
      <c r="M17" s="21">
        <f>_xll.BDH("ADBE US Equity","TOT_DEBT_TO_TOT_CAP","FQ1 2014","FQ1 2014","Currency=USD","Period=FQ","BEST_FPERIOD_OVERRIDE=FQ","FILING_STATUS=MR","Sort=A","Dates=H","DateFormat=P","Fill=—","Direction=H","UseDPDF=Y")</f>
        <v>18.5913</v>
      </c>
      <c r="N17" s="21">
        <f>_xll.BDH("ADBE US Equity","TOT_DEBT_TO_TOT_CAP","FQ2 2014","FQ2 2014","Currency=USD","Period=FQ","BEST_FPERIOD_OVERRIDE=FQ","FILING_STATUS=MR","Sort=A","Dates=H","DateFormat=P","Fill=—","Direction=H","UseDPDF=Y")</f>
        <v>18.497599999999998</v>
      </c>
      <c r="O17" s="21">
        <f>_xll.BDH("ADBE US Equity","TOT_DEBT_TO_TOT_CAP","FQ3 2014","FQ3 2014","Currency=USD","Period=FQ","BEST_FPERIOD_OVERRIDE=FQ","FILING_STATUS=MR","Sort=A","Dates=H","DateFormat=P","Fill=—","Direction=H","UseDPDF=Y")</f>
        <v>18.305199999999999</v>
      </c>
      <c r="P17" s="21">
        <f>_xll.BDH("ADBE US Equity","TOT_DEBT_TO_TOT_CAP","FQ4 2014","FQ4 2014","Currency=USD","Period=FQ","BEST_FPERIOD_OVERRIDE=FQ","FILING_STATUS=MR","Sort=A","Dates=H","DateFormat=P","Fill=—","Direction=H","UseDPDF=Y")</f>
        <v>18.266300000000001</v>
      </c>
      <c r="Q17" s="21">
        <f>_xll.BDH("ADBE US Equity","TOT_DEBT_TO_TOT_CAP","FQ1 2015","FQ1 2015","Currency=USD","Period=FQ","BEST_FPERIOD_OVERRIDE=FQ","FILING_STATUS=MR","Sort=A","Dates=H","DateFormat=P","Fill=—","Direction=H","UseDPDF=Y")</f>
        <v>22.396599999999999</v>
      </c>
      <c r="R17" s="21">
        <f>_xll.BDH("ADBE US Equity","TOT_DEBT_TO_TOT_CAP","FQ2 2015","FQ2 2015","Currency=USD","Period=FQ","BEST_FPERIOD_OVERRIDE=FQ","FILING_STATUS=MR","Sort=A","Dates=H","DateFormat=P","Fill=—","Direction=H","UseDPDF=Y")</f>
        <v>22.366299999999999</v>
      </c>
      <c r="S17" s="21">
        <f>_xll.BDH("ADBE US Equity","TOT_DEBT_TO_TOT_CAP","FQ3 2015","FQ3 2015","Currency=USD","Period=FQ","BEST_FPERIOD_OVERRIDE=FQ","FILING_STATUS=MR","Sort=A","Dates=H","DateFormat=P","Fill=—","Direction=H","UseDPDF=Y")</f>
        <v>21.790299999999998</v>
      </c>
      <c r="T17" s="21">
        <f>_xll.BDH("ADBE US Equity","TOT_DEBT_TO_TOT_CAP","FQ4 2015","FQ4 2015","Currency=USD","Period=FQ","BEST_FPERIOD_OVERRIDE=FQ","FILING_STATUS=MR","Sort=A","Dates=H","DateFormat=P","Fill=—","Direction=H","UseDPDF=Y")</f>
        <v>21.4084</v>
      </c>
      <c r="U17" s="21">
        <f>_xll.BDH("ADBE US Equity","TOT_DEBT_TO_TOT_CAP","FQ1 2016","FQ1 2016","Currency=USD","Period=FQ","BEST_FPERIOD_OVERRIDE=FQ","FILING_STATUS=MR","Sort=A","Dates=H","DateFormat=P","Fill=—","Direction=H","UseDPDF=Y")</f>
        <v>21.302800000000001</v>
      </c>
      <c r="V17" s="21">
        <f>_xll.BDH("ADBE US Equity","TOT_DEBT_TO_TOT_CAP","FQ2 2016","FQ2 2016","Currency=USD","Period=FQ","BEST_FPERIOD_OVERRIDE=FQ","FILING_STATUS=MR","Sort=A","Dates=H","DateFormat=P","Fill=—","Direction=H","UseDPDF=Y")</f>
        <v>20.927099999999999</v>
      </c>
      <c r="W17" s="21">
        <f>_xll.BDH("ADBE US Equity","TOT_DEBT_TO_TOT_CAP","FQ3 2016","FQ3 2016","Currency=USD","Period=FQ","BEST_FPERIOD_OVERRIDE=FQ","FILING_STATUS=MR","Sort=A","Dates=H","DateFormat=P","Fill=—","Direction=H","UseDPDF=Y")</f>
        <v>20.844899999999999</v>
      </c>
      <c r="X17" s="21">
        <f>_xll.BDH("ADBE US Equity","TOT_DEBT_TO_TOT_CAP","FQ4 2016","FQ4 2016","Currency=USD","Period=FQ","BEST_FPERIOD_OVERRIDE=FQ","FILING_STATUS=MR","Sort=A","Dates=H","DateFormat=P","Fill=—","Direction=H","UseDPDF=Y")</f>
        <v>20.309000000000001</v>
      </c>
      <c r="Y17" s="21">
        <f>_xll.BDH("ADBE US Equity","TOT_DEBT_TO_TOT_CAP","FQ1 2017","FQ1 2017","Currency=USD","Period=FQ","BEST_FPERIOD_OVERRIDE=FQ","FILING_STATUS=MR","Sort=A","Dates=H","DateFormat=P","Fill=—","Direction=H","UseDPDF=Y")</f>
        <v>19.889399999999998</v>
      </c>
      <c r="Z17" s="21">
        <f>_xll.BDH("ADBE US Equity","TOT_DEBT_TO_TOT_CAP","FQ2 2017","FQ2 2017","Currency=USD","Period=FQ","BEST_FPERIOD_OVERRIDE=FQ","FILING_STATUS=MR","Sort=A","Dates=H","DateFormat=P","Fill=—","Direction=H","UseDPDF=Y")</f>
        <v>19.4833</v>
      </c>
      <c r="AA17" s="21">
        <f>_xll.BDH("ADBE US Equity","TOT_DEBT_TO_TOT_CAP","FQ3 2017","FQ3 2017","Currency=USD","Period=FQ","BEST_FPERIOD_OVERRIDE=FQ","FILING_STATUS=MR","Sort=A","Dates=H","DateFormat=P","Fill=—","Direction=H","UseDPDF=Y")</f>
        <v>18.780200000000001</v>
      </c>
      <c r="AB17" s="21">
        <f>_xll.BDH("ADBE US Equity","TOT_DEBT_TO_TOT_CAP","FQ4 2017","FQ4 2017","Currency=USD","Period=FQ","BEST_FPERIOD_OVERRIDE=FQ","FILING_STATUS=MR","Sort=A","Dates=H","DateFormat=P","Fill=—","Direction=H","UseDPDF=Y")</f>
        <v>18.193300000000001</v>
      </c>
      <c r="AC17" s="21">
        <f>_xll.BDH("ADBE US Equity","TOT_DEBT_TO_TOT_CAP","FQ1 2018","FQ1 2018","Currency=USD","Period=FQ","BEST_FPERIOD_OVERRIDE=FQ","FILING_STATUS=MR","Sort=A","Dates=H","DateFormat=P","Fill=—","Direction=H","UseDPDF=Y")</f>
        <v>17.840199999999999</v>
      </c>
      <c r="AD17" s="21">
        <f>_xll.BDH("ADBE US Equity","TOT_DEBT_TO_TOT_CAP","FQ2 2018","FQ2 2018","Currency=USD","Period=FQ","BEST_FPERIOD_OVERRIDE=FQ","FILING_STATUS=MR","Sort=A","Dates=H","DateFormat=P","Fill=—","Direction=H","UseDPDF=Y")</f>
        <v>17.713799999999999</v>
      </c>
      <c r="AE17" s="21">
        <f>_xll.BDH("ADBE US Equity","TOT_DEBT_TO_TOT_CAP","FQ3 2018","FQ3 2018","Currency=USD","Period=FQ","BEST_FPERIOD_OVERRIDE=FQ","FILING_STATUS=MR","Sort=A","Dates=H","DateFormat=P","Fill=—","Direction=H","UseDPDF=Y")</f>
        <v>17.4604</v>
      </c>
      <c r="AF17" s="21">
        <f>_xll.BDH("ADBE US Equity","TOT_DEBT_TO_TOT_CAP","FQ4 2018","FQ4 2018","Currency=USD","Period=FQ","BEST_FPERIOD_OVERRIDE=FQ","FILING_STATUS=MR","Sort=A","Dates=H","DateFormat=P","Fill=—","Direction=H","UseDPDF=Y")</f>
        <v>30.5837</v>
      </c>
      <c r="AG17" s="21">
        <f>_xll.BDH("ADBE US Equity","TOT_DEBT_TO_TOT_CAP","FQ1 2019","FQ1 2019","Currency=USD","Period=FQ","BEST_FPERIOD_OVERRIDE=FQ","FILING_STATUS=MR","Sort=A","Dates=H","DateFormat=P","Fill=—","Direction=H","UseDPDF=Y")</f>
        <v>29.494800000000001</v>
      </c>
      <c r="AH17" s="21">
        <f>_xll.BDH("ADBE US Equity","TOT_DEBT_TO_TOT_CAP","FQ2 2019","FQ2 2019","Currency=USD","Period=FQ","BEST_FPERIOD_OVERRIDE=FQ","FILING_STATUS=MR","Sort=A","Dates=H","DateFormat=P","Fill=—","Direction=H","UseDPDF=Y")</f>
        <v>29.3887</v>
      </c>
      <c r="AI17" s="21">
        <f>_xll.BDH("ADBE US Equity","TOT_DEBT_TO_TOT_CAP","FQ3 2019","FQ3 2019","Currency=USD","Period=FQ","BEST_FPERIOD_OVERRIDE=FQ","FILING_STATUS=MR","Sort=A","Dates=H","DateFormat=P","Fill=—","Direction=H","UseDPDF=Y")</f>
        <v>28.7697</v>
      </c>
      <c r="AJ17" s="21">
        <f>_xll.BDH("ADBE US Equity","TOT_DEBT_TO_TOT_CAP","FQ4 2019","FQ4 2019","Currency=USD","Period=FQ","BEST_FPERIOD_OVERRIDE=FQ","FILING_STATUS=MR","Sort=A","Dates=H","DateFormat=P","Fill=—","Direction=H","UseDPDF=Y")</f>
        <v>28.2121</v>
      </c>
      <c r="AK17" s="21">
        <f>_xll.BDH("ADBE US Equity","TOT_DEBT_TO_TOT_CAP","FQ1 2020","FQ1 2020","Currency=USD","Period=FQ","BEST_FPERIOD_OVERRIDE=FQ","FILING_STATUS=MR","Sort=A","Dates=H","DateFormat=P","Fill=—","Direction=H","UseDPDF=Y")</f>
        <v>31.042400000000001</v>
      </c>
      <c r="AL17" s="21">
        <f>_xll.BDH("ADBE US Equity","TOT_DEBT_TO_TOT_CAP","FQ2 2020","FQ2 2020","Currency=USD","Period=FQ","BEST_FPERIOD_OVERRIDE=FQ","FILING_STATUS=MR","Sort=A","Dates=H","DateFormat=P","Fill=—","Direction=H","UseDPDF=Y")</f>
        <v>30.151499999999999</v>
      </c>
      <c r="AM17" s="21">
        <f>_xll.BDH("ADBE US Equity","TOT_DEBT_TO_TOT_CAP","FQ3 2020","FQ3 2020","Currency=USD","Period=FQ","BEST_FPERIOD_OVERRIDE=FQ","FILING_STATUS=MR","Sort=A","Dates=H","DateFormat=P","Fill=—","Direction=H","UseDPDF=Y")</f>
        <v>28.748699999999999</v>
      </c>
      <c r="AN17" s="21">
        <f>_xll.BDH("ADBE US Equity","TOT_DEBT_TO_TOT_CAP","FQ4 2020","FQ4 2020","Currency=USD","Period=FQ","BEST_FPERIOD_OVERRIDE=FQ","FILING_STATUS=MR","Sort=A","Dates=H","DateFormat=P","Fill=—","Direction=H","UseDPDF=Y")</f>
        <v>26.196300000000001</v>
      </c>
      <c r="AO17" s="21">
        <f>_xll.BDH("ADBE US Equity","TOT_DEBT_TO_TOT_CAP","FQ1 2021","FQ1 2021","Currency=USD","Period=FQ","BEST_FPERIOD_OVERRIDE=FQ","FILING_STATUS=MR","Sort=A","Dates=H","DateFormat=P","Fill=—","Direction=H","UseDPDF=Y")</f>
        <v>25.787500000000001</v>
      </c>
      <c r="AP17" s="21">
        <f>_xll.BDH("ADBE US Equity","TOT_DEBT_TO_TOT_CAP","FQ2 2021","FQ2 2021","Currency=USD","Period=FQ","BEST_FPERIOD_OVERRIDE=FQ","FILING_STATUS=MR","Sort=A","Dates=H","DateFormat=P","Fill=—","Direction=H","UseDPDF=Y")</f>
        <v>25.306000000000001</v>
      </c>
    </row>
    <row r="18" spans="1:42" x14ac:dyDescent="0.25">
      <c r="A18" s="8" t="s">
        <v>181</v>
      </c>
      <c r="B18" s="8" t="s">
        <v>180</v>
      </c>
      <c r="C18" s="21">
        <f>_xll.BDH("ADBE US Equity","TOT_DEBT_TO_TOT_ASSET","FQ3 2011","FQ3 2011","Currency=USD","Period=FQ","BEST_FPERIOD_OVERRIDE=FQ","FILING_STATUS=MR","Sort=A","Dates=H","DateFormat=P","Fill=—","Direction=H","UseDPDF=Y")</f>
        <v>17.855</v>
      </c>
      <c r="D18" s="21">
        <f>_xll.BDH("ADBE US Equity","TOT_DEBT_TO_TOT_ASSET","FQ4 2011","FQ4 2011","Currency=USD","Period=FQ","BEST_FPERIOD_OVERRIDE=FQ","FILING_STATUS=MR","Sort=A","Dates=H","DateFormat=P","Fill=—","Direction=H","UseDPDF=Y")</f>
        <v>16.842099999999999</v>
      </c>
      <c r="E18" s="21">
        <f>_xll.BDH("ADBE US Equity","TOT_DEBT_TO_TOT_ASSET","FQ1 2012","FQ1 2012","Currency=USD","Period=FQ","BEST_FPERIOD_OVERRIDE=FQ","FILING_STATUS=MR","Sort=A","Dates=H","DateFormat=P","Fill=—","Direction=H","UseDPDF=Y")</f>
        <v>16.558199999999999</v>
      </c>
      <c r="F18" s="21">
        <f>_xll.BDH("ADBE US Equity","TOT_DEBT_TO_TOT_ASSET","FQ2 2012","FQ2 2012","Currency=USD","Period=FQ","BEST_FPERIOD_OVERRIDE=FQ","FILING_STATUS=MR","Sort=A","Dates=H","DateFormat=P","Fill=—","Direction=H","UseDPDF=Y")</f>
        <v>16.1234</v>
      </c>
      <c r="G18" s="21">
        <f>_xll.BDH("ADBE US Equity","TOT_DEBT_TO_TOT_ASSET","FQ3 2012","FQ3 2012","Currency=USD","Period=FQ","BEST_FPERIOD_OVERRIDE=FQ","FILING_STATUS=MR","Sort=A","Dates=H","DateFormat=P","Fill=—","Direction=H","UseDPDF=Y")</f>
        <v>15.690300000000001</v>
      </c>
      <c r="H18" s="21">
        <f>_xll.BDH("ADBE US Equity","TOT_DEBT_TO_TOT_ASSET","FQ4 2012","FQ4 2012","Currency=USD","Period=FQ","BEST_FPERIOD_OVERRIDE=FQ","FILING_STATUS=MR","Sort=A","Dates=H","DateFormat=P","Fill=—","Direction=H","UseDPDF=Y")</f>
        <v>15.021100000000001</v>
      </c>
      <c r="I18" s="21">
        <f>_xll.BDH("ADBE US Equity","TOT_DEBT_TO_TOT_ASSET","FQ1 2013","FQ1 2013","Currency=USD","Period=FQ","BEST_FPERIOD_OVERRIDE=FQ","FILING_STATUS=MR","Sort=A","Dates=H","DateFormat=P","Fill=—","Direction=H","UseDPDF=Y")</f>
        <v>15.064500000000001</v>
      </c>
      <c r="J18" s="21">
        <f>_xll.BDH("ADBE US Equity","TOT_DEBT_TO_TOT_ASSET","FQ2 2013","FQ2 2013","Currency=USD","Period=FQ","BEST_FPERIOD_OVERRIDE=FQ","FILING_STATUS=MR","Sort=A","Dates=H","DateFormat=P","Fill=—","Direction=H","UseDPDF=Y")</f>
        <v>14.840400000000001</v>
      </c>
      <c r="K18" s="21">
        <f>_xll.BDH("ADBE US Equity","TOT_DEBT_TO_TOT_ASSET","FQ3 2013","FQ3 2013","Currency=USD","Period=FQ","BEST_FPERIOD_OVERRIDE=FQ","FILING_STATUS=MR","Sort=A","Dates=H","DateFormat=P","Fill=—","Direction=H","UseDPDF=Y")</f>
        <v>14.8506</v>
      </c>
      <c r="L18" s="21">
        <f>_xll.BDH("ADBE US Equity","TOT_DEBT_TO_TOT_ASSET","FQ4 2013","FQ4 2013","Currency=USD","Period=FQ","BEST_FPERIOD_OVERRIDE=FQ","FILING_STATUS=MR","Sort=A","Dates=H","DateFormat=P","Fill=—","Direction=H","UseDPDF=Y")</f>
        <v>14.585100000000001</v>
      </c>
      <c r="M18" s="21">
        <f>_xll.BDH("ADBE US Equity","TOT_DEBT_TO_TOT_ASSET","FQ1 2014","FQ1 2014","Currency=USD","Period=FQ","BEST_FPERIOD_OVERRIDE=FQ","FILING_STATUS=MR","Sort=A","Dates=H","DateFormat=P","Fill=—","Direction=H","UseDPDF=Y")</f>
        <v>14.734999999999999</v>
      </c>
      <c r="N18" s="21">
        <f>_xll.BDH("ADBE US Equity","TOT_DEBT_TO_TOT_ASSET","FQ2 2014","FQ2 2014","Currency=USD","Period=FQ","BEST_FPERIOD_OVERRIDE=FQ","FILING_STATUS=MR","Sort=A","Dates=H","DateFormat=P","Fill=—","Direction=H","UseDPDF=Y")</f>
        <v>14.522399999999999</v>
      </c>
      <c r="O18" s="21">
        <f>_xll.BDH("ADBE US Equity","TOT_DEBT_TO_TOT_ASSET","FQ3 2014","FQ3 2014","Currency=USD","Period=FQ","BEST_FPERIOD_OVERRIDE=FQ","FILING_STATUS=MR","Sort=A","Dates=H","DateFormat=P","Fill=—","Direction=H","UseDPDF=Y")</f>
        <v>14.372999999999999</v>
      </c>
      <c r="P18" s="21">
        <f>_xll.BDH("ADBE US Equity","TOT_DEBT_TO_TOT_ASSET","FQ4 2014","FQ4 2014","Currency=USD","Period=FQ","BEST_FPERIOD_OVERRIDE=FQ","FILING_STATUS=MR","Sort=A","Dates=H","DateFormat=P","Fill=—","Direction=H","UseDPDF=Y")</f>
        <v>14.039899999999999</v>
      </c>
      <c r="Q18" s="21">
        <f>_xll.BDH("ADBE US Equity","TOT_DEBT_TO_TOT_ASSET","FQ1 2015","FQ1 2015","Currency=USD","Period=FQ","BEST_FPERIOD_OVERRIDE=FQ","FILING_STATUS=MR","Sort=A","Dates=H","DateFormat=P","Fill=—","Direction=H","UseDPDF=Y")</f>
        <v>17.2742</v>
      </c>
      <c r="R18" s="21">
        <f>_xll.BDH("ADBE US Equity","TOT_DEBT_TO_TOT_ASSET","FQ2 2015","FQ2 2015","Currency=USD","Period=FQ","BEST_FPERIOD_OVERRIDE=FQ","FILING_STATUS=MR","Sort=A","Dates=H","DateFormat=P","Fill=—","Direction=H","UseDPDF=Y")</f>
        <v>17.056100000000001</v>
      </c>
      <c r="S18" s="21">
        <f>_xll.BDH("ADBE US Equity","TOT_DEBT_TO_TOT_ASSET","FQ3 2015","FQ3 2015","Currency=USD","Period=FQ","BEST_FPERIOD_OVERRIDE=FQ","FILING_STATUS=MR","Sort=A","Dates=H","DateFormat=P","Fill=—","Direction=H","UseDPDF=Y")</f>
        <v>16.5626</v>
      </c>
      <c r="T18" s="21">
        <f>_xll.BDH("ADBE US Equity","TOT_DEBT_TO_TOT_ASSET","FQ4 2015","FQ4 2015","Currency=USD","Period=FQ","BEST_FPERIOD_OVERRIDE=FQ","FILING_STATUS=MR","Sort=A","Dates=H","DateFormat=P","Fill=—","Direction=H","UseDPDF=Y")</f>
        <v>16.264299999999999</v>
      </c>
      <c r="U18" s="21">
        <f>_xll.BDH("ADBE US Equity","TOT_DEBT_TO_TOT_ASSET","FQ1 2016","FQ1 2016","Currency=USD","Period=FQ","BEST_FPERIOD_OVERRIDE=FQ","FILING_STATUS=MR","Sort=A","Dates=H","DateFormat=P","Fill=—","Direction=H","UseDPDF=Y")</f>
        <v>16.112300000000001</v>
      </c>
      <c r="V18" s="21">
        <f>_xll.BDH("ADBE US Equity","TOT_DEBT_TO_TOT_ASSET","FQ2 2016","FQ2 2016","Currency=USD","Period=FQ","BEST_FPERIOD_OVERRIDE=FQ","FILING_STATUS=MR","Sort=A","Dates=H","DateFormat=P","Fill=—","Direction=H","UseDPDF=Y")</f>
        <v>15.7029</v>
      </c>
      <c r="W18" s="21">
        <f>_xll.BDH("ADBE US Equity","TOT_DEBT_TO_TOT_ASSET","FQ3 2016","FQ3 2016","Currency=USD","Period=FQ","BEST_FPERIOD_OVERRIDE=FQ","FILING_STATUS=MR","Sort=A","Dates=H","DateFormat=P","Fill=—","Direction=H","UseDPDF=Y")</f>
        <v>15.4971</v>
      </c>
      <c r="X18" s="21">
        <f>_xll.BDH("ADBE US Equity","TOT_DEBT_TO_TOT_ASSET","FQ4 2016","FQ4 2016","Currency=USD","Period=FQ","BEST_FPERIOD_OVERRIDE=FQ","FILING_STATUS=MR","Sort=A","Dates=H","DateFormat=P","Fill=—","Direction=H","UseDPDF=Y")</f>
        <v>14.9024</v>
      </c>
      <c r="Y18" s="21">
        <f>_xll.BDH("ADBE US Equity","TOT_DEBT_TO_TOT_ASSET","FQ1 2017","FQ1 2017","Currency=USD","Period=FQ","BEST_FPERIOD_OVERRIDE=FQ","FILING_STATUS=MR","Sort=A","Dates=H","DateFormat=P","Fill=—","Direction=H","UseDPDF=Y")</f>
        <v>14.443099999999999</v>
      </c>
      <c r="Z18" s="21">
        <f>_xll.BDH("ADBE US Equity","TOT_DEBT_TO_TOT_ASSET","FQ2 2017","FQ2 2017","Currency=USD","Period=FQ","BEST_FPERIOD_OVERRIDE=FQ","FILING_STATUS=MR","Sort=A","Dates=H","DateFormat=P","Fill=—","Direction=H","UseDPDF=Y")</f>
        <v>14.1295</v>
      </c>
      <c r="AA18" s="21">
        <f>_xll.BDH("ADBE US Equity","TOT_DEBT_TO_TOT_ASSET","FQ3 2017","FQ3 2017","Currency=USD","Period=FQ","BEST_FPERIOD_OVERRIDE=FQ","FILING_STATUS=MR","Sort=A","Dates=H","DateFormat=P","Fill=—","Direction=H","UseDPDF=Y")</f>
        <v>13.5848</v>
      </c>
      <c r="AB18" s="21">
        <f>_xll.BDH("ADBE US Equity","TOT_DEBT_TO_TOT_ASSET","FQ4 2017","FQ4 2017","Currency=USD","Period=FQ","BEST_FPERIOD_OVERRIDE=FQ","FILING_STATUS=MR","Sort=A","Dates=H","DateFormat=P","Fill=—","Direction=H","UseDPDF=Y")</f>
        <v>12.9436</v>
      </c>
      <c r="AC18" s="21">
        <f>_xll.BDH("ADBE US Equity","TOT_DEBT_TO_TOT_ASSET","FQ1 2018","FQ1 2018","Currency=USD","Period=FQ","BEST_FPERIOD_OVERRIDE=FQ","FILING_STATUS=MR","Sort=A","Dates=H","DateFormat=P","Fill=—","Direction=H","UseDPDF=Y")</f>
        <v>12.520799999999999</v>
      </c>
      <c r="AD18" s="21">
        <f>_xll.BDH("ADBE US Equity","TOT_DEBT_TO_TOT_ASSET","FQ2 2018","FQ2 2018","Currency=USD","Period=FQ","BEST_FPERIOD_OVERRIDE=FQ","FILING_STATUS=MR","Sort=A","Dates=H","DateFormat=P","Fill=—","Direction=H","UseDPDF=Y")</f>
        <v>12.3591</v>
      </c>
      <c r="AE18" s="21">
        <f>_xll.BDH("ADBE US Equity","TOT_DEBT_TO_TOT_ASSET","FQ3 2018","FQ3 2018","Currency=USD","Period=FQ","BEST_FPERIOD_OVERRIDE=FQ","FILING_STATUS=MR","Sort=A","Dates=H","DateFormat=P","Fill=—","Direction=H","UseDPDF=Y")</f>
        <v>12.176500000000001</v>
      </c>
      <c r="AF18" s="21">
        <f>_xll.BDH("ADBE US Equity","TOT_DEBT_TO_TOT_ASSET","FQ4 2018","FQ4 2018","Currency=USD","Period=FQ","BEST_FPERIOD_OVERRIDE=FQ","FILING_STATUS=MR","Sort=A","Dates=H","DateFormat=P","Fill=—","Direction=H","UseDPDF=Y")</f>
        <v>21.977</v>
      </c>
      <c r="AG18" s="21">
        <f>_xll.BDH("ADBE US Equity","TOT_DEBT_TO_TOT_ASSET","FQ1 2019","FQ1 2019","Currency=USD","Period=FQ","BEST_FPERIOD_OVERRIDE=FQ","FILING_STATUS=MR","Sort=A","Dates=H","DateFormat=P","Fill=—","Direction=H","UseDPDF=Y")</f>
        <v>21.171399999999998</v>
      </c>
      <c r="AH18" s="21">
        <f>_xll.BDH("ADBE US Equity","TOT_DEBT_TO_TOT_ASSET","FQ2 2019","FQ2 2019","Currency=USD","Period=FQ","BEST_FPERIOD_OVERRIDE=FQ","FILING_STATUS=MR","Sort=A","Dates=H","DateFormat=P","Fill=—","Direction=H","UseDPDF=Y")</f>
        <v>21.019100000000002</v>
      </c>
      <c r="AI18" s="21">
        <f>_xll.BDH("ADBE US Equity","TOT_DEBT_TO_TOT_ASSET","FQ3 2019","FQ3 2019","Currency=USD","Period=FQ","BEST_FPERIOD_OVERRIDE=FQ","FILING_STATUS=MR","Sort=A","Dates=H","DateFormat=P","Fill=—","Direction=H","UseDPDF=Y")</f>
        <v>20.628499999999999</v>
      </c>
      <c r="AJ18" s="21">
        <f>_xll.BDH("ADBE US Equity","TOT_DEBT_TO_TOT_ASSET","FQ4 2019","FQ4 2019","Currency=USD","Period=FQ","BEST_FPERIOD_OVERRIDE=FQ","FILING_STATUS=MR","Sort=A","Dates=H","DateFormat=P","Fill=—","Direction=H","UseDPDF=Y")</f>
        <v>19.9315</v>
      </c>
      <c r="AK18" s="21">
        <f>_xll.BDH("ADBE US Equity","TOT_DEBT_TO_TOT_ASSET","FQ1 2020","FQ1 2020","Currency=USD","Period=FQ","BEST_FPERIOD_OVERRIDE=FQ","FILING_STATUS=MR","Sort=A","Dates=H","DateFormat=P","Fill=—","Direction=H","UseDPDF=Y")</f>
        <v>22.207000000000001</v>
      </c>
      <c r="AL18" s="21">
        <f>_xll.BDH("ADBE US Equity","TOT_DEBT_TO_TOT_ASSET","FQ2 2020","FQ2 2020","Currency=USD","Period=FQ","BEST_FPERIOD_OVERRIDE=FQ","FILING_STATUS=MR","Sort=A","Dates=H","DateFormat=P","Fill=—","Direction=H","UseDPDF=Y")</f>
        <v>21.7424</v>
      </c>
      <c r="AM18" s="21">
        <f>_xll.BDH("ADBE US Equity","TOT_DEBT_TO_TOT_ASSET","FQ3 2020","FQ3 2020","Currency=USD","Period=FQ","BEST_FPERIOD_OVERRIDE=FQ","FILING_STATUS=MR","Sort=A","Dates=H","DateFormat=P","Fill=—","Direction=H","UseDPDF=Y")</f>
        <v>21.085000000000001</v>
      </c>
      <c r="AN18" s="21">
        <f>_xll.BDH("ADBE US Equity","TOT_DEBT_TO_TOT_ASSET","FQ4 2020","FQ4 2020","Currency=USD","Period=FQ","BEST_FPERIOD_OVERRIDE=FQ","FILING_STATUS=MR","Sort=A","Dates=H","DateFormat=P","Fill=—","Direction=H","UseDPDF=Y")</f>
        <v>19.3873</v>
      </c>
      <c r="AO18" s="21">
        <f>_xll.BDH("ADBE US Equity","TOT_DEBT_TO_TOT_ASSET","FQ1 2021","FQ1 2021","Currency=USD","Period=FQ","BEST_FPERIOD_OVERRIDE=FQ","FILING_STATUS=MR","Sort=A","Dates=H","DateFormat=P","Fill=—","Direction=H","UseDPDF=Y")</f>
        <v>18.839300000000001</v>
      </c>
      <c r="AP18" s="21">
        <f>_xll.BDH("ADBE US Equity","TOT_DEBT_TO_TOT_ASSET","FQ2 2021","FQ2 2021","Currency=USD","Period=FQ","BEST_FPERIOD_OVERRIDE=FQ","FILING_STATUS=MR","Sort=A","Dates=H","DateFormat=P","Fill=—","Direction=H","UseDPDF=Y")</f>
        <v>18.344899999999999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179</v>
      </c>
      <c r="B20" s="8" t="s">
        <v>178</v>
      </c>
      <c r="C20" s="21">
        <f>_xll.BDH("ADBE US Equity","CASH_FLOW_TO_TOT_LIAB","FQ3 2011","FQ3 2011","Currency=USD","Period=FQ","BEST_FPERIOD_OVERRIDE=FQ","FILING_STATUS=MR","Sort=A","Dates=H","DateFormat=P","Fill=—","Direction=H","UseDPDF=Y")</f>
        <v>57.678699999999999</v>
      </c>
      <c r="D20" s="21">
        <f>_xll.BDH("ADBE US Equity","CASH_FLOW_TO_TOT_LIAB","FQ4 2011","FQ4 2011","Currency=USD","Period=FQ","BEST_FPERIOD_OVERRIDE=FQ","FILING_STATUS=MR","Sort=A","Dates=H","DateFormat=P","Fill=—","Direction=H","UseDPDF=Y")</f>
        <v>58.459299999999999</v>
      </c>
      <c r="E20" s="21">
        <f>_xll.BDH("ADBE US Equity","CASH_FLOW_TO_TOT_LIAB","FQ1 2012","FQ1 2012","Currency=USD","Period=FQ","BEST_FPERIOD_OVERRIDE=FQ","FILING_STATUS=MR","Sort=A","Dates=H","DateFormat=P","Fill=—","Direction=H","UseDPDF=Y")</f>
        <v>59.041200000000003</v>
      </c>
      <c r="F20" s="21">
        <f>_xll.BDH("ADBE US Equity","CASH_FLOW_TO_TOT_LIAB","FQ2 2012","FQ2 2012","Currency=USD","Period=FQ","BEST_FPERIOD_OVERRIDE=FQ","FILING_STATUS=MR","Sort=A","Dates=H","DateFormat=P","Fill=—","Direction=H","UseDPDF=Y")</f>
        <v>48.511099999999999</v>
      </c>
      <c r="G20" s="21">
        <f>_xll.BDH("ADBE US Equity","CASH_FLOW_TO_TOT_LIAB","FQ3 2012","FQ3 2012","Currency=USD","Period=FQ","BEST_FPERIOD_OVERRIDE=FQ","FILING_STATUS=MR","Sort=A","Dates=H","DateFormat=P","Fill=—","Direction=H","UseDPDF=Y")</f>
        <v>47.713000000000001</v>
      </c>
      <c r="H20" s="21">
        <f>_xll.BDH("ADBE US Equity","CASH_FLOW_TO_TOT_LIAB","FQ4 2012","FQ4 2012","Currency=USD","Period=FQ","BEST_FPERIOD_OVERRIDE=FQ","FILING_STATUS=MR","Sort=A","Dates=H","DateFormat=P","Fill=—","Direction=H","UseDPDF=Y")</f>
        <v>44.431399999999996</v>
      </c>
      <c r="I20" s="21">
        <f>_xll.BDH("ADBE US Equity","CASH_FLOW_TO_TOT_LIAB","FQ1 2013","FQ1 2013","Currency=USD","Period=FQ","BEST_FPERIOD_OVERRIDE=FQ","FILING_STATUS=MR","Sort=A","Dates=H","DateFormat=P","Fill=—","Direction=H","UseDPDF=Y")</f>
        <v>44.8536</v>
      </c>
      <c r="J20" s="21">
        <f>_xll.BDH("ADBE US Equity","CASH_FLOW_TO_TOT_LIAB","FQ2 2013","FQ2 2013","Currency=USD","Period=FQ","BEST_FPERIOD_OVERRIDE=FQ","FILING_STATUS=MR","Sort=A","Dates=H","DateFormat=P","Fill=—","Direction=H","UseDPDF=Y")</f>
        <v>50.1096</v>
      </c>
      <c r="K20" s="21">
        <f>_xll.BDH("ADBE US Equity","CASH_FLOW_TO_TOT_LIAB","FQ3 2013","FQ3 2013","Currency=USD","Period=FQ","BEST_FPERIOD_OVERRIDE=FQ","FILING_STATUS=MR","Sort=A","Dates=H","DateFormat=P","Fill=—","Direction=H","UseDPDF=Y")</f>
        <v>66.293300000000002</v>
      </c>
      <c r="L20" s="21">
        <f>_xll.BDH("ADBE US Equity","CASH_FLOW_TO_TOT_LIAB","FQ4 2013","FQ4 2013","Currency=USD","Period=FQ","BEST_FPERIOD_OVERRIDE=FQ","FILING_STATUS=MR","Sort=A","Dates=H","DateFormat=P","Fill=—","Direction=H","UseDPDF=Y")</f>
        <v>57.305500000000002</v>
      </c>
      <c r="M20" s="21">
        <f>_xll.BDH("ADBE US Equity","CASH_FLOW_TO_TOT_LIAB","FQ1 2014","FQ1 2014","Currency=USD","Period=FQ","BEST_FPERIOD_OVERRIDE=FQ","FILING_STATUS=MR","Sort=A","Dates=H","DateFormat=P","Fill=—","Direction=H","UseDPDF=Y")</f>
        <v>55.695700000000002</v>
      </c>
      <c r="N20" s="21">
        <f>_xll.BDH("ADBE US Equity","CASH_FLOW_TO_TOT_LIAB","FQ2 2014","FQ2 2014","Currency=USD","Period=FQ","BEST_FPERIOD_OVERRIDE=FQ","FILING_STATUS=MR","Sort=A","Dates=H","DateFormat=P","Fill=—","Direction=H","UseDPDF=Y")</f>
        <v>47.409599999999998</v>
      </c>
      <c r="O20" s="21">
        <f>_xll.BDH("ADBE US Equity","CASH_FLOW_TO_TOT_LIAB","FQ3 2014","FQ3 2014","Currency=USD","Period=FQ","BEST_FPERIOD_OVERRIDE=FQ","FILING_STATUS=MR","Sort=A","Dates=H","DateFormat=P","Fill=—","Direction=H","UseDPDF=Y")</f>
        <v>31.9664</v>
      </c>
      <c r="P20" s="21">
        <f>_xll.BDH("ADBE US Equity","CASH_FLOW_TO_TOT_LIAB","FQ4 2014","FQ4 2014","Currency=USD","Period=FQ","BEST_FPERIOD_OVERRIDE=FQ","FILING_STATUS=MR","Sort=A","Dates=H","DateFormat=P","Fill=—","Direction=H","UseDPDF=Y")</f>
        <v>32.107399999999998</v>
      </c>
      <c r="Q20" s="21">
        <f>_xll.BDH("ADBE US Equity","CASH_FLOW_TO_TOT_LIAB","FQ1 2015","FQ1 2015","Currency=USD","Period=FQ","BEST_FPERIOD_OVERRIDE=FQ","FILING_STATUS=MR","Sort=A","Dates=H","DateFormat=P","Fill=—","Direction=H","UseDPDF=Y")</f>
        <v>27.578900000000001</v>
      </c>
      <c r="R20" s="21">
        <f>_xll.BDH("ADBE US Equity","CASH_FLOW_TO_TOT_LIAB","FQ2 2015","FQ2 2015","Currency=USD","Period=FQ","BEST_FPERIOD_OVERRIDE=FQ","FILING_STATUS=MR","Sort=A","Dates=H","DateFormat=P","Fill=—","Direction=H","UseDPDF=Y")</f>
        <v>29.0382</v>
      </c>
      <c r="S20" s="21">
        <f>_xll.BDH("ADBE US Equity","CASH_FLOW_TO_TOT_LIAB","FQ3 2015","FQ3 2015","Currency=USD","Period=FQ","BEST_FPERIOD_OVERRIDE=FQ","FILING_STATUS=MR","Sort=A","Dates=H","DateFormat=P","Fill=—","Direction=H","UseDPDF=Y")</f>
        <v>30.313300000000002</v>
      </c>
      <c r="T20" s="21">
        <f>_xll.BDH("ADBE US Equity","CASH_FLOW_TO_TOT_LIAB","FQ4 2015","FQ4 2015","Currency=USD","Period=FQ","BEST_FPERIOD_OVERRIDE=FQ","FILING_STATUS=MR","Sort=A","Dates=H","DateFormat=P","Fill=—","Direction=H","UseDPDF=Y")</f>
        <v>31.101299999999998</v>
      </c>
      <c r="U20" s="21">
        <f>_xll.BDH("ADBE US Equity","CASH_FLOW_TO_TOT_LIAB","FQ1 2016","FQ1 2016","Currency=USD","Period=FQ","BEST_FPERIOD_OVERRIDE=FQ","FILING_STATUS=MR","Sort=A","Dates=H","DateFormat=P","Fill=—","Direction=H","UseDPDF=Y")</f>
        <v>37.047499999999999</v>
      </c>
      <c r="V20" s="21">
        <f>_xll.BDH("ADBE US Equity","CASH_FLOW_TO_TOT_LIAB","FQ2 2016","FQ2 2016","Currency=USD","Period=FQ","BEST_FPERIOD_OVERRIDE=FQ","FILING_STATUS=MR","Sort=A","Dates=H","DateFormat=P","Fill=—","Direction=H","UseDPDF=Y")</f>
        <v>36.255699999999997</v>
      </c>
      <c r="W20" s="21">
        <f>_xll.BDH("ADBE US Equity","CASH_FLOW_TO_TOT_LIAB","FQ3 2016","FQ3 2016","Currency=USD","Period=FQ","BEST_FPERIOD_OVERRIDE=FQ","FILING_STATUS=MR","Sort=A","Dates=H","DateFormat=P","Fill=—","Direction=H","UseDPDF=Y")</f>
        <v>38.484000000000002</v>
      </c>
      <c r="X20" s="21">
        <f>_xll.BDH("ADBE US Equity","CASH_FLOW_TO_TOT_LIAB","FQ4 2016","FQ4 2016","Currency=USD","Period=FQ","BEST_FPERIOD_OVERRIDE=FQ","FILING_STATUS=MR","Sort=A","Dates=H","DateFormat=P","Fill=—","Direction=H","UseDPDF=Y")</f>
        <v>41.721499999999999</v>
      </c>
      <c r="Y20" s="21">
        <f>_xll.BDH("ADBE US Equity","CASH_FLOW_TO_TOT_LIAB","FQ1 2017","FQ1 2017","Currency=USD","Period=FQ","BEST_FPERIOD_OVERRIDE=FQ","FILING_STATUS=MR","Sort=A","Dates=H","DateFormat=P","Fill=—","Direction=H","UseDPDF=Y")</f>
        <v>44.584499999999998</v>
      </c>
      <c r="Z20" s="21">
        <f>_xll.BDH("ADBE US Equity","CASH_FLOW_TO_TOT_LIAB","FQ2 2017","FQ2 2017","Currency=USD","Period=FQ","BEST_FPERIOD_OVERRIDE=FQ","FILING_STATUS=MR","Sort=A","Dates=H","DateFormat=P","Fill=—","Direction=H","UseDPDF=Y")</f>
        <v>46.551499999999997</v>
      </c>
      <c r="AA20" s="21">
        <f>_xll.BDH("ADBE US Equity","CASH_FLOW_TO_TOT_LIAB","FQ3 2017","FQ3 2017","Currency=USD","Period=FQ","BEST_FPERIOD_OVERRIDE=FQ","FILING_STATUS=MR","Sort=A","Dates=H","DateFormat=P","Fill=—","Direction=H","UseDPDF=Y")</f>
        <v>48.3795</v>
      </c>
      <c r="AB20" s="21">
        <f>_xll.BDH("ADBE US Equity","CASH_FLOW_TO_TOT_LIAB","FQ4 2017","FQ4 2017","Currency=USD","Period=FQ","BEST_FPERIOD_OVERRIDE=FQ","FILING_STATUS=MR","Sort=A","Dates=H","DateFormat=P","Fill=—","Direction=H","UseDPDF=Y")</f>
        <v>47.942799999999998</v>
      </c>
      <c r="AC20" s="21">
        <f>_xll.BDH("ADBE US Equity","CASH_FLOW_TO_TOT_LIAB","FQ1 2018","FQ1 2018","Currency=USD","Period=FQ","BEST_FPERIOD_OVERRIDE=FQ","FILING_STATUS=MR","Sort=A","Dates=H","DateFormat=P","Fill=—","Direction=H","UseDPDF=Y")</f>
        <v>50.037199999999999</v>
      </c>
      <c r="AD20" s="21">
        <f>_xll.BDH("ADBE US Equity","CASH_FLOW_TO_TOT_LIAB","FQ2 2018","FQ2 2018","Currency=USD","Period=FQ","BEST_FPERIOD_OVERRIDE=FQ","FILING_STATUS=MR","Sort=A","Dates=H","DateFormat=P","Fill=—","Direction=H","UseDPDF=Y")</f>
        <v>54.254600000000003</v>
      </c>
      <c r="AE20" s="21">
        <f>_xll.BDH("ADBE US Equity","CASH_FLOW_TO_TOT_LIAB","FQ3 2018","FQ3 2018","Currency=USD","Period=FQ","BEST_FPERIOD_OVERRIDE=FQ","FILING_STATUS=MR","Sort=A","Dates=H","DateFormat=P","Fill=—","Direction=H","UseDPDF=Y")</f>
        <v>57.464100000000002</v>
      </c>
      <c r="AF20" s="21">
        <f>_xll.BDH("ADBE US Equity","CASH_FLOW_TO_TOT_LIAB","FQ4 2018","FQ4 2018","Currency=USD","Period=FQ","BEST_FPERIOD_OVERRIDE=FQ","FILING_STATUS=MR","Sort=A","Dates=H","DateFormat=P","Fill=—","Direction=H","UseDPDF=Y")</f>
        <v>42.835000000000001</v>
      </c>
      <c r="AG20" s="21">
        <f>_xll.BDH("ADBE US Equity","CASH_FLOW_TO_TOT_LIAB","FQ1 2019","FQ1 2019","Currency=USD","Period=FQ","BEST_FPERIOD_OVERRIDE=FQ","FILING_STATUS=MR","Sort=A","Dates=H","DateFormat=P","Fill=—","Direction=H","UseDPDF=Y")</f>
        <v>42.071100000000001</v>
      </c>
      <c r="AH20" s="21">
        <f>_xll.BDH("ADBE US Equity","CASH_FLOW_TO_TOT_LIAB","FQ2 2019","FQ2 2019","Currency=USD","Period=FQ","BEST_FPERIOD_OVERRIDE=FQ","FILING_STATUS=MR","Sort=A","Dates=H","DateFormat=P","Fill=—","Direction=H","UseDPDF=Y")</f>
        <v>43.006</v>
      </c>
      <c r="AI20" s="21">
        <f>_xll.BDH("ADBE US Equity","CASH_FLOW_TO_TOT_LIAB","FQ3 2019","FQ3 2019","Currency=USD","Period=FQ","BEST_FPERIOD_OVERRIDE=FQ","FILING_STATUS=MR","Sort=A","Dates=H","DateFormat=P","Fill=—","Direction=H","UseDPDF=Y")</f>
        <v>42.3294</v>
      </c>
      <c r="AJ20" s="21">
        <f>_xll.BDH("ADBE US Equity","CASH_FLOW_TO_TOT_LIAB","FQ4 2019","FQ4 2019","Currency=USD","Period=FQ","BEST_FPERIOD_OVERRIDE=FQ","FILING_STATUS=MR","Sort=A","Dates=H","DateFormat=P","Fill=—","Direction=H","UseDPDF=Y")</f>
        <v>43.218499999999999</v>
      </c>
      <c r="AK20" s="21">
        <f>_xll.BDH("ADBE US Equity","CASH_FLOW_TO_TOT_LIAB","FQ1 2020","FQ1 2020","Currency=USD","Period=FQ","BEST_FPERIOD_OVERRIDE=FQ","FILING_STATUS=MR","Sort=A","Dates=H","DateFormat=P","Fill=—","Direction=H","UseDPDF=Y")</f>
        <v>44.039299999999997</v>
      </c>
      <c r="AL20" s="21">
        <f>_xll.BDH("ADBE US Equity","CASH_FLOW_TO_TOT_LIAB","FQ2 2020","FQ2 2020","Currency=USD","Period=FQ","BEST_FPERIOD_OVERRIDE=FQ","FILING_STATUS=MR","Sort=A","Dates=H","DateFormat=P","Fill=—","Direction=H","UseDPDF=Y")</f>
        <v>44.844499999999996</v>
      </c>
      <c r="AM20" s="21">
        <f>_xll.BDH("ADBE US Equity","CASH_FLOW_TO_TOT_LIAB","FQ3 2020","FQ3 2020","Currency=USD","Period=FQ","BEST_FPERIOD_OVERRIDE=FQ","FILING_STATUS=MR","Sort=A","Dates=H","DateFormat=P","Fill=—","Direction=H","UseDPDF=Y")</f>
        <v>49.731900000000003</v>
      </c>
      <c r="AN20" s="21">
        <f>_xll.BDH("ADBE US Equity","CASH_FLOW_TO_TOT_LIAB","FQ4 2020","FQ4 2020","Currency=USD","Period=FQ","BEST_FPERIOD_OVERRIDE=FQ","FILING_STATUS=MR","Sort=A","Dates=H","DateFormat=P","Fill=—","Direction=H","UseDPDF=Y")</f>
        <v>51.969099999999997</v>
      </c>
      <c r="AO20" s="21">
        <f>_xll.BDH("ADBE US Equity","CASH_FLOW_TO_TOT_LIAB","FQ1 2021","FQ1 2021","Currency=USD","Period=FQ","BEST_FPERIOD_OVERRIDE=FQ","FILING_STATUS=MR","Sort=A","Dates=H","DateFormat=P","Fill=—","Direction=H","UseDPDF=Y")</f>
        <v>53.973199999999999</v>
      </c>
      <c r="AP20" s="21">
        <f>_xll.BDH("ADBE US Equity","CASH_FLOW_TO_TOT_LIAB","FQ2 2021","FQ2 2021","Currency=USD","Period=FQ","BEST_FPERIOD_OVERRIDE=FQ","FILING_STATUS=MR","Sort=A","Dates=H","DateFormat=P","Fill=—","Direction=H","UseDPDF=Y")</f>
        <v>59.488500000000002</v>
      </c>
    </row>
    <row r="21" spans="1:42" x14ac:dyDescent="0.25">
      <c r="A21" s="8" t="s">
        <v>177</v>
      </c>
      <c r="B21" s="8" t="s">
        <v>176</v>
      </c>
      <c r="C21" s="21">
        <f>_xll.BDH("ADBE US Equity","CAP_EXPEND_RATIO","FQ3 2011","FQ3 2011","Currency=USD","Period=FQ","BEST_FPERIOD_OVERRIDE=FQ","FILING_STATUS=MR","Sort=A","Dates=H","DateFormat=P","Fill=—","Direction=H","UseDPDF=Y")</f>
        <v>4.9657</v>
      </c>
      <c r="D21" s="21">
        <f>_xll.BDH("ADBE US Equity","CAP_EXPEND_RATIO","FQ4 2011","FQ4 2011","Currency=USD","Period=FQ","BEST_FPERIOD_OVERRIDE=FQ","FILING_STATUS=MR","Sort=A","Dates=H","DateFormat=P","Fill=—","Direction=H","UseDPDF=Y")</f>
        <v>6.6325000000000003</v>
      </c>
      <c r="E21" s="21">
        <f>_xll.BDH("ADBE US Equity","CAP_EXPEND_RATIO","FQ1 2012","FQ1 2012","Currency=USD","Period=FQ","BEST_FPERIOD_OVERRIDE=FQ","FILING_STATUS=MR","Sort=A","Dates=H","DateFormat=P","Fill=—","Direction=H","UseDPDF=Y")</f>
        <v>6.1534000000000004</v>
      </c>
      <c r="F21" s="21">
        <f>_xll.BDH("ADBE US Equity","CAP_EXPEND_RATIO","FQ2 2012","FQ2 2012","Currency=USD","Period=FQ","BEST_FPERIOD_OVERRIDE=FQ","FILING_STATUS=MR","Sort=A","Dates=H","DateFormat=P","Fill=—","Direction=H","UseDPDF=Y")</f>
        <v>7.3760000000000003</v>
      </c>
      <c r="G21" s="21">
        <f>_xll.BDH("ADBE US Equity","CAP_EXPEND_RATIO","FQ3 2012","FQ3 2012","Currency=USD","Period=FQ","BEST_FPERIOD_OVERRIDE=FQ","FILING_STATUS=MR","Sort=A","Dates=H","DateFormat=P","Fill=—","Direction=H","UseDPDF=Y")</f>
        <v>3.4009</v>
      </c>
      <c r="H21" s="21">
        <f>_xll.BDH("ADBE US Equity","CAP_EXPEND_RATIO","FQ4 2012","FQ4 2012","Currency=USD","Period=FQ","BEST_FPERIOD_OVERRIDE=FQ","FILING_STATUS=MR","Sort=A","Dates=H","DateFormat=P","Fill=—","Direction=H","UseDPDF=Y")</f>
        <v>5.7911999999999999</v>
      </c>
      <c r="I21" s="21">
        <f>_xll.BDH("ADBE US Equity","CAP_EXPEND_RATIO","FQ1 2013","FQ1 2013","Currency=USD","Period=FQ","BEST_FPERIOD_OVERRIDE=FQ","FILING_STATUS=MR","Sort=A","Dates=H","DateFormat=P","Fill=—","Direction=H","UseDPDF=Y")</f>
        <v>5.3502000000000001</v>
      </c>
      <c r="J21" s="21">
        <f>_xll.BDH("ADBE US Equity","CAP_EXPEND_RATIO","FQ2 2013","FQ2 2013","Currency=USD","Period=FQ","BEST_FPERIOD_OVERRIDE=FQ","FILING_STATUS=MR","Sort=A","Dates=H","DateFormat=P","Fill=—","Direction=H","UseDPDF=Y")</f>
        <v>5.8360000000000003</v>
      </c>
      <c r="K21" s="21">
        <f>_xll.BDH("ADBE US Equity","CAP_EXPEND_RATIO","FQ3 2013","FQ3 2013","Currency=USD","Period=FQ","BEST_FPERIOD_OVERRIDE=FQ","FILING_STATUS=MR","Sort=A","Dates=H","DateFormat=P","Fill=—","Direction=H","UseDPDF=Y")</f>
        <v>5.4602000000000004</v>
      </c>
      <c r="L21" s="21">
        <f>_xll.BDH("ADBE US Equity","CAP_EXPEND_RATIO","FQ4 2013","FQ4 2013","Currency=USD","Period=FQ","BEST_FPERIOD_OVERRIDE=FQ","FILING_STATUS=MR","Sort=A","Dates=H","DateFormat=P","Fill=—","Direction=H","UseDPDF=Y")</f>
        <v>8.9685000000000006</v>
      </c>
      <c r="M21" s="21">
        <f>_xll.BDH("ADBE US Equity","CAP_EXPEND_RATIO","FQ1 2014","FQ1 2014","Currency=USD","Period=FQ","BEST_FPERIOD_OVERRIDE=FQ","FILING_STATUS=MR","Sort=A","Dates=H","DateFormat=P","Fill=—","Direction=H","UseDPDF=Y")</f>
        <v>8.5623000000000005</v>
      </c>
      <c r="N21" s="21">
        <f>_xll.BDH("ADBE US Equity","CAP_EXPEND_RATIO","FQ2 2014","FQ2 2014","Currency=USD","Period=FQ","BEST_FPERIOD_OVERRIDE=FQ","FILING_STATUS=MR","Sort=A","Dates=H","DateFormat=P","Fill=—","Direction=H","UseDPDF=Y")</f>
        <v>13.513299999999999</v>
      </c>
      <c r="O21" s="21">
        <f>_xll.BDH("ADBE US Equity","CAP_EXPEND_RATIO","FQ3 2014","FQ3 2014","Currency=USD","Period=FQ","BEST_FPERIOD_OVERRIDE=FQ","FILING_STATUS=MR","Sort=A","Dates=H","DateFormat=P","Fill=—","Direction=H","UseDPDF=Y")</f>
        <v>4.8852000000000002</v>
      </c>
      <c r="P21" s="21">
        <f>_xll.BDH("ADBE US Equity","CAP_EXPEND_RATIO","FQ4 2014","FQ4 2014","Currency=USD","Period=FQ","BEST_FPERIOD_OVERRIDE=FQ","FILING_STATUS=MR","Sort=A","Dates=H","DateFormat=P","Fill=—","Direction=H","UseDPDF=Y")</f>
        <v>10.870200000000001</v>
      </c>
      <c r="Q21" s="21">
        <f>_xll.BDH("ADBE US Equity","CAP_EXPEND_RATIO","FQ1 2015","FQ1 2015","Currency=USD","Period=FQ","BEST_FPERIOD_OVERRIDE=FQ","FILING_STATUS=MR","Sort=A","Dates=H","DateFormat=P","Fill=—","Direction=H","UseDPDF=Y")</f>
        <v>5.1486999999999998</v>
      </c>
      <c r="R21" s="21">
        <f>_xll.BDH("ADBE US Equity","CAP_EXPEND_RATIO","FQ2 2015","FQ2 2015","Currency=USD","Period=FQ","BEST_FPERIOD_OVERRIDE=FQ","FILING_STATUS=MR","Sort=A","Dates=H","DateFormat=P","Fill=—","Direction=H","UseDPDF=Y")</f>
        <v>13.1957</v>
      </c>
      <c r="S21" s="21">
        <f>_xll.BDH("ADBE US Equity","CAP_EXPEND_RATIO","FQ3 2015","FQ3 2015","Currency=USD","Period=FQ","BEST_FPERIOD_OVERRIDE=FQ","FILING_STATUS=MR","Sort=A","Dates=H","DateFormat=P","Fill=—","Direction=H","UseDPDF=Y")</f>
        <v>7.3593000000000002</v>
      </c>
      <c r="T21" s="21">
        <f>_xll.BDH("ADBE US Equity","CAP_EXPEND_RATIO","FQ4 2015","FQ4 2015","Currency=USD","Period=FQ","BEST_FPERIOD_OVERRIDE=FQ","FILING_STATUS=MR","Sort=A","Dates=H","DateFormat=P","Fill=—","Direction=H","UseDPDF=Y")</f>
        <v>7.0275999999999996</v>
      </c>
      <c r="U21" s="21">
        <f>_xll.BDH("ADBE US Equity","CAP_EXPEND_RATIO","FQ1 2016","FQ1 2016","Currency=USD","Period=FQ","BEST_FPERIOD_OVERRIDE=FQ","FILING_STATUS=MR","Sort=A","Dates=H","DateFormat=P","Fill=—","Direction=H","UseDPDF=Y")</f>
        <v>10.769</v>
      </c>
      <c r="V21" s="21">
        <f>_xll.BDH("ADBE US Equity","CAP_EXPEND_RATIO","FQ2 2016","FQ2 2016","Currency=USD","Period=FQ","BEST_FPERIOD_OVERRIDE=FQ","FILING_STATUS=MR","Sort=A","Dates=H","DateFormat=P","Fill=—","Direction=H","UseDPDF=Y")</f>
        <v>9.0907999999999998</v>
      </c>
      <c r="W21" s="21">
        <f>_xll.BDH("ADBE US Equity","CAP_EXPEND_RATIO","FQ3 2016","FQ3 2016","Currency=USD","Period=FQ","BEST_FPERIOD_OVERRIDE=FQ","FILING_STATUS=MR","Sort=A","Dates=H","DateFormat=P","Fill=—","Direction=H","UseDPDF=Y")</f>
        <v>9.3797999999999995</v>
      </c>
      <c r="X21" s="21">
        <f>_xll.BDH("ADBE US Equity","CAP_EXPEND_RATIO","FQ4 2016","FQ4 2016","Currency=USD","Period=FQ","BEST_FPERIOD_OVERRIDE=FQ","FILING_STATUS=MR","Sort=A","Dates=H","DateFormat=P","Fill=—","Direction=H","UseDPDF=Y")</f>
        <v>14.303100000000001</v>
      </c>
      <c r="Y21" s="21">
        <f>_xll.BDH("ADBE US Equity","CAP_EXPEND_RATIO","FQ1 2017","FQ1 2017","Currency=USD","Period=FQ","BEST_FPERIOD_OVERRIDE=FQ","FILING_STATUS=MR","Sort=A","Dates=H","DateFormat=P","Fill=—","Direction=H","UseDPDF=Y")</f>
        <v>23.6343</v>
      </c>
      <c r="Z21" s="21">
        <f>_xll.BDH("ADBE US Equity","CAP_EXPEND_RATIO","FQ2 2017","FQ2 2017","Currency=USD","Period=FQ","BEST_FPERIOD_OVERRIDE=FQ","FILING_STATUS=MR","Sort=A","Dates=H","DateFormat=P","Fill=—","Direction=H","UseDPDF=Y")</f>
        <v>11.661200000000001</v>
      </c>
      <c r="AA21" s="21">
        <f>_xll.BDH("ADBE US Equity","CAP_EXPEND_RATIO","FQ3 2017","FQ3 2017","Currency=USD","Period=FQ","BEST_FPERIOD_OVERRIDE=FQ","FILING_STATUS=MR","Sort=A","Dates=H","DateFormat=P","Fill=—","Direction=H","UseDPDF=Y")</f>
        <v>12.9879</v>
      </c>
      <c r="AB21" s="21">
        <f>_xll.BDH("ADBE US Equity","CAP_EXPEND_RATIO","FQ4 2017","FQ4 2017","Currency=USD","Period=FQ","BEST_FPERIOD_OVERRIDE=FQ","FILING_STATUS=MR","Sort=A","Dates=H","DateFormat=P","Fill=—","Direction=H","UseDPDF=Y")</f>
        <v>22.110700000000001</v>
      </c>
      <c r="AC21" s="21">
        <f>_xll.BDH("ADBE US Equity","CAP_EXPEND_RATIO","FQ1 2018","FQ1 2018","Currency=USD","Period=FQ","BEST_FPERIOD_OVERRIDE=FQ","FILING_STATUS=MR","Sort=A","Dates=H","DateFormat=P","Fill=—","Direction=H","UseDPDF=Y")</f>
        <v>10.401299999999999</v>
      </c>
      <c r="AD21" s="21">
        <f>_xll.BDH("ADBE US Equity","CAP_EXPEND_RATIO","FQ2 2018","FQ2 2018","Currency=USD","Period=FQ","BEST_FPERIOD_OVERRIDE=FQ","FILING_STATUS=MR","Sort=A","Dates=H","DateFormat=P","Fill=—","Direction=H","UseDPDF=Y")</f>
        <v>21.546600000000002</v>
      </c>
      <c r="AE21" s="21">
        <f>_xll.BDH("ADBE US Equity","CAP_EXPEND_RATIO","FQ3 2018","FQ3 2018","Currency=USD","Period=FQ","BEST_FPERIOD_OVERRIDE=FQ","FILING_STATUS=MR","Sort=A","Dates=H","DateFormat=P","Fill=—","Direction=H","UseDPDF=Y")</f>
        <v>15.0304</v>
      </c>
      <c r="AF21" s="21">
        <f>_xll.BDH("ADBE US Equity","CAP_EXPEND_RATIO","FQ4 2018","FQ4 2018","Currency=USD","Period=FQ","BEST_FPERIOD_OVERRIDE=FQ","FILING_STATUS=MR","Sort=A","Dates=H","DateFormat=P","Fill=—","Direction=H","UseDPDF=Y")</f>
        <v>17.71</v>
      </c>
      <c r="AG21" s="21">
        <f>_xll.BDH("ADBE US Equity","CAP_EXPEND_RATIO","FQ1 2019","FQ1 2019","Currency=USD","Period=FQ","BEST_FPERIOD_OVERRIDE=FQ","FILING_STATUS=MR","Sort=A","Dates=H","DateFormat=P","Fill=—","Direction=H","UseDPDF=Y")</f>
        <v>15.5275</v>
      </c>
      <c r="AH21" s="21">
        <f>_xll.BDH("ADBE US Equity","CAP_EXPEND_RATIO","FQ2 2019","FQ2 2019","Currency=USD","Period=FQ","BEST_FPERIOD_OVERRIDE=FQ","FILING_STATUS=MR","Sort=A","Dates=H","DateFormat=P","Fill=—","Direction=H","UseDPDF=Y")</f>
        <v>7.6135999999999999</v>
      </c>
      <c r="AI21" s="21">
        <f>_xll.BDH("ADBE US Equity","CAP_EXPEND_RATIO","FQ3 2019","FQ3 2019","Currency=USD","Period=FQ","BEST_FPERIOD_OVERRIDE=FQ","FILING_STATUS=MR","Sort=A","Dates=H","DateFormat=P","Fill=—","Direction=H","UseDPDF=Y")</f>
        <v>10.319699999999999</v>
      </c>
      <c r="AJ21" s="21">
        <f>_xll.BDH("ADBE US Equity","CAP_EXPEND_RATIO","FQ4 2019","FQ4 2019","Currency=USD","Period=FQ","BEST_FPERIOD_OVERRIDE=FQ","FILING_STATUS=MR","Sort=A","Dates=H","DateFormat=P","Fill=—","Direction=H","UseDPDF=Y")</f>
        <v>8.8552999999999997</v>
      </c>
      <c r="AK21" s="21">
        <f>_xll.BDH("ADBE US Equity","CAP_EXPEND_RATIO","FQ1 2020","FQ1 2020","Currency=USD","Period=FQ","BEST_FPERIOD_OVERRIDE=FQ","FILING_STATUS=MR","Sort=A","Dates=H","DateFormat=P","Fill=—","Direction=H","UseDPDF=Y")</f>
        <v>14.095700000000001</v>
      </c>
      <c r="AL21" s="21">
        <f>_xll.BDH("ADBE US Equity","CAP_EXPEND_RATIO","FQ2 2020","FQ2 2020","Currency=USD","Period=FQ","BEST_FPERIOD_OVERRIDE=FQ","FILING_STATUS=MR","Sort=A","Dates=H","DateFormat=P","Fill=—","Direction=H","UseDPDF=Y")</f>
        <v>12.333299999999999</v>
      </c>
      <c r="AM21" s="21">
        <f>_xll.BDH("ADBE US Equity","CAP_EXPEND_RATIO","FQ3 2020","FQ3 2020","Currency=USD","Period=FQ","BEST_FPERIOD_OVERRIDE=FQ","FILING_STATUS=MR","Sort=A","Dates=H","DateFormat=P","Fill=—","Direction=H","UseDPDF=Y")</f>
        <v>11.396800000000001</v>
      </c>
      <c r="AN21" s="21">
        <f>_xll.BDH("ADBE US Equity","CAP_EXPEND_RATIO","FQ4 2020","FQ4 2020","Currency=USD","Period=FQ","BEST_FPERIOD_OVERRIDE=FQ","FILING_STATUS=MR","Sort=A","Dates=H","DateFormat=P","Fill=—","Direction=H","UseDPDF=Y")</f>
        <v>17.300999999999998</v>
      </c>
      <c r="AO21" s="21">
        <f>_xll.BDH("ADBE US Equity","CAP_EXPEND_RATIO","FQ1 2021","FQ1 2021","Currency=USD","Period=FQ","BEST_FPERIOD_OVERRIDE=FQ","FILING_STATUS=MR","Sort=A","Dates=H","DateFormat=P","Fill=—","Direction=H","UseDPDF=Y")</f>
        <v>30.033899999999999</v>
      </c>
      <c r="AP21" s="21">
        <f>_xll.BDH("ADBE US Equity","CAP_EXPEND_RATIO","FQ2 2021","FQ2 2021","Currency=USD","Period=FQ","BEST_FPERIOD_OVERRIDE=FQ","FILING_STATUS=MR","Sort=A","Dates=H","DateFormat=P","Fill=—","Direction=H","UseDPDF=Y")</f>
        <v>20.926300000000001</v>
      </c>
    </row>
    <row r="22" spans="1:42" x14ac:dyDescent="0.25">
      <c r="A22" s="8" t="s">
        <v>175</v>
      </c>
      <c r="B22" s="8" t="s">
        <v>174</v>
      </c>
      <c r="C22" s="21">
        <f>_xll.BDH("ADBE US Equity","ALTMAN_Z_SCORE","FQ3 2011","FQ3 2011","Currency=USD","Period=FQ","BEST_FPERIOD_OVERRIDE=FQ","FILING_STATUS=MR","Sort=A","Dates=H","DateFormat=P","Fill=—","Direction=H","UseDPDF=Y")</f>
        <v>6.9885000000000002</v>
      </c>
      <c r="D22" s="21">
        <f>_xll.BDH("ADBE US Equity","ALTMAN_Z_SCORE","FQ4 2011","FQ4 2011","Currency=USD","Period=FQ","BEST_FPERIOD_OVERRIDE=FQ","FILING_STATUS=MR","Sort=A","Dates=H","DateFormat=P","Fill=—","Direction=H","UseDPDF=Y")</f>
        <v>6.8422000000000001</v>
      </c>
      <c r="E22" s="21">
        <f>_xll.BDH("ADBE US Equity","ALTMAN_Z_SCORE","FQ1 2012","FQ1 2012","Currency=USD","Period=FQ","BEST_FPERIOD_OVERRIDE=FQ","FILING_STATUS=MR","Sort=A","Dates=H","DateFormat=P","Fill=—","Direction=H","UseDPDF=Y")</f>
        <v>7.7317999999999998</v>
      </c>
      <c r="F22" s="21">
        <f>_xll.BDH("ADBE US Equity","ALTMAN_Z_SCORE","FQ2 2012","FQ2 2012","Currency=USD","Period=FQ","BEST_FPERIOD_OVERRIDE=FQ","FILING_STATUS=MR","Sort=A","Dates=H","DateFormat=P","Fill=—","Direction=H","UseDPDF=Y")</f>
        <v>7.1079999999999997</v>
      </c>
      <c r="G22" s="21">
        <f>_xll.BDH("ADBE US Equity","ALTMAN_Z_SCORE","FQ3 2012","FQ3 2012","Currency=USD","Period=FQ","BEST_FPERIOD_OVERRIDE=FQ","FILING_STATUS=MR","Sort=A","Dates=H","DateFormat=P","Fill=—","Direction=H","UseDPDF=Y")</f>
        <v>7.1626000000000003</v>
      </c>
      <c r="H22" s="21">
        <f>_xll.BDH("ADBE US Equity","ALTMAN_Z_SCORE","FQ4 2012","FQ4 2012","Currency=USD","Period=FQ","BEST_FPERIOD_OVERRIDE=FQ","FILING_STATUS=MR","Sort=A","Dates=H","DateFormat=P","Fill=—","Direction=H","UseDPDF=Y")</f>
        <v>7.1215000000000002</v>
      </c>
      <c r="I22" s="21">
        <f>_xll.BDH("ADBE US Equity","ALTMAN_Z_SCORE","FQ1 2013","FQ1 2013","Currency=USD","Period=FQ","BEST_FPERIOD_OVERRIDE=FQ","FILING_STATUS=MR","Sort=A","Dates=H","DateFormat=P","Fill=—","Direction=H","UseDPDF=Y")</f>
        <v>7.4427000000000003</v>
      </c>
      <c r="J22" s="21">
        <f>_xll.BDH("ADBE US Equity","ALTMAN_Z_SCORE","FQ2 2013","FQ2 2013","Currency=USD","Period=FQ","BEST_FPERIOD_OVERRIDE=FQ","FILING_STATUS=MR","Sort=A","Dates=H","DateFormat=P","Fill=—","Direction=H","UseDPDF=Y")</f>
        <v>7.5654000000000003</v>
      </c>
      <c r="K22" s="21">
        <f>_xll.BDH("ADBE US Equity","ALTMAN_Z_SCORE","FQ3 2013","FQ3 2013","Currency=USD","Period=FQ","BEST_FPERIOD_OVERRIDE=FQ","FILING_STATUS=MR","Sort=A","Dates=H","DateFormat=P","Fill=—","Direction=H","UseDPDF=Y")</f>
        <v>7.9649999999999999</v>
      </c>
      <c r="L22" s="21">
        <f>_xll.BDH("ADBE US Equity","ALTMAN_Z_SCORE","FQ4 2013","FQ4 2013","Currency=USD","Period=FQ","BEST_FPERIOD_OVERRIDE=FQ","FILING_STATUS=MR","Sort=A","Dates=H","DateFormat=P","Fill=—","Direction=H","UseDPDF=Y")</f>
        <v>8.2913999999999994</v>
      </c>
      <c r="M22" s="21">
        <f>_xll.BDH("ADBE US Equity","ALTMAN_Z_SCORE","FQ1 2014","FQ1 2014","Currency=USD","Period=FQ","BEST_FPERIOD_OVERRIDE=FQ","FILING_STATUS=MR","Sort=A","Dates=H","DateFormat=P","Fill=—","Direction=H","UseDPDF=Y")</f>
        <v>9.1004000000000005</v>
      </c>
      <c r="N22" s="21">
        <f>_xll.BDH("ADBE US Equity","ALTMAN_Z_SCORE","FQ2 2014","FQ2 2014","Currency=USD","Period=FQ","BEST_FPERIOD_OVERRIDE=FQ","FILING_STATUS=MR","Sort=A","Dates=H","DateFormat=P","Fill=—","Direction=H","UseDPDF=Y")</f>
        <v>8.5785999999999998</v>
      </c>
      <c r="O22" s="21">
        <f>_xll.BDH("ADBE US Equity","ALTMAN_Z_SCORE","FQ3 2014","FQ3 2014","Currency=USD","Period=FQ","BEST_FPERIOD_OVERRIDE=FQ","FILING_STATUS=MR","Sort=A","Dates=H","DateFormat=P","Fill=—","Direction=H","UseDPDF=Y")</f>
        <v>9.0206</v>
      </c>
      <c r="P22" s="21">
        <f>_xll.BDH("ADBE US Equity","ALTMAN_Z_SCORE","FQ4 2014","FQ4 2014","Currency=USD","Period=FQ","BEST_FPERIOD_OVERRIDE=FQ","FILING_STATUS=MR","Sort=A","Dates=H","DateFormat=P","Fill=—","Direction=H","UseDPDF=Y")</f>
        <v>8.6682000000000006</v>
      </c>
      <c r="Q22" s="21">
        <f>_xll.BDH("ADBE US Equity","ALTMAN_Z_SCORE","FQ1 2015","FQ1 2015","Currency=USD","Period=FQ","BEST_FPERIOD_OVERRIDE=FQ","FILING_STATUS=MR","Sort=A","Dates=H","DateFormat=P","Fill=—","Direction=H","UseDPDF=Y")</f>
        <v>8.9807000000000006</v>
      </c>
      <c r="R22" s="21">
        <f>_xll.BDH("ADBE US Equity","ALTMAN_Z_SCORE","FQ2 2015","FQ2 2015","Currency=USD","Period=FQ","BEST_FPERIOD_OVERRIDE=FQ","FILING_STATUS=MR","Sort=A","Dates=H","DateFormat=P","Fill=—","Direction=H","UseDPDF=Y")</f>
        <v>8.7684999999999995</v>
      </c>
      <c r="S22" s="21">
        <f>_xll.BDH("ADBE US Equity","ALTMAN_Z_SCORE","FQ3 2015","FQ3 2015","Currency=USD","Period=FQ","BEST_FPERIOD_OVERRIDE=FQ","FILING_STATUS=MR","Sort=A","Dates=H","DateFormat=P","Fill=—","Direction=H","UseDPDF=Y")</f>
        <v>8.6402000000000001</v>
      </c>
      <c r="T22" s="21">
        <f>_xll.BDH("ADBE US Equity","ALTMAN_Z_SCORE","FQ4 2015","FQ4 2015","Currency=USD","Period=FQ","BEST_FPERIOD_OVERRIDE=FQ","FILING_STATUS=MR","Sort=A","Dates=H","DateFormat=P","Fill=—","Direction=H","UseDPDF=Y")</f>
        <v>9.4384999999999994</v>
      </c>
      <c r="U22" s="21">
        <f>_xll.BDH("ADBE US Equity","ALTMAN_Z_SCORE","FQ1 2016","FQ1 2016","Currency=USD","Period=FQ","BEST_FPERIOD_OVERRIDE=FQ","FILING_STATUS=MR","Sort=A","Dates=H","DateFormat=P","Fill=—","Direction=H","UseDPDF=Y")</f>
        <v>9.0300999999999991</v>
      </c>
      <c r="V22" s="21">
        <f>_xll.BDH("ADBE US Equity","ALTMAN_Z_SCORE","FQ2 2016","FQ2 2016","Currency=USD","Period=FQ","BEST_FPERIOD_OVERRIDE=FQ","FILING_STATUS=MR","Sort=A","Dates=H","DateFormat=P","Fill=—","Direction=H","UseDPDF=Y")</f>
        <v>9.6377000000000006</v>
      </c>
      <c r="W22" s="21">
        <f>_xll.BDH("ADBE US Equity","ALTMAN_Z_SCORE","FQ3 2016","FQ3 2016","Currency=USD","Period=FQ","BEST_FPERIOD_OVERRIDE=FQ","FILING_STATUS=MR","Sort=A","Dates=H","DateFormat=P","Fill=—","Direction=H","UseDPDF=Y")</f>
        <v>9.8152000000000008</v>
      </c>
      <c r="X22" s="21">
        <f>_xll.BDH("ADBE US Equity","ALTMAN_Z_SCORE","FQ4 2016","FQ4 2016","Currency=USD","Period=FQ","BEST_FPERIOD_OVERRIDE=FQ","FILING_STATUS=MR","Sort=A","Dates=H","DateFormat=P","Fill=—","Direction=H","UseDPDF=Y")</f>
        <v>9.3918999999999997</v>
      </c>
      <c r="Y22" s="21">
        <f>_xll.BDH("ADBE US Equity","ALTMAN_Z_SCORE","FQ1 2017","FQ1 2017","Currency=USD","Period=FQ","BEST_FPERIOD_OVERRIDE=FQ","FILING_STATUS=MR","Sort=A","Dates=H","DateFormat=P","Fill=—","Direction=H","UseDPDF=Y")</f>
        <v>10.452999999999999</v>
      </c>
      <c r="Z22" s="21">
        <f>_xll.BDH("ADBE US Equity","ALTMAN_Z_SCORE","FQ2 2017","FQ2 2017","Currency=USD","Period=FQ","BEST_FPERIOD_OVERRIDE=FQ","FILING_STATUS=MR","Sort=A","Dates=H","DateFormat=P","Fill=—","Direction=H","UseDPDF=Y")</f>
        <v>11.6225</v>
      </c>
      <c r="AA22" s="21">
        <f>_xll.BDH("ADBE US Equity","ALTMAN_Z_SCORE","FQ3 2017","FQ3 2017","Currency=USD","Period=FQ","BEST_FPERIOD_OVERRIDE=FQ","FILING_STATUS=MR","Sort=A","Dates=H","DateFormat=P","Fill=—","Direction=H","UseDPDF=Y")</f>
        <v>11.9438</v>
      </c>
      <c r="AB22" s="21">
        <f>_xll.BDH("ADBE US Equity","ALTMAN_Z_SCORE","FQ4 2017","FQ4 2017","Currency=USD","Period=FQ","BEST_FPERIOD_OVERRIDE=FQ","FILING_STATUS=MR","Sort=A","Dates=H","DateFormat=P","Fill=—","Direction=H","UseDPDF=Y")</f>
        <v>12.6203</v>
      </c>
      <c r="AC22" s="21">
        <f>_xll.BDH("ADBE US Equity","ALTMAN_Z_SCORE","FQ1 2018","FQ1 2018","Currency=USD","Period=FQ","BEST_FPERIOD_OVERRIDE=FQ","FILING_STATUS=MR","Sort=A","Dates=H","DateFormat=P","Fill=—","Direction=H","UseDPDF=Y")</f>
        <v>13.6486</v>
      </c>
      <c r="AD22" s="21">
        <f>_xll.BDH("ADBE US Equity","ALTMAN_Z_SCORE","FQ2 2018","FQ2 2018","Currency=USD","Period=FQ","BEST_FPERIOD_OVERRIDE=FQ","FILING_STATUS=MR","Sort=A","Dates=H","DateFormat=P","Fill=—","Direction=H","UseDPDF=Y")</f>
        <v>15.508599999999999</v>
      </c>
      <c r="AE22" s="21">
        <f>_xll.BDH("ADBE US Equity","ALTMAN_Z_SCORE","FQ3 2018","FQ3 2018","Currency=USD","Period=FQ","BEST_FPERIOD_OVERRIDE=FQ","FILING_STATUS=MR","Sort=A","Dates=H","DateFormat=P","Fill=—","Direction=H","UseDPDF=Y")</f>
        <v>16.633900000000001</v>
      </c>
      <c r="AF22" s="21">
        <f>_xll.BDH("ADBE US Equity","ALTMAN_Z_SCORE","FQ4 2018","FQ4 2018","Currency=USD","Period=FQ","BEST_FPERIOD_OVERRIDE=FQ","FILING_STATUS=MR","Sort=A","Dates=H","DateFormat=P","Fill=—","Direction=H","UseDPDF=Y")</f>
        <v>13.6319</v>
      </c>
      <c r="AG22" s="21">
        <f>_xll.BDH("ADBE US Equity","ALTMAN_Z_SCORE","FQ1 2019","FQ1 2019","Currency=USD","Period=FQ","BEST_FPERIOD_OVERRIDE=FQ","FILING_STATUS=MR","Sort=A","Dates=H","DateFormat=P","Fill=—","Direction=H","UseDPDF=Y")</f>
        <v>13.3947</v>
      </c>
      <c r="AH22" s="21">
        <f>_xll.BDH("ADBE US Equity","ALTMAN_Z_SCORE","FQ2 2019","FQ2 2019","Currency=USD","Period=FQ","BEST_FPERIOD_OVERRIDE=FQ","FILING_STATUS=MR","Sort=A","Dates=H","DateFormat=P","Fill=—","Direction=H","UseDPDF=Y")</f>
        <v>13.1488</v>
      </c>
      <c r="AI22" s="21">
        <f>_xll.BDH("ADBE US Equity","ALTMAN_Z_SCORE","FQ3 2019","FQ3 2019","Currency=USD","Period=FQ","BEST_FPERIOD_OVERRIDE=FQ","FILING_STATUS=MR","Sort=A","Dates=H","DateFormat=P","Fill=—","Direction=H","UseDPDF=Y")</f>
        <v>13.439500000000001</v>
      </c>
      <c r="AJ22" s="21">
        <f>_xll.BDH("ADBE US Equity","ALTMAN_Z_SCORE","FQ4 2019","FQ4 2019","Currency=USD","Period=FQ","BEST_FPERIOD_OVERRIDE=FQ","FILING_STATUS=MR","Sort=A","Dates=H","DateFormat=P","Fill=—","Direction=H","UseDPDF=Y")</f>
        <v>13.6577</v>
      </c>
      <c r="AK22" s="21">
        <f>_xll.BDH("ADBE US Equity","ALTMAN_Z_SCORE","FQ1 2020","FQ1 2020","Currency=USD","Period=FQ","BEST_FPERIOD_OVERRIDE=FQ","FILING_STATUS=MR","Sort=A","Dates=H","DateFormat=P","Fill=—","Direction=H","UseDPDF=Y")</f>
        <v>14.5099</v>
      </c>
      <c r="AL22" s="21">
        <f>_xll.BDH("ADBE US Equity","ALTMAN_Z_SCORE","FQ2 2020","FQ2 2020","Currency=USD","Period=FQ","BEST_FPERIOD_OVERRIDE=FQ","FILING_STATUS=MR","Sort=A","Dates=H","DateFormat=P","Fill=—","Direction=H","UseDPDF=Y")</f>
        <v>15.682</v>
      </c>
      <c r="AM22" s="21">
        <f>_xll.BDH("ADBE US Equity","ALTMAN_Z_SCORE","FQ3 2020","FQ3 2020","Currency=USD","Period=FQ","BEST_FPERIOD_OVERRIDE=FQ","FILING_STATUS=MR","Sort=A","Dates=H","DateFormat=P","Fill=—","Direction=H","UseDPDF=Y")</f>
        <v>19.0365</v>
      </c>
      <c r="AN22" s="21">
        <f>_xll.BDH("ADBE US Equity","ALTMAN_Z_SCORE","FQ4 2020","FQ4 2020","Currency=USD","Period=FQ","BEST_FPERIOD_OVERRIDE=FQ","FILING_STATUS=MR","Sort=A","Dates=H","DateFormat=P","Fill=—","Direction=H","UseDPDF=Y")</f>
        <v>17.176500000000001</v>
      </c>
      <c r="AO22" s="21">
        <f>_xll.BDH("ADBE US Equity","ALTMAN_Z_SCORE","FQ1 2021","FQ1 2021","Currency=USD","Period=FQ","BEST_FPERIOD_OVERRIDE=FQ","FILING_STATUS=MR","Sort=A","Dates=H","DateFormat=P","Fill=—","Direction=H","UseDPDF=Y")</f>
        <v>16.340699999999998</v>
      </c>
      <c r="AP22" s="21">
        <f>_xll.BDH("ADBE US Equity","ALTMAN_Z_SCORE","FQ2 2021","FQ2 2021","Currency=USD","Period=FQ","BEST_FPERIOD_OVERRIDE=FQ","FILING_STATUS=MR","Sort=A","Dates=H","DateFormat=P","Fill=—","Direction=H","UseDPDF=Y")</f>
        <v>17.6187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173</v>
      </c>
      <c r="B24" s="8" t="s">
        <v>172</v>
      </c>
      <c r="C24" s="1">
        <f>_xll.BDH("ADBE US Equity","BS_TOTAL_LINE_OF_CREDIT","FQ3 2011","FQ3 2011","Currency=USD","Period=FQ","BEST_FPERIOD_OVERRIDE=FQ","FILING_STATUS=MR","SCALING_FORMAT=MLN","Sort=A","Dates=H","DateFormat=P","Fill=—","Direction=H","UseDPDF=Y")</f>
        <v>1000</v>
      </c>
      <c r="D24" s="1">
        <f>_xll.BDH("ADBE US Equity","BS_TOTAL_LINE_OF_CREDIT","FQ4 2011","FQ4 2011","Currency=USD","Period=FQ","BEST_FPERIOD_OVERRIDE=FQ","FILING_STATUS=MR","SCALING_FORMAT=MLN","Sort=A","Dates=H","DateFormat=P","Fill=—","Direction=H","UseDPDF=Y")</f>
        <v>1000</v>
      </c>
      <c r="E24" s="1">
        <f>_xll.BDH("ADBE US Equity","BS_TOTAL_LINE_OF_CREDIT","FQ1 2012","FQ1 2012","Currency=USD","Period=FQ","BEST_FPERIOD_OVERRIDE=FQ","FILING_STATUS=MR","SCALING_FORMAT=MLN","Sort=A","Dates=H","DateFormat=P","Fill=—","Direction=H","UseDPDF=Y")</f>
        <v>1000</v>
      </c>
      <c r="F24" s="1">
        <f>_xll.BDH("ADBE US Equity","BS_TOTAL_LINE_OF_CREDIT","FQ2 2012","FQ2 2012","Currency=USD","Period=FQ","BEST_FPERIOD_OVERRIDE=FQ","FILING_STATUS=MR","SCALING_FORMAT=MLN","Sort=A","Dates=H","DateFormat=P","Fill=—","Direction=H","UseDPDF=Y")</f>
        <v>1000</v>
      </c>
      <c r="G24" s="1">
        <f>_xll.BDH("ADBE US Equity","BS_TOTAL_LINE_OF_CREDIT","FQ3 2012","FQ3 2012","Currency=USD","Period=FQ","BEST_FPERIOD_OVERRIDE=FQ","FILING_STATUS=MR","SCALING_FORMAT=MLN","Sort=A","Dates=H","DateFormat=P","Fill=—","Direction=H","UseDPDF=Y")</f>
        <v>1000</v>
      </c>
      <c r="H24" s="1">
        <f>_xll.BDH("ADBE US Equity","BS_TOTAL_LINE_OF_CREDIT","FQ4 2012","FQ4 2012","Currency=USD","Period=FQ","BEST_FPERIOD_OVERRIDE=FQ","FILING_STATUS=MR","SCALING_FORMAT=MLN","Sort=A","Dates=H","DateFormat=P","Fill=—","Direction=H","UseDPDF=Y")</f>
        <v>1000</v>
      </c>
      <c r="I24" s="1">
        <f>_xll.BDH("ADBE US Equity","BS_TOTAL_LINE_OF_CREDIT","FQ1 2013","FQ1 2013","Currency=USD","Period=FQ","BEST_FPERIOD_OVERRIDE=FQ","FILING_STATUS=MR","SCALING_FORMAT=MLN","Sort=A","Dates=H","DateFormat=P","Fill=—","Direction=H","UseDPDF=Y")</f>
        <v>1000</v>
      </c>
      <c r="J24" s="1">
        <f>_xll.BDH("ADBE US Equity","BS_TOTAL_LINE_OF_CREDIT","FQ2 2013","FQ2 2013","Currency=USD","Period=FQ","BEST_FPERIOD_OVERRIDE=FQ","FILING_STATUS=MR","SCALING_FORMAT=MLN","Sort=A","Dates=H","DateFormat=P","Fill=—","Direction=H","UseDPDF=Y")</f>
        <v>1500</v>
      </c>
      <c r="K24" s="1">
        <f>_xll.BDH("ADBE US Equity","BS_TOTAL_LINE_OF_CREDIT","FQ3 2013","FQ3 2013","Currency=USD","Period=FQ","BEST_FPERIOD_OVERRIDE=FQ","FILING_STATUS=MR","SCALING_FORMAT=MLN","Sort=A","Dates=H","DateFormat=P","Fill=—","Direction=H","UseDPDF=Y")</f>
        <v>1000</v>
      </c>
      <c r="L24" s="1">
        <f>_xll.BDH("ADBE US Equity","BS_TOTAL_LINE_OF_CREDIT","FQ4 2013","FQ4 2013","Currency=USD","Period=FQ","BEST_FPERIOD_OVERRIDE=FQ","FILING_STATUS=MR","SCALING_FORMAT=MLN","Sort=A","Dates=H","DateFormat=P","Fill=—","Direction=H","UseDPDF=Y")</f>
        <v>1000</v>
      </c>
      <c r="M24" s="1">
        <f>_xll.BDH("ADBE US Equity","BS_TOTAL_LINE_OF_CREDIT","FQ1 2014","FQ1 2014","Currency=USD","Period=FQ","BEST_FPERIOD_OVERRIDE=FQ","FILING_STATUS=MR","SCALING_FORMAT=MLN","Sort=A","Dates=H","DateFormat=P","Fill=—","Direction=H","UseDPDF=Y")</f>
        <v>1000</v>
      </c>
      <c r="N24" s="1">
        <f>_xll.BDH("ADBE US Equity","BS_TOTAL_LINE_OF_CREDIT","FQ2 2014","FQ2 2014","Currency=USD","Period=FQ","BEST_FPERIOD_OVERRIDE=FQ","FILING_STATUS=MR","SCALING_FORMAT=MLN","Sort=A","Dates=H","DateFormat=P","Fill=—","Direction=H","UseDPDF=Y")</f>
        <v>1000</v>
      </c>
      <c r="O24" s="1">
        <f>_xll.BDH("ADBE US Equity","BS_TOTAL_LINE_OF_CREDIT","FQ3 2014","FQ3 2014","Currency=USD","Period=FQ","BEST_FPERIOD_OVERRIDE=FQ","FILING_STATUS=MR","SCALING_FORMAT=MLN","Sort=A","Dates=H","DateFormat=P","Fill=—","Direction=H","UseDPDF=Y")</f>
        <v>1000</v>
      </c>
      <c r="P24" s="1">
        <f>_xll.BDH("ADBE US Equity","BS_TOTAL_LINE_OF_CREDIT","FQ4 2014","FQ4 2014","Currency=USD","Period=FQ","BEST_FPERIOD_OVERRIDE=FQ","FILING_STATUS=MR","SCALING_FORMAT=MLN","Sort=A","Dates=H","DateFormat=P","Fill=—","Direction=H","UseDPDF=Y")</f>
        <v>1000</v>
      </c>
      <c r="Q24" s="1">
        <f>_xll.BDH("ADBE US Equity","BS_TOTAL_LINE_OF_CREDIT","FQ1 2015","FQ1 2015","Currency=USD","Period=FQ","BEST_FPERIOD_OVERRIDE=FQ","FILING_STATUS=MR","SCALING_FORMAT=MLN","Sort=A","Dates=H","DateFormat=P","Fill=—","Direction=H","UseDPDF=Y")</f>
        <v>1000</v>
      </c>
      <c r="R24" s="1">
        <f>_xll.BDH("ADBE US Equity","BS_TOTAL_LINE_OF_CREDIT","FQ2 2015","FQ2 2015","Currency=USD","Period=FQ","BEST_FPERIOD_OVERRIDE=FQ","FILING_STATUS=MR","SCALING_FORMAT=MLN","Sort=A","Dates=H","DateFormat=P","Fill=—","Direction=H","UseDPDF=Y")</f>
        <v>1000</v>
      </c>
      <c r="S24" s="1">
        <f>_xll.BDH("ADBE US Equity","BS_TOTAL_LINE_OF_CREDIT","FQ3 2015","FQ3 2015","Currency=USD","Period=FQ","BEST_FPERIOD_OVERRIDE=FQ","FILING_STATUS=MR","SCALING_FORMAT=MLN","Sort=A","Dates=H","DateFormat=P","Fill=—","Direction=H","UseDPDF=Y")</f>
        <v>1000</v>
      </c>
      <c r="T24" s="1">
        <f>_xll.BDH("ADBE US Equity","BS_TOTAL_LINE_OF_CREDIT","FQ4 2015","FQ4 2015","Currency=USD","Period=FQ","BEST_FPERIOD_OVERRIDE=FQ","FILING_STATUS=MR","SCALING_FORMAT=MLN","Sort=A","Dates=H","DateFormat=P","Fill=—","Direction=H","UseDPDF=Y")</f>
        <v>1000</v>
      </c>
      <c r="U24" s="1">
        <f>_xll.BDH("ADBE US Equity","BS_TOTAL_LINE_OF_CREDIT","FQ1 2016","FQ1 2016","Currency=USD","Period=FQ","BEST_FPERIOD_OVERRIDE=FQ","FILING_STATUS=MR","SCALING_FORMAT=MLN","Sort=A","Dates=H","DateFormat=P","Fill=—","Direction=H","UseDPDF=Y")</f>
        <v>1000</v>
      </c>
      <c r="V24" s="1">
        <f>_xll.BDH("ADBE US Equity","BS_TOTAL_LINE_OF_CREDIT","FQ2 2016","FQ2 2016","Currency=USD","Period=FQ","BEST_FPERIOD_OVERRIDE=FQ","FILING_STATUS=MR","SCALING_FORMAT=MLN","Sort=A","Dates=H","DateFormat=P","Fill=—","Direction=H","UseDPDF=Y")</f>
        <v>1000</v>
      </c>
      <c r="W24" s="1">
        <f>_xll.BDH("ADBE US Equity","BS_TOTAL_LINE_OF_CREDIT","FQ3 2016","FQ3 2016","Currency=USD","Period=FQ","BEST_FPERIOD_OVERRIDE=FQ","FILING_STATUS=MR","SCALING_FORMAT=MLN","Sort=A","Dates=H","DateFormat=P","Fill=—","Direction=H","UseDPDF=Y")</f>
        <v>1000</v>
      </c>
      <c r="X24" s="1">
        <f>_xll.BDH("ADBE US Equity","BS_TOTAL_LINE_OF_CREDIT","FQ4 2016","FQ4 2016","Currency=USD","Period=FQ","BEST_FPERIOD_OVERRIDE=FQ","FILING_STATUS=MR","SCALING_FORMAT=MLN","Sort=A","Dates=H","DateFormat=P","Fill=—","Direction=H","UseDPDF=Y")</f>
        <v>1000</v>
      </c>
      <c r="Y24" s="1">
        <f>_xll.BDH("ADBE US Equity","BS_TOTAL_LINE_OF_CREDIT","FQ1 2017","FQ1 2017","Currency=USD","Period=FQ","BEST_FPERIOD_OVERRIDE=FQ","FILING_STATUS=MR","SCALING_FORMAT=MLN","Sort=A","Dates=H","DateFormat=P","Fill=—","Direction=H","UseDPDF=Y")</f>
        <v>1000</v>
      </c>
      <c r="Z24" s="1">
        <f>_xll.BDH("ADBE US Equity","BS_TOTAL_LINE_OF_CREDIT","FQ2 2017","FQ2 2017","Currency=USD","Period=FQ","BEST_FPERIOD_OVERRIDE=FQ","FILING_STATUS=MR","SCALING_FORMAT=MLN","Sort=A","Dates=H","DateFormat=P","Fill=—","Direction=H","UseDPDF=Y")</f>
        <v>1000</v>
      </c>
      <c r="AA24" s="1">
        <f>_xll.BDH("ADBE US Equity","BS_TOTAL_LINE_OF_CREDIT","FQ3 2017","FQ3 2017","Currency=USD","Period=FQ","BEST_FPERIOD_OVERRIDE=FQ","FILING_STATUS=MR","SCALING_FORMAT=MLN","Sort=A","Dates=H","DateFormat=P","Fill=—","Direction=H","UseDPDF=Y")</f>
        <v>1000</v>
      </c>
      <c r="AB24" s="1">
        <f>_xll.BDH("ADBE US Equity","BS_TOTAL_LINE_OF_CREDIT","FQ4 2017","FQ4 2017","Currency=USD","Period=FQ","BEST_FPERIOD_OVERRIDE=FQ","FILING_STATUS=MR","SCALING_FORMAT=MLN","Sort=A","Dates=H","DateFormat=P","Fill=—","Direction=H","UseDPDF=Y")</f>
        <v>1000</v>
      </c>
      <c r="AC24" s="1">
        <f>_xll.BDH("ADBE US Equity","BS_TOTAL_LINE_OF_CREDIT","FQ1 2018","FQ1 2018","Currency=USD","Period=FQ","BEST_FPERIOD_OVERRIDE=FQ","FILING_STATUS=MR","SCALING_FORMAT=MLN","Sort=A","Dates=H","DateFormat=P","Fill=—","Direction=H","UseDPDF=Y")</f>
        <v>1000</v>
      </c>
      <c r="AD24" s="1" t="str">
        <f>_xll.BDH("ADBE US Equity","BS_TOTAL_LINE_OF_CREDIT","FQ2 2018","FQ2 2018","Currency=USD","Period=FQ","BEST_FPERIOD_OVERRIDE=FQ","FILING_STATUS=MR","SCALING_FORMAT=MLN","Sort=A","Dates=H","DateFormat=P","Fill=—","Direction=H","UseDPDF=Y")</f>
        <v>#N/A Requesting Data...</v>
      </c>
      <c r="AE24" s="1">
        <f>_xll.BDH("ADBE US Equity","BS_TOTAL_LINE_OF_CREDIT","FQ3 2018","FQ3 2018","Currency=USD","Period=FQ","BEST_FPERIOD_OVERRIDE=FQ","FILING_STATUS=MR","SCALING_FORMAT=MLN","Sort=A","Dates=H","DateFormat=P","Fill=—","Direction=H","UseDPDF=Y")</f>
        <v>1000</v>
      </c>
      <c r="AF24" s="1">
        <f>_xll.BDH("ADBE US Equity","BS_TOTAL_LINE_OF_CREDIT","FQ4 2018","FQ4 2018","Currency=USD","Period=FQ","BEST_FPERIOD_OVERRIDE=FQ","FILING_STATUS=MR","SCALING_FORMAT=MLN","Sort=A","Dates=H","DateFormat=P","Fill=—","Direction=H","UseDPDF=Y")</f>
        <v>1000</v>
      </c>
      <c r="AG24" s="1">
        <f>_xll.BDH("ADBE US Equity","BS_TOTAL_LINE_OF_CREDIT","FQ1 2019","FQ1 2019","Currency=USD","Period=FQ","BEST_FPERIOD_OVERRIDE=FQ","FILING_STATUS=MR","SCALING_FORMAT=MLN","Sort=A","Dates=H","DateFormat=P","Fill=—","Direction=H","UseDPDF=Y")</f>
        <v>1000</v>
      </c>
      <c r="AH24" s="1">
        <f>_xll.BDH("ADBE US Equity","BS_TOTAL_LINE_OF_CREDIT","FQ2 2019","FQ2 2019","Currency=USD","Period=FQ","BEST_FPERIOD_OVERRIDE=FQ","FILING_STATUS=MR","SCALING_FORMAT=MLN","Sort=A","Dates=H","DateFormat=P","Fill=—","Direction=H","UseDPDF=Y")</f>
        <v>1000</v>
      </c>
      <c r="AI24" s="1">
        <f>_xll.BDH("ADBE US Equity","BS_TOTAL_LINE_OF_CREDIT","FQ3 2019","FQ3 2019","Currency=USD","Period=FQ","BEST_FPERIOD_OVERRIDE=FQ","FILING_STATUS=MR","SCALING_FORMAT=MLN","Sort=A","Dates=H","DateFormat=P","Fill=—","Direction=H","UseDPDF=Y")</f>
        <v>1000</v>
      </c>
      <c r="AJ24" s="1">
        <f>_xll.BDH("ADBE US Equity","BS_TOTAL_LINE_OF_CREDIT","FQ4 2019","FQ4 2019","Currency=USD","Period=FQ","BEST_FPERIOD_OVERRIDE=FQ","FILING_STATUS=MR","SCALING_FORMAT=MLN","Sort=A","Dates=H","DateFormat=P","Fill=—","Direction=H","UseDPDF=Y")</f>
        <v>1000</v>
      </c>
      <c r="AK24" s="1">
        <f>_xll.BDH("ADBE US Equity","BS_TOTAL_LINE_OF_CREDIT","FQ1 2020","FQ1 2020","Currency=USD","Period=FQ","BEST_FPERIOD_OVERRIDE=FQ","FILING_STATUS=MR","SCALING_FORMAT=MLN","Sort=A","Dates=H","DateFormat=P","Fill=—","Direction=H","UseDPDF=Y")</f>
        <v>1000</v>
      </c>
      <c r="AL24" s="1">
        <f>_xll.BDH("ADBE US Equity","BS_TOTAL_LINE_OF_CREDIT","FQ2 2020","FQ2 2020","Currency=USD","Period=FQ","BEST_FPERIOD_OVERRIDE=FQ","FILING_STATUS=MR","SCALING_FORMAT=MLN","Sort=A","Dates=H","DateFormat=P","Fill=—","Direction=H","UseDPDF=Y")</f>
        <v>1000</v>
      </c>
      <c r="AM24" s="1">
        <f>_xll.BDH("ADBE US Equity","BS_TOTAL_LINE_OF_CREDIT","FQ3 2020","FQ3 2020","Currency=USD","Period=FQ","BEST_FPERIOD_OVERRIDE=FQ","FILING_STATUS=MR","SCALING_FORMAT=MLN","Sort=A","Dates=H","DateFormat=P","Fill=—","Direction=H","UseDPDF=Y")</f>
        <v>1000</v>
      </c>
      <c r="AN24" s="1">
        <f>_xll.BDH("ADBE US Equity","BS_TOTAL_LINE_OF_CREDIT","FQ4 2020","FQ4 2020","Currency=USD","Period=FQ","BEST_FPERIOD_OVERRIDE=FQ","FILING_STATUS=MR","SCALING_FORMAT=MLN","Sort=A","Dates=H","DateFormat=P","Fill=—","Direction=H","UseDPDF=Y")</f>
        <v>1000</v>
      </c>
      <c r="AO24" s="1">
        <f>_xll.BDH("ADBE US Equity","BS_TOTAL_LINE_OF_CREDIT","FQ1 2021","FQ1 2021","Currency=USD","Period=FQ","BEST_FPERIOD_OVERRIDE=FQ","FILING_STATUS=MR","SCALING_FORMAT=MLN","Sort=A","Dates=H","DateFormat=P","Fill=—","Direction=H","UseDPDF=Y")</f>
        <v>1000</v>
      </c>
      <c r="AP24" s="1">
        <f>_xll.BDH("ADBE US Equity","BS_TOTAL_LINE_OF_CREDIT","FQ2 2021","FQ2 2021","Currency=USD","Period=FQ","BEST_FPERIOD_OVERRIDE=FQ","FILING_STATUS=MR","SCALING_FORMAT=MLN","Sort=A","Dates=H","DateFormat=P","Fill=—","Direction=H","UseDPDF=Y")</f>
        <v>1000</v>
      </c>
    </row>
    <row r="25" spans="1:42" x14ac:dyDescent="0.25">
      <c r="A25" s="8" t="s">
        <v>171</v>
      </c>
      <c r="B25" s="8" t="s">
        <v>170</v>
      </c>
      <c r="C25" s="1">
        <f>_xll.BDH("ADBE US Equity","BS_TOTAL_AVAIL_LINE_OF_CREDIT","FQ3 2011","FQ3 2011","Currency=USD","Period=FQ","BEST_FPERIOD_OVERRIDE=FQ","FILING_STATUS=MR","SCALING_FORMAT=MLN","Sort=A","Dates=H","DateFormat=P","Fill=—","Direction=H","UseDPDF=Y")</f>
        <v>1000</v>
      </c>
      <c r="D25" s="1">
        <f>_xll.BDH("ADBE US Equity","BS_TOTAL_AVAIL_LINE_OF_CREDIT","FQ4 2011","FQ4 2011","Currency=USD","Period=FQ","BEST_FPERIOD_OVERRIDE=FQ","FILING_STATUS=MR","SCALING_FORMAT=MLN","Sort=A","Dates=H","DateFormat=P","Fill=—","Direction=H","UseDPDF=Y")</f>
        <v>1000</v>
      </c>
      <c r="E25" s="1" t="str">
        <f>_xll.BDH("ADBE US Equity","BS_TOTAL_AVAIL_LINE_OF_CREDIT","FQ1 2012","FQ1 2012","Currency=USD","Period=FQ","BEST_FPERIOD_OVERRIDE=FQ","FILING_STATUS=MR","SCALING_FORMAT=MLN","Sort=A","Dates=H","DateFormat=P","Fill=—","Direction=H","UseDPDF=Y")</f>
        <v>—</v>
      </c>
      <c r="F25" s="1">
        <f>_xll.BDH("ADBE US Equity","BS_TOTAL_AVAIL_LINE_OF_CREDIT","FQ2 2012","FQ2 2012","Currency=USD","Period=FQ","BEST_FPERIOD_OVERRIDE=FQ","FILING_STATUS=MR","SCALING_FORMAT=MLN","Sort=A","Dates=H","DateFormat=P","Fill=—","Direction=H","UseDPDF=Y")</f>
        <v>1000</v>
      </c>
      <c r="G25" s="1">
        <f>_xll.BDH("ADBE US Equity","BS_TOTAL_AVAIL_LINE_OF_CREDIT","FQ3 2012","FQ3 2012","Currency=USD","Period=FQ","BEST_FPERIOD_OVERRIDE=FQ","FILING_STATUS=MR","SCALING_FORMAT=MLN","Sort=A","Dates=H","DateFormat=P","Fill=—","Direction=H","UseDPDF=Y")</f>
        <v>1000</v>
      </c>
      <c r="H25" s="1">
        <f>_xll.BDH("ADBE US Equity","BS_TOTAL_AVAIL_LINE_OF_CREDIT","FQ4 2012","FQ4 2012","Currency=USD","Period=FQ","BEST_FPERIOD_OVERRIDE=FQ","FILING_STATUS=MR","SCALING_FORMAT=MLN","Sort=A","Dates=H","DateFormat=P","Fill=—","Direction=H","UseDPDF=Y")</f>
        <v>1000</v>
      </c>
      <c r="I25" s="1" t="str">
        <f>_xll.BDH("ADBE US Equity","BS_TOTAL_AVAIL_LINE_OF_CREDIT","FQ1 2013","FQ1 2013","Currency=USD","Period=FQ","BEST_FPERIOD_OVERRIDE=FQ","FILING_STATUS=MR","SCALING_FORMAT=MLN","Sort=A","Dates=H","DateFormat=P","Fill=—","Direction=H","UseDPDF=Y")</f>
        <v>—</v>
      </c>
      <c r="J25" s="1">
        <f>_xll.BDH("ADBE US Equity","BS_TOTAL_AVAIL_LINE_OF_CREDIT","FQ2 2013","FQ2 2013","Currency=USD","Period=FQ","BEST_FPERIOD_OVERRIDE=FQ","FILING_STATUS=MR","SCALING_FORMAT=MLN","Sort=A","Dates=H","DateFormat=P","Fill=—","Direction=H","UseDPDF=Y")</f>
        <v>1000</v>
      </c>
      <c r="K25" s="1">
        <f>_xll.BDH("ADBE US Equity","BS_TOTAL_AVAIL_LINE_OF_CREDIT","FQ3 2013","FQ3 2013","Currency=USD","Period=FQ","BEST_FPERIOD_OVERRIDE=FQ","FILING_STATUS=MR","SCALING_FORMAT=MLN","Sort=A","Dates=H","DateFormat=P","Fill=—","Direction=H","UseDPDF=Y")</f>
        <v>1000</v>
      </c>
      <c r="L25" s="1">
        <f>_xll.BDH("ADBE US Equity","BS_TOTAL_AVAIL_LINE_OF_CREDIT","FQ4 2013","FQ4 2013","Currency=USD","Period=FQ","BEST_FPERIOD_OVERRIDE=FQ","FILING_STATUS=MR","SCALING_FORMAT=MLN","Sort=A","Dates=H","DateFormat=P","Fill=—","Direction=H","UseDPDF=Y")</f>
        <v>1000</v>
      </c>
      <c r="M25" s="1">
        <f>_xll.BDH("ADBE US Equity","BS_TOTAL_AVAIL_LINE_OF_CREDIT","FQ1 2014","FQ1 2014","Currency=USD","Period=FQ","BEST_FPERIOD_OVERRIDE=FQ","FILING_STATUS=MR","SCALING_FORMAT=MLN","Sort=A","Dates=H","DateFormat=P","Fill=—","Direction=H","UseDPDF=Y")</f>
        <v>1000</v>
      </c>
      <c r="N25" s="1">
        <f>_xll.BDH("ADBE US Equity","BS_TOTAL_AVAIL_LINE_OF_CREDIT","FQ2 2014","FQ2 2014","Currency=USD","Period=FQ","BEST_FPERIOD_OVERRIDE=FQ","FILING_STATUS=MR","SCALING_FORMAT=MLN","Sort=A","Dates=H","DateFormat=P","Fill=—","Direction=H","UseDPDF=Y")</f>
        <v>1000</v>
      </c>
      <c r="O25" s="1">
        <f>_xll.BDH("ADBE US Equity","BS_TOTAL_AVAIL_LINE_OF_CREDIT","FQ3 2014","FQ3 2014","Currency=USD","Period=FQ","BEST_FPERIOD_OVERRIDE=FQ","FILING_STATUS=MR","SCALING_FORMAT=MLN","Sort=A","Dates=H","DateFormat=P","Fill=—","Direction=H","UseDPDF=Y")</f>
        <v>1000</v>
      </c>
      <c r="P25" s="1">
        <f>_xll.BDH("ADBE US Equity","BS_TOTAL_AVAIL_LINE_OF_CREDIT","FQ4 2014","FQ4 2014","Currency=USD","Period=FQ","BEST_FPERIOD_OVERRIDE=FQ","FILING_STATUS=MR","SCALING_FORMAT=MLN","Sort=A","Dates=H","DateFormat=P","Fill=—","Direction=H","UseDPDF=Y")</f>
        <v>1000</v>
      </c>
      <c r="Q25" s="1">
        <f>_xll.BDH("ADBE US Equity","BS_TOTAL_AVAIL_LINE_OF_CREDIT","FQ1 2015","FQ1 2015","Currency=USD","Period=FQ","BEST_FPERIOD_OVERRIDE=FQ","FILING_STATUS=MR","SCALING_FORMAT=MLN","Sort=A","Dates=H","DateFormat=P","Fill=—","Direction=H","UseDPDF=Y")</f>
        <v>1000</v>
      </c>
      <c r="R25" s="1">
        <f>_xll.BDH("ADBE US Equity","BS_TOTAL_AVAIL_LINE_OF_CREDIT","FQ2 2015","FQ2 2015","Currency=USD","Period=FQ","BEST_FPERIOD_OVERRIDE=FQ","FILING_STATUS=MR","SCALING_FORMAT=MLN","Sort=A","Dates=H","DateFormat=P","Fill=—","Direction=H","UseDPDF=Y")</f>
        <v>1000</v>
      </c>
      <c r="S25" s="1">
        <f>_xll.BDH("ADBE US Equity","BS_TOTAL_AVAIL_LINE_OF_CREDIT","FQ3 2015","FQ3 2015","Currency=USD","Period=FQ","BEST_FPERIOD_OVERRIDE=FQ","FILING_STATUS=MR","SCALING_FORMAT=MLN","Sort=A","Dates=H","DateFormat=P","Fill=—","Direction=H","UseDPDF=Y")</f>
        <v>1000</v>
      </c>
      <c r="T25" s="1">
        <f>_xll.BDH("ADBE US Equity","BS_TOTAL_AVAIL_LINE_OF_CREDIT","FQ4 2015","FQ4 2015","Currency=USD","Period=FQ","BEST_FPERIOD_OVERRIDE=FQ","FILING_STATUS=MR","SCALING_FORMAT=MLN","Sort=A","Dates=H","DateFormat=P","Fill=—","Direction=H","UseDPDF=Y")</f>
        <v>1000</v>
      </c>
      <c r="U25" s="1">
        <f>_xll.BDH("ADBE US Equity","BS_TOTAL_AVAIL_LINE_OF_CREDIT","FQ1 2016","FQ1 2016","Currency=USD","Period=FQ","BEST_FPERIOD_OVERRIDE=FQ","FILING_STATUS=MR","SCALING_FORMAT=MLN","Sort=A","Dates=H","DateFormat=P","Fill=—","Direction=H","UseDPDF=Y")</f>
        <v>1000</v>
      </c>
      <c r="V25" s="1">
        <f>_xll.BDH("ADBE US Equity","BS_TOTAL_AVAIL_LINE_OF_CREDIT","FQ2 2016","FQ2 2016","Currency=USD","Period=FQ","BEST_FPERIOD_OVERRIDE=FQ","FILING_STATUS=MR","SCALING_FORMAT=MLN","Sort=A","Dates=H","DateFormat=P","Fill=—","Direction=H","UseDPDF=Y")</f>
        <v>1000</v>
      </c>
      <c r="W25" s="1">
        <f>_xll.BDH("ADBE US Equity","BS_TOTAL_AVAIL_LINE_OF_CREDIT","FQ3 2016","FQ3 2016","Currency=USD","Period=FQ","BEST_FPERIOD_OVERRIDE=FQ","FILING_STATUS=MR","SCALING_FORMAT=MLN","Sort=A","Dates=H","DateFormat=P","Fill=—","Direction=H","UseDPDF=Y")</f>
        <v>1000</v>
      </c>
      <c r="X25" s="1">
        <f>_xll.BDH("ADBE US Equity","BS_TOTAL_AVAIL_LINE_OF_CREDIT","FQ4 2016","FQ4 2016","Currency=USD","Period=FQ","BEST_FPERIOD_OVERRIDE=FQ","FILING_STATUS=MR","SCALING_FORMAT=MLN","Sort=A","Dates=H","DateFormat=P","Fill=—","Direction=H","UseDPDF=Y")</f>
        <v>1000</v>
      </c>
      <c r="Y25" s="1">
        <f>_xll.BDH("ADBE US Equity","BS_TOTAL_AVAIL_LINE_OF_CREDIT","FQ1 2017","FQ1 2017","Currency=USD","Period=FQ","BEST_FPERIOD_OVERRIDE=FQ","FILING_STATUS=MR","SCALING_FORMAT=MLN","Sort=A","Dates=H","DateFormat=P","Fill=—","Direction=H","UseDPDF=Y")</f>
        <v>1000</v>
      </c>
      <c r="Z25" s="1">
        <f>_xll.BDH("ADBE US Equity","BS_TOTAL_AVAIL_LINE_OF_CREDIT","FQ2 2017","FQ2 2017","Currency=USD","Period=FQ","BEST_FPERIOD_OVERRIDE=FQ","FILING_STATUS=MR","SCALING_FORMAT=MLN","Sort=A","Dates=H","DateFormat=P","Fill=—","Direction=H","UseDPDF=Y")</f>
        <v>1000</v>
      </c>
      <c r="AA25" s="1">
        <f>_xll.BDH("ADBE US Equity","BS_TOTAL_AVAIL_LINE_OF_CREDIT","FQ3 2017","FQ3 2017","Currency=USD","Period=FQ","BEST_FPERIOD_OVERRIDE=FQ","FILING_STATUS=MR","SCALING_FORMAT=MLN","Sort=A","Dates=H","DateFormat=P","Fill=—","Direction=H","UseDPDF=Y")</f>
        <v>1000</v>
      </c>
      <c r="AB25" s="1">
        <f>_xll.BDH("ADBE US Equity","BS_TOTAL_AVAIL_LINE_OF_CREDIT","FQ4 2017","FQ4 2017","Currency=USD","Period=FQ","BEST_FPERIOD_OVERRIDE=FQ","FILING_STATUS=MR","SCALING_FORMAT=MLN","Sort=A","Dates=H","DateFormat=P","Fill=—","Direction=H","UseDPDF=Y")</f>
        <v>1000</v>
      </c>
      <c r="AC25" s="1">
        <f>_xll.BDH("ADBE US Equity","BS_TOTAL_AVAIL_LINE_OF_CREDIT","FQ1 2018","FQ1 2018","Currency=USD","Period=FQ","BEST_FPERIOD_OVERRIDE=FQ","FILING_STATUS=MR","SCALING_FORMAT=MLN","Sort=A","Dates=H","DateFormat=P","Fill=—","Direction=H","UseDPDF=Y")</f>
        <v>1000</v>
      </c>
      <c r="AD25" s="1">
        <f>_xll.BDH("ADBE US Equity","BS_TOTAL_AVAIL_LINE_OF_CREDIT","FQ2 2018","FQ2 2018","Currency=USD","Period=FQ","BEST_FPERIOD_OVERRIDE=FQ","FILING_STATUS=MR","SCALING_FORMAT=MLN","Sort=A","Dates=H","DateFormat=P","Fill=—","Direction=H","UseDPDF=Y")</f>
        <v>1000</v>
      </c>
      <c r="AE25" s="1">
        <f>_xll.BDH("ADBE US Equity","BS_TOTAL_AVAIL_LINE_OF_CREDIT","FQ3 2018","FQ3 2018","Currency=USD","Period=FQ","BEST_FPERIOD_OVERRIDE=FQ","FILING_STATUS=MR","SCALING_FORMAT=MLN","Sort=A","Dates=H","DateFormat=P","Fill=—","Direction=H","UseDPDF=Y")</f>
        <v>1000</v>
      </c>
      <c r="AF25" s="1">
        <f>_xll.BDH("ADBE US Equity","BS_TOTAL_AVAIL_LINE_OF_CREDIT","FQ4 2018","FQ4 2018","Currency=USD","Period=FQ","BEST_FPERIOD_OVERRIDE=FQ","FILING_STATUS=MR","SCALING_FORMAT=MLN","Sort=A","Dates=H","DateFormat=P","Fill=—","Direction=H","UseDPDF=Y")</f>
        <v>1000</v>
      </c>
      <c r="AG25" s="1">
        <f>_xll.BDH("ADBE US Equity","BS_TOTAL_AVAIL_LINE_OF_CREDIT","FQ1 2019","FQ1 2019","Currency=USD","Period=FQ","BEST_FPERIOD_OVERRIDE=FQ","FILING_STATUS=MR","SCALING_FORMAT=MLN","Sort=A","Dates=H","DateFormat=P","Fill=—","Direction=H","UseDPDF=Y")</f>
        <v>1000</v>
      </c>
      <c r="AH25" s="1">
        <f>_xll.BDH("ADBE US Equity","BS_TOTAL_AVAIL_LINE_OF_CREDIT","FQ2 2019","FQ2 2019","Currency=USD","Period=FQ","BEST_FPERIOD_OVERRIDE=FQ","FILING_STATUS=MR","SCALING_FORMAT=MLN","Sort=A","Dates=H","DateFormat=P","Fill=—","Direction=H","UseDPDF=Y")</f>
        <v>1000</v>
      </c>
      <c r="AI25" s="1">
        <f>_xll.BDH("ADBE US Equity","BS_TOTAL_AVAIL_LINE_OF_CREDIT","FQ3 2019","FQ3 2019","Currency=USD","Period=FQ","BEST_FPERIOD_OVERRIDE=FQ","FILING_STATUS=MR","SCALING_FORMAT=MLN","Sort=A","Dates=H","DateFormat=P","Fill=—","Direction=H","UseDPDF=Y")</f>
        <v>1000</v>
      </c>
      <c r="AJ25" s="1">
        <f>_xll.BDH("ADBE US Equity","BS_TOTAL_AVAIL_LINE_OF_CREDIT","FQ4 2019","FQ4 2019","Currency=USD","Period=FQ","BEST_FPERIOD_OVERRIDE=FQ","FILING_STATUS=MR","SCALING_FORMAT=MLN","Sort=A","Dates=H","DateFormat=P","Fill=—","Direction=H","UseDPDF=Y")</f>
        <v>1000</v>
      </c>
      <c r="AK25" s="1">
        <f>_xll.BDH("ADBE US Equity","BS_TOTAL_AVAIL_LINE_OF_CREDIT","FQ1 2020","FQ1 2020","Currency=USD","Period=FQ","BEST_FPERIOD_OVERRIDE=FQ","FILING_STATUS=MR","SCALING_FORMAT=MLN","Sort=A","Dates=H","DateFormat=P","Fill=—","Direction=H","UseDPDF=Y")</f>
        <v>1000</v>
      </c>
      <c r="AL25" s="1">
        <f>_xll.BDH("ADBE US Equity","BS_TOTAL_AVAIL_LINE_OF_CREDIT","FQ2 2020","FQ2 2020","Currency=USD","Period=FQ","BEST_FPERIOD_OVERRIDE=FQ","FILING_STATUS=MR","SCALING_FORMAT=MLN","Sort=A","Dates=H","DateFormat=P","Fill=—","Direction=H","UseDPDF=Y")</f>
        <v>1000</v>
      </c>
      <c r="AM25" s="1">
        <f>_xll.BDH("ADBE US Equity","BS_TOTAL_AVAIL_LINE_OF_CREDIT","FQ3 2020","FQ3 2020","Currency=USD","Period=FQ","BEST_FPERIOD_OVERRIDE=FQ","FILING_STATUS=MR","SCALING_FORMAT=MLN","Sort=A","Dates=H","DateFormat=P","Fill=—","Direction=H","UseDPDF=Y")</f>
        <v>1000</v>
      </c>
      <c r="AN25" s="1">
        <f>_xll.BDH("ADBE US Equity","BS_TOTAL_AVAIL_LINE_OF_CREDIT","FQ4 2020","FQ4 2020","Currency=USD","Period=FQ","BEST_FPERIOD_OVERRIDE=FQ","FILING_STATUS=MR","SCALING_FORMAT=MLN","Sort=A","Dates=H","DateFormat=P","Fill=—","Direction=H","UseDPDF=Y")</f>
        <v>1000</v>
      </c>
      <c r="AO25" s="1">
        <f>_xll.BDH("ADBE US Equity","BS_TOTAL_AVAIL_LINE_OF_CREDIT","FQ1 2021","FQ1 2021","Currency=USD","Period=FQ","BEST_FPERIOD_OVERRIDE=FQ","FILING_STATUS=MR","SCALING_FORMAT=MLN","Sort=A","Dates=H","DateFormat=P","Fill=—","Direction=H","UseDPDF=Y")</f>
        <v>1000</v>
      </c>
      <c r="AP25" s="1">
        <f>_xll.BDH("ADBE US Equity","BS_TOTAL_AVAIL_LINE_OF_CREDIT","FQ2 2021","FQ2 2021","Currency=USD","Period=FQ","BEST_FPERIOD_OVERRIDE=FQ","FILING_STATUS=MR","SCALING_FORMAT=MLN","Sort=A","Dates=H","DateFormat=P","Fill=—","Direction=H","UseDPDF=Y")</f>
        <v>1000</v>
      </c>
    </row>
    <row r="26" spans="1:42" x14ac:dyDescent="0.25">
      <c r="A26" s="8" t="s">
        <v>169</v>
      </c>
      <c r="B26" s="8" t="s">
        <v>168</v>
      </c>
      <c r="C26" s="1">
        <f>_xll.BDH("ADBE US Equity","LINE_OF_CREDIT_UTILIZED_AMOUNT","FQ3 2011","FQ3 2011","Currency=USD","Period=FQ","BEST_FPERIOD_OVERRIDE=FQ","FILING_STATUS=MR","SCALING_FORMAT=MLN","Sort=A","Dates=H","DateFormat=P","Fill=—","Direction=H","UseDPDF=Y")</f>
        <v>0</v>
      </c>
      <c r="D26" s="1">
        <f>_xll.BDH("ADBE US Equity","LINE_OF_CREDIT_UTILIZED_AMOUNT","FQ4 2011","FQ4 2011","Currency=USD","Period=FQ","BEST_FPERIOD_OVERRIDE=FQ","FILING_STATUS=MR","SCALING_FORMAT=MLN","Sort=A","Dates=H","DateFormat=P","Fill=—","Direction=H","UseDPDF=Y")</f>
        <v>0</v>
      </c>
      <c r="E26" s="1" t="str">
        <f>_xll.BDH("ADBE US Equity","LINE_OF_CREDIT_UTILIZED_AMOUNT","FQ1 2012","FQ1 2012","Currency=USD","Period=FQ","BEST_FPERIOD_OVERRIDE=FQ","FILING_STATUS=MR","SCALING_FORMAT=MLN","Sort=A","Dates=H","DateFormat=P","Fill=—","Direction=H","UseDPDF=Y")</f>
        <v>—</v>
      </c>
      <c r="F26" s="1">
        <f>_xll.BDH("ADBE US Equity","LINE_OF_CREDIT_UTILIZED_AMOUNT","FQ2 2012","FQ2 2012","Currency=USD","Period=FQ","BEST_FPERIOD_OVERRIDE=FQ","FILING_STATUS=MR","SCALING_FORMAT=MLN","Sort=A","Dates=H","DateFormat=P","Fill=—","Direction=H","UseDPDF=Y")</f>
        <v>0</v>
      </c>
      <c r="G26" s="1">
        <f>_xll.BDH("ADBE US Equity","LINE_OF_CREDIT_UTILIZED_AMOUNT","FQ3 2012","FQ3 2012","Currency=USD","Period=FQ","BEST_FPERIOD_OVERRIDE=FQ","FILING_STATUS=MR","SCALING_FORMAT=MLN","Sort=A","Dates=H","DateFormat=P","Fill=—","Direction=H","UseDPDF=Y")</f>
        <v>0</v>
      </c>
      <c r="H26" s="1">
        <f>_xll.BDH("ADBE US Equity","LINE_OF_CREDIT_UTILIZED_AMOUNT","FQ4 2012","FQ4 2012","Currency=USD","Period=FQ","BEST_FPERIOD_OVERRIDE=FQ","FILING_STATUS=MR","SCALING_FORMAT=MLN","Sort=A","Dates=H","DateFormat=P","Fill=—","Direction=H","UseDPDF=Y")</f>
        <v>0</v>
      </c>
      <c r="I26" s="1" t="str">
        <f>_xll.BDH("ADBE US Equity","LINE_OF_CREDIT_UTILIZED_AMOUNT","FQ1 2013","FQ1 2013","Currency=USD","Period=FQ","BEST_FPERIOD_OVERRIDE=FQ","FILING_STATUS=MR","SCALING_FORMAT=MLN","Sort=A","Dates=H","DateFormat=P","Fill=—","Direction=H","UseDPDF=Y")</f>
        <v>—</v>
      </c>
      <c r="J26" s="1">
        <f>_xll.BDH("ADBE US Equity","LINE_OF_CREDIT_UTILIZED_AMOUNT","FQ2 2013","FQ2 2013","Currency=USD","Period=FQ","BEST_FPERIOD_OVERRIDE=FQ","FILING_STATUS=MR","SCALING_FORMAT=MLN","Sort=A","Dates=H","DateFormat=P","Fill=—","Direction=H","UseDPDF=Y")</f>
        <v>500</v>
      </c>
      <c r="K26" s="1">
        <f>_xll.BDH("ADBE US Equity","LINE_OF_CREDIT_UTILIZED_AMOUNT","FQ3 2013","FQ3 2013","Currency=USD","Period=FQ","BEST_FPERIOD_OVERRIDE=FQ","FILING_STATUS=MR","SCALING_FORMAT=MLN","Sort=A","Dates=H","DateFormat=P","Fill=—","Direction=H","UseDPDF=Y")</f>
        <v>0</v>
      </c>
      <c r="L26" s="1">
        <f>_xll.BDH("ADBE US Equity","LINE_OF_CREDIT_UTILIZED_AMOUNT","FQ4 2013","FQ4 2013","Currency=USD","Period=FQ","BEST_FPERIOD_OVERRIDE=FQ","FILING_STATUS=MR","SCALING_FORMAT=MLN","Sort=A","Dates=H","DateFormat=P","Fill=—","Direction=H","UseDPDF=Y")</f>
        <v>0</v>
      </c>
      <c r="M26" s="1">
        <f>_xll.BDH("ADBE US Equity","LINE_OF_CREDIT_UTILIZED_AMOUNT","FQ1 2014","FQ1 2014","Currency=USD","Period=FQ","BEST_FPERIOD_OVERRIDE=FQ","FILING_STATUS=MR","SCALING_FORMAT=MLN","Sort=A","Dates=H","DateFormat=P","Fill=—","Direction=H","UseDPDF=Y")</f>
        <v>0</v>
      </c>
      <c r="N26" s="1">
        <f>_xll.BDH("ADBE US Equity","LINE_OF_CREDIT_UTILIZED_AMOUNT","FQ2 2014","FQ2 2014","Currency=USD","Period=FQ","BEST_FPERIOD_OVERRIDE=FQ","FILING_STATUS=MR","SCALING_FORMAT=MLN","Sort=A","Dates=H","DateFormat=P","Fill=—","Direction=H","UseDPDF=Y")</f>
        <v>0</v>
      </c>
      <c r="O26" s="1">
        <f>_xll.BDH("ADBE US Equity","LINE_OF_CREDIT_UTILIZED_AMOUNT","FQ3 2014","FQ3 2014","Currency=USD","Period=FQ","BEST_FPERIOD_OVERRIDE=FQ","FILING_STATUS=MR","SCALING_FORMAT=MLN","Sort=A","Dates=H","DateFormat=P","Fill=—","Direction=H","UseDPDF=Y")</f>
        <v>0</v>
      </c>
      <c r="P26" s="1">
        <f>_xll.BDH("ADBE US Equity","LINE_OF_CREDIT_UTILIZED_AMOUNT","FQ4 2014","FQ4 2014","Currency=USD","Period=FQ","BEST_FPERIOD_OVERRIDE=FQ","FILING_STATUS=MR","SCALING_FORMAT=MLN","Sort=A","Dates=H","DateFormat=P","Fill=—","Direction=H","UseDPDF=Y")</f>
        <v>0</v>
      </c>
      <c r="Q26" s="1">
        <f>_xll.BDH("ADBE US Equity","LINE_OF_CREDIT_UTILIZED_AMOUNT","FQ1 2015","FQ1 2015","Currency=USD","Period=FQ","BEST_FPERIOD_OVERRIDE=FQ","FILING_STATUS=MR","SCALING_FORMAT=MLN","Sort=A","Dates=H","DateFormat=P","Fill=—","Direction=H","UseDPDF=Y")</f>
        <v>0</v>
      </c>
      <c r="R26" s="1">
        <f>_xll.BDH("ADBE US Equity","LINE_OF_CREDIT_UTILIZED_AMOUNT","FQ2 2015","FQ2 2015","Currency=USD","Period=FQ","BEST_FPERIOD_OVERRIDE=FQ","FILING_STATUS=MR","SCALING_FORMAT=MLN","Sort=A","Dates=H","DateFormat=P","Fill=—","Direction=H","UseDPDF=Y")</f>
        <v>0</v>
      </c>
      <c r="S26" s="1">
        <f>_xll.BDH("ADBE US Equity","LINE_OF_CREDIT_UTILIZED_AMOUNT","FQ3 2015","FQ3 2015","Currency=USD","Period=FQ","BEST_FPERIOD_OVERRIDE=FQ","FILING_STATUS=MR","SCALING_FORMAT=MLN","Sort=A","Dates=H","DateFormat=P","Fill=—","Direction=H","UseDPDF=Y")</f>
        <v>0</v>
      </c>
      <c r="T26" s="1">
        <f>_xll.BDH("ADBE US Equity","LINE_OF_CREDIT_UTILIZED_AMOUNT","FQ4 2015","FQ4 2015","Currency=USD","Period=FQ","BEST_FPERIOD_OVERRIDE=FQ","FILING_STATUS=MR","SCALING_FORMAT=MLN","Sort=A","Dates=H","DateFormat=P","Fill=—","Direction=H","UseDPDF=Y")</f>
        <v>0</v>
      </c>
      <c r="U26" s="1">
        <f>_xll.BDH("ADBE US Equity","LINE_OF_CREDIT_UTILIZED_AMOUNT","FQ1 2016","FQ1 2016","Currency=USD","Period=FQ","BEST_FPERIOD_OVERRIDE=FQ","FILING_STATUS=MR","SCALING_FORMAT=MLN","Sort=A","Dates=H","DateFormat=P","Fill=—","Direction=H","UseDPDF=Y")</f>
        <v>0</v>
      </c>
      <c r="V26" s="1">
        <f>_xll.BDH("ADBE US Equity","LINE_OF_CREDIT_UTILIZED_AMOUNT","FQ2 2016","FQ2 2016","Currency=USD","Period=FQ","BEST_FPERIOD_OVERRIDE=FQ","FILING_STATUS=MR","SCALING_FORMAT=MLN","Sort=A","Dates=H","DateFormat=P","Fill=—","Direction=H","UseDPDF=Y")</f>
        <v>0</v>
      </c>
      <c r="W26" s="1">
        <f>_xll.BDH("ADBE US Equity","LINE_OF_CREDIT_UTILIZED_AMOUNT","FQ3 2016","FQ3 2016","Currency=USD","Period=FQ","BEST_FPERIOD_OVERRIDE=FQ","FILING_STATUS=MR","SCALING_FORMAT=MLN","Sort=A","Dates=H","DateFormat=P","Fill=—","Direction=H","UseDPDF=Y")</f>
        <v>0</v>
      </c>
      <c r="X26" s="1">
        <f>_xll.BDH("ADBE US Equity","LINE_OF_CREDIT_UTILIZED_AMOUNT","FQ4 2016","FQ4 2016","Currency=USD","Period=FQ","BEST_FPERIOD_OVERRIDE=FQ","FILING_STATUS=MR","SCALING_FORMAT=MLN","Sort=A","Dates=H","DateFormat=P","Fill=—","Direction=H","UseDPDF=Y")</f>
        <v>0</v>
      </c>
      <c r="Y26" s="1">
        <f>_xll.BDH("ADBE US Equity","LINE_OF_CREDIT_UTILIZED_AMOUNT","FQ1 2017","FQ1 2017","Currency=USD","Period=FQ","BEST_FPERIOD_OVERRIDE=FQ","FILING_STATUS=MR","SCALING_FORMAT=MLN","Sort=A","Dates=H","DateFormat=P","Fill=—","Direction=H","UseDPDF=Y")</f>
        <v>0</v>
      </c>
      <c r="Z26" s="1">
        <f>_xll.BDH("ADBE US Equity","LINE_OF_CREDIT_UTILIZED_AMOUNT","FQ2 2017","FQ2 2017","Currency=USD","Period=FQ","BEST_FPERIOD_OVERRIDE=FQ","FILING_STATUS=MR","SCALING_FORMAT=MLN","Sort=A","Dates=H","DateFormat=P","Fill=—","Direction=H","UseDPDF=Y")</f>
        <v>0</v>
      </c>
      <c r="AA26" s="1">
        <f>_xll.BDH("ADBE US Equity","LINE_OF_CREDIT_UTILIZED_AMOUNT","FQ3 2017","FQ3 2017","Currency=USD","Period=FQ","BEST_FPERIOD_OVERRIDE=FQ","FILING_STATUS=MR","SCALING_FORMAT=MLN","Sort=A","Dates=H","DateFormat=P","Fill=—","Direction=H","UseDPDF=Y")</f>
        <v>0</v>
      </c>
      <c r="AB26" s="1">
        <f>_xll.BDH("ADBE US Equity","LINE_OF_CREDIT_UTILIZED_AMOUNT","FQ4 2017","FQ4 2017","Currency=USD","Period=FQ","BEST_FPERIOD_OVERRIDE=FQ","FILING_STATUS=MR","SCALING_FORMAT=MLN","Sort=A","Dates=H","DateFormat=P","Fill=—","Direction=H","UseDPDF=Y")</f>
        <v>0</v>
      </c>
      <c r="AC26" s="1">
        <f>_xll.BDH("ADBE US Equity","LINE_OF_CREDIT_UTILIZED_AMOUNT","FQ1 2018","FQ1 2018","Currency=USD","Period=FQ","BEST_FPERIOD_OVERRIDE=FQ","FILING_STATUS=MR","SCALING_FORMAT=MLN","Sort=A","Dates=H","DateFormat=P","Fill=—","Direction=H","UseDPDF=Y")</f>
        <v>0</v>
      </c>
      <c r="AD26" s="1">
        <f>_xll.BDH("ADBE US Equity","LINE_OF_CREDIT_UTILIZED_AMOUNT","FQ2 2018","FQ2 2018","Currency=USD","Period=FQ","BEST_FPERIOD_OVERRIDE=FQ","FILING_STATUS=MR","SCALING_FORMAT=MLN","Sort=A","Dates=H","DateFormat=P","Fill=—","Direction=H","UseDPDF=Y")</f>
        <v>0</v>
      </c>
      <c r="AE26" s="1">
        <f>_xll.BDH("ADBE US Equity","LINE_OF_CREDIT_UTILIZED_AMOUNT","FQ3 2018","FQ3 2018","Currency=USD","Period=FQ","BEST_FPERIOD_OVERRIDE=FQ","FILING_STATUS=MR","SCALING_FORMAT=MLN","Sort=A","Dates=H","DateFormat=P","Fill=—","Direction=H","UseDPDF=Y")</f>
        <v>0</v>
      </c>
      <c r="AF26" s="1">
        <f>_xll.BDH("ADBE US Equity","LINE_OF_CREDIT_UTILIZED_AMOUNT","FQ4 2018","FQ4 2018","Currency=USD","Period=FQ","BEST_FPERIOD_OVERRIDE=FQ","FILING_STATUS=MR","SCALING_FORMAT=MLN","Sort=A","Dates=H","DateFormat=P","Fill=—","Direction=H","UseDPDF=Y")</f>
        <v>0</v>
      </c>
      <c r="AG26" s="1">
        <f>_xll.BDH("ADBE US Equity","LINE_OF_CREDIT_UTILIZED_AMOUNT","FQ1 2019","FQ1 2019","Currency=USD","Period=FQ","BEST_FPERIOD_OVERRIDE=FQ","FILING_STATUS=MR","SCALING_FORMAT=MLN","Sort=A","Dates=H","DateFormat=P","Fill=—","Direction=H","UseDPDF=Y")</f>
        <v>0</v>
      </c>
      <c r="AH26" s="1">
        <f>_xll.BDH("ADBE US Equity","LINE_OF_CREDIT_UTILIZED_AMOUNT","FQ2 2019","FQ2 2019","Currency=USD","Period=FQ","BEST_FPERIOD_OVERRIDE=FQ","FILING_STATUS=MR","SCALING_FORMAT=MLN","Sort=A","Dates=H","DateFormat=P","Fill=—","Direction=H","UseDPDF=Y")</f>
        <v>0</v>
      </c>
      <c r="AI26" s="1">
        <f>_xll.BDH("ADBE US Equity","LINE_OF_CREDIT_UTILIZED_AMOUNT","FQ3 2019","FQ3 2019","Currency=USD","Period=FQ","BEST_FPERIOD_OVERRIDE=FQ","FILING_STATUS=MR","SCALING_FORMAT=MLN","Sort=A","Dates=H","DateFormat=P","Fill=—","Direction=H","UseDPDF=Y")</f>
        <v>0</v>
      </c>
      <c r="AJ26" s="1">
        <f>_xll.BDH("ADBE US Equity","LINE_OF_CREDIT_UTILIZED_AMOUNT","FQ4 2019","FQ4 2019","Currency=USD","Period=FQ","BEST_FPERIOD_OVERRIDE=FQ","FILING_STATUS=MR","SCALING_FORMAT=MLN","Sort=A","Dates=H","DateFormat=P","Fill=—","Direction=H","UseDPDF=Y")</f>
        <v>0</v>
      </c>
      <c r="AK26" s="1">
        <f>_xll.BDH("ADBE US Equity","LINE_OF_CREDIT_UTILIZED_AMOUNT","FQ1 2020","FQ1 2020","Currency=USD","Period=FQ","BEST_FPERIOD_OVERRIDE=FQ","FILING_STATUS=MR","SCALING_FORMAT=MLN","Sort=A","Dates=H","DateFormat=P","Fill=—","Direction=H","UseDPDF=Y")</f>
        <v>0</v>
      </c>
      <c r="AL26" s="1">
        <f>_xll.BDH("ADBE US Equity","LINE_OF_CREDIT_UTILIZED_AMOUNT","FQ2 2020","FQ2 2020","Currency=USD","Period=FQ","BEST_FPERIOD_OVERRIDE=FQ","FILING_STATUS=MR","SCALING_FORMAT=MLN","Sort=A","Dates=H","DateFormat=P","Fill=—","Direction=H","UseDPDF=Y")</f>
        <v>0</v>
      </c>
      <c r="AM26" s="1">
        <f>_xll.BDH("ADBE US Equity","LINE_OF_CREDIT_UTILIZED_AMOUNT","FQ3 2020","FQ3 2020","Currency=USD","Period=FQ","BEST_FPERIOD_OVERRIDE=FQ","FILING_STATUS=MR","SCALING_FORMAT=MLN","Sort=A","Dates=H","DateFormat=P","Fill=—","Direction=H","UseDPDF=Y")</f>
        <v>0</v>
      </c>
      <c r="AN26" s="1">
        <f>_xll.BDH("ADBE US Equity","LINE_OF_CREDIT_UTILIZED_AMOUNT","FQ4 2020","FQ4 2020","Currency=USD","Period=FQ","BEST_FPERIOD_OVERRIDE=FQ","FILING_STATUS=MR","SCALING_FORMAT=MLN","Sort=A","Dates=H","DateFormat=P","Fill=—","Direction=H","UseDPDF=Y")</f>
        <v>0</v>
      </c>
      <c r="AO26" s="1">
        <f>_xll.BDH("ADBE US Equity","LINE_OF_CREDIT_UTILIZED_AMOUNT","FQ1 2021","FQ1 2021","Currency=USD","Period=FQ","BEST_FPERIOD_OVERRIDE=FQ","FILING_STATUS=MR","SCALING_FORMAT=MLN","Sort=A","Dates=H","DateFormat=P","Fill=—","Direction=H","UseDPDF=Y")</f>
        <v>0</v>
      </c>
      <c r="AP26" s="1">
        <f>_xll.BDH("ADBE US Equity","LINE_OF_CREDIT_UTILIZED_AMOUNT","FQ2 2021","FQ2 2021","Currency=USD","Period=FQ","BEST_FPERIOD_OVERRIDE=FQ","FILING_STATUS=MR","SCALING_FORMAT=MLN","Sort=A","Dates=H","DateFormat=P","Fill=—","Direction=H","UseDPDF=Y")</f>
        <v>0</v>
      </c>
    </row>
    <row r="27" spans="1:42" x14ac:dyDescent="0.25">
      <c r="A27" s="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15" t="s">
        <v>125</v>
      </c>
      <c r="B28" s="15"/>
      <c r="C28" s="15" t="s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Profitability (2)</vt:lpstr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2021-07-07T12:43:08Z</dcterms:modified>
</cp:coreProperties>
</file>