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 activeTab="3"/>
  </bookViews>
  <sheets>
    <sheet name="Profitability" sheetId="2" r:id="rId1"/>
    <sheet name="Profitability (2)" sheetId="3" r:id="rId2"/>
    <sheet name="Liquidity" sheetId="4" r:id="rId3"/>
    <sheet name="Liquidity (2)" sheetId="5" r:id="rId4"/>
  </sheets>
  <calcPr calcId="162913"/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F6" i="4"/>
  <c r="AF20" i="4"/>
  <c r="D25" i="4"/>
  <c r="F21" i="4"/>
  <c r="AO26" i="4"/>
  <c r="AH21" i="4"/>
  <c r="L20" i="2"/>
  <c r="H23" i="2"/>
  <c r="AC16" i="2"/>
  <c r="S8" i="2"/>
  <c r="AD9" i="2"/>
  <c r="AD24" i="2"/>
  <c r="AE8" i="2"/>
  <c r="AM8" i="2"/>
  <c r="T7" i="2"/>
  <c r="C24" i="2"/>
  <c r="AG19" i="2"/>
  <c r="R15" i="2"/>
  <c r="AP25" i="2"/>
  <c r="T9" i="4"/>
  <c r="Q7" i="4"/>
  <c r="M12" i="4"/>
  <c r="AL8" i="4"/>
  <c r="V9" i="4"/>
  <c r="V13" i="4"/>
  <c r="R14" i="4"/>
  <c r="F18" i="4"/>
  <c r="AP18" i="4"/>
  <c r="W6" i="4"/>
  <c r="S7" i="4"/>
  <c r="AA8" i="4"/>
  <c r="W9" i="4"/>
  <c r="S10" i="4"/>
  <c r="O12" i="4"/>
  <c r="K13" i="4"/>
  <c r="AE14" i="4"/>
  <c r="O16" i="4"/>
  <c r="W17" i="4"/>
  <c r="AE18" i="4"/>
  <c r="C20" i="4"/>
  <c r="K21" i="4"/>
  <c r="G22" i="4"/>
  <c r="AE22" i="4"/>
  <c r="AA24" i="4"/>
  <c r="K25" i="4"/>
  <c r="G26" i="4"/>
  <c r="P7" i="4"/>
  <c r="X13" i="4"/>
  <c r="L17" i="4"/>
  <c r="X17" i="4"/>
  <c r="P20" i="4"/>
  <c r="AB20" i="4"/>
  <c r="H22" i="4"/>
  <c r="D24" i="4"/>
  <c r="AN24" i="4"/>
  <c r="AJ25" i="4"/>
  <c r="AF26" i="4"/>
  <c r="U7" i="4"/>
  <c r="E8" i="4"/>
  <c r="M9" i="4"/>
  <c r="Y9" i="4"/>
  <c r="I10" i="4"/>
  <c r="AG10" i="4"/>
  <c r="AG14" i="4"/>
  <c r="E16" i="4"/>
  <c r="AC16" i="4"/>
  <c r="M17" i="4"/>
  <c r="AK17" i="4"/>
  <c r="U18" i="4"/>
  <c r="AG18" i="4"/>
  <c r="AC20" i="4"/>
  <c r="AO20" i="4"/>
  <c r="Y21" i="4"/>
  <c r="I22" i="4"/>
  <c r="AG22" i="4"/>
  <c r="Q24" i="4"/>
  <c r="AO24" i="4"/>
  <c r="M25" i="4"/>
  <c r="AK25" i="4"/>
  <c r="I26" i="4"/>
  <c r="AG26" i="4"/>
  <c r="AD12" i="4"/>
  <c r="F16" i="4"/>
  <c r="N17" i="4"/>
  <c r="AL17" i="4"/>
  <c r="V18" i="4"/>
  <c r="AH18" i="4"/>
  <c r="AP20" i="4"/>
  <c r="Z21" i="4"/>
  <c r="L7" i="4"/>
  <c r="J14" i="4"/>
  <c r="C9" i="4"/>
  <c r="AM9" i="4"/>
  <c r="C13" i="4"/>
  <c r="AM13" i="4"/>
  <c r="AI14" i="4"/>
  <c r="W18" i="4"/>
  <c r="G20" i="4"/>
  <c r="C21" i="4"/>
  <c r="K22" i="4"/>
  <c r="AI22" i="4"/>
  <c r="G24" i="4"/>
  <c r="C25" i="4"/>
  <c r="O25" i="4"/>
  <c r="AA25" i="4"/>
  <c r="W26" i="4"/>
  <c r="AI26" i="4"/>
  <c r="H10" i="4"/>
  <c r="L13" i="4"/>
  <c r="AB16" i="4"/>
  <c r="AL9" i="4"/>
  <c r="AH14" i="4"/>
  <c r="AA6" i="4"/>
  <c r="AA9" i="4"/>
  <c r="W10" i="4"/>
  <c r="O17" i="4"/>
  <c r="K18" i="4"/>
  <c r="D6" i="4"/>
  <c r="AB6" i="4"/>
  <c r="H8" i="4"/>
  <c r="T8" i="4"/>
  <c r="P9" i="4"/>
  <c r="L10" i="4"/>
  <c r="H12" i="4"/>
  <c r="D13" i="4"/>
  <c r="AB13" i="4"/>
  <c r="X14" i="4"/>
  <c r="T16" i="4"/>
  <c r="D17" i="4"/>
  <c r="L18" i="4"/>
  <c r="H20" i="4"/>
  <c r="D21" i="4"/>
  <c r="L22" i="4"/>
  <c r="T24" i="4"/>
  <c r="P25" i="4"/>
  <c r="H6" i="4"/>
  <c r="D12" i="4"/>
  <c r="AL6" i="4"/>
  <c r="C6" i="4"/>
  <c r="S8" i="4"/>
  <c r="AA13" i="4"/>
  <c r="W14" i="4"/>
  <c r="E6" i="4"/>
  <c r="Q6" i="4"/>
  <c r="Y7" i="4"/>
  <c r="AG8" i="4"/>
  <c r="AC9" i="4"/>
  <c r="I12" i="4"/>
  <c r="AG12" i="4"/>
  <c r="M14" i="4"/>
  <c r="Y14" i="4"/>
  <c r="AC17" i="4"/>
  <c r="AO17" i="4"/>
  <c r="E21" i="4"/>
  <c r="Q21" i="4"/>
  <c r="AG24" i="4"/>
  <c r="Q25" i="4"/>
  <c r="P12" i="4"/>
  <c r="H14" i="4"/>
  <c r="AP9" i="4"/>
  <c r="J12" i="4"/>
  <c r="AP17" i="4"/>
  <c r="R17" i="4"/>
  <c r="J20" i="4"/>
  <c r="Z22" i="4"/>
  <c r="AH24" i="4"/>
  <c r="Z26" i="4"/>
  <c r="AJ9" i="4"/>
  <c r="AB10" i="4"/>
  <c r="D22" i="4"/>
  <c r="AD9" i="4"/>
  <c r="AL10" i="4"/>
  <c r="N14" i="4"/>
  <c r="AL14" i="4"/>
  <c r="V20" i="4"/>
  <c r="AE6" i="4"/>
  <c r="AM7" i="4"/>
  <c r="W8" i="4"/>
  <c r="C10" i="4"/>
  <c r="K12" i="4"/>
  <c r="O14" i="4"/>
  <c r="AA14" i="4"/>
  <c r="S17" i="4"/>
  <c r="C18" i="4"/>
  <c r="AE21" i="4"/>
  <c r="S21" i="4"/>
  <c r="G6" i="4"/>
  <c r="I6" i="4"/>
  <c r="J6" i="4"/>
  <c r="K6" i="4"/>
  <c r="L6" i="4"/>
  <c r="M6" i="4"/>
  <c r="N6" i="4"/>
  <c r="O6" i="4"/>
  <c r="P6" i="4"/>
  <c r="R6" i="4"/>
  <c r="S6" i="4"/>
  <c r="T6" i="4"/>
  <c r="U6" i="4"/>
  <c r="V6" i="4"/>
  <c r="X6" i="4"/>
  <c r="Y6" i="4"/>
  <c r="Z6" i="4"/>
  <c r="AC6" i="4"/>
  <c r="AD6" i="4"/>
  <c r="AF6" i="4"/>
  <c r="AG6" i="4"/>
  <c r="AH6" i="4"/>
  <c r="AI6" i="4"/>
  <c r="AJ6" i="4"/>
  <c r="AK6" i="4"/>
  <c r="AM6" i="4"/>
  <c r="AN6" i="4"/>
  <c r="AO6" i="4"/>
  <c r="AP6" i="4"/>
  <c r="C7" i="4"/>
  <c r="D7" i="4"/>
  <c r="E7" i="4"/>
  <c r="F7" i="4"/>
  <c r="G7" i="4"/>
  <c r="H7" i="4"/>
  <c r="I7" i="4"/>
  <c r="J7" i="4"/>
  <c r="K7" i="4"/>
  <c r="M7" i="4"/>
  <c r="N7" i="4"/>
  <c r="O7" i="4"/>
  <c r="R7" i="4"/>
  <c r="T7" i="4"/>
  <c r="V7" i="4"/>
  <c r="W7" i="4"/>
  <c r="X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N7" i="4"/>
  <c r="AO7" i="4"/>
  <c r="AP7" i="4"/>
  <c r="C8" i="4"/>
  <c r="D8" i="4"/>
  <c r="F8" i="4"/>
  <c r="G8" i="4"/>
  <c r="I8" i="4"/>
  <c r="J8" i="4"/>
  <c r="K8" i="4"/>
  <c r="L8" i="4"/>
  <c r="M8" i="4"/>
  <c r="N8" i="4"/>
  <c r="O8" i="4"/>
  <c r="P8" i="4"/>
  <c r="Q8" i="4"/>
  <c r="R8" i="4"/>
  <c r="U8" i="4"/>
  <c r="V8" i="4"/>
  <c r="X8" i="4"/>
  <c r="Y8" i="4"/>
  <c r="Z8" i="4"/>
  <c r="AB8" i="4"/>
  <c r="AC8" i="4"/>
  <c r="AD8" i="4"/>
  <c r="AE8" i="4"/>
  <c r="AF8" i="4"/>
  <c r="AH8" i="4"/>
  <c r="AI8" i="4"/>
  <c r="AJ8" i="4"/>
  <c r="AK8" i="4"/>
  <c r="AM8" i="4"/>
  <c r="AN8" i="4"/>
  <c r="AO8" i="4"/>
  <c r="AP8" i="4"/>
  <c r="D9" i="4"/>
  <c r="E9" i="4"/>
  <c r="F9" i="4"/>
  <c r="G9" i="4"/>
  <c r="H9" i="4"/>
  <c r="I9" i="4"/>
  <c r="J9" i="4"/>
  <c r="K9" i="4"/>
  <c r="L9" i="4"/>
  <c r="N9" i="4"/>
  <c r="O9" i="4"/>
  <c r="Q9" i="4"/>
  <c r="R9" i="4"/>
  <c r="S9" i="4"/>
  <c r="U9" i="4"/>
  <c r="X9" i="4"/>
  <c r="Z9" i="4"/>
  <c r="AB9" i="4"/>
  <c r="AE9" i="4"/>
  <c r="AF9" i="4"/>
  <c r="AG9" i="4"/>
  <c r="AH9" i="4"/>
  <c r="AI9" i="4"/>
  <c r="AK9" i="4"/>
  <c r="AN9" i="4"/>
  <c r="AO9" i="4"/>
  <c r="D10" i="4"/>
  <c r="E10" i="4"/>
  <c r="F10" i="4"/>
  <c r="G10" i="4"/>
  <c r="J10" i="4"/>
  <c r="K10" i="4"/>
  <c r="M10" i="4"/>
  <c r="N10" i="4"/>
  <c r="O10" i="4"/>
  <c r="P10" i="4"/>
  <c r="Q10" i="4"/>
  <c r="R10" i="4"/>
  <c r="T10" i="4"/>
  <c r="U10" i="4"/>
  <c r="V10" i="4"/>
  <c r="X10" i="4"/>
  <c r="Y10" i="4"/>
  <c r="Z10" i="4"/>
  <c r="AA10" i="4"/>
  <c r="AC10" i="4"/>
  <c r="AD10" i="4"/>
  <c r="AE10" i="4"/>
  <c r="AF10" i="4"/>
  <c r="AH10" i="4"/>
  <c r="AI10" i="4"/>
  <c r="AJ10" i="4"/>
  <c r="AK10" i="4"/>
  <c r="AM10" i="4"/>
  <c r="AN10" i="4"/>
  <c r="AO10" i="4"/>
  <c r="AP10" i="4"/>
  <c r="C12" i="4"/>
  <c r="E12" i="4"/>
  <c r="F12" i="4"/>
  <c r="G12" i="4"/>
  <c r="L12" i="4"/>
  <c r="N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E12" i="4"/>
  <c r="AF12" i="4"/>
  <c r="AH12" i="4"/>
  <c r="AI12" i="4"/>
  <c r="AJ12" i="4"/>
  <c r="AK12" i="4"/>
  <c r="AL12" i="4"/>
  <c r="AM12" i="4"/>
  <c r="AN12" i="4"/>
  <c r="AO12" i="4"/>
  <c r="AP12" i="4"/>
  <c r="E13" i="4"/>
  <c r="F13" i="4"/>
  <c r="G13" i="4"/>
  <c r="H13" i="4"/>
  <c r="I13" i="4"/>
  <c r="J13" i="4"/>
  <c r="M13" i="4"/>
  <c r="N13" i="4"/>
  <c r="O13" i="4"/>
  <c r="P13" i="4"/>
  <c r="Q13" i="4"/>
  <c r="R13" i="4"/>
  <c r="S13" i="4"/>
  <c r="T13" i="4"/>
  <c r="U13" i="4"/>
  <c r="W13" i="4"/>
  <c r="Y13" i="4"/>
  <c r="Z13" i="4"/>
  <c r="AC13" i="4"/>
  <c r="AD13" i="4"/>
  <c r="AE13" i="4"/>
  <c r="AF13" i="4"/>
  <c r="AG13" i="4"/>
  <c r="AH13" i="4"/>
  <c r="AI13" i="4"/>
  <c r="AJ13" i="4"/>
  <c r="AK13" i="4"/>
  <c r="AL13" i="4"/>
  <c r="AN13" i="4"/>
  <c r="AO13" i="4"/>
  <c r="AP13" i="4"/>
  <c r="C14" i="4"/>
  <c r="D14" i="4"/>
  <c r="E14" i="4"/>
  <c r="F14" i="4"/>
  <c r="G14" i="4"/>
  <c r="I14" i="4"/>
  <c r="K14" i="4"/>
  <c r="L14" i="4"/>
  <c r="P14" i="4"/>
  <c r="Q14" i="4"/>
  <c r="S14" i="4"/>
  <c r="T14" i="4"/>
  <c r="U14" i="4"/>
  <c r="V14" i="4"/>
  <c r="Z14" i="4"/>
  <c r="AB14" i="4"/>
  <c r="AC14" i="4"/>
  <c r="AD14" i="4"/>
  <c r="AF14" i="4"/>
  <c r="AJ14" i="4"/>
  <c r="AK14" i="4"/>
  <c r="AM14" i="4"/>
  <c r="AN14" i="4"/>
  <c r="AO14" i="4"/>
  <c r="AP14" i="4"/>
  <c r="C16" i="4"/>
  <c r="D16" i="4"/>
  <c r="G16" i="4"/>
  <c r="H16" i="4"/>
  <c r="I16" i="4"/>
  <c r="J16" i="4"/>
  <c r="K16" i="4"/>
  <c r="L16" i="4"/>
  <c r="M16" i="4"/>
  <c r="N16" i="4"/>
  <c r="P16" i="4"/>
  <c r="Q16" i="4"/>
  <c r="R16" i="4"/>
  <c r="S16" i="4"/>
  <c r="U16" i="4"/>
  <c r="V16" i="4"/>
  <c r="W16" i="4"/>
  <c r="X16" i="4"/>
  <c r="Y16" i="4"/>
  <c r="Z16" i="4"/>
  <c r="AA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E17" i="4"/>
  <c r="F17" i="4"/>
  <c r="G17" i="4"/>
  <c r="H17" i="4"/>
  <c r="I17" i="4"/>
  <c r="J17" i="4"/>
  <c r="K17" i="4"/>
  <c r="P17" i="4"/>
  <c r="Q17" i="4"/>
  <c r="T17" i="4"/>
  <c r="U17" i="4"/>
  <c r="V17" i="4"/>
  <c r="Y17" i="4"/>
  <c r="Z17" i="4"/>
  <c r="AA17" i="4"/>
  <c r="AB17" i="4"/>
  <c r="AD17" i="4"/>
  <c r="AE17" i="4"/>
  <c r="AF17" i="4"/>
  <c r="AG17" i="4"/>
  <c r="AH17" i="4"/>
  <c r="AI17" i="4"/>
  <c r="AJ17" i="4"/>
  <c r="AM17" i="4"/>
  <c r="AN17" i="4"/>
  <c r="D18" i="4"/>
  <c r="E18" i="4"/>
  <c r="G18" i="4"/>
  <c r="H18" i="4"/>
  <c r="I18" i="4"/>
  <c r="J18" i="4"/>
  <c r="M18" i="4"/>
  <c r="N18" i="4"/>
  <c r="O18" i="4"/>
  <c r="P18" i="4"/>
  <c r="Q18" i="4"/>
  <c r="R18" i="4"/>
  <c r="S18" i="4"/>
  <c r="T18" i="4"/>
  <c r="X18" i="4"/>
  <c r="Y18" i="4"/>
  <c r="Z18" i="4"/>
  <c r="AA18" i="4"/>
  <c r="AB18" i="4"/>
  <c r="AC18" i="4"/>
  <c r="AD18" i="4"/>
  <c r="AF18" i="4"/>
  <c r="AI18" i="4"/>
  <c r="AJ18" i="4"/>
  <c r="AK18" i="4"/>
  <c r="AL18" i="4"/>
  <c r="AM18" i="4"/>
  <c r="AN18" i="4"/>
  <c r="AO18" i="4"/>
  <c r="D20" i="4"/>
  <c r="E20" i="4"/>
  <c r="F20" i="4"/>
  <c r="I20" i="4"/>
  <c r="K20" i="4"/>
  <c r="L20" i="4"/>
  <c r="M20" i="4"/>
  <c r="N20" i="4"/>
  <c r="O20" i="4"/>
  <c r="Q20" i="4"/>
  <c r="R20" i="4"/>
  <c r="S20" i="4"/>
  <c r="T20" i="4"/>
  <c r="U20" i="4"/>
  <c r="W20" i="4"/>
  <c r="X20" i="4"/>
  <c r="Y20" i="4"/>
  <c r="Z20" i="4"/>
  <c r="AA20" i="4"/>
  <c r="AD20" i="4"/>
  <c r="AE20" i="4"/>
  <c r="AG20" i="4"/>
  <c r="AH20" i="4"/>
  <c r="AI20" i="4"/>
  <c r="AJ20" i="4"/>
  <c r="AK20" i="4"/>
  <c r="AL20" i="4"/>
  <c r="AM20" i="4"/>
  <c r="AN20" i="4"/>
  <c r="G21" i="4"/>
  <c r="H21" i="4"/>
  <c r="I21" i="4"/>
  <c r="J21" i="4"/>
  <c r="L21" i="4"/>
  <c r="M21" i="4"/>
  <c r="N21" i="4"/>
  <c r="O21" i="4"/>
  <c r="P21" i="4"/>
  <c r="R21" i="4"/>
  <c r="T21" i="4"/>
  <c r="U21" i="4"/>
  <c r="V21" i="4"/>
  <c r="W21" i="4"/>
  <c r="X21" i="4"/>
  <c r="AA21" i="4"/>
  <c r="AB21" i="4"/>
  <c r="AC21" i="4"/>
  <c r="AD21" i="4"/>
  <c r="AF21" i="4"/>
  <c r="AG21" i="4"/>
  <c r="AI21" i="4"/>
  <c r="AJ21" i="4"/>
  <c r="AK21" i="4"/>
  <c r="AL21" i="4"/>
  <c r="AM21" i="4"/>
  <c r="AN21" i="4"/>
  <c r="AO21" i="4"/>
  <c r="AP21" i="4"/>
  <c r="C22" i="4"/>
  <c r="E22" i="4"/>
  <c r="F22" i="4"/>
  <c r="J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AA22" i="4"/>
  <c r="AB22" i="4"/>
  <c r="AC22" i="4"/>
  <c r="AD22" i="4"/>
  <c r="AF22" i="4"/>
  <c r="AH22" i="4"/>
  <c r="AJ22" i="4"/>
  <c r="AK22" i="4"/>
  <c r="AL22" i="4"/>
  <c r="AM22" i="4"/>
  <c r="AN22" i="4"/>
  <c r="AO22" i="4"/>
  <c r="AP22" i="4"/>
  <c r="C24" i="4"/>
  <c r="E24" i="4"/>
  <c r="F24" i="4"/>
  <c r="H24" i="4"/>
  <c r="I24" i="4"/>
  <c r="J24" i="4"/>
  <c r="K24" i="4"/>
  <c r="L24" i="4"/>
  <c r="M24" i="4"/>
  <c r="N24" i="4"/>
  <c r="O24" i="4"/>
  <c r="P24" i="4"/>
  <c r="R24" i="4"/>
  <c r="S24" i="4"/>
  <c r="U24" i="4"/>
  <c r="V24" i="4"/>
  <c r="W24" i="4"/>
  <c r="X24" i="4"/>
  <c r="Y24" i="4"/>
  <c r="Z24" i="4"/>
  <c r="AB24" i="4"/>
  <c r="AC24" i="4"/>
  <c r="AD24" i="4"/>
  <c r="AE24" i="4"/>
  <c r="AF24" i="4"/>
  <c r="AI24" i="4"/>
  <c r="AJ24" i="4"/>
  <c r="AK24" i="4"/>
  <c r="AL24" i="4"/>
  <c r="AM24" i="4"/>
  <c r="AP24" i="4"/>
  <c r="E25" i="4"/>
  <c r="F25" i="4"/>
  <c r="G25" i="4"/>
  <c r="H25" i="4"/>
  <c r="I25" i="4"/>
  <c r="J25" i="4"/>
  <c r="L25" i="4"/>
  <c r="N25" i="4"/>
  <c r="R25" i="4"/>
  <c r="S25" i="4"/>
  <c r="T25" i="4"/>
  <c r="U25" i="4"/>
  <c r="V25" i="4"/>
  <c r="W25" i="4"/>
  <c r="X25" i="4"/>
  <c r="Y25" i="4"/>
  <c r="Z25" i="4"/>
  <c r="AB25" i="4"/>
  <c r="AC25" i="4"/>
  <c r="AD25" i="4"/>
  <c r="AE25" i="4"/>
  <c r="AF25" i="4"/>
  <c r="AG25" i="4"/>
  <c r="AH25" i="4"/>
  <c r="AI25" i="4"/>
  <c r="AL25" i="4"/>
  <c r="AM25" i="4"/>
  <c r="AN25" i="4"/>
  <c r="AO25" i="4"/>
  <c r="AP25" i="4"/>
  <c r="C26" i="4"/>
  <c r="D26" i="4"/>
  <c r="E26" i="4"/>
  <c r="F26" i="4"/>
  <c r="H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X26" i="4"/>
  <c r="Y26" i="4"/>
  <c r="AA26" i="4"/>
  <c r="AB26" i="4"/>
  <c r="AC26" i="4"/>
  <c r="AD26" i="4"/>
  <c r="AE26" i="4"/>
  <c r="AH26" i="4"/>
  <c r="AJ26" i="4"/>
  <c r="AK26" i="4"/>
  <c r="AL26" i="4"/>
  <c r="AM26" i="4"/>
  <c r="AN26" i="4"/>
  <c r="AP26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C9" i="2"/>
  <c r="C15" i="2"/>
  <c r="AI16" i="2"/>
  <c r="AA18" i="2"/>
  <c r="O18" i="2"/>
  <c r="K19" i="2"/>
  <c r="AM18" i="2"/>
  <c r="W19" i="2"/>
  <c r="AI19" i="2"/>
  <c r="S20" i="2"/>
  <c r="G20" i="2"/>
  <c r="O23" i="2"/>
  <c r="AE20" i="2"/>
  <c r="C23" i="2"/>
  <c r="AA23" i="2"/>
  <c r="K24" i="2"/>
  <c r="W24" i="2"/>
  <c r="AM23" i="2"/>
  <c r="AI24" i="2"/>
  <c r="G25" i="2"/>
  <c r="S25" i="2"/>
  <c r="AE25" i="2"/>
  <c r="S17" i="2"/>
  <c r="K7" i="2"/>
  <c r="AF8" i="2"/>
  <c r="K12" i="2"/>
  <c r="T13" i="2"/>
  <c r="H17" i="2"/>
  <c r="H25" i="2"/>
  <c r="H20" i="2"/>
  <c r="I8" i="2"/>
  <c r="M12" i="2"/>
  <c r="E15" i="2"/>
  <c r="Q23" i="2"/>
  <c r="AO18" i="2"/>
  <c r="AL7" i="2"/>
  <c r="AK16" i="2"/>
  <c r="J13" i="2"/>
  <c r="AL16" i="2"/>
  <c r="AP18" i="2"/>
  <c r="AH17" i="2"/>
  <c r="R23" i="2"/>
  <c r="F23" i="2"/>
  <c r="AH20" i="2"/>
  <c r="AP23" i="2"/>
  <c r="AD23" i="2"/>
  <c r="N24" i="2"/>
  <c r="AL24" i="2"/>
  <c r="Z24" i="2"/>
  <c r="V25" i="2"/>
  <c r="AM9" i="2"/>
  <c r="J25" i="2"/>
  <c r="AH25" i="2"/>
  <c r="G17" i="2"/>
  <c r="H13" i="2"/>
  <c r="AJ16" i="2"/>
  <c r="T8" i="2"/>
  <c r="AJ19" i="2"/>
  <c r="U8" i="2"/>
  <c r="X24" i="2"/>
  <c r="AK12" i="2"/>
  <c r="I20" i="2"/>
  <c r="I25" i="2"/>
  <c r="Y16" i="2"/>
  <c r="Z16" i="2"/>
  <c r="R9" i="2"/>
  <c r="AL19" i="2"/>
  <c r="C12" i="2"/>
  <c r="AE15" i="2"/>
  <c r="S18" i="2"/>
  <c r="W20" i="2"/>
  <c r="G23" i="2"/>
  <c r="AM24" i="2"/>
  <c r="W12" i="2"/>
  <c r="AI25" i="2"/>
  <c r="AI7" i="2"/>
  <c r="AA15" i="2"/>
  <c r="L7" i="2"/>
  <c r="AB9" i="2"/>
  <c r="D15" i="2"/>
  <c r="T20" i="2"/>
  <c r="D23" i="2"/>
  <c r="AF17" i="2"/>
  <c r="AC9" i="2"/>
  <c r="T25" i="2"/>
  <c r="AC15" i="2"/>
  <c r="E18" i="2"/>
  <c r="M24" i="2"/>
  <c r="U20" i="2"/>
  <c r="V8" i="2"/>
  <c r="AD18" i="2"/>
  <c r="AL12" i="2"/>
  <c r="O7" i="2"/>
  <c r="O12" i="2"/>
  <c r="N16" i="2"/>
  <c r="S15" i="2"/>
  <c r="K20" i="2"/>
  <c r="O24" i="2"/>
  <c r="AI17" i="2"/>
  <c r="AN7" i="2"/>
  <c r="X8" i="2"/>
  <c r="AJ8" i="2"/>
  <c r="H9" i="2"/>
  <c r="AF9" i="2"/>
  <c r="T9" i="2"/>
  <c r="D12" i="2"/>
  <c r="AB12" i="2"/>
  <c r="P12" i="2"/>
  <c r="L13" i="2"/>
  <c r="AN12" i="2"/>
  <c r="X13" i="2"/>
  <c r="H15" i="2"/>
  <c r="AJ13" i="2"/>
  <c r="T15" i="2"/>
  <c r="AF15" i="2"/>
  <c r="P16" i="2"/>
  <c r="D16" i="2"/>
  <c r="AB16" i="2"/>
  <c r="L17" i="2"/>
  <c r="AN16" i="2"/>
  <c r="X17" i="2"/>
  <c r="T18" i="2"/>
  <c r="AJ17" i="2"/>
  <c r="H18" i="2"/>
  <c r="AF18" i="2"/>
  <c r="D19" i="2"/>
  <c r="AN19" i="2"/>
  <c r="AB19" i="2"/>
  <c r="P19" i="2"/>
  <c r="X20" i="2"/>
  <c r="AJ20" i="2"/>
  <c r="AF23" i="2"/>
  <c r="T23" i="2"/>
  <c r="P24" i="2"/>
  <c r="D24" i="2"/>
  <c r="AN24" i="2"/>
  <c r="AB24" i="2"/>
  <c r="X25" i="2"/>
  <c r="L25" i="2"/>
  <c r="AJ25" i="2"/>
  <c r="G13" i="2"/>
  <c r="W7" i="2"/>
  <c r="C18" i="2"/>
  <c r="AF13" i="2"/>
  <c r="AO19" i="2"/>
  <c r="X19" i="2"/>
  <c r="P9" i="2"/>
  <c r="AF20" i="2"/>
  <c r="T17" i="2"/>
  <c r="AO9" i="2"/>
  <c r="AF25" i="2"/>
  <c r="AO15" i="2"/>
  <c r="Q18" i="2"/>
  <c r="AG25" i="2"/>
  <c r="E23" i="2"/>
  <c r="N12" i="2"/>
  <c r="F15" i="2"/>
  <c r="F18" i="2"/>
  <c r="C7" i="2"/>
  <c r="AA12" i="2"/>
  <c r="C16" i="2"/>
  <c r="W25" i="2"/>
  <c r="AI20" i="2"/>
  <c r="G18" i="2"/>
  <c r="M8" i="2"/>
  <c r="E7" i="2"/>
  <c r="AO23" i="2"/>
  <c r="Q7" i="2"/>
  <c r="AC7" i="2"/>
  <c r="AO7" i="2"/>
  <c r="Y8" i="2"/>
  <c r="I9" i="2"/>
  <c r="E12" i="2"/>
  <c r="AK8" i="2"/>
  <c r="AG9" i="2"/>
  <c r="U9" i="2"/>
  <c r="Q12" i="2"/>
  <c r="AC12" i="2"/>
  <c r="AO12" i="2"/>
  <c r="U15" i="2"/>
  <c r="M13" i="2"/>
  <c r="Y13" i="2"/>
  <c r="I15" i="2"/>
  <c r="AK13" i="2"/>
  <c r="AG15" i="2"/>
  <c r="E16" i="2"/>
  <c r="AO16" i="2"/>
  <c r="Q16" i="2"/>
  <c r="M17" i="2"/>
  <c r="AK17" i="2"/>
  <c r="I18" i="2"/>
  <c r="Y17" i="2"/>
  <c r="AG18" i="2"/>
  <c r="U18" i="2"/>
  <c r="Q19" i="2"/>
  <c r="E19" i="2"/>
  <c r="AC19" i="2"/>
  <c r="Y20" i="2"/>
  <c r="M20" i="2"/>
  <c r="AK20" i="2"/>
  <c r="U23" i="2"/>
  <c r="I23" i="2"/>
  <c r="AG23" i="2"/>
  <c r="E24" i="2"/>
  <c r="Q24" i="2"/>
  <c r="AC24" i="2"/>
  <c r="M25" i="2"/>
  <c r="AO24" i="2"/>
  <c r="Y25" i="2"/>
  <c r="S13" i="2"/>
  <c r="AK25" i="2"/>
  <c r="H8" i="2"/>
  <c r="K16" i="2"/>
  <c r="P18" i="2"/>
  <c r="X12" i="2"/>
  <c r="L16" i="2"/>
  <c r="Y7" i="2"/>
  <c r="Y12" i="2"/>
  <c r="U17" i="2"/>
  <c r="P23" i="2"/>
  <c r="AK19" i="2"/>
  <c r="K9" i="2"/>
  <c r="V13" i="2"/>
  <c r="N7" i="2"/>
  <c r="J17" i="2"/>
  <c r="W8" i="2"/>
  <c r="AM12" i="2"/>
  <c r="AA16" i="2"/>
  <c r="N19" i="2"/>
  <c r="R7" i="2"/>
  <c r="AA19" i="2"/>
  <c r="AE19" i="2"/>
  <c r="F7" i="2"/>
  <c r="K25" i="2"/>
  <c r="AP7" i="2"/>
  <c r="AD7" i="2"/>
  <c r="N8" i="2"/>
  <c r="Z8" i="2"/>
  <c r="AL8" i="2"/>
  <c r="J9" i="2"/>
  <c r="V9" i="2"/>
  <c r="AH9" i="2"/>
  <c r="F12" i="2"/>
  <c r="R12" i="2"/>
  <c r="AP12" i="2"/>
  <c r="AD12" i="2"/>
  <c r="N13" i="2"/>
  <c r="Z13" i="2"/>
  <c r="AL13" i="2"/>
  <c r="AH15" i="2"/>
  <c r="J15" i="2"/>
  <c r="V15" i="2"/>
  <c r="R16" i="2"/>
  <c r="AD16" i="2"/>
  <c r="F16" i="2"/>
  <c r="N17" i="2"/>
  <c r="AP16" i="2"/>
  <c r="AH18" i="2"/>
  <c r="Z17" i="2"/>
  <c r="V18" i="2"/>
  <c r="J18" i="2"/>
  <c r="AL17" i="2"/>
  <c r="R19" i="2"/>
  <c r="F19" i="2"/>
  <c r="AD19" i="2"/>
  <c r="O16" i="2"/>
  <c r="R24" i="2"/>
  <c r="AP19" i="2"/>
  <c r="N20" i="2"/>
  <c r="R18" i="2"/>
  <c r="AL20" i="2"/>
  <c r="V23" i="2"/>
  <c r="Z20" i="2"/>
  <c r="AH23" i="2"/>
  <c r="F24" i="2"/>
  <c r="J23" i="2"/>
  <c r="Z25" i="2"/>
  <c r="AL25" i="2"/>
  <c r="N25" i="2"/>
  <c r="AP24" i="2"/>
  <c r="AE13" i="2"/>
  <c r="AE17" i="2"/>
  <c r="AB15" i="2"/>
  <c r="AN9" i="2"/>
  <c r="L24" i="2"/>
  <c r="AB18" i="2"/>
  <c r="W15" i="2"/>
  <c r="AG8" i="2"/>
  <c r="M16" i="2"/>
  <c r="M19" i="2"/>
  <c r="I13" i="2"/>
  <c r="AC23" i="2"/>
  <c r="S9" i="2"/>
  <c r="AD15" i="2"/>
  <c r="Z12" i="2"/>
  <c r="Z7" i="2"/>
  <c r="AM7" i="2"/>
  <c r="C19" i="2"/>
  <c r="K17" i="2"/>
  <c r="AE7" i="2"/>
  <c r="AI13" i="2"/>
  <c r="AE23" i="2"/>
  <c r="AB7" i="2"/>
  <c r="C8" i="2"/>
  <c r="G7" i="2"/>
  <c r="S7" i="2"/>
  <c r="AA8" i="2"/>
  <c r="O8" i="2"/>
  <c r="W9" i="2"/>
  <c r="AI9" i="2"/>
  <c r="G12" i="2"/>
  <c r="S12" i="2"/>
  <c r="AE12" i="2"/>
  <c r="O13" i="2"/>
  <c r="AA13" i="2"/>
  <c r="AI23" i="2"/>
  <c r="AM13" i="2"/>
  <c r="C13" i="2"/>
  <c r="G16" i="2"/>
  <c r="K15" i="2"/>
  <c r="S16" i="2"/>
  <c r="AI15" i="2"/>
  <c r="AE16" i="2"/>
  <c r="AM17" i="2"/>
  <c r="C17" i="2"/>
  <c r="AA17" i="2"/>
  <c r="O17" i="2"/>
  <c r="K18" i="2"/>
  <c r="W18" i="2"/>
  <c r="G19" i="2"/>
  <c r="AI18" i="2"/>
  <c r="S19" i="2"/>
  <c r="C20" i="2"/>
  <c r="AM25" i="2"/>
  <c r="O20" i="2"/>
  <c r="AA20" i="2"/>
  <c r="AM20" i="2"/>
  <c r="W23" i="2"/>
  <c r="K23" i="2"/>
  <c r="G24" i="2"/>
  <c r="AE24" i="2"/>
  <c r="S24" i="2"/>
  <c r="G8" i="2"/>
  <c r="AI12" i="2"/>
  <c r="O25" i="2"/>
  <c r="C25" i="2"/>
  <c r="AA25" i="2"/>
  <c r="AJ7" i="2"/>
  <c r="L12" i="2"/>
  <c r="W16" i="2"/>
  <c r="AN15" i="2"/>
  <c r="D18" i="2"/>
  <c r="Q9" i="2"/>
  <c r="AN23" i="2"/>
  <c r="M7" i="2"/>
  <c r="AH13" i="2"/>
  <c r="J8" i="2"/>
  <c r="AG13" i="2"/>
  <c r="I17" i="2"/>
  <c r="W13" i="2"/>
  <c r="Y19" i="2"/>
  <c r="AK24" i="2"/>
  <c r="G9" i="2"/>
  <c r="V17" i="2"/>
  <c r="AM19" i="2"/>
  <c r="V20" i="2"/>
  <c r="AP9" i="2"/>
  <c r="W17" i="2"/>
  <c r="L8" i="2"/>
  <c r="AA24" i="2"/>
  <c r="P8" i="2"/>
  <c r="AF7" i="2"/>
  <c r="AB8" i="2"/>
  <c r="H7" i="2"/>
  <c r="AN8" i="2"/>
  <c r="D8" i="2"/>
  <c r="L9" i="2"/>
  <c r="X9" i="2"/>
  <c r="AJ9" i="2"/>
  <c r="T12" i="2"/>
  <c r="H12" i="2"/>
  <c r="AF12" i="2"/>
  <c r="P13" i="2"/>
  <c r="D13" i="2"/>
  <c r="AB13" i="2"/>
  <c r="AN13" i="2"/>
  <c r="P17" i="2"/>
  <c r="L15" i="2"/>
  <c r="H19" i="2"/>
  <c r="AF16" i="2"/>
  <c r="AJ15" i="2"/>
  <c r="T16" i="2"/>
  <c r="H16" i="2"/>
  <c r="X15" i="2"/>
  <c r="D17" i="2"/>
  <c r="AN17" i="2"/>
  <c r="AJ18" i="2"/>
  <c r="AB17" i="2"/>
  <c r="AF19" i="2"/>
  <c r="L18" i="2"/>
  <c r="D20" i="2"/>
  <c r="X18" i="2"/>
  <c r="T19" i="2"/>
  <c r="P20" i="2"/>
  <c r="AB20" i="2"/>
  <c r="AG20" i="2"/>
  <c r="AN20" i="2"/>
  <c r="L23" i="2"/>
  <c r="X23" i="2"/>
  <c r="H24" i="2"/>
  <c r="AJ23" i="2"/>
  <c r="AF24" i="2"/>
  <c r="T24" i="2"/>
  <c r="D25" i="2"/>
  <c r="O15" i="2"/>
  <c r="AN25" i="2"/>
  <c r="AA9" i="2"/>
  <c r="X16" i="2"/>
  <c r="AG17" i="2"/>
  <c r="U13" i="2"/>
  <c r="AB25" i="2"/>
  <c r="X7" i="2"/>
  <c r="P25" i="2"/>
  <c r="AP15" i="2"/>
  <c r="U25" i="2"/>
  <c r="L19" i="2"/>
  <c r="AJ12" i="2"/>
  <c r="AB23" i="2"/>
  <c r="AH8" i="2"/>
  <c r="AK7" i="2"/>
  <c r="K8" i="2"/>
  <c r="Z19" i="2"/>
  <c r="G15" i="2"/>
  <c r="AE9" i="2"/>
  <c r="E8" i="2"/>
  <c r="Y9" i="2"/>
  <c r="AM16" i="2"/>
  <c r="O19" i="2"/>
  <c r="Q8" i="2"/>
  <c r="P7" i="2"/>
  <c r="AK18" i="2"/>
  <c r="AG7" i="2"/>
  <c r="U7" i="2"/>
  <c r="I7" i="2"/>
  <c r="AO8" i="2"/>
  <c r="AK9" i="2"/>
  <c r="U12" i="2"/>
  <c r="AG12" i="2"/>
  <c r="Q13" i="2"/>
  <c r="M9" i="2"/>
  <c r="AO13" i="2"/>
  <c r="I12" i="2"/>
  <c r="M15" i="2"/>
  <c r="E13" i="2"/>
  <c r="AC8" i="2"/>
  <c r="AG16" i="2"/>
  <c r="Y15" i="2"/>
  <c r="AC13" i="2"/>
  <c r="AK15" i="2"/>
  <c r="I16" i="2"/>
  <c r="U16" i="2"/>
  <c r="E17" i="2"/>
  <c r="E20" i="2"/>
  <c r="Q17" i="2"/>
  <c r="AK23" i="2"/>
  <c r="AC17" i="2"/>
  <c r="U19" i="2"/>
  <c r="Q20" i="2"/>
  <c r="I19" i="2"/>
  <c r="Y18" i="2"/>
  <c r="AO20" i="2"/>
  <c r="AG24" i="2"/>
  <c r="U24" i="2"/>
  <c r="E25" i="2"/>
  <c r="AC20" i="2"/>
  <c r="AO17" i="2"/>
  <c r="M18" i="2"/>
  <c r="Y23" i="2"/>
  <c r="I24" i="2"/>
  <c r="P15" i="2"/>
  <c r="AC25" i="2"/>
  <c r="D9" i="2"/>
  <c r="AM15" i="2"/>
  <c r="M23" i="2"/>
  <c r="Q25" i="2"/>
  <c r="AN18" i="2"/>
  <c r="O9" i="2"/>
  <c r="AO25" i="2"/>
  <c r="AJ24" i="2"/>
  <c r="F8" i="2"/>
  <c r="F9" i="2"/>
  <c r="AH7" i="2"/>
  <c r="J12" i="2"/>
  <c r="E9" i="2"/>
  <c r="J20" i="2"/>
  <c r="J7" i="2"/>
  <c r="F13" i="2"/>
  <c r="Z9" i="2"/>
  <c r="K13" i="2"/>
  <c r="Q15" i="2"/>
  <c r="D7" i="2"/>
  <c r="AD8" i="2"/>
  <c r="R13" i="2"/>
  <c r="Y24" i="2"/>
  <c r="AC18" i="2"/>
  <c r="AA7" i="2"/>
  <c r="V12" i="2"/>
  <c r="R8" i="2"/>
  <c r="AE18" i="2"/>
  <c r="AI8" i="2"/>
  <c r="S23" i="2"/>
  <c r="V7" i="2"/>
  <c r="N9" i="2"/>
  <c r="AH12" i="2"/>
  <c r="AL9" i="2"/>
  <c r="AP8" i="2"/>
  <c r="N15" i="2"/>
  <c r="AD17" i="2"/>
  <c r="AP13" i="2"/>
  <c r="AH24" i="2"/>
  <c r="AP17" i="2"/>
  <c r="R20" i="2"/>
  <c r="AH16" i="2"/>
  <c r="N23" i="2"/>
  <c r="J16" i="2"/>
  <c r="AP20" i="2"/>
  <c r="J19" i="2"/>
  <c r="R17" i="2"/>
  <c r="F20" i="2"/>
  <c r="AL15" i="2"/>
  <c r="R25" i="2"/>
  <c r="AD13" i="2"/>
  <c r="AL18" i="2"/>
  <c r="N18" i="2"/>
  <c r="AL23" i="2"/>
  <c r="Z18" i="2"/>
  <c r="V24" i="2"/>
  <c r="AD25" i="2"/>
  <c r="V16" i="2"/>
  <c r="Z23" i="2"/>
  <c r="F17" i="2"/>
  <c r="J24" i="2"/>
  <c r="Z15" i="2"/>
  <c r="AD20" i="2"/>
  <c r="F25" i="2"/>
  <c r="V19" i="2"/>
  <c r="AH19" i="2"/>
</calcChain>
</file>

<file path=xl/sharedStrings.xml><?xml version="1.0" encoding="utf-8"?>
<sst xmlns="http://schemas.openxmlformats.org/spreadsheetml/2006/main" count="474" uniqueCount="194">
  <si>
    <t>Right click to show data transparency (not supported for all values)</t>
  </si>
  <si>
    <t>Autodesk Inc (ADSK US) - Profitability</t>
  </si>
  <si>
    <t>In Millions of USD except Per Share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</si>
  <si>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</si>
  <si>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</si>
  <si>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</si>
  <si>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</si>
  <si>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</si>
  <si>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</si>
  <si>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</si>
  <si>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</si>
  <si>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</si>
  <si>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</si>
  <si>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</si>
  <si>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</si>
  <si>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</si>
  <si>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</si>
  <si>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</si>
  <si>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</si>
  <si>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</si>
  <si>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</si>
  <si>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</si>
  <si>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</si>
  <si>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</si>
  <si>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</si>
  <si>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</si>
  <si>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</si>
  <si>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</si>
  <si>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</si>
  <si>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</si>
  <si>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</si>
  <si>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</si>
  <si>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</si>
  <si>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</si>
  <si>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</si>
  <si>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</si>
  <si>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</si>
  <si>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</si>
  <si>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</si>
  <si>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</si>
  <si>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</si>
  <si>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</si>
  <si>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</si>
  <si>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3 Months Ending</t>
  </si>
  <si>
    <t>07/31/2011</t>
  </si>
  <si>
    <t>10/31/2011</t>
  </si>
  <si>
    <t>01/31/2012</t>
  </si>
  <si>
    <t>04/30/2012</t>
  </si>
  <si>
    <t>07/31/2012</t>
  </si>
  <si>
    <t>10/31/2012</t>
  </si>
  <si>
    <t>01/31/2013</t>
  </si>
  <si>
    <t>04/30/2013</t>
  </si>
  <si>
    <t>07/31/2013</t>
  </si>
  <si>
    <t>10/31/2013</t>
  </si>
  <si>
    <t>01/31/2014</t>
  </si>
  <si>
    <t>04/30/2014</t>
  </si>
  <si>
    <t>07/31/2014</t>
  </si>
  <si>
    <t>10/31/2014</t>
  </si>
  <si>
    <t>01/31/2015</t>
  </si>
  <si>
    <t>04/30/2015</t>
  </si>
  <si>
    <t>07/31/2015</t>
  </si>
  <si>
    <t>10/31/2015</t>
  </si>
  <si>
    <t>01/31/2016</t>
  </si>
  <si>
    <t>04/30/2016</t>
  </si>
  <si>
    <t>07/31/2016</t>
  </si>
  <si>
    <t>10/31/2016</t>
  </si>
  <si>
    <t>01/31/2017</t>
  </si>
  <si>
    <t>04/30/2017</t>
  </si>
  <si>
    <t>07/31/2017</t>
  </si>
  <si>
    <t>10/31/2017</t>
  </si>
  <si>
    <t>01/31/2018</t>
  </si>
  <si>
    <t>04/30/2018</t>
  </si>
  <si>
    <t>07/31/2018</t>
  </si>
  <si>
    <t>10/31/2018</t>
  </si>
  <si>
    <t>01/31/2019</t>
  </si>
  <si>
    <t>04/30/2019</t>
  </si>
  <si>
    <t>07/31/2019</t>
  </si>
  <si>
    <t>10/31/2019</t>
  </si>
  <si>
    <t>01/31/2020</t>
  </si>
  <si>
    <t>04/30/2020</t>
  </si>
  <si>
    <t>07/31/2020</t>
  </si>
  <si>
    <t>10/31/2020</t>
  </si>
  <si>
    <t>01/31/2021</t>
  </si>
  <si>
    <t>04/30/2021</t>
  </si>
  <si>
    <t>Returns</t>
  </si>
  <si>
    <t>Return on Common Equity</t>
  </si>
  <si>
    <t>RETURN_COM_EQY</t>
  </si>
  <si>
    <t>Return on Assets</t>
  </si>
  <si>
    <t>RETURN_ON_ASSET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</si>
  <si>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</si>
  <si>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</si>
  <si>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</si>
  <si>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</si>
  <si>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</si>
  <si>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</si>
  <si>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</si>
  <si>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 xml:space="preserve">    Growth (YoY)</t>
  </si>
  <si>
    <t>—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</si>
  <si>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</si>
  <si>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</si>
  <si>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</si>
  <si>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</si>
  <si>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</si>
  <si>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</si>
  <si>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</si>
  <si>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</si>
  <si>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</si>
  <si>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</si>
  <si>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</si>
  <si>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</si>
  <si>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</si>
  <si>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</si>
  <si>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</si>
  <si>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</si>
  <si>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</si>
  <si>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</si>
  <si>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</si>
  <si>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</si>
  <si>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Period ending</t>
  </si>
  <si>
    <t>CQ1 2022</t>
  </si>
  <si>
    <t>CQ4 2021</t>
  </si>
  <si>
    <t>CQ3 2021</t>
  </si>
  <si>
    <t>CQ2 2021</t>
  </si>
  <si>
    <t>CQ1 2021</t>
  </si>
  <si>
    <t>CQ4 2020</t>
  </si>
  <si>
    <t>CQ3 2020</t>
  </si>
  <si>
    <t>CQ2 2020</t>
  </si>
  <si>
    <t>CQ1 2020</t>
  </si>
  <si>
    <t>CQ4 2019</t>
  </si>
  <si>
    <t>CQ3 2019</t>
  </si>
  <si>
    <t>CQ2 2019</t>
  </si>
  <si>
    <t>CQ1 2019</t>
  </si>
  <si>
    <t>CQ4 2018</t>
  </si>
  <si>
    <t>CQ3 2018</t>
  </si>
  <si>
    <t>CQ2 2018</t>
  </si>
  <si>
    <t>CQ1 2018</t>
  </si>
  <si>
    <t>CQ4 2017</t>
  </si>
  <si>
    <t>CQ3 2017</t>
  </si>
  <si>
    <t>CQ2 2017</t>
  </si>
  <si>
    <t>CQ1 2017</t>
  </si>
  <si>
    <t>CQ4 2016</t>
  </si>
  <si>
    <t>CQ3 2016</t>
  </si>
  <si>
    <t>CQ2 2016</t>
  </si>
  <si>
    <t>CQ1 2016</t>
  </si>
  <si>
    <t>CQ4 2015</t>
  </si>
  <si>
    <t>CQ3 2015</t>
  </si>
  <si>
    <t>CQ2 2015</t>
  </si>
  <si>
    <t>CQ1 2015</t>
  </si>
  <si>
    <t>CQ4 2014</t>
  </si>
  <si>
    <t>CQ3 2014</t>
  </si>
  <si>
    <t>CQ2 2014</t>
  </si>
  <si>
    <t>CQ1 2014</t>
  </si>
  <si>
    <t>CQ4 2013</t>
  </si>
  <si>
    <t>CQ3 2013</t>
  </si>
  <si>
    <t>CQ2 2013</t>
  </si>
  <si>
    <t>CQ1 2013</t>
  </si>
  <si>
    <t>CQ4 2012</t>
  </si>
  <si>
    <t>CQ3 2012</t>
  </si>
  <si>
    <t>CQ2 2012</t>
  </si>
  <si>
    <t>LINE_OF_CREDIT_UTILIZED_AMOUNT</t>
  </si>
  <si>
    <t xml:space="preserve">  Total Credit Lines Drawn</t>
  </si>
  <si>
    <t>BS_TOTAL_AVAIL_LINE_OF_CREDIT</t>
  </si>
  <si>
    <t xml:space="preserve">  Total Available Line Of Credit</t>
  </si>
  <si>
    <t>BS_TOTAL_LINE_OF_CREDIT</t>
  </si>
  <si>
    <t>Total Line of Credit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</si>
  <si>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</si>
  <si>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</si>
  <si>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</si>
  <si>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</si>
  <si>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</si>
  <si>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</si>
  <si>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</si>
  <si>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</si>
  <si>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</si>
  <si>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</si>
  <si>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</si>
  <si>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</si>
  <si>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</si>
  <si>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</si>
  <si>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</si>
  <si>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</si>
  <si>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</si>
  <si>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</si>
  <si>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</si>
  <si>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</si>
  <si>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</si>
  <si>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</si>
  <si>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</si>
  <si>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</si>
  <si>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</si>
  <si>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</si>
  <si>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</si>
  <si>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</si>
  <si>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Autodesk Inc (ADSK US)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</si>
</sst>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5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11" fillId="34" borderId="2">
      <alignment horizontal="right"/>
    </xf>
    <xf numFmtId="171" fontId="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4" fillId="34" borderId="18"/>
    <xf numFmtId="0" fontId="8" fillId="34" borderId="18"/>
    <xf numFmtId="0" fontId="3" fillId="34" borderId="18"/>
  </cellStyleXfs>
  <cellXfs count="24">
    <xf numFmtId="0" fontId="0" fillId="0" borderId="0" xfId="0"/>
    <xf numFmtId="171" fontId="1" fillId="34" borderId="2" xfId="57" applyNumberFormat="1" applyFont="1" applyFill="1" applyBorder="1" applyAlignment="1" applyProtection="1">
      <alignment horizontal="right"/>
    </xf>
    <xf numFmtId="0" fontId="7" fillId="33" borderId="16" xfId="58" applyNumberFormat="1" applyFont="1" applyFill="1" applyBorder="1" applyAlignment="1" applyProtection="1">
      <alignment horizontal="left"/>
    </xf>
    <xf numFmtId="0" fontId="7" fillId="33" borderId="16" xfId="59" applyNumberFormat="1" applyFont="1" applyFill="1" applyBorder="1" applyAlignment="1" applyProtection="1">
      <alignment horizontal="right"/>
    </xf>
    <xf numFmtId="0" fontId="7" fillId="33" borderId="17" xfId="60">
      <alignment horizontal="left"/>
    </xf>
    <xf numFmtId="0" fontId="7" fillId="33" borderId="17" xfId="61" applyNumberFormat="1" applyFont="1" applyFill="1" applyBorder="1" applyAlignment="1" applyProtection="1">
      <alignment horizontal="right"/>
    </xf>
    <xf numFmtId="0" fontId="4" fillId="34" borderId="18" xfId="62" applyNumberFormat="1" applyFont="1" applyFill="1" applyBorder="1" applyAlignment="1" applyProtection="1"/>
    <xf numFmtId="0" fontId="8" fillId="34" borderId="18" xfId="63" applyNumberFormat="1" applyFont="1" applyFill="1" applyBorder="1" applyAlignment="1" applyProtection="1"/>
    <xf numFmtId="0" fontId="3" fillId="34" borderId="18" xfId="64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171" fontId="11" fillId="34" borderId="2" xfId="56" applyNumberFormat="1" applyFont="1" applyFill="1" applyBorder="1" applyAlignment="1" applyProtection="1">
      <alignment horizontal="right"/>
    </xf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1"/>
    <cellStyle name="fa_column_header_bottom_left" xfId="52"/>
    <cellStyle name="fa_column_header_bottom_left 2" xfId="60"/>
    <cellStyle name="fa_column_header_empty" xfId="31"/>
    <cellStyle name="fa_column_header_top" xfId="32"/>
    <cellStyle name="fa_column_header_top 2" xfId="59"/>
    <cellStyle name="fa_column_header_top_left" xfId="33"/>
    <cellStyle name="fa_column_header_top_left 2" xfId="58"/>
    <cellStyle name="fa_data_bold_0_grouped" xfId="55"/>
    <cellStyle name="fa_data_italic_1_grouped" xfId="56"/>
    <cellStyle name="fa_data_standard_0_grouped" xfId="53"/>
    <cellStyle name="fa_data_standard_1_grouped" xfId="57"/>
    <cellStyle name="fa_data_standard_2_grouped" xfId="54"/>
    <cellStyle name="fa_footer_italic" xfId="34"/>
    <cellStyle name="fa_row_header_bold" xfId="35"/>
    <cellStyle name="fa_row_header_bold 2" xfId="63"/>
    <cellStyle name="fa_row_header_italic" xfId="36"/>
    <cellStyle name="fa_row_header_italic 2" xfId="62"/>
    <cellStyle name="fa_row_header_standard" xfId="37"/>
    <cellStyle name="fa_row_header_standard 2" xfId="64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BDP|13269636581956965111</stp>
        <tr r="M12" s="3"/>
      </tp>
      <tp t="s">
        <v>#N/A N/A</v>
        <stp/>
        <stp>BDP|10381396761276588900</stp>
        <tr r="AJ9" s="3"/>
      </tp>
      <tp t="s">
        <v>#N/A N/A</v>
        <stp/>
        <stp>BDP|17056582867039908777</stp>
        <tr r="Z10" s="3"/>
      </tp>
      <tp t="s">
        <v>#N/A N/A</v>
        <stp/>
        <stp>BDP|17012926517004250172</stp>
        <tr r="AN10" s="3"/>
      </tp>
      <tp t="s">
        <v>#N/A N/A</v>
        <stp/>
        <stp>BDP|11231787799120859598</stp>
        <tr r="D17" s="3"/>
      </tp>
      <tp t="s">
        <v>#N/A N/A</v>
        <stp/>
        <stp>BDP|11039714886220415412</stp>
        <tr r="Y13" s="3"/>
      </tp>
      <tp t="s">
        <v>#N/A N/A</v>
        <stp/>
        <stp>BDP|10403789699072465651</stp>
        <tr r="AL17" s="3"/>
      </tp>
      <tp t="s">
        <v>#N/A N/A</v>
        <stp/>
        <stp>BDP|10871993303163074065</stp>
        <tr r="AJ17" s="3"/>
      </tp>
      <tp t="s">
        <v>#N/A N/A</v>
        <stp/>
        <stp>BDH|17982979601705875172</stp>
        <tr r="O13" s="5"/>
        <tr r="O13" s="4"/>
      </tp>
      <tp t="s">
        <v>#N/A N/A</v>
        <stp/>
        <stp>BDH|15644846942512159125</stp>
        <tr r="AC7" s="2"/>
      </tp>
      <tp t="s">
        <v>#N/A N/A</v>
        <stp/>
        <stp>BDH|17938431096229819975</stp>
        <tr r="W9" s="2"/>
      </tp>
      <tp t="s">
        <v>#N/A N/A</v>
        <stp/>
        <stp>BDH|16796816251325000455</stp>
        <tr r="AP26" s="5"/>
        <tr r="AP26" s="4"/>
      </tp>
      <tp t="s">
        <v>#N/A N/A</v>
        <stp/>
        <stp>BDH|15831147083851306793</stp>
        <tr r="AG14" s="5"/>
        <tr r="AG14" s="4"/>
      </tp>
      <tp t="s">
        <v>#N/A N/A</v>
        <stp/>
        <stp>BDH|11459944902131130363</stp>
        <tr r="AH9" s="5"/>
        <tr r="AH9" s="4"/>
      </tp>
      <tp t="s">
        <v>#N/A N/A</v>
        <stp/>
        <stp>BDH|17302132009889579587</stp>
        <tr r="E9" s="5"/>
        <tr r="E9" s="4"/>
      </tp>
      <tp t="s">
        <v>#N/A N/A</v>
        <stp/>
        <stp>BDH|13794739898162869501</stp>
        <tr r="AB20" s="2"/>
      </tp>
      <tp t="s">
        <v>#N/A N/A</v>
        <stp/>
        <stp>BDH|10412169275164032801</stp>
        <tr r="AM8" s="2"/>
      </tp>
      <tp t="s">
        <v>#N/A N/A</v>
        <stp/>
        <stp>BDH|12442848254816195327</stp>
        <tr r="AH9" s="2"/>
      </tp>
      <tp t="s">
        <v>#N/A N/A</v>
        <stp/>
        <stp>BDH|14117676028802847818</stp>
        <tr r="AG24" s="2"/>
      </tp>
      <tp t="s">
        <v>#N/A N/A</v>
        <stp/>
        <stp>BDH|16402289697992458583</stp>
        <tr r="O12" s="5"/>
        <tr r="O12" s="4"/>
      </tp>
      <tp t="s">
        <v>#N/A N/A</v>
        <stp/>
        <stp>BDH|15173839825442814793</stp>
        <tr r="AN14" s="5"/>
        <tr r="AN14" s="4"/>
      </tp>
      <tp t="s">
        <v>#N/A N/A</v>
        <stp/>
        <stp>BDH|11000395373347834849</stp>
        <tr r="Q8" s="2"/>
      </tp>
      <tp t="s">
        <v>#N/A N/A</v>
        <stp/>
        <stp>BDH|14902956901174456308</stp>
        <tr r="AF24" s="5"/>
        <tr r="AF24" s="4"/>
      </tp>
      <tp t="s">
        <v>#N/A N/A</v>
        <stp/>
        <stp>BDH|16140377180962635591</stp>
        <tr r="AA12" s="2"/>
      </tp>
      <tp t="s">
        <v>#N/A N/A</v>
        <stp/>
        <stp>BDH|17219612735021625995</stp>
        <tr r="AA15" s="2"/>
      </tp>
      <tp t="s">
        <v>#N/A N/A</v>
        <stp/>
        <stp>BDH|14451329488425576002</stp>
        <tr r="T12" s="5"/>
        <tr r="T12" s="4"/>
      </tp>
      <tp t="s">
        <v>#N/A N/A</v>
        <stp/>
        <stp>BDH|14310563697742965019</stp>
        <tr r="AL16" s="5"/>
        <tr r="AL16" s="4"/>
      </tp>
      <tp t="s">
        <v>#N/A N/A</v>
        <stp/>
        <stp>BDH|13937021146539557421</stp>
        <tr r="AI16" s="5"/>
        <tr r="AI16" s="4"/>
      </tp>
      <tp t="s">
        <v>#N/A N/A</v>
        <stp/>
        <stp>BDH|12193989864331836688</stp>
        <tr r="AJ25" s="2"/>
      </tp>
      <tp t="s">
        <v>#N/A N/A</v>
        <stp/>
        <stp>BDH|18050016525646873603</stp>
        <tr r="F16" s="2"/>
      </tp>
      <tp t="s">
        <v>#N/A N/A</v>
        <stp/>
        <stp>BDH|18158616152808872968</stp>
        <tr r="AI8" s="5"/>
        <tr r="AI8" s="4"/>
      </tp>
      <tp t="s">
        <v>#N/A N/A</v>
        <stp/>
        <stp>BDH|14831059041213781974</stp>
        <tr r="Q17" s="5"/>
        <tr r="Q17" s="4"/>
      </tp>
      <tp t="s">
        <v>#N/A N/A</v>
        <stp/>
        <stp>BDH|17095971861207933505</stp>
        <tr r="AJ9" s="5"/>
        <tr r="AJ9" s="4"/>
      </tp>
      <tp t="s">
        <v>#N/A N/A</v>
        <stp/>
        <stp>BDP|12387175282613576391</stp>
        <tr r="Z16" s="3"/>
      </tp>
      <tp t="s">
        <v>#N/A N/A</v>
        <stp/>
        <stp>BDP|13481750493725762396</stp>
        <tr r="AK16" s="3"/>
      </tp>
      <tp t="s">
        <v>#N/A N/A</v>
        <stp/>
        <stp>BDP|18238766047475997559</stp>
        <tr r="AH16" s="3"/>
      </tp>
      <tp t="s">
        <v>#N/A N/A</v>
        <stp/>
        <stp>BDP|16293838067416922503</stp>
        <tr r="AN13" s="3"/>
      </tp>
      <tp t="s">
        <v>#N/A N/A</v>
        <stp/>
        <stp>BDP|13362869005496813663</stp>
        <tr r="AI16" s="3"/>
      </tp>
      <tp t="s">
        <v>#N/A N/A</v>
        <stp/>
        <stp>BDP|14863044755293022984</stp>
        <tr r="AG10" s="3"/>
      </tp>
      <tp t="s">
        <v>#N/A N/A</v>
        <stp/>
        <stp>BDH|10832775274468291380</stp>
        <tr r="G26" s="5"/>
        <tr r="G26" s="4"/>
      </tp>
      <tp t="s">
        <v>#N/A N/A</v>
        <stp/>
        <stp>BDH|14672468549129009681</stp>
        <tr r="Q19" s="2"/>
      </tp>
      <tp t="s">
        <v>#N/A N/A</v>
        <stp/>
        <stp>BDH|14288086898817004139</stp>
        <tr r="D26" s="5"/>
        <tr r="D26" s="4"/>
      </tp>
      <tp t="s">
        <v>#N/A N/A</v>
        <stp/>
        <stp>BDH|17082552834779282324</stp>
        <tr r="AE9" s="5"/>
        <tr r="AE9" s="4"/>
      </tp>
      <tp t="s">
        <v>#N/A N/A</v>
        <stp/>
        <stp>BDH|17599348288210019785</stp>
        <tr r="AB23" s="2"/>
      </tp>
      <tp t="s">
        <v>#N/A N/A</v>
        <stp/>
        <stp>BDH|13054532380244702153</stp>
        <tr r="R25" s="2"/>
      </tp>
      <tp t="s">
        <v>#N/A N/A</v>
        <stp/>
        <stp>BDH|14662367673742056927</stp>
        <tr r="S9" s="2"/>
      </tp>
      <tp t="s">
        <v>#N/A N/A</v>
        <stp/>
        <stp>BDH|10749072637948060073</stp>
        <tr r="AE16" s="5"/>
        <tr r="AE16" s="4"/>
      </tp>
      <tp t="s">
        <v>#N/A N/A</v>
        <stp/>
        <stp>BDH|18010373262355515308</stp>
        <tr r="O21" s="5"/>
        <tr r="O21" s="4"/>
      </tp>
      <tp t="s">
        <v>#N/A N/A</v>
        <stp/>
        <stp>BDH|16807703223288310080</stp>
        <tr r="S9" s="5"/>
        <tr r="S9" s="4"/>
      </tp>
      <tp t="s">
        <v>#N/A N/A</v>
        <stp/>
        <stp>BDH|13737465722717474948</stp>
        <tr r="L26" s="5"/>
        <tr r="L26" s="4"/>
      </tp>
      <tp t="s">
        <v>#N/A N/A</v>
        <stp/>
        <stp>BDH|14069438218183124993</stp>
        <tr r="P7" s="5"/>
        <tr r="P7" s="4"/>
      </tp>
      <tp t="s">
        <v>#N/A N/A</v>
        <stp/>
        <stp>BDH|10760123123750161844</stp>
        <tr r="AB24" s="5"/>
        <tr r="AB24" s="4"/>
      </tp>
      <tp t="s">
        <v>#N/A N/A</v>
        <stp/>
        <stp>BDH|17282678459727811865</stp>
        <tr r="AL17" s="2"/>
      </tp>
      <tp t="s">
        <v>#N/A N/A</v>
        <stp/>
        <stp>BDH|15412149487012284576</stp>
        <tr r="E8" s="2"/>
      </tp>
      <tp t="s">
        <v>#N/A N/A</v>
        <stp/>
        <stp>BDH|12112178948289959521</stp>
        <tr r="K12" s="5"/>
        <tr r="K12" s="4"/>
      </tp>
      <tp t="s">
        <v>#N/A N/A</v>
        <stp/>
        <stp>BDH|10795056611673572931</stp>
        <tr r="I20" s="5"/>
        <tr r="I20" s="4"/>
      </tp>
      <tp t="s">
        <v>#N/A N/A</v>
        <stp/>
        <stp>BDH|15949958018132822498</stp>
        <tr r="L17" s="5"/>
        <tr r="L17" s="4"/>
      </tp>
      <tp t="s">
        <v>#N/A N/A</v>
        <stp/>
        <stp>BDH|16895380184375044301</stp>
        <tr r="AE21" s="5"/>
        <tr r="AE21" s="4"/>
      </tp>
      <tp t="s">
        <v>#N/A N/A</v>
        <stp/>
        <stp>BDH|11529638604634119873</stp>
        <tr r="AO8" s="2"/>
      </tp>
      <tp t="s">
        <v>#N/A N/A</v>
        <stp/>
        <stp>BDH|10625939967483228770</stp>
        <tr r="U23" s="2"/>
      </tp>
      <tp t="s">
        <v>#N/A N/A</v>
        <stp/>
        <stp>BDH|11066824361330245462</stp>
        <tr r="G7" s="5"/>
        <tr r="G7" s="4"/>
      </tp>
      <tp t="s">
        <v>#N/A N/A</v>
        <stp/>
        <stp>BDH|15845899368704863475</stp>
        <tr r="E24" s="2"/>
      </tp>
      <tp t="s">
        <v>#N/A N/A</v>
        <stp/>
        <stp>BDH|15502779683678444933</stp>
        <tr r="AN18" s="2"/>
      </tp>
      <tp t="s">
        <v>#N/A N/A</v>
        <stp/>
        <stp>BDH|14960507100122907866</stp>
        <tr r="AL26" s="5"/>
        <tr r="AL26" s="4"/>
      </tp>
      <tp t="s">
        <v>#N/A N/A</v>
        <stp/>
        <stp>BDH|11713998764162304704</stp>
        <tr r="AE18" s="2"/>
      </tp>
      <tp t="s">
        <v>#N/A N/A</v>
        <stp/>
        <stp>BDH|15288032599474111313</stp>
        <tr r="AM9" s="5"/>
        <tr r="AM9" s="4"/>
      </tp>
      <tp t="s">
        <v>#N/A N/A</v>
        <stp/>
        <stp>BDH|17908954745725598446</stp>
        <tr r="L18" s="2"/>
      </tp>
      <tp t="s">
        <v>#N/A N/A</v>
        <stp/>
        <stp>BDH|13276229858917854887</stp>
        <tr r="AD8" s="2"/>
      </tp>
      <tp t="s">
        <v>#N/A N/A</v>
        <stp/>
        <stp>BDH|17919074511094541918</stp>
        <tr r="J20" s="5"/>
        <tr r="J20" s="4"/>
      </tp>
      <tp t="s">
        <v>#N/A N/A</v>
        <stp/>
        <stp>BDH|12121008897489517989</stp>
        <tr r="AN16" s="2"/>
      </tp>
      <tp t="s">
        <v>#N/A N/A</v>
        <stp/>
        <stp>BDH|16630214929194266974</stp>
        <tr r="C20" s="5"/>
        <tr r="C20" s="4"/>
      </tp>
      <tp t="s">
        <v>#N/A N/A</v>
        <stp/>
        <stp>BDH|11077290550535185820</stp>
        <tr r="AP13" s="2"/>
      </tp>
      <tp t="s">
        <v>#N/A N/A</v>
        <stp/>
        <stp>BDH|12518632209117246873</stp>
        <tr r="AO14" s="5"/>
        <tr r="AO14" s="4"/>
      </tp>
      <tp t="s">
        <v>#N/A N/A</v>
        <stp/>
        <stp>BDH|14958714637239796254</stp>
        <tr r="P24" s="2"/>
      </tp>
      <tp t="s">
        <v>#N/A N/A</v>
        <stp/>
        <stp>BDH|13400288007222581829</stp>
        <tr r="AH12" s="5"/>
        <tr r="AH12" s="4"/>
      </tp>
      <tp t="s">
        <v>#N/A N/A</v>
        <stp/>
        <stp>BDH|13959965883691299827</stp>
        <tr r="AC15" s="2"/>
      </tp>
      <tp t="s">
        <v>#N/A N/A</v>
        <stp/>
        <stp>BDH|18029044298473111926</stp>
        <tr r="K8" s="2"/>
      </tp>
      <tp t="s">
        <v>#N/A N/A</v>
        <stp/>
        <stp>BDH|16132987838632762591</stp>
        <tr r="Y20" s="2"/>
      </tp>
      <tp t="s">
        <v>#N/A N/A</v>
        <stp/>
        <stp>BDH|12921438285182087713</stp>
        <tr r="AA8" s="2"/>
      </tp>
      <tp t="s">
        <v>#N/A N/A</v>
        <stp/>
        <stp>BDP|17328083956843085926</stp>
        <tr r="G10" s="3"/>
      </tp>
      <tp t="s">
        <v>#N/A N/A</v>
        <stp/>
        <stp>BDP|16379078122149920517</stp>
        <tr r="N13" s="3"/>
      </tp>
      <tp t="s">
        <v>#N/A N/A</v>
        <stp/>
        <stp>BDP|14494932248978471989</stp>
        <tr r="AB17" s="3"/>
      </tp>
      <tp t="s">
        <v>#N/A N/A</v>
        <stp/>
        <stp>BDP|14884100703215035889</stp>
        <tr r="AM13" s="3"/>
      </tp>
      <tp t="s">
        <v>#N/A N/A</v>
        <stp/>
        <stp>BDP|15114123188207095398</stp>
        <tr r="Y12" s="3"/>
      </tp>
      <tp t="s">
        <v>#N/A N/A</v>
        <stp/>
        <stp>BDP|11134578389447336384</stp>
        <tr r="F17" s="3"/>
      </tp>
      <tp t="s">
        <v>#N/A N/A</v>
        <stp/>
        <stp>BDH|16480055799915129288</stp>
        <tr r="O10" s="5"/>
        <tr r="O10" s="4"/>
      </tp>
      <tp t="s">
        <v>#N/A N/A</v>
        <stp/>
        <stp>BDH|15288317441868502264</stp>
        <tr r="T25" s="2"/>
      </tp>
      <tp t="s">
        <v>#N/A N/A</v>
        <stp/>
        <stp>BDH|13541006622849564027</stp>
        <tr r="AA9" s="5"/>
        <tr r="AA9" s="4"/>
      </tp>
      <tp t="s">
        <v>#N/A N/A</v>
        <stp/>
        <stp>BDH|11829925313694952505</stp>
        <tr r="N13" s="5"/>
        <tr r="N13" s="4"/>
      </tp>
      <tp t="s">
        <v>#N/A N/A</v>
        <stp/>
        <stp>BDH|13979819620549099882</stp>
        <tr r="K10" s="5"/>
        <tr r="K10" s="4"/>
      </tp>
      <tp t="s">
        <v>#N/A N/A</v>
        <stp/>
        <stp>BDH|11149984715237567691</stp>
        <tr r="N24" s="2"/>
      </tp>
      <tp t="s">
        <v>#N/A N/A</v>
        <stp/>
        <stp>BDH|13706105707343720945</stp>
        <tr r="AE25" s="5"/>
        <tr r="AE25" s="4"/>
      </tp>
      <tp t="s">
        <v>#N/A N/A</v>
        <stp/>
        <stp>BDH|17192941517312344528</stp>
        <tr r="AB17" s="2"/>
      </tp>
      <tp t="s">
        <v>#N/A N/A</v>
        <stp/>
        <stp>BDH|13090800687862126949</stp>
        <tr r="AD20" s="5"/>
        <tr r="AD20" s="4"/>
      </tp>
      <tp t="s">
        <v>#N/A N/A</v>
        <stp/>
        <stp>BDH|11248945928434852649</stp>
        <tr r="K15" s="2"/>
      </tp>
      <tp t="s">
        <v>#N/A N/A</v>
        <stp/>
        <stp>BDH|15965323849029931399</stp>
        <tr r="G13" s="2"/>
      </tp>
      <tp t="s">
        <v>#N/A N/A</v>
        <stp/>
        <stp>BDH|13766239212429505115</stp>
        <tr r="N16" s="2"/>
      </tp>
      <tp t="s">
        <v>#N/A N/A</v>
        <stp/>
        <stp>BDH|18095578944994925589</stp>
        <tr r="D14" s="5"/>
        <tr r="D14" s="4"/>
      </tp>
      <tp t="s">
        <v>#N/A N/A</v>
        <stp/>
        <stp>BDH|12692684744031768981</stp>
        <tr r="S21" s="5"/>
        <tr r="S21" s="4"/>
      </tp>
      <tp t="s">
        <v>#N/A N/A</v>
        <stp/>
        <stp>BDH|15018839450224037460</stp>
        <tr r="S14" s="5"/>
        <tr r="S14" s="4"/>
      </tp>
      <tp t="s">
        <v>#N/A N/A</v>
        <stp/>
        <stp>BDH|12896217432548843369</stp>
        <tr r="AF6" s="5"/>
        <tr r="AF6" s="4"/>
      </tp>
      <tp t="s">
        <v>#N/A N/A</v>
        <stp/>
        <stp>BDH|11456146899289873842</stp>
        <tr r="M15" s="2"/>
      </tp>
      <tp t="s">
        <v>#N/A N/A</v>
        <stp/>
        <stp>BDH|13843455049968820382</stp>
        <tr r="AD7" s="5"/>
        <tr r="AD7" s="4"/>
      </tp>
      <tp t="s">
        <v>#N/A N/A</v>
        <stp/>
        <stp>BDH|17065328999483517697</stp>
        <tr r="Y24" s="5"/>
        <tr r="Y24" s="4"/>
      </tp>
      <tp t="s">
        <v>#N/A N/A</v>
        <stp/>
        <stp>BDH|12175401176578652163</stp>
        <tr r="S6" s="5"/>
        <tr r="S6" s="4"/>
      </tp>
      <tp t="s">
        <v>#N/A N/A</v>
        <stp/>
        <stp>BDH|12098246087815152549</stp>
        <tr r="Z21" s="5"/>
        <tr r="Z21" s="4"/>
      </tp>
      <tp t="s">
        <v>#N/A N/A</v>
        <stp/>
        <stp>BDH|10626431295723239641</stp>
        <tr r="Q21" s="5"/>
        <tr r="Q21" s="4"/>
      </tp>
      <tp t="s">
        <v>#N/A N/A</v>
        <stp/>
        <stp>BDH|17743439247559686634</stp>
        <tr r="AN9" s="5"/>
        <tr r="AN9" s="4"/>
      </tp>
      <tp t="s">
        <v>#N/A N/A</v>
        <stp/>
        <stp>BDH|14408949056035618593</stp>
        <tr r="Z12" s="5"/>
        <tr r="Z12" s="4"/>
      </tp>
      <tp t="s">
        <v>#N/A N/A</v>
        <stp/>
        <stp>BDH|17946477885060348315</stp>
        <tr r="T14" s="5"/>
        <tr r="T14" s="4"/>
      </tp>
      <tp t="s">
        <v>#N/A N/A</v>
        <stp/>
        <stp>BDH|17773149190716248196</stp>
        <tr r="AG6" s="5"/>
        <tr r="AG6" s="4"/>
      </tp>
      <tp t="s">
        <v>#N/A N/A</v>
        <stp/>
        <stp>BDH|12456929514451987338</stp>
        <tr r="S20" s="5"/>
        <tr r="S20" s="4"/>
      </tp>
      <tp t="s">
        <v>#N/A N/A</v>
        <stp/>
        <stp>BDH|17498056241233964815</stp>
        <tr r="AK13" s="2"/>
      </tp>
      <tp t="s">
        <v>#N/A N/A</v>
        <stp/>
        <stp>BDH|17656893856920180206</stp>
        <tr r="X7" s="5"/>
        <tr r="X7" s="4"/>
      </tp>
      <tp t="s">
        <v>#N/A N/A</v>
        <stp/>
        <stp>BDH|16904624551718966584</stp>
        <tr r="W20" s="5"/>
        <tr r="W20" s="4"/>
      </tp>
      <tp t="s">
        <v>#N/A N/A</v>
        <stp/>
        <stp>BDH|17866943334130223507</stp>
        <tr r="F10" s="5"/>
        <tr r="F10" s="4"/>
      </tp>
      <tp t="s">
        <v>#N/A N/A</v>
        <stp/>
        <stp>BDH|14134352333808907448</stp>
        <tr r="V13" s="2"/>
      </tp>
      <tp t="s">
        <v>#N/A N/A</v>
        <stp/>
        <stp>BDH|12725424231978842510</stp>
        <tr r="AN16" s="5"/>
        <tr r="AN16" s="4"/>
      </tp>
      <tp t="s">
        <v>#N/A N/A</v>
        <stp/>
        <stp>BDH|11180930962093905542</stp>
        <tr r="AE22" s="5"/>
        <tr r="AE22" s="4"/>
      </tp>
      <tp t="s">
        <v>#N/A N/A</v>
        <stp/>
        <stp>BDH|18246268327614629485</stp>
        <tr r="AM10" s="5"/>
        <tr r="AM10" s="4"/>
      </tp>
      <tp t="s">
        <v>#N/A N/A</v>
        <stp/>
        <stp>BDH|12488618679829755277</stp>
        <tr r="L25" s="2"/>
      </tp>
      <tp t="s">
        <v>#N/A N/A</v>
        <stp/>
        <stp>BDH|12007678334836738980</stp>
        <tr r="C24" s="2"/>
      </tp>
      <tp t="s">
        <v>#N/A N/A</v>
        <stp/>
        <stp>BDH|12044746848990591965</stp>
        <tr r="C21" s="5"/>
        <tr r="C21" s="4"/>
      </tp>
      <tp t="s">
        <v>#N/A N/A</v>
        <stp/>
        <stp>BDH|14473524185206939757</stp>
        <tr r="AH14" s="5"/>
        <tr r="AH14" s="4"/>
      </tp>
      <tp t="s">
        <v>#N/A N/A</v>
        <stp/>
        <stp>BDH|13941047432288933081</stp>
        <tr r="AI7" s="5"/>
        <tr r="AI7" s="4"/>
      </tp>
      <tp t="s">
        <v>#N/A N/A</v>
        <stp/>
        <stp>BDH|16775286980052574647</stp>
        <tr r="AD7" s="2"/>
      </tp>
      <tp t="s">
        <v>#N/A N/A</v>
        <stp/>
        <stp>BDH|12197833419722446118</stp>
        <tr r="AD25" s="2"/>
      </tp>
      <tp t="s">
        <v>#N/A N/A</v>
        <stp/>
        <stp>BDP|12479291595184496448</stp>
        <tr r="AA12" s="3"/>
      </tp>
      <tp t="s">
        <v>#N/A N/A</v>
        <stp/>
        <stp>BDP|14406658575405704986</stp>
        <tr r="AD9" s="3"/>
      </tp>
      <tp t="s">
        <v>#N/A N/A</v>
        <stp/>
        <stp>BDP|11599673512409956624</stp>
        <tr r="V16" s="3"/>
      </tp>
      <tp t="s">
        <v>#N/A N/A</v>
        <stp/>
        <stp>BDP|16244596506202795861</stp>
        <tr r="O17" s="3"/>
      </tp>
      <tp t="s">
        <v>#N/A N/A</v>
        <stp/>
        <stp>BDP|14337828058167286752</stp>
        <tr r="W13" s="3"/>
      </tp>
      <tp t="s">
        <v>#N/A N/A</v>
        <stp/>
        <stp>BDP|17908894313513341401</stp>
        <tr r="R13" s="3"/>
      </tp>
      <tp t="s">
        <v>#N/A N/A</v>
        <stp/>
        <stp>BDP|17601898141337766599</stp>
        <tr r="L16" s="3"/>
      </tp>
      <tp t="s">
        <v>#N/A N/A</v>
        <stp/>
        <stp>BDP|13514851625284622460</stp>
        <tr r="AF12" s="3"/>
      </tp>
      <tp t="s">
        <v>#N/A N/A</v>
        <stp/>
        <stp>BDH|18339787074737682682</stp>
        <tr r="N9" s="2"/>
      </tp>
      <tp t="s">
        <v>#N/A N/A</v>
        <stp/>
        <stp>BDH|12102257584584970585</stp>
        <tr r="AG19" s="2"/>
      </tp>
      <tp t="s">
        <v>#N/A N/A</v>
        <stp/>
        <stp>BDH|16130981975734962545</stp>
        <tr r="AK21" s="5"/>
        <tr r="AK21" s="4"/>
      </tp>
      <tp t="s">
        <v>#N/A N/A</v>
        <stp/>
        <stp>BDH|16428628647778782571</stp>
        <tr r="F7" s="2"/>
      </tp>
      <tp t="s">
        <v>#N/A N/A</v>
        <stp/>
        <stp>BDH|14961012299647988387</stp>
        <tr r="X24" s="2"/>
      </tp>
      <tp t="s">
        <v>#N/A N/A</v>
        <stp/>
        <stp>BDH|13235992079474117037</stp>
        <tr r="Z8" s="5"/>
        <tr r="Z8" s="4"/>
      </tp>
      <tp t="s">
        <v>#N/A N/A</v>
        <stp/>
        <stp>BDH|14481607634971900997</stp>
        <tr r="L16" s="5"/>
        <tr r="L16" s="4"/>
      </tp>
      <tp t="s">
        <v>#N/A N/A</v>
        <stp/>
        <stp>BDH|10386516586004266053</stp>
        <tr r="O8" s="2"/>
      </tp>
      <tp t="s">
        <v>#N/A N/A</v>
        <stp/>
        <stp>BDH|17016809673794373532</stp>
        <tr r="J9" s="2"/>
      </tp>
      <tp t="s">
        <v>#N/A N/A</v>
        <stp/>
        <stp>BDH|16574340943158356024</stp>
        <tr r="AD9" s="5"/>
        <tr r="AD9" s="4"/>
      </tp>
      <tp t="s">
        <v>#N/A N/A</v>
        <stp/>
        <stp>BDH|15326864469334953679</stp>
        <tr r="AE12" s="5"/>
        <tr r="AE12" s="4"/>
      </tp>
      <tp t="s">
        <v>#N/A N/A</v>
        <stp/>
        <stp>BDH|18297629609025273296</stp>
        <tr r="AC8" s="5"/>
        <tr r="AC8" s="4"/>
      </tp>
      <tp t="s">
        <v>#N/A N/A</v>
        <stp/>
        <stp>BDH|13689149430140212851</stp>
        <tr r="AM18" s="2"/>
      </tp>
      <tp t="s">
        <v>#N/A N/A</v>
        <stp/>
        <stp>BDH|11262873773517745043</stp>
        <tr r="AG25" s="5"/>
        <tr r="AG25" s="4"/>
      </tp>
      <tp t="s">
        <v>#N/A N/A</v>
        <stp/>
        <stp>BDH|11708664154093076839</stp>
        <tr r="O23" s="2"/>
      </tp>
      <tp t="s">
        <v>#N/A N/A</v>
        <stp/>
        <stp>BDH|18094661436894073068</stp>
        <tr r="P17" s="2"/>
      </tp>
      <tp t="s">
        <v>#N/A N/A</v>
        <stp/>
        <stp>BDH|17237735546884931988</stp>
        <tr r="G17" s="5"/>
        <tr r="G17" s="4"/>
      </tp>
      <tp t="s">
        <v>#N/A N/A</v>
        <stp/>
        <stp>BDH|12316769657230839931</stp>
        <tr r="AC13" s="5"/>
        <tr r="AC13" s="4"/>
      </tp>
      <tp t="s">
        <v>#N/A N/A</v>
        <stp/>
        <stp>BDH|18188122120167939536</stp>
        <tr r="R12" s="5"/>
        <tr r="R12" s="4"/>
      </tp>
      <tp t="s">
        <v>#N/A N/A</v>
        <stp/>
        <stp>BDH|18309103497238943148</stp>
        <tr r="K22" s="5"/>
        <tr r="K22" s="4"/>
      </tp>
      <tp t="s">
        <v>#N/A N/A</v>
        <stp/>
        <stp>BDH|16898460869385792886</stp>
        <tr r="U21" s="5"/>
        <tr r="U21" s="4"/>
      </tp>
      <tp t="s">
        <v>#N/A N/A</v>
        <stp/>
        <stp>BDH|12801564593742561528</stp>
        <tr r="AC16" s="2"/>
      </tp>
      <tp t="s">
        <v>#N/A N/A</v>
        <stp/>
        <stp>BDH|16538264362229225297</stp>
        <tr r="C25" s="5"/>
        <tr r="C25" s="4"/>
      </tp>
      <tp t="s">
        <v>#N/A N/A</v>
        <stp/>
        <stp>BDH|10439882061077119066</stp>
        <tr r="AI16" s="2"/>
      </tp>
      <tp t="s">
        <v>#N/A N/A</v>
        <stp/>
        <stp>BDH|15154601646268513683</stp>
        <tr r="R20" s="5"/>
        <tr r="R20" s="4"/>
      </tp>
      <tp t="s">
        <v>#N/A N/A</v>
        <stp/>
        <stp>BDH|13010055585740887256</stp>
        <tr r="AI25" s="5"/>
        <tr r="AI25" s="4"/>
      </tp>
      <tp t="s">
        <v>#N/A N/A</v>
        <stp/>
        <stp>BDH|10874462025566715913</stp>
        <tr r="N19" s="2"/>
      </tp>
      <tp t="s">
        <v>#N/A N/A</v>
        <stp/>
        <stp>BDH|13359163462789908437</stp>
        <tr r="N7" s="2"/>
      </tp>
      <tp t="s">
        <v>#N/A N/A</v>
        <stp/>
        <stp>BDH|10224377198537121409</stp>
        <tr r="H17" s="2"/>
      </tp>
      <tp t="s">
        <v>#N/A N/A</v>
        <stp/>
        <stp>BDH|10735035493042990225</stp>
        <tr r="R8" s="2"/>
      </tp>
      <tp t="s">
        <v>#N/A N/A</v>
        <stp/>
        <stp>BDH|15362104225028868718</stp>
        <tr r="U24" s="2"/>
      </tp>
      <tp t="s">
        <v>#N/A N/A</v>
        <stp/>
        <stp>BDH|17423973653272945078</stp>
        <tr r="AD8" s="5"/>
        <tr r="AD8" s="4"/>
      </tp>
      <tp t="s">
        <v>#N/A N/A</v>
        <stp/>
        <stp>BDH|12920255693602746267</stp>
        <tr r="J10" s="5"/>
        <tr r="J10" s="4"/>
      </tp>
      <tp t="s">
        <v>#N/A N/A</v>
        <stp/>
        <stp>BDP|10015791573829127721</stp>
        <tr r="Q12" s="3"/>
      </tp>
      <tp t="s">
        <v>#N/A N/A</v>
        <stp/>
        <stp>BDP|11312033417327701990</stp>
        <tr r="AJ16" s="3"/>
      </tp>
      <tp t="s">
        <v>#N/A N/A</v>
        <stp/>
        <stp>BDP|13316699161925021830</stp>
        <tr r="AH17" s="3"/>
      </tp>
      <tp t="s">
        <v>#N/A N/A</v>
        <stp/>
        <stp>BDP|12006281819357837838</stp>
        <tr r="K9" s="3"/>
      </tp>
      <tp t="s">
        <v>#N/A N/A</v>
        <stp/>
        <stp>BDP|12776310637788822450</stp>
        <tr r="P17" s="3"/>
      </tp>
      <tp t="s">
        <v>#N/A N/A</v>
        <stp/>
        <stp>BDP|13303904632143380415</stp>
        <tr r="AP17" s="3"/>
      </tp>
      <tp t="s">
        <v>#N/A N/A</v>
        <stp/>
        <stp>BDH|10471466396616082558</stp>
        <tr r="C18" s="5"/>
        <tr r="C18" s="4"/>
      </tp>
      <tp t="s">
        <v>#N/A N/A</v>
        <stp/>
        <stp>BDH|10448471663159480547</stp>
        <tr r="AH21" s="5"/>
        <tr r="AH21" s="4"/>
      </tp>
      <tp t="s">
        <v>#N/A N/A</v>
        <stp/>
        <stp>BDH|10885902956206939478</stp>
        <tr r="Y10" s="5"/>
        <tr r="Y10" s="4"/>
      </tp>
      <tp t="s">
        <v>#N/A N/A</v>
        <stp/>
        <stp>BDH|17661617723614703935</stp>
        <tr r="AE24" s="2"/>
      </tp>
      <tp t="s">
        <v>#N/A N/A</v>
        <stp/>
        <stp>BDH|16184485483085885121</stp>
        <tr r="AM12" s="2"/>
      </tp>
      <tp t="s">
        <v>#N/A N/A</v>
        <stp/>
        <stp>BDH|16407382187992191192</stp>
        <tr r="P23" s="2"/>
      </tp>
      <tp t="s">
        <v>#N/A N/A</v>
        <stp/>
        <stp>BDH|13677831571066275455</stp>
        <tr r="D13" s="2"/>
      </tp>
      <tp t="s">
        <v>#N/A N/A</v>
        <stp/>
        <stp>BDH|17199728613549528678</stp>
        <tr r="AG17" s="5"/>
        <tr r="AG17" s="4"/>
      </tp>
      <tp t="s">
        <v>#N/A N/A</v>
        <stp/>
        <stp>BDH|17132116074947196871</stp>
        <tr r="AG12" s="5"/>
        <tr r="AG12" s="4"/>
      </tp>
      <tp t="s">
        <v>#N/A N/A</v>
        <stp/>
        <stp>BDH|15570482544018855342</stp>
        <tr r="T16" s="2"/>
      </tp>
      <tp t="s">
        <v>#N/A N/A</v>
        <stp/>
        <stp>BDH|12140103714094528852</stp>
        <tr r="AG13" s="5"/>
        <tr r="AG13" s="4"/>
      </tp>
      <tp t="s">
        <v>#N/A N/A</v>
        <stp/>
        <stp>BDH|16707723589705174290</stp>
        <tr r="N6" s="5"/>
        <tr r="N6" s="4"/>
      </tp>
      <tp t="s">
        <v>#N/A N/A</v>
        <stp/>
        <stp>BDH|18106895258273202850</stp>
        <tr r="T8" s="2"/>
      </tp>
      <tp t="s">
        <v>#N/A N/A</v>
        <stp/>
        <stp>BDH|10870349486411514493</stp>
        <tr r="R21" s="5"/>
        <tr r="R21" s="4"/>
      </tp>
      <tp t="s">
        <v>#N/A N/A</v>
        <stp/>
        <stp>BDH|13748257709896943948</stp>
        <tr r="AC19" s="2"/>
      </tp>
      <tp t="s">
        <v>#N/A N/A</v>
        <stp/>
        <stp>BDH|15561962724953611378</stp>
        <tr r="H7" s="2"/>
      </tp>
      <tp t="s">
        <v>#N/A N/A</v>
        <stp/>
        <stp>BDH|14190731041738250191</stp>
        <tr r="R16" s="2"/>
      </tp>
      <tp t="s">
        <v>#N/A N/A</v>
        <stp/>
        <stp>BDH|12363661683404770698</stp>
        <tr r="Q13" s="5"/>
        <tr r="Q13" s="4"/>
      </tp>
      <tp t="s">
        <v>#N/A N/A</v>
        <stp/>
        <stp>BDH|11286224421768186781</stp>
        <tr r="AO19" s="2"/>
      </tp>
      <tp t="s">
        <v>#N/A N/A</v>
        <stp/>
        <stp>BDH|17440643689627635049</stp>
        <tr r="V9" s="5"/>
        <tr r="V9" s="4"/>
      </tp>
      <tp t="s">
        <v>#N/A N/A</v>
        <stp/>
        <stp>BDH|12048801627534498287</stp>
        <tr r="D9" s="5"/>
        <tr r="D9" s="4"/>
      </tp>
      <tp t="s">
        <v>#N/A N/A</v>
        <stp/>
        <stp>BDH|13014286482835091214</stp>
        <tr r="AN8" s="2"/>
      </tp>
      <tp t="s">
        <v>#N/A N/A</v>
        <stp/>
        <stp>BDH|15839868860542258761</stp>
        <tr r="K25" s="2"/>
      </tp>
      <tp t="s">
        <v>#N/A N/A</v>
        <stp/>
        <stp>BDH|15982135841237328920</stp>
        <tr r="AA18" s="2"/>
      </tp>
      <tp t="s">
        <v>#N/A N/A</v>
        <stp/>
        <stp>BDH|15292012724031969836</stp>
        <tr r="X23" s="2"/>
      </tp>
      <tp t="s">
        <v>#N/A N/A</v>
        <stp/>
        <stp>BDH|14814296230848958352</stp>
        <tr r="U15" s="2"/>
      </tp>
      <tp t="s">
        <v>#N/A N/A</v>
        <stp/>
        <stp>BDH|17586476384290349599</stp>
        <tr r="AC18" s="5"/>
        <tr r="AC18" s="4"/>
      </tp>
      <tp t="s">
        <v>#N/A N/A</v>
        <stp/>
        <stp>BDH|14246860938808794975</stp>
        <tr r="O9" s="2"/>
      </tp>
      <tp t="s">
        <v>#N/A N/A</v>
        <stp/>
        <stp>BDH|10125999612691439728</stp>
        <tr r="W17" s="5"/>
        <tr r="W17" s="4"/>
      </tp>
      <tp t="s">
        <v>#N/A N/A</v>
        <stp/>
        <stp>BDH|12082495217870431952</stp>
        <tr r="O17" s="2"/>
      </tp>
      <tp t="s">
        <v>#N/A N/A</v>
        <stp/>
        <stp>BDH|16203654040312976803</stp>
        <tr r="AH24" s="2"/>
      </tp>
    </main>
    <main first="bofaddin.rtdserver">
      <tp t="s">
        <v>#N/A N/A</v>
        <stp/>
        <stp>BDP|10629195963001357979</stp>
        <tr r="E16" s="3"/>
      </tp>
      <tp t="s">
        <v>#N/A N/A</v>
        <stp/>
        <stp>BDP|10242914207165749398</stp>
        <tr r="AP13" s="3"/>
      </tp>
      <tp t="s">
        <v>#N/A N/A</v>
        <stp/>
        <stp>BDP|13430992015392669621</stp>
        <tr r="C16" s="3"/>
      </tp>
      <tp t="s">
        <v>#N/A N/A</v>
        <stp/>
        <stp>BDP|14917892453851401793</stp>
        <tr r="AN9" s="3"/>
      </tp>
      <tp t="s">
        <v>#N/A N/A</v>
        <stp/>
        <stp>BDP|11747996665505825425</stp>
        <tr r="X10" s="3"/>
      </tp>
      <tp t="s">
        <v>#N/A N/A</v>
        <stp/>
        <stp>BDP|13119309401987605822</stp>
        <tr r="AL13" s="3"/>
      </tp>
      <tp t="s">
        <v>#N/A N/A</v>
        <stp/>
        <stp>BDP|16091972819613056299</stp>
        <tr r="V10" s="3"/>
      </tp>
      <tp t="s">
        <v>#N/A N/A</v>
        <stp/>
        <stp>BDH|13521293259583370878</stp>
        <tr r="N22" s="5"/>
        <tr r="N22" s="4"/>
      </tp>
      <tp t="s">
        <v>#N/A N/A</v>
        <stp/>
        <stp>BDH|17625969720096359522</stp>
        <tr r="E16" s="5"/>
        <tr r="E16" s="4"/>
      </tp>
      <tp t="s">
        <v>#N/A N/A</v>
        <stp/>
        <stp>BDH|10413496524138002185</stp>
        <tr r="AK24" s="2"/>
      </tp>
      <tp t="s">
        <v>#N/A N/A</v>
        <stp/>
        <stp>BDH|14654007919408661284</stp>
        <tr r="AL14" s="5"/>
        <tr r="AL14" s="4"/>
      </tp>
      <tp t="s">
        <v>#N/A N/A</v>
        <stp/>
        <stp>BDH|16190387288486864495</stp>
        <tr r="K13" s="5"/>
        <tr r="K13" s="4"/>
      </tp>
      <tp t="s">
        <v>#N/A N/A</v>
        <stp/>
        <stp>BDH|10664933205494430245</stp>
        <tr r="S15" s="2"/>
      </tp>
      <tp t="s">
        <v>#N/A N/A</v>
        <stp/>
        <stp>BDH|10226670091528133853</stp>
        <tr r="Z19" s="2"/>
      </tp>
      <tp t="s">
        <v>#N/A N/A</v>
        <stp/>
        <stp>BDH|15093372245235087817</stp>
        <tr r="V13" s="5"/>
        <tr r="V13" s="4"/>
      </tp>
      <tp t="s">
        <v>#N/A N/A</v>
        <stp/>
        <stp>BDH|16281888304310849153</stp>
        <tr r="G10" s="5"/>
        <tr r="G10" s="4"/>
      </tp>
      <tp t="s">
        <v>#N/A N/A</v>
        <stp/>
        <stp>BDH|11541417859747991866</stp>
        <tr r="AH13" s="5"/>
        <tr r="AH13" s="4"/>
      </tp>
      <tp t="s">
        <v>#N/A N/A</v>
        <stp/>
        <stp>BDH|14780286358089180542</stp>
        <tr r="R13" s="5"/>
        <tr r="R13" s="4"/>
      </tp>
      <tp t="s">
        <v>#N/A N/A</v>
        <stp/>
        <stp>BDH|16004991568922039447</stp>
        <tr r="U22" s="5"/>
        <tr r="U22" s="4"/>
      </tp>
      <tp t="s">
        <v>#N/A N/A</v>
        <stp/>
        <stp>BDH|16806050989115988485</stp>
        <tr r="T26" s="5"/>
        <tr r="T26" s="4"/>
      </tp>
      <tp t="s">
        <v>#N/A N/A</v>
        <stp/>
        <stp>BDH|16018011586247555672</stp>
        <tr r="I18" s="5"/>
        <tr r="I18" s="4"/>
      </tp>
    </main>
    <main first="bofaddin.rtdserver">
      <tp t="s">
        <v>#N/A N/A</v>
        <stp/>
        <stp>BDH|14399182002929844355</stp>
        <tr r="P16" s="2"/>
      </tp>
      <tp t="s">
        <v>#N/A N/A</v>
        <stp/>
        <stp>BDH|17987992600259528828</stp>
        <tr r="R24" s="5"/>
        <tr r="R24" s="4"/>
      </tp>
      <tp t="s">
        <v>#N/A N/A</v>
        <stp/>
        <stp>BDH|12808018783097960255</stp>
        <tr r="Z22" s="5"/>
        <tr r="Z22" s="4"/>
      </tp>
      <tp t="s">
        <v>#N/A N/A</v>
        <stp/>
        <stp>BDH|14004676090901218534</stp>
        <tr r="AK18" s="2"/>
      </tp>
      <tp t="s">
        <v>#N/A N/A</v>
        <stp/>
        <stp>BDH|17018023715129458052</stp>
        <tr r="Y18" s="2"/>
      </tp>
      <tp t="s">
        <v>#N/A N/A</v>
        <stp/>
        <stp>BDH|12309777128269327162</stp>
        <tr r="AC26" s="5"/>
        <tr r="AC26" s="4"/>
      </tp>
      <tp t="s">
        <v>#N/A N/A</v>
        <stp/>
        <stp>BDH|13221921458420570045</stp>
        <tr r="Z8" s="2"/>
      </tp>
      <tp t="s">
        <v>#N/A N/A</v>
        <stp/>
        <stp>BDH|14872086241346887927</stp>
        <tr r="AG24" s="5"/>
        <tr r="AG24" s="4"/>
      </tp>
      <tp t="s">
        <v>#N/A N/A</v>
        <stp/>
        <stp>BDH|15371304009720174918</stp>
        <tr r="AA25" s="5"/>
        <tr r="AA25" s="4"/>
      </tp>
      <tp t="s">
        <v>#N/A N/A</v>
        <stp/>
        <stp>BDH|18315191564419419900</stp>
        <tr r="P19" s="2"/>
      </tp>
      <tp t="s">
        <v>#N/A N/A</v>
        <stp/>
        <stp>BDH|17643787694662175469</stp>
        <tr r="X16" s="2"/>
      </tp>
      <tp t="s">
        <v>#N/A N/A</v>
        <stp/>
        <stp>BDH|13321500409320298946</stp>
        <tr r="AC13" s="2"/>
      </tp>
      <tp t="s">
        <v>#N/A N/A</v>
        <stp/>
        <stp>BDH|17213284930581638800</stp>
        <tr r="AD26" s="5"/>
        <tr r="AD26" s="4"/>
      </tp>
      <tp t="s">
        <v>#N/A N/A</v>
        <stp/>
        <stp>BDH|13165334643459948243</stp>
        <tr r="N20" s="5"/>
        <tr r="N20" s="4"/>
      </tp>
      <tp t="s">
        <v>#N/A N/A</v>
        <stp/>
        <stp>BDH|18085571361416831217</stp>
        <tr r="X7" s="2"/>
      </tp>
      <tp t="s">
        <v>#N/A N/A</v>
        <stp/>
        <stp>BDH|18303218772942693090</stp>
        <tr r="M17" s="2"/>
      </tp>
      <tp t="s">
        <v>#N/A N/A</v>
        <stp/>
        <stp>BDH|12539233219288428640</stp>
        <tr r="G24" s="2"/>
      </tp>
      <tp t="s">
        <v>#N/A N/A</v>
        <stp/>
        <stp>BDH|14142841663203044695</stp>
        <tr r="R22" s="5"/>
        <tr r="R22" s="4"/>
      </tp>
      <tp t="s">
        <v>#N/A N/A</v>
        <stp/>
        <stp>BDH|14928401490734742215</stp>
        <tr r="AI24" s="2"/>
      </tp>
      <tp t="s">
        <v>#N/A N/A</v>
        <stp/>
        <stp>BDH|17364276538169395012</stp>
        <tr r="O14" s="5"/>
        <tr r="O14" s="4"/>
      </tp>
      <tp t="s">
        <v>#N/A N/A</v>
        <stp/>
        <stp>BDH|11299996983579032667</stp>
        <tr r="F16" s="5"/>
        <tr r="F16" s="4"/>
      </tp>
      <tp t="s">
        <v>#N/A N/A</v>
        <stp/>
        <stp>BDH|12020750090337344487</stp>
        <tr r="J19" s="2"/>
      </tp>
      <tp t="s">
        <v>#N/A N/A</v>
        <stp/>
        <stp>BDP|14885953944295830080</stp>
        <tr r="G17" s="3"/>
      </tp>
      <tp t="s">
        <v>#N/A N/A</v>
        <stp/>
        <stp>BDH|11173410553218249403</stp>
        <tr r="AP20" s="5"/>
        <tr r="AP20" s="4"/>
      </tp>
      <tp t="s">
        <v>#N/A N/A</v>
        <stp/>
        <stp>BDH|13107713059555841802</stp>
        <tr r="AI13" s="5"/>
        <tr r="AI13" s="4"/>
      </tp>
      <tp t="s">
        <v>#N/A N/A</v>
        <stp/>
        <stp>BDH|17043449576540364814</stp>
        <tr r="M18" s="2"/>
      </tp>
      <tp t="s">
        <v>#N/A N/A</v>
        <stp/>
        <stp>BDH|16011502578518991026</stp>
        <tr r="G9" s="2"/>
      </tp>
      <tp t="s">
        <v>#N/A N/A</v>
        <stp/>
        <stp>BDH|15844794298864345392</stp>
        <tr r="Q9" s="5"/>
        <tr r="Q9" s="4"/>
      </tp>
      <tp t="s">
        <v>#N/A N/A</v>
        <stp/>
        <stp>BDH|11802514894647672687</stp>
        <tr r="AI23" s="2"/>
      </tp>
      <tp t="s">
        <v>#N/A N/A</v>
        <stp/>
        <stp>BDH|10351443215389149001</stp>
        <tr r="X10" s="5"/>
        <tr r="X10" s="4"/>
      </tp>
      <tp t="s">
        <v>#N/A N/A</v>
        <stp/>
        <stp>BDH|10241950007813286604</stp>
        <tr r="AP24" s="5"/>
        <tr r="AP24" s="4"/>
      </tp>
      <tp t="s">
        <v>#N/A N/A</v>
        <stp/>
        <stp>BDH|11569510444448418464</stp>
        <tr r="H8" s="2"/>
      </tp>
      <tp t="s">
        <v>#N/A N/A</v>
        <stp/>
        <stp>BDH|13731618486683162248</stp>
        <tr r="U9" s="5"/>
        <tr r="U9" s="4"/>
      </tp>
      <tp t="s">
        <v>#N/A N/A</v>
        <stp/>
        <stp>BDH|15318967113658463970</stp>
        <tr r="Z18" s="5"/>
        <tr r="Z18" s="4"/>
      </tp>
      <tp t="s">
        <v>#N/A N/A</v>
        <stp/>
        <stp>BDH|17733254176116865896</stp>
        <tr r="AL22" s="5"/>
        <tr r="AL22" s="4"/>
      </tp>
      <tp t="s">
        <v>#N/A N/A</v>
        <stp/>
        <stp>BDH|17545968064644087035</stp>
        <tr r="AO18" s="2"/>
      </tp>
      <tp t="s">
        <v>#N/A N/A</v>
        <stp/>
        <stp>BDH|10079163524648305765</stp>
        <tr r="AD18" s="2"/>
      </tp>
      <tp t="s">
        <v>#N/A N/A</v>
        <stp/>
        <stp>BDH|12752410742448438675</stp>
        <tr r="AC10" s="5"/>
        <tr r="AC10" s="4"/>
      </tp>
      <tp t="s">
        <v>#N/A N/A</v>
        <stp/>
        <stp>BDH|13065418993887765539</stp>
        <tr r="AH7" s="2"/>
      </tp>
      <tp t="s">
        <v>#N/A N/A</v>
        <stp/>
        <stp>BDH|16682387411339001167</stp>
        <tr r="AN20" s="2"/>
      </tp>
      <tp t="s">
        <v>#N/A N/A</v>
        <stp/>
        <stp>BDH|10956486883330824035</stp>
        <tr r="I7" s="2"/>
      </tp>
      <tp t="s">
        <v>#N/A N/A</v>
        <stp/>
        <stp>BDH|16085607048210227817</stp>
        <tr r="V17" s="2"/>
      </tp>
      <tp t="s">
        <v>#N/A N/A</v>
        <stp/>
        <stp>BDH|14690862469500605640</stp>
        <tr r="AD24" s="2"/>
      </tp>
      <tp t="s">
        <v>#N/A N/A</v>
        <stp/>
        <stp>BDH|16776885597549316203</stp>
        <tr r="Q14" s="5"/>
        <tr r="Q14" s="4"/>
      </tp>
      <tp t="s">
        <v>#N/A N/A</v>
        <stp/>
        <stp>BDH|10495903639021712706</stp>
        <tr r="AI18" s="5"/>
        <tr r="AI18" s="4"/>
      </tp>
      <tp t="s">
        <v>#N/A N/A</v>
        <stp/>
        <stp>BDH|15337332953558852717</stp>
        <tr r="AH12" s="2"/>
      </tp>
      <tp t="s">
        <v>#N/A N/A</v>
        <stp/>
        <stp>BDH|15419381474105306869</stp>
        <tr r="V23" s="2"/>
      </tp>
      <tp t="s">
        <v>#N/A N/A</v>
        <stp/>
        <stp>BDH|13611761783955643585</stp>
        <tr r="M23" s="2"/>
      </tp>
      <tp t="s">
        <v>#N/A N/A</v>
        <stp/>
        <stp>BDH|15924867552802025614</stp>
        <tr r="AK24" s="5"/>
        <tr r="AK24" s="4"/>
      </tp>
      <tp t="s">
        <v>#N/A N/A</v>
        <stp/>
        <stp>BDH|10466971822436984142</stp>
        <tr r="T16" s="5"/>
        <tr r="T16" s="4"/>
      </tp>
      <tp t="s">
        <v>#N/A N/A</v>
        <stp/>
        <stp>BDH|17358147627968955051</stp>
        <tr r="AF20" s="5"/>
        <tr r="AF20" s="4"/>
      </tp>
      <tp t="s">
        <v>#N/A N/A</v>
        <stp/>
        <stp>BDH|11854483009721630834</stp>
        <tr r="AD14" s="5"/>
        <tr r="AD14" s="4"/>
      </tp>
      <tp t="s">
        <v>#N/A N/A</v>
        <stp/>
        <stp>BDH|18136561948356378339</stp>
        <tr r="AJ14" s="5"/>
        <tr r="AJ14" s="4"/>
      </tp>
      <tp t="s">
        <v>#N/A N/A</v>
        <stp/>
        <stp>BDH|14066526464698122381</stp>
        <tr r="C9" s="5"/>
        <tr r="C9" s="4"/>
      </tp>
      <tp t="s">
        <v>#N/A N/A</v>
        <stp/>
        <stp>BDH|16655984671976265233</stp>
        <tr r="F17" s="5"/>
        <tr r="F17" s="4"/>
      </tp>
      <tp t="s">
        <v>#N/A N/A</v>
        <stp/>
        <stp>BDP|15032778530769791580</stp>
        <tr r="AC12" s="3"/>
      </tp>
      <tp t="s">
        <v>#N/A N/A</v>
        <stp/>
        <stp>BDP|10803523556748757500</stp>
        <tr r="Y16" s="3"/>
      </tp>
      <tp t="s">
        <v>#N/A N/A</v>
        <stp/>
        <stp>BDP|15089728745318716319</stp>
        <tr r="F12" s="3"/>
      </tp>
      <tp t="s">
        <v>#N/A N/A</v>
        <stp/>
        <stp>BDP|13064268046490778870</stp>
        <tr r="AD16" s="3"/>
      </tp>
      <tp t="s">
        <v>#N/A N/A</v>
        <stp/>
        <stp>BDP|13562146312218532650</stp>
        <tr r="O16" s="3"/>
      </tp>
      <tp t="s">
        <v>#N/A N/A</v>
        <stp/>
        <stp>BDP|11725302982131052621</stp>
        <tr r="AD10" s="3"/>
      </tp>
      <tp t="s">
        <v>#N/A N/A</v>
        <stp/>
        <stp>BDP|11748814924736759035</stp>
        <tr r="I12" s="3"/>
      </tp>
      <tp t="s">
        <v>#N/A N/A</v>
        <stp/>
        <stp>BDH|18124131534443427418</stp>
        <tr r="AJ24" s="5"/>
        <tr r="AJ24" s="4"/>
      </tp>
      <tp t="s">
        <v>#N/A N/A</v>
        <stp/>
        <stp>BDH|10448842405390635503</stp>
        <tr r="AC24" s="5"/>
        <tr r="AC24" s="4"/>
      </tp>
      <tp t="s">
        <v>#N/A N/A</v>
        <stp/>
        <stp>BDH|17974067185185000789</stp>
        <tr r="AF19" s="2"/>
      </tp>
      <tp t="s">
        <v>#N/A N/A</v>
        <stp/>
        <stp>BDH|15716571623866574922</stp>
        <tr r="H23" s="2"/>
      </tp>
      <tp t="s">
        <v>#N/A N/A</v>
        <stp/>
        <stp>BDH|10821301762758747094</stp>
        <tr r="AN25" s="2"/>
      </tp>
      <tp t="s">
        <v>#N/A N/A</v>
        <stp/>
        <stp>BDH|16707546400859317776</stp>
        <tr r="AC20" s="5"/>
        <tr r="AC20" s="4"/>
      </tp>
      <tp t="s">
        <v>#N/A N/A</v>
        <stp/>
        <stp>BDH|13644907857752529037</stp>
        <tr r="N26" s="5"/>
        <tr r="N26" s="4"/>
      </tp>
      <tp t="s">
        <v>#N/A N/A</v>
        <stp/>
        <stp>BDH|10977703378439246443</stp>
        <tr r="V21" s="5"/>
        <tr r="V21" s="4"/>
      </tp>
      <tp t="s">
        <v>#N/A N/A</v>
        <stp/>
        <stp>BDH|18202293578478702829</stp>
        <tr r="G20" s="5"/>
        <tr r="G20" s="4"/>
      </tp>
      <tp t="s">
        <v>#N/A N/A</v>
        <stp/>
        <stp>BDH|11235595088071333066</stp>
        <tr r="X17" s="2"/>
      </tp>
      <tp t="s">
        <v>#N/A N/A</v>
        <stp/>
        <stp>BDH|13024872212515576260</stp>
        <tr r="I18" s="2"/>
      </tp>
      <tp t="s">
        <v>#N/A N/A</v>
        <stp/>
        <stp>BDH|11082542998498366898</stp>
        <tr r="Y21" s="5"/>
        <tr r="Y21" s="4"/>
      </tp>
      <tp t="s">
        <v>#N/A N/A</v>
        <stp/>
        <stp>BDH|10146201140789568223</stp>
        <tr r="I7" s="5"/>
        <tr r="I7" s="4"/>
      </tp>
      <tp t="s">
        <v>#N/A N/A</v>
        <stp/>
        <stp>BDH|16898875951235252356</stp>
        <tr r="AO17" s="5"/>
        <tr r="AO17" s="4"/>
      </tp>
      <tp t="s">
        <v>#N/A N/A</v>
        <stp/>
        <stp>BDH|13002543362778611594</stp>
        <tr r="C24" s="5"/>
        <tr r="C24" s="4"/>
      </tp>
      <tp t="s">
        <v>#N/A N/A</v>
        <stp/>
        <stp>BDH|15629947978862555476</stp>
        <tr r="AO10" s="5"/>
        <tr r="AO10" s="4"/>
      </tp>
      <tp t="s">
        <v>#N/A N/A</v>
        <stp/>
        <stp>BDH|10892484178028230614</stp>
        <tr r="Z13" s="2"/>
      </tp>
      <tp t="s">
        <v>#N/A N/A</v>
        <stp/>
        <stp>BDH|14805380770208884520</stp>
        <tr r="U16" s="2"/>
      </tp>
      <tp t="s">
        <v>#N/A N/A</v>
        <stp/>
        <stp>BDH|11630946070585880774</stp>
        <tr r="Z17" s="5"/>
        <tr r="Z17" s="4"/>
      </tp>
      <tp t="s">
        <v>#N/A N/A</v>
        <stp/>
        <stp>BDH|10386581610890705913</stp>
        <tr r="AA20" s="5"/>
        <tr r="AA20" s="4"/>
      </tp>
      <tp t="s">
        <v>#N/A N/A</v>
        <stp/>
        <stp>BDH|14625874433360629290</stp>
        <tr r="H26" s="5"/>
        <tr r="H26" s="4"/>
      </tp>
      <tp t="s">
        <v>#N/A N/A</v>
        <stp/>
        <stp>BDH|10354681156167011920</stp>
        <tr r="V15" s="2"/>
      </tp>
      <tp t="s">
        <v>#N/A N/A</v>
        <stp/>
        <stp>BDH|15827363127098458131</stp>
        <tr r="AM13" s="5"/>
        <tr r="AM13" s="4"/>
      </tp>
      <tp t="s">
        <v>#N/A N/A</v>
        <stp/>
        <stp>BDP|15360201344885668487</stp>
        <tr r="W12" s="3"/>
      </tp>
      <tp t="s">
        <v>#N/A N/A</v>
        <stp/>
        <stp>BDP|15213087175510403007</stp>
        <tr r="AB12" s="3"/>
      </tp>
      <tp t="s">
        <v>#N/A N/A</v>
        <stp/>
        <stp>BDP|17489299782408404747</stp>
        <tr r="AB9" s="3"/>
      </tp>
      <tp t="s">
        <v>#N/A N/A</v>
        <stp/>
        <stp>BDP|18141560551962396850</stp>
        <tr r="D10" s="3"/>
      </tp>
      <tp t="s">
        <v>#N/A N/A</v>
        <stp/>
        <stp>BDP|15042032426992684772</stp>
        <tr r="AA10" s="3"/>
      </tp>
      <tp t="s">
        <v>#N/A N/A</v>
        <stp/>
        <stp>BDP|15741461412243344170</stp>
        <tr r="AP16" s="3"/>
      </tp>
      <tp t="s">
        <v>#N/A N/A</v>
        <stp/>
        <stp>BDP|17618702662676418266</stp>
        <tr r="AJ12" s="3"/>
      </tp>
      <tp t="s">
        <v>#N/A N/A</v>
        <stp/>
        <stp>BDP|12982938580667501692</stp>
        <tr r="I17" s="3"/>
      </tp>
      <tp t="s">
        <v>#N/A N/A</v>
        <stp/>
        <stp>BDH|15521307955266839797</stp>
        <tr r="AP21" s="5"/>
        <tr r="AP21" s="4"/>
      </tp>
      <tp t="s">
        <v>#N/A N/A</v>
        <stp/>
        <stp>BDH|14717276964635703723</stp>
        <tr r="P26" s="5"/>
        <tr r="P26" s="4"/>
      </tp>
      <tp t="s">
        <v>#N/A N/A</v>
        <stp/>
        <stp>BDH|17363580469291355700</stp>
        <tr r="G21" s="5"/>
        <tr r="G21" s="4"/>
      </tp>
      <tp t="s">
        <v>#N/A N/A</v>
        <stp/>
        <stp>BDH|15730310069253666194</stp>
        <tr r="T9" s="2"/>
      </tp>
      <tp t="s">
        <v>#N/A N/A</v>
        <stp/>
        <stp>BDH|16520476601272297224</stp>
        <tr r="L8" s="5"/>
        <tr r="L8" s="4"/>
      </tp>
      <tp t="s">
        <v>#N/A N/A</v>
        <stp/>
        <stp>BDH|11011574377528640957</stp>
        <tr r="AD21" s="5"/>
        <tr r="AD21" s="4"/>
      </tp>
      <tp t="s">
        <v>#N/A N/A</v>
        <stp/>
        <stp>BDH|16378477247693745768</stp>
        <tr r="AO17" s="2"/>
      </tp>
      <tp t="s">
        <v>#N/A N/A</v>
        <stp/>
        <stp>BDH|15774464658650960659</stp>
        <tr r="S24" s="2"/>
      </tp>
      <tp t="s">
        <v>#N/A N/A</v>
        <stp/>
        <stp>BDH|13303845730742656846</stp>
        <tr r="AG8" s="5"/>
        <tr r="AG8" s="4"/>
      </tp>
      <tp t="s">
        <v>#N/A N/A</v>
        <stp/>
        <stp>BDH|13876241001512941116</stp>
        <tr r="AO18" s="5"/>
        <tr r="AO18" s="4"/>
      </tp>
      <tp t="s">
        <v>#N/A N/A</v>
        <stp/>
        <stp>BDH|14926241592499900431</stp>
        <tr r="AA17" s="5"/>
        <tr r="AA17" s="4"/>
      </tp>
      <tp t="s">
        <v>#N/A N/A</v>
        <stp/>
        <stp>BDH|15059011930604337075</stp>
        <tr r="T9" s="5"/>
        <tr r="T9" s="4"/>
      </tp>
      <tp t="s">
        <v>#N/A N/A</v>
        <stp/>
        <stp>BDH|14552942921615198853</stp>
        <tr r="D15" s="2"/>
      </tp>
      <tp t="s">
        <v>#N/A N/A</v>
        <stp/>
        <stp>BDH|14116581744515855219</stp>
        <tr r="P10" s="5"/>
        <tr r="P10" s="4"/>
      </tp>
      <tp t="s">
        <v>#N/A N/A</v>
        <stp/>
        <stp>BDH|12988791104114040304</stp>
        <tr r="AA26" s="5"/>
        <tr r="AA26" s="4"/>
      </tp>
      <tp t="s">
        <v>#N/A N/A</v>
        <stp/>
        <stp>BDH|11474861427860643974</stp>
        <tr r="F19" s="2"/>
      </tp>
      <tp t="s">
        <v>#N/A N/A</v>
        <stp/>
        <stp>BDH|11363273025775171648</stp>
        <tr r="AO7" s="2"/>
      </tp>
      <tp t="s">
        <v>#N/A N/A</v>
        <stp/>
        <stp>BDH|14679831206069355779</stp>
        <tr r="V18" s="2"/>
      </tp>
      <tp t="s">
        <v>#N/A N/A</v>
        <stp/>
        <stp>BDH|13187624863445567426</stp>
        <tr r="T18" s="2"/>
      </tp>
      <tp t="s">
        <v>#N/A N/A</v>
        <stp/>
        <stp>BDH|12233694207667993126</stp>
        <tr r="W7" s="2"/>
      </tp>
      <tp t="s">
        <v>#N/A N/A</v>
        <stp/>
        <stp>BDH|16876951732439917706</stp>
        <tr r="E16" s="2"/>
      </tp>
      <tp t="s">
        <v>#N/A N/A</v>
        <stp/>
        <stp>BDH|17426756390102736903</stp>
        <tr r="X20" s="2"/>
      </tp>
      <tp t="s">
        <v>#N/A N/A</v>
        <stp/>
        <stp>BDH|14500112378689293975</stp>
        <tr r="N9" s="5"/>
        <tr r="N9" s="4"/>
      </tp>
      <tp t="s">
        <v>#N/A N/A</v>
        <stp/>
        <stp>BDH|11048862239809275148</stp>
        <tr r="T13" s="5"/>
        <tr r="T13" s="4"/>
      </tp>
      <tp t="s">
        <v>#N/A N/A</v>
        <stp/>
        <stp>BDH|13605277744072903550</stp>
        <tr r="X15" s="2"/>
      </tp>
      <tp t="s">
        <v>#N/A N/A</v>
        <stp/>
        <stp>BDH|12616002636092861113</stp>
        <tr r="AI7" s="2"/>
      </tp>
      <tp t="s">
        <v>#N/A N/A</v>
        <stp/>
        <stp>BDH|10105195962901578451</stp>
        <tr r="M7" s="2"/>
      </tp>
      <tp t="s">
        <v>#N/A N/A</v>
        <stp/>
        <stp>BDH|12705698895876673978</stp>
        <tr r="AF17" s="5"/>
        <tr r="AF17" s="4"/>
      </tp>
      <tp t="s">
        <v>#N/A N/A</v>
        <stp/>
        <stp>BDH|16039110619562118649</stp>
        <tr r="AH10" s="5"/>
        <tr r="AH10" s="4"/>
      </tp>
      <tp t="s">
        <v>#N/A N/A</v>
        <stp/>
        <stp>BDH|17985338639446810367</stp>
        <tr r="G25" s="2"/>
      </tp>
      <tp t="s">
        <v>#N/A N/A</v>
        <stp/>
        <stp>BDH|10091007933744853546</stp>
        <tr r="K26" s="5"/>
        <tr r="K26" s="4"/>
      </tp>
      <tp t="s">
        <v>#N/A N/A</v>
        <stp/>
        <stp>BDH|15862841340653388810</stp>
        <tr r="T7" s="5"/>
        <tr r="T7" s="4"/>
      </tp>
      <tp t="s">
        <v>#N/A N/A</v>
        <stp/>
        <stp>BDH|13815842940249517475</stp>
        <tr r="C13" s="5"/>
        <tr r="C13" s="4"/>
      </tp>
      <tp t="s">
        <v>#N/A N/A</v>
        <stp/>
        <stp>BDP|13789007874826225184</stp>
        <tr r="W9" s="3"/>
      </tp>
      <tp t="s">
        <v>#N/A N/A</v>
        <stp/>
        <stp>BDP|14900321901330732451</stp>
        <tr r="E10" s="3"/>
      </tp>
      <tp t="s">
        <v>#N/A N/A</v>
        <stp/>
        <stp>BDP|15024948820399997405</stp>
        <tr r="N9" s="3"/>
      </tp>
      <tp t="s">
        <v>#N/A N/A</v>
        <stp/>
        <stp>BDP|18176543472710981917</stp>
        <tr r="E9" s="3"/>
      </tp>
      <tp t="s">
        <v>#N/A N/A</v>
        <stp/>
        <stp>BDP|15484414375561305428</stp>
        <tr r="AK9" s="3"/>
      </tp>
      <tp t="s">
        <v>#N/A N/A</v>
        <stp/>
        <stp>BDP|16288251313832113421</stp>
        <tr r="H9" s="3"/>
      </tp>
      <tp t="s">
        <v>#N/A N/A</v>
        <stp/>
        <stp>BDH|12574291279991050543</stp>
        <tr r="Z23" s="2"/>
      </tp>
      <tp t="s">
        <v>#N/A N/A</v>
        <stp/>
        <stp>BDH|16547749522621101121</stp>
        <tr r="H14" s="5"/>
        <tr r="H14" s="4"/>
      </tp>
      <tp t="s">
        <v>#N/A N/A</v>
        <stp/>
        <stp>BDH|15079462722857764733</stp>
        <tr r="M13" s="5"/>
        <tr r="M13" s="4"/>
      </tp>
      <tp t="s">
        <v>#N/A N/A</v>
        <stp/>
        <stp>BDH|17547363959827855529</stp>
        <tr r="F13" s="2"/>
      </tp>
      <tp t="s">
        <v>#N/A N/A</v>
        <stp/>
        <stp>BDH|13440462862481255327</stp>
        <tr r="AL24" s="5"/>
        <tr r="AL24" s="4"/>
      </tp>
      <tp t="s">
        <v>#N/A N/A</v>
        <stp/>
        <stp>BDH|13738418010972104776</stp>
        <tr r="E26" s="5"/>
        <tr r="E26" s="4"/>
      </tp>
      <tp t="s">
        <v>#N/A N/A</v>
        <stp/>
        <stp>BDH|18107540846553034906</stp>
        <tr r="AB25" s="5"/>
        <tr r="AB25" s="4"/>
      </tp>
      <tp t="s">
        <v>#N/A N/A</v>
        <stp/>
        <stp>BDH|16834607261096394385</stp>
        <tr r="J25" s="2"/>
      </tp>
      <tp t="s">
        <v>#N/A N/A</v>
        <stp/>
        <stp>BDH|14959902229364062858</stp>
        <tr r="J8" s="2"/>
      </tp>
      <tp t="s">
        <v>#N/A N/A</v>
        <stp/>
        <stp>BDH|13092018704223119318</stp>
        <tr r="AB21" s="5"/>
        <tr r="AB21" s="4"/>
      </tp>
      <tp t="s">
        <v>#N/A N/A</v>
        <stp/>
        <stp>BDH|14178583022950664082</stp>
        <tr r="C20" s="2"/>
      </tp>
      <tp t="s">
        <v>#N/A N/A</v>
        <stp/>
        <stp>BDH|11628394888900260906</stp>
        <tr r="AH25" s="5"/>
        <tr r="AH25" s="4"/>
      </tp>
      <tp t="s">
        <v>#N/A N/A</v>
        <stp/>
        <stp>BDH|15138755527652414123</stp>
        <tr r="E14" s="5"/>
        <tr r="E14" s="4"/>
      </tp>
      <tp t="s">
        <v>#N/A N/A</v>
        <stp/>
        <stp>BDH|16068970029857207998</stp>
        <tr r="AI15" s="2"/>
      </tp>
      <tp t="s">
        <v>#N/A N/A</v>
        <stp/>
        <stp>BDH|13448297665357956340</stp>
        <tr r="P9" s="5"/>
        <tr r="P9" s="4"/>
      </tp>
      <tp t="s">
        <v>#N/A N/A</v>
        <stp/>
        <stp>BDH|16298098471242745096</stp>
        <tr r="AP12" s="5"/>
        <tr r="AP12" s="4"/>
      </tp>
      <tp t="s">
        <v>#N/A N/A</v>
        <stp/>
        <stp>BDH|14723186029055755169</stp>
        <tr r="AB16" s="5"/>
        <tr r="AB16" s="4"/>
      </tp>
      <tp t="s">
        <v>#N/A N/A</v>
        <stp/>
        <stp>BDH|12639050462596567132</stp>
        <tr r="AK12" s="5"/>
        <tr r="AK12" s="4"/>
      </tp>
      <tp t="s">
        <v>#N/A N/A</v>
        <stp/>
        <stp>BDH|12644164305132732252</stp>
        <tr r="U7" s="5"/>
        <tr r="U7" s="4"/>
      </tp>
      <tp t="s">
        <v>#N/A N/A</v>
        <stp/>
        <stp>BDH|11924477829201876586</stp>
        <tr r="N8" s="5"/>
        <tr r="N8" s="4"/>
      </tp>
      <tp t="s">
        <v>#N/A N/A</v>
        <stp/>
        <stp>BDH|13139047535271070268</stp>
        <tr r="H9" s="2"/>
      </tp>
      <tp t="s">
        <v>#N/A N/A</v>
        <stp/>
        <stp>BDH|15373829098444953362</stp>
        <tr r="AM18" s="5"/>
        <tr r="AM18" s="4"/>
      </tp>
      <tp t="s">
        <v>#N/A N/A</v>
        <stp/>
        <stp>BDH|18008069465154871926</stp>
        <tr r="D20" s="5"/>
        <tr r="D20" s="4"/>
      </tp>
      <tp t="s">
        <v>#N/A N/A</v>
        <stp/>
        <stp>BDH|11298196145277542028</stp>
        <tr r="Q17" s="2"/>
      </tp>
      <tp t="s">
        <v>#N/A N/A</v>
        <stp/>
        <stp>BDH|10639392101117073769</stp>
        <tr r="N12" s="5"/>
        <tr r="N12" s="4"/>
      </tp>
      <tp t="s">
        <v>#N/A N/A</v>
        <stp/>
        <stp>BDH|15256389400366104331</stp>
        <tr r="AD24" s="5"/>
        <tr r="AD24" s="4"/>
      </tp>
      <tp t="s">
        <v>#N/A N/A</v>
        <stp/>
        <stp>BDH|12849382109837091528</stp>
        <tr r="T24" s="5"/>
        <tr r="T24" s="4"/>
      </tp>
      <tp t="s">
        <v>#N/A N/A</v>
        <stp/>
        <stp>BDH|14623777509487363709</stp>
        <tr r="S16" s="5"/>
        <tr r="S16" s="4"/>
      </tp>
      <tp t="s">
        <v>#N/A N/A</v>
        <stp/>
        <stp>BDH|12976055022587023459</stp>
        <tr r="J18" s="5"/>
        <tr r="J18" s="4"/>
      </tp>
      <tp t="s">
        <v>#N/A N/A</v>
        <stp/>
        <stp>BDH|15926583067417517288</stp>
        <tr r="AF13" s="2"/>
      </tp>
      <tp t="s">
        <v>#N/A N/A</v>
        <stp/>
        <stp>BDH|12607270346484544397</stp>
        <tr r="L6" s="5"/>
        <tr r="L6" s="4"/>
      </tp>
      <tp t="s">
        <v>#N/A N/A</v>
        <stp/>
        <stp>BDH|12062321358387092076</stp>
        <tr r="AH26" s="5"/>
        <tr r="AH26" s="4"/>
      </tp>
      <tp t="s">
        <v>#N/A N/A</v>
        <stp/>
        <stp>BDH|12692645842052576181</stp>
        <tr r="Z24" s="2"/>
      </tp>
      <tp t="s">
        <v>#N/A N/A</v>
        <stp/>
        <stp>BDH|16525306325420480495</stp>
        <tr r="AN13" s="5"/>
        <tr r="AN13" s="4"/>
      </tp>
      <tp t="s">
        <v>#N/A N/A</v>
        <stp/>
        <stp>BDH|16546618268101780478</stp>
        <tr r="T20" s="2"/>
      </tp>
      <tp t="s">
        <v>#N/A N/A</v>
        <stp/>
        <stp>BDH|15103745512658253891</stp>
        <tr r="AP12" s="2"/>
      </tp>
      <tp t="s">
        <v>#N/A N/A</v>
        <stp/>
        <stp>BDH|13858656256850395377</stp>
        <tr r="K9" s="2"/>
      </tp>
      <tp t="s">
        <v>#N/A N/A</v>
        <stp/>
        <stp>BDH|16113791933703303273</stp>
        <tr r="AE20" s="5"/>
        <tr r="AE20" s="4"/>
      </tp>
      <tp t="s">
        <v>#N/A N/A</v>
        <stp/>
        <stp>BDH|18346312469848582602</stp>
        <tr r="AD16" s="5"/>
        <tr r="AD16" s="4"/>
      </tp>
      <tp t="s">
        <v>#N/A N/A</v>
        <stp/>
        <stp>BDP|15316939758411926893</stp>
        <tr r="C13" s="3"/>
      </tp>
      <tp t="s">
        <v>#N/A N/A</v>
        <stp/>
        <stp>BDP|10747948916348663099</stp>
        <tr r="T9" s="3"/>
      </tp>
      <tp t="s">
        <v>#N/A N/A</v>
        <stp/>
        <stp>BDP|15206883318548571493</stp>
        <tr r="AL12" s="3"/>
      </tp>
      <tp t="s">
        <v>#N/A N/A</v>
        <stp/>
        <stp>BDP|17357434040997520047</stp>
        <tr r="M10" s="3"/>
      </tp>
      <tp t="s">
        <v>#N/A N/A</v>
        <stp/>
        <stp>BDP|16196751590121766937</stp>
        <tr r="AO13" s="3"/>
      </tp>
      <tp t="s">
        <v>#N/A N/A</v>
        <stp/>
        <stp>BDP|16609520443796437132</stp>
        <tr r="Z9" s="3"/>
      </tp>
      <tp t="s">
        <v>#N/A N/A</v>
        <stp/>
        <stp>BDH|10276247976456689373</stp>
        <tr r="AC16" s="5"/>
        <tr r="AC16" s="4"/>
      </tp>
      <tp t="s">
        <v>#N/A N/A</v>
        <stp/>
        <stp>BDH|11680055696298352078</stp>
        <tr r="AC17" s="5"/>
        <tr r="AC17" s="4"/>
      </tp>
      <tp t="s">
        <v>#N/A N/A</v>
        <stp/>
        <stp>BDH|13845719392555207889</stp>
        <tr r="U20" s="5"/>
        <tr r="U20" s="4"/>
      </tp>
      <tp t="s">
        <v>#N/A N/A</v>
        <stp/>
        <stp>BDH|12026491209922418448</stp>
        <tr r="AN20" s="5"/>
        <tr r="AN20" s="4"/>
      </tp>
      <tp t="s">
        <v>#N/A N/A</v>
        <stp/>
        <stp>BDH|16575011133420636517</stp>
        <tr r="D9" s="2"/>
      </tp>
      <tp t="s">
        <v>#N/A N/A</v>
        <stp/>
        <stp>BDH|16488363427862233575</stp>
        <tr r="W14" s="5"/>
        <tr r="W14" s="4"/>
      </tp>
      <tp t="s">
        <v>#N/A N/A</v>
        <stp/>
        <stp>BDH|12499699608436036253</stp>
        <tr r="W26" s="5"/>
        <tr r="W26" s="4"/>
      </tp>
      <tp t="s">
        <v>#N/A N/A</v>
        <stp/>
        <stp>BDH|15786096269201068241</stp>
        <tr r="Z20" s="5"/>
        <tr r="Z20" s="4"/>
      </tp>
      <tp t="s">
        <v>#N/A N/A</v>
        <stp/>
        <stp>BDH|11331690768915824493</stp>
        <tr r="L14" s="5"/>
        <tr r="L14" s="4"/>
      </tp>
      <tp t="s">
        <v>#N/A N/A</v>
        <stp/>
        <stp>BDH|13994409898107085920</stp>
        <tr r="T24" s="2"/>
      </tp>
      <tp t="s">
        <v>#N/A N/A</v>
        <stp/>
        <stp>BDH|18258805255662776736</stp>
        <tr r="AP24" s="2"/>
      </tp>
      <tp t="s">
        <v>#N/A N/A</v>
        <stp/>
        <stp>BDH|11498560591018474552</stp>
        <tr r="AO25" s="2"/>
      </tp>
      <tp t="s">
        <v>#N/A N/A</v>
        <stp/>
        <stp>BDH|17655874371561294901</stp>
        <tr r="Z9" s="2"/>
      </tp>
      <tp t="s">
        <v>#N/A N/A</v>
        <stp/>
        <stp>BDH|13703580072136809775</stp>
        <tr r="AA20" s="2"/>
      </tp>
      <tp t="s">
        <v>#N/A N/A</v>
        <stp/>
        <stp>BDH|10693541707590832580</stp>
        <tr r="V12" s="2"/>
      </tp>
      <tp t="s">
        <v>#N/A N/A</v>
        <stp/>
        <stp>BDH|15588741755331461646</stp>
        <tr r="AC14" s="5"/>
        <tr r="AC14" s="4"/>
      </tp>
      <tp t="s">
        <v>#N/A N/A</v>
        <stp/>
        <stp>BDH|17294262792405511970</stp>
        <tr r="AK16" s="2"/>
      </tp>
      <tp t="s">
        <v>#N/A N/A</v>
        <stp/>
        <stp>BDH|16642027326856246272</stp>
        <tr r="P8" s="2"/>
      </tp>
      <tp t="s">
        <v>#N/A N/A</v>
        <stp/>
        <stp>BDH|13911365040203928712</stp>
        <tr r="AC9" s="5"/>
        <tr r="AC9" s="4"/>
      </tp>
      <tp t="s">
        <v>#N/A N/A</v>
        <stp/>
        <stp>BDH|16844493856896429149</stp>
        <tr r="AF10" s="5"/>
        <tr r="AF10" s="4"/>
      </tp>
      <tp t="s">
        <v>#N/A N/A</v>
        <stp/>
        <stp>BDH|13226466265701789002</stp>
        <tr r="K7" s="5"/>
        <tr r="K7" s="4"/>
      </tp>
      <tp t="s">
        <v>#N/A N/A</v>
        <stp/>
        <stp>BDH|14430275754795780668</stp>
        <tr r="G20" s="2"/>
      </tp>
      <tp t="s">
        <v>#N/A N/A</v>
        <stp/>
        <stp>BDH|17112153251257069433</stp>
        <tr r="C12" s="2"/>
      </tp>
      <tp t="s">
        <v>#N/A N/A</v>
        <stp/>
        <stp>BDH|16848516681789383225</stp>
        <tr r="F8" s="5"/>
        <tr r="F8" s="4"/>
      </tp>
      <tp t="s">
        <v>#N/A N/A</v>
        <stp/>
        <stp>BDH|17618296053513035352</stp>
        <tr r="Q10" s="5"/>
        <tr r="Q10" s="4"/>
      </tp>
      <tp t="s">
        <v>#N/A N/A</v>
        <stp/>
        <stp>BDH|17804772070171614607</stp>
        <tr r="AH8" s="2"/>
      </tp>
      <tp t="s">
        <v>#N/A N/A</v>
        <stp/>
        <stp>BDH|17544299874543986193</stp>
        <tr r="AA7" s="2"/>
      </tp>
      <tp t="s">
        <v>#N/A N/A</v>
        <stp/>
        <stp>BDH|15241887210408542442</stp>
        <tr r="K14" s="5"/>
        <tr r="K14" s="4"/>
      </tp>
      <tp t="s">
        <v>#N/A N/A</v>
        <stp/>
        <stp>BDH|17628374433552122584</stp>
        <tr r="U26" s="5"/>
        <tr r="U26" s="4"/>
      </tp>
      <tp t="s">
        <v>#N/A N/A</v>
        <stp/>
        <stp>BDH|17573097037342178610</stp>
        <tr r="L12" s="2"/>
      </tp>
      <tp t="s">
        <v>#N/A N/A</v>
        <stp/>
        <stp>BDH|15322465532657424598</stp>
        <tr r="U14" s="5"/>
        <tr r="U14" s="4"/>
      </tp>
      <tp t="s">
        <v>#N/A N/A</v>
        <stp/>
        <stp>BDH|11968374991863070850</stp>
        <tr r="E10" s="5"/>
        <tr r="E10" s="4"/>
      </tp>
      <tp t="s">
        <v>#N/A N/A</v>
        <stp/>
        <stp>BDH|10168989487455636452</stp>
        <tr r="AL15" s="2"/>
      </tp>
      <tp t="s">
        <v>#N/A N/A</v>
        <stp/>
        <stp>BDH|16486510149184247330</stp>
        <tr r="AN24" s="2"/>
      </tp>
      <tp t="s">
        <v>#N/A N/A</v>
        <stp/>
        <stp>BDH|14986722553154189243</stp>
        <tr r="E15" s="2"/>
      </tp>
      <tp t="s">
        <v>#N/A N/A</v>
        <stp/>
        <stp>BDH|17539147283196947845</stp>
        <tr r="AB15" s="2"/>
      </tp>
      <tp t="s">
        <v>#N/A N/A</v>
        <stp/>
        <stp>BDH|16761822390066828139</stp>
        <tr r="AL25" s="5"/>
        <tr r="AL25" s="4"/>
      </tp>
      <tp t="s">
        <v>#N/A N/A</v>
        <stp/>
        <stp>BDH|14262149848208309930</stp>
        <tr r="T17" s="5"/>
        <tr r="T17" s="4"/>
      </tp>
    </main>
    <main first="bofaddin.rtdserver">
      <tp t="s">
        <v>#N/A N/A</v>
        <stp/>
        <stp>BDP|15372476513408941973</stp>
        <tr r="I16" s="3"/>
      </tp>
      <tp t="s">
        <v>#N/A N/A</v>
        <stp/>
        <stp>BDP|16709567907094617697</stp>
        <tr r="X16" s="3"/>
      </tp>
      <tp t="s">
        <v>#N/A N/A</v>
        <stp/>
        <stp>BDP|14371571732905862647</stp>
        <tr r="AM12" s="3"/>
      </tp>
      <tp t="s">
        <v>#N/A N/A</v>
        <stp/>
        <stp>BDP|14264473027836843565</stp>
        <tr r="L17" s="3"/>
      </tp>
    </main>
    <main first="bofaddin.rtdserver">
      <tp t="s">
        <v>#N/A N/A</v>
        <stp/>
        <stp>BDP|13576174442000173731</stp>
        <tr r="K12" s="3"/>
      </tp>
      <tp t="s">
        <v>#N/A N/A</v>
        <stp/>
        <stp>BDP|10125462580715599870</stp>
        <tr r="AC13" s="3"/>
      </tp>
      <tp t="s">
        <v>#N/A N/A</v>
        <stp/>
        <stp>BDP|14489602170947798343</stp>
        <tr r="AG12" s="3"/>
      </tp>
      <tp t="s">
        <v>#N/A N/A</v>
        <stp/>
        <stp>BDP|16150444156247485104</stp>
        <tr r="AB13" s="3"/>
      </tp>
      <tp t="s">
        <v>#N/A N/A</v>
        <stp/>
        <stp>BDH|16118045904651041607</stp>
        <tr r="Z16" s="5"/>
        <tr r="Z16" s="4"/>
      </tp>
      <tp t="s">
        <v>#N/A N/A</v>
        <stp/>
        <stp>BDH|14593511416661309009</stp>
        <tr r="T17" s="2"/>
      </tp>
      <tp t="s">
        <v>#N/A N/A</v>
        <stp/>
        <stp>BDH|15498769493688432242</stp>
        <tr r="L7" s="5"/>
        <tr r="L7" s="4"/>
      </tp>
      <tp t="s">
        <v>#N/A N/A</v>
        <stp/>
        <stp>BDH|15529379112733733575</stp>
        <tr r="I21" s="5"/>
        <tr r="I21" s="4"/>
      </tp>
      <tp t="s">
        <v>#N/A N/A</v>
        <stp/>
        <stp>BDH|13205049416640592358</stp>
        <tr r="AG23" s="2"/>
      </tp>
      <tp t="s">
        <v>#N/A N/A</v>
        <stp/>
        <stp>BDH|13078472922815141145</stp>
        <tr r="S8" s="5"/>
        <tr r="S8" s="4"/>
      </tp>
      <tp t="s">
        <v>#N/A N/A</v>
        <stp/>
        <stp>BDH|11580582521940857747</stp>
        <tr r="AK8" s="5"/>
        <tr r="AK8" s="4"/>
      </tp>
      <tp t="s">
        <v>#N/A N/A</v>
        <stp/>
        <stp>BDH|15238860968879644397</stp>
        <tr r="AB9" s="5"/>
        <tr r="AB9" s="4"/>
      </tp>
      <tp t="s">
        <v>#N/A N/A</v>
        <stp/>
        <stp>BDH|17252118847914303747</stp>
        <tr r="I23" s="2"/>
      </tp>
      <tp t="s">
        <v>#N/A N/A</v>
        <stp/>
        <stp>BDH|15042083537393453481</stp>
        <tr r="P21" s="5"/>
        <tr r="P21" s="4"/>
      </tp>
      <tp t="s">
        <v>#N/A N/A</v>
        <stp/>
        <stp>BDH|16139859967631145800</stp>
        <tr r="AO12" s="5"/>
        <tr r="AO12" s="4"/>
      </tp>
      <tp t="s">
        <v>#N/A N/A</v>
        <stp/>
        <stp>BDH|10665574875335656600</stp>
        <tr r="V16" s="2"/>
      </tp>
      <tp t="s">
        <v>#N/A N/A</v>
        <stp/>
        <stp>BDH|16056244472751001342</stp>
        <tr r="P25" s="2"/>
      </tp>
      <tp t="s">
        <v>#N/A N/A</v>
        <stp/>
        <stp>BDH|15917479828362506063</stp>
        <tr r="H10" s="5"/>
        <tr r="H10" s="4"/>
      </tp>
      <tp t="s">
        <v>#N/A N/A</v>
        <stp/>
        <stp>BDH|16119242705403198642</stp>
        <tr r="X9" s="5"/>
        <tr r="X9" s="4"/>
      </tp>
      <tp t="s">
        <v>#N/A N/A</v>
        <stp/>
        <stp>BDH|10167330742741032768</stp>
        <tr r="P17" s="5"/>
        <tr r="P17" s="4"/>
      </tp>
      <tp t="s">
        <v>#N/A N/A</v>
        <stp/>
        <stp>BDH|18353959166385088369</stp>
        <tr r="Z15" s="2"/>
      </tp>
      <tp t="s">
        <v>#N/A N/A</v>
        <stp/>
        <stp>BDH|15193875493485659050</stp>
        <tr r="I17" s="2"/>
      </tp>
      <tp t="s">
        <v>#N/A N/A</v>
        <stp/>
        <stp>BDH|12870695045211151039</stp>
        <tr r="AK26" s="5"/>
        <tr r="AK26" s="4"/>
      </tp>
      <tp t="s">
        <v>#N/A N/A</v>
        <stp/>
        <stp>BDH|10145467850310879094</stp>
        <tr r="AJ17" s="2"/>
      </tp>
      <tp t="s">
        <v>#N/A N/A</v>
        <stp/>
        <stp>BDH|14628354673395055467</stp>
        <tr r="P9" s="2"/>
      </tp>
      <tp t="s">
        <v>#N/A N/A</v>
        <stp/>
        <stp>BDH|11984787675835512584</stp>
        <tr r="AP22" s="5"/>
        <tr r="AP22" s="4"/>
      </tp>
      <tp t="s">
        <v>#N/A N/A</v>
        <stp/>
        <stp>BDH|12574065034573839374</stp>
        <tr r="H18" s="5"/>
        <tr r="H18" s="4"/>
      </tp>
      <tp t="s">
        <v>#N/A N/A</v>
        <stp/>
        <stp>BDH|16978621962327836090</stp>
        <tr r="U17" s="5"/>
        <tr r="U17" s="4"/>
      </tp>
      <tp t="s">
        <v>#N/A N/A</v>
        <stp/>
        <stp>BDH|10378434565780879360</stp>
        <tr r="T23" s="2"/>
      </tp>
      <tp t="s">
        <v>#N/A N/A</v>
        <stp/>
        <stp>BDH|15770609702930905274</stp>
        <tr r="E19" s="2"/>
      </tp>
      <tp t="s">
        <v>#N/A N/A</v>
        <stp/>
        <stp>BDH|11716821542148522491</stp>
        <tr r="V9" s="2"/>
      </tp>
      <tp t="s">
        <v>#N/A N/A</v>
        <stp/>
        <stp>BDH|13917515546420363364</stp>
        <tr r="W10" s="5"/>
        <tr r="W10" s="4"/>
      </tp>
      <tp t="s">
        <v>#N/A N/A</v>
        <stp/>
        <stp>BDH|13068022956995667280</stp>
        <tr r="H17" s="5"/>
        <tr r="H17" s="4"/>
      </tp>
      <tp t="s">
        <v>#N/A N/A</v>
        <stp/>
        <stp>BDH|12345088925908042946</stp>
        <tr r="C8" s="5"/>
        <tr r="C8" s="4"/>
      </tp>
      <tp t="s">
        <v>#N/A N/A</v>
        <stp/>
        <stp>BDH|16155584421025537574</stp>
        <tr r="AF17" s="2"/>
      </tp>
      <tp t="s">
        <v>#N/A N/A</v>
        <stp/>
        <stp>BDH|14676255707865907201</stp>
        <tr r="D10" s="5"/>
        <tr r="D10" s="4"/>
      </tp>
      <tp t="s">
        <v>#N/A N/A</v>
        <stp/>
        <stp>BDH|13324790312762336667</stp>
        <tr r="M25" s="2"/>
      </tp>
      <tp t="s">
        <v>#N/A N/A</v>
        <stp/>
        <stp>BDH|12378806812828439293</stp>
        <tr r="AM26" s="5"/>
        <tr r="AM26" s="4"/>
      </tp>
      <tp t="s">
        <v>#N/A N/A</v>
        <stp/>
        <stp>BDH|14492374201234602280</stp>
        <tr r="AJ20" s="2"/>
      </tp>
      <tp t="s">
        <v>#N/A N/A</v>
        <stp/>
        <stp>BDH|15853093255754138591</stp>
        <tr r="L7" s="2"/>
      </tp>
      <tp t="s">
        <v>#N/A N/A</v>
        <stp/>
        <stp>BDH|14745577540321877541</stp>
        <tr r="M12" s="5"/>
        <tr r="M12" s="4"/>
      </tp>
      <tp t="s">
        <v>#N/A N/A</v>
        <stp/>
        <stp>BDH|12431500728854345000</stp>
        <tr r="F9" s="2"/>
      </tp>
      <tp t="s">
        <v>#N/A N/A</v>
        <stp/>
        <stp>BDH|15273185825325010210</stp>
        <tr r="I25" s="5"/>
        <tr r="I25" s="4"/>
      </tp>
      <tp t="s">
        <v>#N/A N/A</v>
        <stp/>
        <stp>BDP|10989121461094054530</stp>
        <tr r="M17" s="3"/>
      </tp>
      <tp t="s">
        <v>#N/A N/A</v>
        <stp/>
        <stp>BDP|13764892382484576107</stp>
        <tr r="U9" s="3"/>
      </tp>
      <tp t="s">
        <v>#N/A N/A</v>
        <stp/>
        <stp>BDP|11906054682328249742</stp>
        <tr r="E12" s="3"/>
      </tp>
      <tp t="s">
        <v>#N/A N/A</v>
        <stp/>
        <stp>BDP|12884975891495623146</stp>
        <tr r="I10" s="3"/>
      </tp>
      <tp t="s">
        <v>#N/A N/A</v>
        <stp/>
        <stp>BDP|18361454332219841009</stp>
        <tr r="O13" s="3"/>
      </tp>
      <tp t="s">
        <v>#N/A N/A</v>
        <stp/>
        <stp>BDP|10138837579910165946</stp>
        <tr r="S17" s="3"/>
      </tp>
      <tp t="s">
        <v>#N/A N/A</v>
        <stp/>
        <stp>BDP|16722139454593891796</stp>
        <tr r="W16" s="3"/>
      </tp>
      <tp t="s">
        <v>#N/A N/A</v>
        <stp/>
        <stp>BDP|12391048559334543588</stp>
        <tr r="F13" s="3"/>
      </tp>
      <tp t="s">
        <v>#N/A N/A</v>
        <stp/>
        <stp>BDP|14955929604529851248</stp>
        <tr r="N17" s="3"/>
      </tp>
      <tp t="s">
        <v>#N/A N/A</v>
        <stp/>
        <stp>BDP|15491678026332353546</stp>
        <tr r="J13" s="3"/>
      </tp>
      <tp t="s">
        <v>#N/A N/A</v>
        <stp/>
        <stp>BDP|10168722137236608467</stp>
        <tr r="AH9" s="3"/>
      </tp>
      <tp t="s">
        <v>#N/A N/A</v>
        <stp/>
        <stp>BDP|18255782236352867807</stp>
        <tr r="M9" s="3"/>
      </tp>
      <tp t="s">
        <v>#N/A N/A</v>
        <stp/>
        <stp>BDP|17587574216860354516</stp>
        <tr r="P13" s="3"/>
      </tp>
      <tp t="s">
        <v>#N/A N/A</v>
        <stp/>
        <stp>BDH|10151655513280771118</stp>
        <tr r="N18" s="2"/>
      </tp>
      <tp t="s">
        <v>#N/A N/A</v>
        <stp/>
        <stp>BDH|16771222416267145431</stp>
        <tr r="M6" s="5"/>
        <tr r="M6" s="4"/>
      </tp>
      <tp t="s">
        <v>#N/A N/A</v>
        <stp/>
        <stp>BDH|10440115816493645546</stp>
        <tr r="V19" s="2"/>
      </tp>
      <tp t="s">
        <v>#N/A N/A</v>
        <stp/>
        <stp>BDH|16234441175721491272</stp>
        <tr r="M22" s="5"/>
        <tr r="M22" s="4"/>
      </tp>
      <tp t="s">
        <v>#N/A N/A</v>
        <stp/>
        <stp>BDH|14779466797838050761</stp>
        <tr r="AK17" s="5"/>
        <tr r="AK17" s="4"/>
      </tp>
      <tp t="s">
        <v>#N/A N/A</v>
        <stp/>
        <stp>BDH|15098696368442610177</stp>
        <tr r="AL23" s="2"/>
      </tp>
      <tp t="s">
        <v>#N/A N/A</v>
        <stp/>
        <stp>BDH|13824795460254028013</stp>
        <tr r="Y13" s="5"/>
        <tr r="Y13" s="4"/>
      </tp>
      <tp t="s">
        <v>#N/A N/A</v>
        <stp/>
        <stp>BDH|12014218441103463175</stp>
        <tr r="R17" s="2"/>
      </tp>
      <tp t="s">
        <v>#N/A N/A</v>
        <stp/>
        <stp>BDH|17247024916431147149</stp>
        <tr r="AF25" s="5"/>
        <tr r="AF25" s="4"/>
      </tp>
      <tp t="s">
        <v>#N/A N/A</v>
        <stp/>
        <stp>BDH|14929029349892409452</stp>
        <tr r="D12" s="2"/>
      </tp>
    </main>
    <main first="bofaddin.rtdserver">
      <tp t="s">
        <v>#N/A N/A</v>
        <stp/>
        <stp>BDH|16071039532702342106</stp>
        <tr r="AB12" s="5"/>
        <tr r="AB12" s="4"/>
      </tp>
      <tp t="s">
        <v>#N/A N/A</v>
        <stp/>
        <stp>BDH|14150173874582703679</stp>
        <tr r="Y24" s="2"/>
      </tp>
      <tp t="s">
        <v>#N/A N/A</v>
        <stp/>
        <stp>BDH|17189329325835256565</stp>
        <tr r="N12" s="2"/>
      </tp>
      <tp t="s">
        <v>#N/A N/A</v>
        <stp/>
        <stp>BDH|11590622821083402006</stp>
        <tr r="AN23" s="2"/>
      </tp>
      <tp t="s">
        <v>#N/A N/A</v>
        <stp/>
        <stp>BDH|17557203256847182104</stp>
        <tr r="AF25" s="2"/>
      </tp>
      <tp t="s">
        <v>#N/A N/A</v>
        <stp/>
        <stp>BDH|16512915081486036776</stp>
        <tr r="AG20" s="5"/>
        <tr r="AG20" s="4"/>
      </tp>
      <tp t="s">
        <v>#N/A N/A</v>
        <stp/>
        <stp>BDH|11530512512470407300</stp>
        <tr r="AH24" s="5"/>
        <tr r="AH24" s="4"/>
      </tp>
      <tp t="s">
        <v>#N/A N/A</v>
        <stp/>
        <stp>BDH|15355044126014538515</stp>
        <tr r="V17" s="5"/>
        <tr r="V17" s="4"/>
      </tp>
      <tp t="s">
        <v>#N/A N/A</v>
        <stp/>
        <stp>BDH|17523318683943199921</stp>
        <tr r="AP14" s="5"/>
        <tr r="AP14" s="4"/>
      </tp>
      <tp t="s">
        <v>#N/A N/A</v>
        <stp/>
        <stp>BDH|18143160633765796971</stp>
        <tr r="AB6" s="5"/>
        <tr r="AB6" s="4"/>
      </tp>
      <tp t="s">
        <v>#N/A N/A</v>
        <stp/>
        <stp>BDH|17792710914502003562</stp>
        <tr r="AO23" s="2"/>
      </tp>
      <tp t="s">
        <v>#N/A N/A</v>
        <stp/>
        <stp>BDH|17589713428627871336</stp>
        <tr r="AJ17" s="5"/>
        <tr r="AJ17" s="4"/>
      </tp>
      <tp t="s">
        <v>#N/A N/A</v>
        <stp/>
        <stp>BDH|13700062000520602504</stp>
        <tr r="J22" s="5"/>
        <tr r="J22" s="4"/>
      </tp>
      <tp t="s">
        <v>#N/A N/A</v>
        <stp/>
        <stp>BDH|12475642532445644431</stp>
        <tr r="AG7" s="5"/>
        <tr r="AG7" s="4"/>
      </tp>
      <tp t="s">
        <v>#N/A N/A</v>
        <stp/>
        <stp>BDH|14559828999951805210</stp>
        <tr r="H24" s="2"/>
      </tp>
      <tp t="s">
        <v>#N/A N/A</v>
        <stp/>
        <stp>BDH|10840598578385610195</stp>
        <tr r="AA19" s="2"/>
      </tp>
      <tp t="s">
        <v>#N/A N/A</v>
        <stp/>
        <stp>BDH|14129093560402824668</stp>
        <tr r="AG16" s="5"/>
        <tr r="AG16" s="4"/>
      </tp>
      <tp t="s">
        <v>#N/A N/A</v>
        <stp/>
        <stp>BDH|14776467432206386367</stp>
        <tr r="R19" s="2"/>
      </tp>
      <tp t="s">
        <v>#N/A N/A</v>
        <stp/>
        <stp>BDH|17096693312853898559</stp>
        <tr r="AG9" s="2"/>
      </tp>
      <tp t="s">
        <v>#N/A N/A</v>
        <stp/>
        <stp>BDH|13914382899438541740</stp>
        <tr r="W7" s="5"/>
        <tr r="W7" s="4"/>
      </tp>
      <tp t="s">
        <v>#N/A N/A</v>
        <stp/>
        <stp>BDH|10517388966725688647</stp>
        <tr r="AM25" s="2"/>
      </tp>
      <tp t="s">
        <v>#N/A N/A</v>
        <stp/>
        <stp>BDH|12651074934543461487</stp>
        <tr r="AM16" s="2"/>
      </tp>
      <tp t="s">
        <v>#N/A N/A</v>
        <stp/>
        <stp>BDH|11063176254105256698</stp>
        <tr r="AI21" s="5"/>
        <tr r="AI21" s="4"/>
      </tp>
      <tp t="s">
        <v>#N/A N/A</v>
        <stp/>
        <stp>BDH|15633583798257873864</stp>
        <tr r="AE12" s="2"/>
      </tp>
      <tp t="s">
        <v>#N/A N/A</v>
        <stp/>
        <stp>BDH|14211825881592000095</stp>
        <tr r="S18" s="5"/>
        <tr r="S18" s="4"/>
      </tp>
      <tp t="s">
        <v>#N/A N/A</v>
        <stp/>
        <stp>BDH|16622562479595344719</stp>
        <tr r="AI9" s="5"/>
        <tr r="AI9" s="4"/>
      </tp>
      <tp t="s">
        <v>#N/A N/A</v>
        <stp/>
        <stp>BDH|17543451267871870249</stp>
        <tr r="Q12" s="2"/>
      </tp>
      <tp t="s">
        <v>#N/A N/A</v>
        <stp/>
        <stp>BDH|14798435468777075767</stp>
        <tr r="T13" s="2"/>
      </tp>
      <tp t="s">
        <v>#N/A N/A</v>
        <stp/>
        <stp>BDH|13510248017864898222</stp>
        <tr r="E7" s="2"/>
      </tp>
      <tp t="s">
        <v>#N/A N/A</v>
        <stp/>
        <stp>BDH|14494759537171897725</stp>
        <tr r="AH6" s="5"/>
        <tr r="AH6" s="4"/>
      </tp>
      <tp t="s">
        <v>#N/A N/A</v>
        <stp/>
        <stp>BDH|17666316251233974438</stp>
        <tr r="W19" s="2"/>
      </tp>
      <tp t="s">
        <v>#N/A N/A</v>
        <stp/>
        <stp>BDH|12556784577654035059</stp>
        <tr r="F17" s="2"/>
      </tp>
      <tp t="s">
        <v>#N/A N/A</v>
        <stp/>
        <stp>BDH|16875449181129450579</stp>
        <tr r="AP18" s="5"/>
        <tr r="AP18" s="4"/>
      </tp>
      <tp t="s">
        <v>#N/A N/A</v>
        <stp/>
        <stp>BDH|10113054969336307606</stp>
        <tr r="G8" s="5"/>
        <tr r="G8" s="4"/>
      </tp>
      <tp t="s">
        <v>#N/A N/A</v>
        <stp/>
        <stp>BDH|13951450154512358653</stp>
        <tr r="AP8" s="5"/>
        <tr r="AP8" s="4"/>
      </tp>
      <tp t="s">
        <v>#N/A N/A</v>
        <stp/>
        <stp>BDP|16283764534924329199</stp>
        <tr r="AI12" s="3"/>
      </tp>
      <tp t="s">
        <v>#N/A N/A</v>
        <stp/>
        <stp>BDP|11886522048844776379</stp>
        <tr r="D13" s="3"/>
      </tp>
      <tp t="s">
        <v>#N/A N/A</v>
        <stp/>
        <stp>BDP|14864317143201121593</stp>
        <tr r="AG9" s="3"/>
      </tp>
      <tp t="s">
        <v>#N/A N/A</v>
        <stp/>
        <stp>BDP|16849508512573928670</stp>
        <tr r="AK13" s="3"/>
      </tp>
      <tp t="s">
        <v>#N/A N/A</v>
        <stp/>
        <stp>BDP|17030795745956844504</stp>
        <tr r="AM17" s="3"/>
      </tp>
      <tp t="s">
        <v>#N/A N/A</v>
        <stp/>
        <stp>BDP|12332144141665431554</stp>
        <tr r="AD17" s="3"/>
      </tp>
      <tp t="s">
        <v>#N/A N/A</v>
        <stp/>
        <stp>BDP|16827280436403695362</stp>
        <tr r="Z17" s="3"/>
      </tp>
      <tp t="s">
        <v>#N/A N/A</v>
        <stp/>
        <stp>BDH|14323072358014597287</stp>
        <tr r="AN18" s="5"/>
        <tr r="AN18" s="4"/>
      </tp>
      <tp t="s">
        <v>#N/A N/A</v>
        <stp/>
        <stp>BDH|11837993806668752716</stp>
        <tr r="AP17" s="5"/>
        <tr r="AP17" s="4"/>
      </tp>
      <tp t="s">
        <v>#N/A N/A</v>
        <stp/>
        <stp>BDH|18044099492737263193</stp>
        <tr r="O8" s="5"/>
        <tr r="O8" s="4"/>
      </tp>
      <tp t="s">
        <v>#N/A N/A</v>
        <stp/>
        <stp>BDH|11051742763446069148</stp>
        <tr r="AB25" s="2"/>
      </tp>
      <tp t="s">
        <v>#N/A N/A</v>
        <stp/>
        <stp>BDH|17450110823074400712</stp>
        <tr r="V7" s="5"/>
        <tr r="V7" s="4"/>
      </tp>
      <tp t="s">
        <v>#N/A N/A</v>
        <stp/>
        <stp>BDH|14390680016805980163</stp>
        <tr r="J13" s="5"/>
        <tr r="J13" s="4"/>
      </tp>
      <tp t="s">
        <v>#N/A N/A</v>
        <stp/>
        <stp>BDH|15180250566615005374</stp>
        <tr r="G18" s="5"/>
        <tr r="G18" s="4"/>
      </tp>
      <tp t="s">
        <v>#N/A N/A</v>
        <stp/>
        <stp>BDH|16295835193496005671</stp>
        <tr r="K9" s="5"/>
        <tr r="K9" s="4"/>
      </tp>
      <tp t="s">
        <v>#N/A N/A</v>
        <stp/>
        <stp>BDH|14354245808098332995</stp>
        <tr r="AJ18" s="5"/>
        <tr r="AJ18" s="4"/>
      </tp>
      <tp t="s">
        <v>#N/A N/A</v>
        <stp/>
        <stp>BDH|17186148447924119170</stp>
        <tr r="AM8" s="5"/>
        <tr r="AM8" s="4"/>
      </tp>
      <tp t="s">
        <v>#N/A N/A</v>
        <stp/>
        <stp>BDH|15147797377442911029</stp>
        <tr r="V25" s="5"/>
        <tr r="V25" s="4"/>
      </tp>
      <tp t="s">
        <v>#N/A N/A</v>
        <stp/>
        <stp>BDH|14988817144289827603</stp>
        <tr r="F23" s="2"/>
      </tp>
      <tp t="s">
        <v>#N/A N/A</v>
        <stp/>
        <stp>BDH|17110107638270664281</stp>
        <tr r="AJ25" s="5"/>
        <tr r="AJ25" s="4"/>
      </tp>
      <tp t="s">
        <v>#N/A N/A</v>
        <stp/>
        <stp>BDH|16412008740904161121</stp>
        <tr r="H16" s="2"/>
      </tp>
      <tp t="s">
        <v>#N/A N/A</v>
        <stp/>
        <stp>BDH|11541121092737224906</stp>
        <tr r="J21" s="5"/>
        <tr r="J21" s="4"/>
      </tp>
      <tp t="s">
        <v>#N/A N/A</v>
        <stp/>
        <stp>BDH|12421175954563251223</stp>
        <tr r="L10" s="5"/>
        <tr r="L10" s="4"/>
      </tp>
      <tp t="s">
        <v>#N/A N/A</v>
        <stp/>
        <stp>BDH|13503714826363632226</stp>
        <tr r="AK13" s="5"/>
        <tr r="AK13" s="4"/>
      </tp>
      <tp t="s">
        <v>#N/A N/A</v>
        <stp/>
        <stp>BDH|12008061071666918487</stp>
        <tr r="I8" s="2"/>
      </tp>
      <tp t="s">
        <v>#N/A N/A</v>
        <stp/>
        <stp>BDH|13041268888629037777</stp>
        <tr r="AA16" s="2"/>
      </tp>
      <tp t="s">
        <v>#N/A N/A</v>
        <stp/>
        <stp>BDH|10879199428505906197</stp>
        <tr r="I20" s="2"/>
      </tp>
      <tp t="s">
        <v>#N/A N/A</v>
        <stp/>
        <stp>BDH|12997495057461773593</stp>
        <tr r="AA8" s="5"/>
        <tr r="AA8" s="4"/>
      </tp>
      <tp t="s">
        <v>#N/A N/A</v>
        <stp/>
        <stp>BDH|14366233029775454647</stp>
        <tr r="R9" s="5"/>
        <tr r="R9" s="4"/>
      </tp>
      <tp t="s">
        <v>#N/A N/A</v>
        <stp/>
        <stp>BDH|15567689225147425144</stp>
        <tr r="N21" s="5"/>
        <tr r="N21" s="4"/>
      </tp>
      <tp t="s">
        <v>#N/A N/A</v>
        <stp/>
        <stp>BDH|14505719640533952357</stp>
        <tr r="Y17" s="2"/>
      </tp>
      <tp t="s">
        <v>#N/A N/A</v>
        <stp/>
        <stp>BDH|10282261842674543586</stp>
        <tr r="T25" s="5"/>
        <tr r="T25" s="4"/>
      </tp>
      <tp t="s">
        <v>#N/A N/A</v>
        <stp/>
        <stp>BDH|15476294750862436736</stp>
        <tr r="T8" s="5"/>
        <tr r="T8" s="4"/>
      </tp>
      <tp t="s">
        <v>#N/A N/A</v>
        <stp/>
        <stp>BDH|10422667321415684682</stp>
        <tr r="Z7" s="5"/>
        <tr r="Z7" s="4"/>
      </tp>
      <tp t="s">
        <v>#N/A N/A</v>
        <stp/>
        <stp>BDH|16372580364674672645</stp>
        <tr r="M14" s="5"/>
        <tr r="M14" s="4"/>
      </tp>
      <tp t="s">
        <v>#N/A N/A</v>
        <stp/>
        <stp>BDH|14214034612947603598</stp>
        <tr r="S7" s="5"/>
        <tr r="S7" s="4"/>
      </tp>
      <tp t="s">
        <v>#N/A N/A</v>
        <stp/>
        <stp>BDH|13466727225687928659</stp>
        <tr r="AA25" s="2"/>
      </tp>
      <tp t="s">
        <v>#N/A N/A</v>
        <stp/>
        <stp>BDH|18261882660097734620</stp>
        <tr r="E18" s="5"/>
        <tr r="E18" s="4"/>
      </tp>
      <tp t="s">
        <v>#N/A N/A</v>
        <stp/>
        <stp>BDH|14330090323136075760</stp>
        <tr r="O7" s="5"/>
        <tr r="O7" s="4"/>
      </tp>
      <tp t="s">
        <v>#N/A N/A</v>
        <stp/>
        <stp>BDH|13006672969894607061</stp>
        <tr r="AI20" s="2"/>
      </tp>
    </main>
    <main first="bofaddin.rtdserver">
      <tp t="s">
        <v>#N/A N/A</v>
        <stp/>
        <stp>BDP|10433941547090866968</stp>
        <tr r="H12" s="3"/>
      </tp>
      <tp t="s">
        <v>#N/A N/A</v>
        <stp/>
        <stp>BDP|11195742345362854428</stp>
        <tr r="U12" s="3"/>
      </tp>
      <tp t="s">
        <v>#N/A N/A</v>
        <stp/>
        <stp>BDP|16847753945871602037</stp>
        <tr r="AG16" s="3"/>
      </tp>
      <tp t="s">
        <v>#N/A N/A</v>
        <stp/>
        <stp>BDP|14155222271741920467</stp>
        <tr r="C12" s="3"/>
      </tp>
      <tp t="s">
        <v>#N/A N/A</v>
        <stp/>
        <stp>BDP|13238396854374297594</stp>
        <tr r="R10" s="3"/>
      </tp>
      <tp t="s">
        <v>#N/A N/A</v>
        <stp/>
        <stp>BDP|16365744320115707265</stp>
        <tr r="AL10" s="3"/>
      </tp>
      <tp t="s">
        <v>#N/A N/A</v>
        <stp/>
        <stp>BDH|14447216363542285654</stp>
        <tr r="I26" s="5"/>
        <tr r="I26" s="4"/>
      </tp>
      <tp t="s">
        <v>#N/A N/A</v>
        <stp/>
        <stp>BDH|12758508665946698344</stp>
        <tr r="W21" s="5"/>
        <tr r="W21" s="4"/>
      </tp>
      <tp t="s">
        <v>#N/A N/A</v>
        <stp/>
        <stp>BDH|11782077881609532445</stp>
        <tr r="P13" s="2"/>
      </tp>
      <tp t="s">
        <v>#N/A N/A</v>
        <stp/>
        <stp>BDH|11004722382293069905</stp>
        <tr r="L19" s="2"/>
      </tp>
      <tp t="s">
        <v>#N/A N/A</v>
        <stp/>
        <stp>BDH|11809653959977652117</stp>
        <tr r="D6" s="5"/>
        <tr r="D6" s="4"/>
      </tp>
      <tp t="s">
        <v>#N/A N/A</v>
        <stp/>
        <stp>BDH|14794521369092652193</stp>
        <tr r="AG12" s="2"/>
      </tp>
      <tp t="s">
        <v>#N/A N/A</v>
        <stp/>
        <stp>BDH|14034058100378629808</stp>
        <tr r="E6" s="5"/>
        <tr r="E6" s="4"/>
      </tp>
      <tp t="s">
        <v>#N/A N/A</v>
        <stp/>
        <stp>BDH|16566378876530544631</stp>
        <tr r="Q9" s="2"/>
      </tp>
      <tp t="s">
        <v>#N/A N/A</v>
        <stp/>
        <stp>BDH|11606736390088773303</stp>
        <tr r="F25" s="5"/>
        <tr r="F25" s="4"/>
      </tp>
      <tp t="s">
        <v>#N/A N/A</v>
        <stp/>
        <stp>BDH|15171240500351173266</stp>
        <tr r="AJ12" s="5"/>
        <tr r="AJ12" s="4"/>
      </tp>
      <tp t="s">
        <v>#N/A N/A</v>
        <stp/>
        <stp>BDH|13377194476623711290</stp>
        <tr r="R18" s="5"/>
        <tr r="R18" s="4"/>
      </tp>
      <tp t="s">
        <v>#N/A N/A</v>
        <stp/>
        <stp>BDH|15927685326147572278</stp>
        <tr r="AO8" s="5"/>
        <tr r="AO8" s="4"/>
      </tp>
      <tp t="s">
        <v>#N/A N/A</v>
        <stp/>
        <stp>BDH|14594705438522154699</stp>
        <tr r="H6" s="5"/>
        <tr r="H6" s="4"/>
      </tp>
      <tp t="s">
        <v>#N/A N/A</v>
        <stp/>
        <stp>BDH|11941152836550687780</stp>
        <tr r="AF8" s="5"/>
        <tr r="AF8" s="4"/>
      </tp>
      <tp t="s">
        <v>#N/A N/A</v>
        <stp/>
        <stp>BDH|12046267730500388725</stp>
        <tr r="AC6" s="5"/>
        <tr r="AC6" s="4"/>
      </tp>
      <tp t="s">
        <v>#N/A N/A</v>
        <stp/>
        <stp>BDH|15757061305143274210</stp>
        <tr r="AJ10" s="5"/>
        <tr r="AJ10" s="4"/>
      </tp>
      <tp t="s">
        <v>#N/A N/A</v>
        <stp/>
        <stp>BDH|16619742846750486166</stp>
        <tr r="N14" s="5"/>
        <tr r="N14" s="4"/>
      </tp>
      <tp t="s">
        <v>#N/A N/A</v>
        <stp/>
        <stp>BDH|14575869697551231007</stp>
        <tr r="AB17" s="5"/>
        <tr r="AB17" s="4"/>
      </tp>
      <tp t="s">
        <v>#N/A N/A</v>
        <stp/>
        <stp>BDH|17020650437304746232</stp>
        <tr r="W16" s="5"/>
        <tr r="W16" s="4"/>
      </tp>
      <tp t="s">
        <v>#N/A N/A</v>
        <stp/>
        <stp>BDH|10614375973378892836</stp>
        <tr r="M9" s="5"/>
        <tr r="M9" s="4"/>
      </tp>
      <tp t="s">
        <v>#N/A N/A</v>
        <stp/>
        <stp>BDH|16191121701592227197</stp>
        <tr r="V10" s="5"/>
        <tr r="V10" s="4"/>
      </tp>
      <tp t="s">
        <v>#N/A N/A</v>
        <stp/>
        <stp>BDH|15714604031460643496</stp>
        <tr r="AE10" s="5"/>
        <tr r="AE10" s="4"/>
      </tp>
      <tp t="s">
        <v>#N/A N/A</v>
        <stp/>
        <stp>BDH|14144883895235030449</stp>
        <tr r="P13" s="5"/>
        <tr r="P13" s="4"/>
      </tp>
      <tp t="s">
        <v>#N/A N/A</v>
        <stp/>
        <stp>BDH|15503398323662799202</stp>
        <tr r="J18" s="2"/>
      </tp>
      <tp t="s">
        <v>#N/A N/A</v>
        <stp/>
        <stp>BDH|12203699250887503265</stp>
        <tr r="V6" s="5"/>
        <tr r="V6" s="4"/>
      </tp>
      <tp t="s">
        <v>#N/A N/A</v>
        <stp/>
        <stp>BDH|17208416523826806330</stp>
        <tr r="N8" s="2"/>
      </tp>
      <tp t="s">
        <v>#N/A N/A</v>
        <stp/>
        <stp>BDH|11757898443011779803</stp>
        <tr r="AF23" s="2"/>
      </tp>
      <tp t="s">
        <v>#N/A N/A</v>
        <stp/>
        <stp>BDH|13869529043164216217</stp>
        <tr r="T18" s="5"/>
        <tr r="T18" s="4"/>
      </tp>
      <tp t="s">
        <v>#N/A N/A</v>
        <stp/>
        <stp>BDH|13457188306106120012</stp>
        <tr r="Y9" s="2"/>
      </tp>
      <tp t="s">
        <v>#N/A N/A</v>
        <stp/>
        <stp>BDH|13331840274240826811</stp>
        <tr r="K20" s="5"/>
        <tr r="K20" s="4"/>
      </tp>
      <tp t="s">
        <v>#N/A N/A</v>
        <stp/>
        <stp>BDH|13733177558223496068</stp>
        <tr r="U12" s="5"/>
        <tr r="U12" s="4"/>
      </tp>
      <tp t="s">
        <v>#N/A N/A</v>
        <stp/>
        <stp>BDH|11816484751584889046</stp>
        <tr r="AF16" s="5"/>
        <tr r="AF16" s="4"/>
      </tp>
      <tp t="s">
        <v>#N/A N/A</v>
        <stp/>
        <stp>BDH|11185449929314294722</stp>
        <tr r="V8" s="5"/>
        <tr r="V8" s="4"/>
      </tp>
      <tp t="s">
        <v>#N/A N/A</v>
        <stp/>
        <stp>BDH|17903677977897562508</stp>
        <tr r="N18" s="5"/>
        <tr r="N18" s="4"/>
      </tp>
      <tp t="s">
        <v>#N/A N/A</v>
        <stp/>
        <stp>BDH|12123359115401530589</stp>
        <tr r="M16" s="2"/>
      </tp>
      <tp t="s">
        <v>#N/A N/A</v>
        <stp/>
        <stp>BDH|12577029997059735686</stp>
        <tr r="AF16" s="2"/>
      </tp>
      <tp t="s">
        <v>#N/A N/A</v>
        <stp/>
        <stp>BDH|11369199326346739048</stp>
        <tr r="J17" s="5"/>
        <tr r="J17" s="4"/>
      </tp>
      <tp t="s">
        <v>#N/A N/A</v>
        <stp/>
        <stp>BDH|12713446460176534293</stp>
        <tr r="AB12" s="2"/>
      </tp>
      <tp t="s">
        <v>#N/A N/A</v>
        <stp/>
        <stp>BDH|18375783506949282201</stp>
        <tr r="X21" s="5"/>
        <tr r="X21" s="4"/>
      </tp>
      <tp t="s">
        <v>#N/A N/A</v>
        <stp/>
        <stp>BDH|15746281353954797259</stp>
        <tr r="Z18" s="2"/>
      </tp>
      <tp t="s">
        <v>#N/A N/A</v>
        <stp/>
        <stp>BDP|11997316261681160032</stp>
        <tr r="V9" s="3"/>
      </tp>
      <tp t="s">
        <v>#N/A N/A</v>
        <stp/>
        <stp>BDP|16883004636449120920</stp>
        <tr r="Y9" s="3"/>
      </tp>
      <tp t="s">
        <v>#N/A N/A</v>
        <stp/>
        <stp>BDP|12842179325123416706</stp>
        <tr r="AI10" s="3"/>
      </tp>
      <tp t="s">
        <v>#N/A N/A</v>
        <stp/>
        <stp>BDP|16290102088732289868</stp>
        <tr r="N10" s="3"/>
      </tp>
      <tp t="s">
        <v>#N/A N/A</v>
        <stp/>
        <stp>BDP|14702485541195939495</stp>
        <tr r="H17" s="3"/>
      </tp>
      <tp t="s">
        <v>#N/A N/A</v>
        <stp/>
        <stp>BDP|14749041693579057110</stp>
        <tr r="X9" s="3"/>
      </tp>
      <tp t="s">
        <v>#N/A N/A</v>
        <stp/>
        <stp>BDP|14477511008323537788</stp>
        <tr r="C9" s="3"/>
      </tp>
      <tp t="s">
        <v>#N/A N/A</v>
        <stp/>
        <stp>BDP|12530178977880744116</stp>
        <tr r="AI17" s="3"/>
      </tp>
      <tp t="s">
        <v>#N/A N/A</v>
        <stp/>
        <stp>BDP|17143129801114209771</stp>
        <tr r="I13" s="3"/>
      </tp>
      <tp t="s">
        <v>#N/A N/A</v>
        <stp/>
        <stp>BDP|11729163518523963769</stp>
        <tr r="J17" s="3"/>
      </tp>
      <tp t="s">
        <v>#N/A N/A</v>
        <stp/>
        <stp>BDH|14316313600973153125</stp>
        <tr r="U9" s="2"/>
      </tp>
      <tp t="s">
        <v>#N/A N/A</v>
        <stp/>
        <stp>BDH|15469216920452496202</stp>
        <tr r="O9" s="5"/>
        <tr r="O9" s="4"/>
      </tp>
      <tp t="s">
        <v>#N/A N/A</v>
        <stp/>
        <stp>BDH|10173329199808338789</stp>
        <tr r="AB19" s="2"/>
      </tp>
      <tp t="s">
        <v>#N/A N/A</v>
        <stp/>
        <stp>BDH|10128330036136493307</stp>
        <tr r="AI8" s="2"/>
      </tp>
      <tp t="s">
        <v>#N/A N/A</v>
        <stp/>
        <stp>BDH|15707004937044156712</stp>
        <tr r="Q16" s="5"/>
        <tr r="Q16" s="4"/>
      </tp>
      <tp t="s">
        <v>#N/A N/A</v>
        <stp/>
        <stp>BDH|12643432404957589441</stp>
        <tr r="M9" s="2"/>
      </tp>
      <tp t="s">
        <v>#N/A N/A</v>
        <stp/>
        <stp>BDH|13607936173968569007</stp>
        <tr r="J23" s="2"/>
      </tp>
      <tp t="s">
        <v>#N/A N/A</v>
        <stp/>
        <stp>BDH|13095259630310637702</stp>
        <tr r="AE26" s="5"/>
        <tr r="AE26" s="4"/>
      </tp>
      <tp t="s">
        <v>#N/A N/A</v>
        <stp/>
        <stp>BDH|15689659774391036046</stp>
        <tr r="Z25" s="5"/>
        <tr r="Z25" s="4"/>
      </tp>
      <tp t="s">
        <v>#N/A N/A</v>
        <stp/>
        <stp>BDH|15317842934469317223</stp>
        <tr r="K20" s="2"/>
      </tp>
      <tp t="s">
        <v>#N/A N/A</v>
        <stp/>
        <stp>BDH|11342707824436485764</stp>
        <tr r="K7" s="2"/>
      </tp>
      <tp t="s">
        <v>#N/A N/A</v>
        <stp/>
        <stp>BDH|16820874289211520269</stp>
        <tr r="L22" s="5"/>
        <tr r="L22" s="4"/>
      </tp>
      <tp t="s">
        <v>#N/A N/A</v>
        <stp/>
        <stp>BDH|18163266965689050071</stp>
        <tr r="H12" s="2"/>
      </tp>
      <tp t="s">
        <v>#N/A N/A</v>
        <stp/>
        <stp>BDH|10854956678588572350</stp>
        <tr r="AP9" s="2"/>
      </tp>
      <tp t="s">
        <v>#N/A N/A</v>
        <stp/>
        <stp>BDH|15577305600064052706</stp>
        <tr r="J24" s="2"/>
      </tp>
      <tp t="s">
        <v>#N/A N/A</v>
        <stp/>
        <stp>BDH|13055801187410098632</stp>
        <tr r="AM24" s="2"/>
      </tp>
      <tp t="s">
        <v>#N/A N/A</v>
        <stp/>
        <stp>BDH|10377429056614434045</stp>
        <tr r="P25" s="5"/>
        <tr r="P25" s="4"/>
      </tp>
      <tp t="s">
        <v>#N/A N/A</v>
        <stp/>
        <stp>BDH|10882631916331967321</stp>
        <tr r="R12" s="2"/>
      </tp>
      <tp t="s">
        <v>#N/A N/A</v>
        <stp/>
        <stp>BDH|16201081013445819776</stp>
        <tr r="AA16" s="5"/>
        <tr r="AA16" s="4"/>
      </tp>
      <tp t="s">
        <v>#N/A N/A</v>
        <stp/>
        <stp>BDH|11410721803467128427</stp>
        <tr r="Z13" s="5"/>
        <tr r="Z13" s="4"/>
      </tp>
      <tp t="s">
        <v>#N/A N/A</v>
        <stp/>
        <stp>BDH|15783904865616084944</stp>
        <tr r="C17" s="2"/>
      </tp>
      <tp t="s">
        <v>#N/A N/A</v>
        <stp/>
        <stp>BDH|16355433046102776180</stp>
        <tr r="M21" s="5"/>
        <tr r="M21" s="4"/>
      </tp>
      <tp t="s">
        <v>#N/A N/A</v>
        <stp/>
        <stp>BDH|17688273386050671897</stp>
        <tr r="AN12" s="5"/>
        <tr r="AN12" s="4"/>
      </tp>
      <tp t="s">
        <v>#N/A N/A</v>
        <stp/>
        <stp>BDH|10137345544336034494</stp>
        <tr r="AM22" s="5"/>
        <tr r="AM22" s="4"/>
      </tp>
      <tp t="s">
        <v>#N/A N/A</v>
        <stp/>
        <stp>BDH|12177667471737597180</stp>
        <tr r="V24" s="5"/>
        <tr r="V24" s="4"/>
      </tp>
      <tp t="s">
        <v>#N/A N/A</v>
        <stp/>
        <stp>BDH|17526290517498814983</stp>
        <tr r="Q25" s="5"/>
        <tr r="Q25" s="4"/>
      </tp>
      <tp t="s">
        <v>#N/A N/A</v>
        <stp/>
        <stp>BDH|17392371055580945422</stp>
        <tr r="F20" s="5"/>
        <tr r="F20" s="4"/>
      </tp>
      <tp t="s">
        <v>#N/A N/A</v>
        <stp/>
        <stp>BDH|10502362686048655692</stp>
        <tr r="AK19" s="2"/>
      </tp>
      <tp t="s">
        <v>#N/A N/A</v>
        <stp/>
        <stp>BDH|15447090343036654259</stp>
        <tr r="X12" s="5"/>
        <tr r="X12" s="4"/>
      </tp>
      <tp t="s">
        <v>#N/A N/A</v>
        <stp/>
        <stp>BDH|13647380346683735220</stp>
        <tr r="Z25" s="2"/>
      </tp>
      <tp t="s">
        <v>#N/A N/A</v>
        <stp/>
        <stp>BDH|17842624782758733424</stp>
        <tr r="K18" s="5"/>
        <tr r="K18" s="4"/>
      </tp>
      <tp t="s">
        <v>#N/A N/A</v>
        <stp/>
        <stp>BDH|13702780051657442369</stp>
        <tr r="M20" s="5"/>
        <tr r="M20" s="4"/>
      </tp>
      <tp t="s">
        <v>#N/A N/A</v>
        <stp/>
        <stp>BDH|17854276322004214636</stp>
        <tr r="U18" s="2"/>
      </tp>
      <tp t="s">
        <v>#N/A N/A</v>
        <stp/>
        <stp>BDH|13284266981854277881</stp>
        <tr r="S7" s="2"/>
      </tp>
      <tp t="s">
        <v>#N/A N/A</v>
        <stp/>
        <stp>BDH|16669072039756190676</stp>
        <tr r="K6" s="5"/>
        <tr r="K6" s="4"/>
      </tp>
      <tp t="s">
        <v>#N/A N/A</v>
        <stp/>
        <stp>BDH|11059025628220164650</stp>
        <tr r="AL7" s="2"/>
      </tp>
    </main>
    <main first="bofaddin.rtdserver">
      <tp t="s">
        <v>#N/A N/A</v>
        <stp/>
        <stp>BDH|3953567515582329934</stp>
        <tr r="AG13" s="2"/>
      </tp>
      <tp t="s">
        <v>#N/A N/A</v>
        <stp/>
        <stp>BDH|5913842503241249062</stp>
        <tr r="K13" s="2"/>
      </tp>
      <tp t="s">
        <v>#N/A N/A</v>
        <stp/>
        <stp>BDH|2699291493621566431</stp>
        <tr r="AF9" s="2"/>
      </tp>
      <tp t="s">
        <v>#N/A N/A</v>
        <stp/>
        <stp>BDH|5890814632087519541</stp>
        <tr r="AK6" s="5"/>
        <tr r="AK6" s="4"/>
      </tp>
      <tp t="s">
        <v>#N/A N/A</v>
        <stp/>
        <stp>BDH|1880751726640683850</stp>
        <tr r="AO7" s="5"/>
        <tr r="AO7" s="4"/>
      </tp>
      <tp t="s">
        <v>#N/A N/A</v>
        <stp/>
        <stp>BDH|7627032255807014998</stp>
        <tr r="AP7" s="5"/>
        <tr r="AP7" s="4"/>
      </tp>
      <tp t="s">
        <v>#N/A N/A</v>
        <stp/>
        <stp>BDH|7704184069828680492</stp>
        <tr r="AJ24" s="2"/>
      </tp>
      <tp t="s">
        <v>#N/A N/A</v>
        <stp/>
        <stp>BDH|7080882492268262210</stp>
        <tr r="AC12" s="2"/>
      </tp>
      <tp t="s">
        <v>#N/A N/A</v>
        <stp/>
        <stp>BDP|5996737382915512337</stp>
        <tr r="AH13" s="3"/>
      </tp>
      <tp t="s">
        <v>#N/A N/A</v>
        <stp/>
        <stp>BDH|6124200096235024491</stp>
        <tr r="AI12" s="2"/>
      </tp>
      <tp t="s">
        <v>#N/A N/A</v>
        <stp/>
        <stp>BDH|9476138949394412448</stp>
        <tr r="AP15" s="2"/>
      </tp>
      <tp t="s">
        <v>#N/A N/A</v>
        <stp/>
        <stp>BDP|1841583090727997665</stp>
        <tr r="AO10" s="3"/>
      </tp>
      <tp t="s">
        <v>#N/A N/A</v>
        <stp/>
        <stp>BDH|6892615621349580727</stp>
        <tr r="D16" s="2"/>
      </tp>
      <tp t="s">
        <v>#N/A N/A</v>
        <stp/>
        <stp>BDH|4743167499295021579</stp>
        <tr r="M8" s="2"/>
      </tp>
      <tp t="s">
        <v>#N/A N/A</v>
        <stp/>
        <stp>BDH|1634894570951019320</stp>
        <tr r="AE25" s="2"/>
      </tp>
      <tp t="s">
        <v>#N/A N/A</v>
        <stp/>
        <stp>BDH|1980695088852286173</stp>
        <tr r="C10" s="5"/>
        <tr r="C10" s="4"/>
      </tp>
      <tp t="s">
        <v>#N/A N/A</v>
        <stp/>
        <stp>BDH|1978796637948731129</stp>
        <tr r="AF15" s="2"/>
      </tp>
      <tp t="s">
        <v>#N/A N/A</v>
        <stp/>
        <stp>BDH|6347358992548096866</stp>
        <tr r="E12" s="5"/>
        <tr r="E12" s="4"/>
      </tp>
      <tp t="s">
        <v>#N/A N/A</v>
        <stp/>
        <stp>BDH|1009869615503140704</stp>
        <tr r="X24" s="5"/>
        <tr r="X24" s="4"/>
      </tp>
      <tp t="s">
        <v>#N/A N/A</v>
        <stp/>
        <stp>BDH|1550563391277214630</stp>
        <tr r="AL18" s="2"/>
      </tp>
      <tp t="s">
        <v>#N/A N/A</v>
        <stp/>
        <stp>BDH|3745516075554388934</stp>
        <tr r="AL6" s="5"/>
        <tr r="AL6" s="4"/>
      </tp>
      <tp t="s">
        <v>#N/A N/A</v>
        <stp/>
        <stp>BDH|3798790068476570800</stp>
        <tr r="AP16" s="5"/>
        <tr r="AP16" s="4"/>
      </tp>
      <tp t="s">
        <v>#N/A N/A</v>
        <stp/>
        <stp>BDH|3515159206579153746</stp>
        <tr r="AH16" s="5"/>
        <tr r="AH16" s="4"/>
      </tp>
      <tp t="s">
        <v>#N/A N/A</v>
        <stp/>
        <stp>BDP|1498884349866593702</stp>
        <tr r="AK12" s="3"/>
      </tp>
      <tp t="s">
        <v>#N/A N/A</v>
        <stp/>
        <stp>BDH|5342694444888979375</stp>
        <tr r="X20" s="5"/>
        <tr r="X20" s="4"/>
      </tp>
      <tp t="s">
        <v>#N/A N/A</v>
        <stp/>
        <stp>BDP|6927558763639779098</stp>
        <tr r="Q10" s="3"/>
      </tp>
      <tp t="s">
        <v>#N/A N/A</v>
        <stp/>
        <stp>BDH|4456894803193997360</stp>
        <tr r="AF8" s="2"/>
      </tp>
      <tp t="s">
        <v>#N/A N/A</v>
        <stp/>
        <stp>BDH|7896814683222220991</stp>
        <tr r="U20" s="2"/>
      </tp>
      <tp t="s">
        <v>#N/A N/A</v>
        <stp/>
        <stp>BDH|5186078193965166550</stp>
        <tr r="V16" s="5"/>
        <tr r="V16" s="4"/>
      </tp>
      <tp t="s">
        <v>#N/A N/A</v>
        <stp/>
        <stp>BDP|6747903108636180587</stp>
        <tr r="P12" s="3"/>
      </tp>
      <tp t="s">
        <v>#N/A N/A</v>
        <stp/>
        <stp>BDH|8839438298028300169</stp>
        <tr r="AO26" s="5"/>
        <tr r="AO26" s="4"/>
      </tp>
      <tp t="s">
        <v>#N/A N/A</v>
        <stp/>
        <stp>BDH|6973665639727188811</stp>
        <tr r="S24" s="5"/>
        <tr r="S24" s="4"/>
      </tp>
      <tp t="s">
        <v>#N/A N/A</v>
        <stp/>
        <stp>BDH|7596422741973152819</stp>
        <tr r="O13" s="2"/>
      </tp>
      <tp t="s">
        <v>#N/A N/A</v>
        <stp/>
        <stp>BDP|2244231591267417231</stp>
        <tr r="AN17" s="3"/>
      </tp>
      <tp t="s">
        <v>#N/A N/A</v>
        <stp/>
        <stp>BDP|9537215477527236766</stp>
        <tr r="G9" s="3"/>
      </tp>
      <tp t="s">
        <v>#N/A N/A</v>
        <stp/>
        <stp>BDH|8163735732520472034</stp>
        <tr r="AE15" s="2"/>
      </tp>
      <tp t="s">
        <v>#N/A N/A</v>
        <stp/>
        <stp>BDH|9205536924202099026</stp>
        <tr r="G12" s="5"/>
        <tr r="G12" s="4"/>
      </tp>
      <tp t="s">
        <v>#N/A N/A</v>
        <stp/>
        <stp>BDH|1693595668258862682</stp>
        <tr r="U19" s="2"/>
      </tp>
      <tp t="s">
        <v>#N/A N/A</v>
        <stp/>
        <stp>BDH|2967369590985872137</stp>
        <tr r="AJ16" s="5"/>
        <tr r="AJ16" s="4"/>
      </tp>
      <tp t="s">
        <v>#N/A N/A</v>
        <stp/>
        <stp>BDP|8229877784725409109</stp>
        <tr r="AB16" s="3"/>
      </tp>
      <tp t="s">
        <v>#N/A N/A</v>
        <stp/>
        <stp>BDH|2578775085524406564</stp>
        <tr r="AO9" s="5"/>
        <tr r="AO9" s="4"/>
      </tp>
      <tp t="s">
        <v>#N/A N/A</v>
        <stp/>
        <stp>BDH|5877741635399501496</stp>
        <tr r="F21" s="5"/>
        <tr r="F21" s="4"/>
      </tp>
      <tp t="s">
        <v>#N/A N/A</v>
        <stp/>
        <stp>BDH|7015478608456932939</stp>
        <tr r="U17" s="2"/>
      </tp>
      <tp t="s">
        <v>#N/A N/A</v>
        <stp/>
        <stp>BDH|4317284339468114166</stp>
        <tr r="H15" s="2"/>
      </tp>
      <tp t="s">
        <v>#N/A N/A</v>
        <stp/>
        <stp>BDH|9354005582464107952</stp>
        <tr r="O16" s="2"/>
      </tp>
      <tp t="s">
        <v>#N/A N/A</v>
        <stp/>
        <stp>BDP|1111695116713081858</stp>
        <tr r="T12" s="3"/>
      </tp>
      <tp t="s">
        <v>#N/A N/A</v>
        <stp/>
        <stp>BDH|6184570619688102758</stp>
        <tr r="AM19" s="2"/>
      </tp>
      <tp t="s">
        <v>#N/A N/A</v>
        <stp/>
        <stp>BDH|8051051880259431497</stp>
        <tr r="R20" s="2"/>
      </tp>
      <tp t="s">
        <v>#N/A N/A</v>
        <stp/>
        <stp>BDH|3989589230008864010</stp>
        <tr r="E20" s="2"/>
      </tp>
      <tp t="s">
        <v>#N/A N/A</v>
        <stp/>
        <stp>BDH|8308197262041637363</stp>
        <tr r="X8" s="2"/>
      </tp>
      <tp t="s">
        <v>#N/A N/A</v>
        <stp/>
        <stp>BDH|9859913265809210261</stp>
        <tr r="AB18" s="2"/>
      </tp>
      <tp t="s">
        <v>#N/A N/A</v>
        <stp/>
        <stp>BDH|6173685096735570137</stp>
        <tr r="AH23" s="2"/>
      </tp>
      <tp t="s">
        <v>#N/A N/A</v>
        <stp/>
        <stp>BDH|2509899664843107262</stp>
        <tr r="P18" s="2"/>
      </tp>
      <tp t="s">
        <v>#N/A N/A</v>
        <stp/>
        <stp>BDH|4060910849154714009</stp>
        <tr r="AC25" s="2"/>
      </tp>
      <tp t="s">
        <v>#N/A N/A</v>
        <stp/>
        <stp>BDH|3045467430291817820</stp>
        <tr r="AK17" s="2"/>
      </tp>
      <tp t="s">
        <v>#N/A N/A</v>
        <stp/>
        <stp>BDH|7932437137524810992</stp>
        <tr r="Y26" s="5"/>
        <tr r="Y26" s="4"/>
      </tp>
      <tp t="s">
        <v>#N/A N/A</v>
        <stp/>
        <stp>BDH|6951523350692139966</stp>
        <tr r="Q13" s="2"/>
      </tp>
      <tp t="s">
        <v>#N/A N/A</v>
        <stp/>
        <stp>BDH|5895593209538459506</stp>
        <tr r="C16" s="2"/>
      </tp>
      <tp t="s">
        <v>#N/A N/A</v>
        <stp/>
        <stp>BDP|9335056768834829646</stp>
        <tr r="W10" s="3"/>
      </tp>
      <tp t="s">
        <v>#N/A N/A</v>
        <stp/>
        <stp>BDH|3656196779609537116</stp>
        <tr r="Y8" s="5"/>
        <tr r="Y8" s="4"/>
      </tp>
      <tp t="s">
        <v>#N/A N/A</v>
        <stp/>
        <stp>BDH|5308309787187014469</stp>
        <tr r="AM24" s="5"/>
        <tr r="AM24" s="4"/>
      </tp>
      <tp t="s">
        <v>#N/A N/A</v>
        <stp/>
        <stp>BDH|3836650997988904914</stp>
        <tr r="K17" s="2"/>
      </tp>
      <tp t="s">
        <v>#N/A N/A</v>
        <stp/>
        <stp>BDP|5894592790306099223</stp>
        <tr r="G12" s="3"/>
      </tp>
      <tp t="s">
        <v>#N/A N/A</v>
        <stp/>
        <stp>BDP|3735422871914194966</stp>
        <tr r="AC10" s="3"/>
      </tp>
      <tp t="s">
        <v>#N/A N/A</v>
        <stp/>
        <stp>BDH|2450462375798367476</stp>
        <tr r="AH20" s="5"/>
        <tr r="AH20" s="4"/>
      </tp>
      <tp t="s">
        <v>#N/A N/A</v>
        <stp/>
        <stp>BDH|9710572851101062521</stp>
        <tr r="AI18" s="2"/>
      </tp>
      <tp t="s">
        <v>#N/A N/A</v>
        <stp/>
        <stp>BDH|7444816452850616723</stp>
        <tr r="AP10" s="5"/>
        <tr r="AP10" s="4"/>
      </tp>
      <tp t="s">
        <v>#N/A N/A</v>
        <stp/>
        <stp>BDH|6456718085442238610</stp>
        <tr r="AM9" s="2"/>
      </tp>
      <tp t="s">
        <v>#N/A N/A</v>
        <stp/>
        <stp>BDP|5679944479333317581</stp>
        <tr r="U17" s="3"/>
      </tp>
      <tp t="s">
        <v>#N/A N/A</v>
        <stp/>
        <stp>BDP|7865068581195637787</stp>
        <tr r="E17" s="3"/>
      </tp>
      <tp t="s">
        <v>#N/A N/A</v>
        <stp/>
        <stp>BDP|4543521797242088715</stp>
        <tr r="S12" s="3"/>
      </tp>
      <tp t="s">
        <v>#N/A N/A</v>
        <stp/>
        <stp>BDH|9617213055080267314</stp>
        <tr r="Y8" s="2"/>
      </tp>
      <tp t="s">
        <v>#N/A N/A</v>
        <stp/>
        <stp>BDH|3491106699086903059</stp>
        <tr r="O22" s="5"/>
        <tr r="O22" s="4"/>
      </tp>
      <tp t="s">
        <v>#N/A N/A</v>
        <stp/>
        <stp>BDH|1036489696029900860</stp>
        <tr r="AF9" s="5"/>
        <tr r="AF9" s="4"/>
      </tp>
      <tp t="s">
        <v>#N/A N/A</v>
        <stp/>
        <stp>BDH|5782859122516367454</stp>
        <tr r="T19" s="2"/>
      </tp>
      <tp t="s">
        <v>#N/A N/A</v>
        <stp/>
        <stp>BDH|2285465024660044967</stp>
        <tr r="F7" s="5"/>
        <tr r="F7" s="4"/>
      </tp>
      <tp t="s">
        <v>#N/A N/A</v>
        <stp/>
        <stp>BDH|4399501609579952554</stp>
        <tr r="AD13" s="5"/>
        <tr r="AD13" s="4"/>
      </tp>
      <tp t="s">
        <v>#N/A N/A</v>
        <stp/>
        <stp>BDH|2210993300096560090</stp>
        <tr r="M8" s="5"/>
        <tr r="M8" s="4"/>
      </tp>
      <tp t="s">
        <v>#N/A N/A</v>
        <stp/>
        <stp>BDH|9569674931618498907</stp>
        <tr r="AD17" s="5"/>
        <tr r="AD17" s="4"/>
      </tp>
      <tp t="s">
        <v>#N/A N/A</v>
        <stp/>
        <stp>BDH|8672088528341309626</stp>
        <tr r="AD6" s="5"/>
        <tr r="AD6" s="4"/>
      </tp>
      <tp t="s">
        <v>#N/A N/A</v>
        <stp/>
        <stp>BDH|9657400873520497754</stp>
        <tr r="V26" s="5"/>
        <tr r="V26" s="4"/>
      </tp>
      <tp t="s">
        <v>#N/A N/A</v>
        <stp/>
        <stp>BDH|8375971582484166026</stp>
        <tr r="I8" s="5"/>
        <tr r="I8" s="4"/>
      </tp>
      <tp t="s">
        <v>#N/A N/A</v>
        <stp/>
        <stp>BDH|5680439045738659036</stp>
        <tr r="E8" s="5"/>
        <tr r="E8" s="4"/>
      </tp>
      <tp t="s">
        <v>#N/A N/A</v>
        <stp/>
        <stp>BDH|7422915987622782904</stp>
        <tr r="AF22" s="5"/>
        <tr r="AF22" s="4"/>
      </tp>
      <tp t="s">
        <v>#N/A N/A</v>
        <stp/>
        <stp>BDH|8186456843905316019</stp>
        <tr r="M18" s="5"/>
        <tr r="M18" s="4"/>
      </tp>
      <tp t="s">
        <v>#N/A N/A</v>
        <stp/>
        <stp>BDH|1255385769388879214</stp>
        <tr r="AK25" s="2"/>
      </tp>
      <tp t="s">
        <v>#N/A N/A</v>
        <stp/>
        <stp>BDH|8120341009032499729</stp>
        <tr r="AP25" s="5"/>
        <tr r="AP25" s="4"/>
      </tp>
      <tp t="s">
        <v>#N/A N/A</v>
        <stp/>
        <stp>BDH|8429557902441122286</stp>
        <tr r="AA9" s="2"/>
      </tp>
      <tp t="s">
        <v>#N/A N/A</v>
        <stp/>
        <stp>BDH|7748971156184414194</stp>
        <tr r="C25" s="2"/>
      </tp>
      <tp t="s">
        <v>#N/A N/A</v>
        <stp/>
        <stp>BDH|5348416649778254321</stp>
        <tr r="AM6" s="5"/>
        <tr r="AM6" s="4"/>
      </tp>
      <tp t="s">
        <v>#N/A N/A</v>
        <stp/>
        <stp>BDH|1557648398904729462</stp>
        <tr r="AK23" s="2"/>
      </tp>
      <tp t="s">
        <v>#N/A N/A</v>
        <stp/>
        <stp>BDH|1377085982142221524</stp>
        <tr r="AG18" s="2"/>
      </tp>
      <tp t="s">
        <v>#N/A N/A</v>
        <stp/>
        <stp>BDH|2566791483110364357</stp>
        <tr r="AI19" s="2"/>
      </tp>
      <tp t="s">
        <v>#N/A N/A</v>
        <stp/>
        <stp>BDH|3761700089933083170</stp>
        <tr r="S23" s="2"/>
      </tp>
      <tp t="s">
        <v>#N/A N/A</v>
        <stp/>
        <stp>BDH|6444040167127617989</stp>
        <tr r="W18" s="5"/>
        <tr r="W18" s="4"/>
      </tp>
      <tp t="s">
        <v>#N/A N/A</v>
        <stp/>
        <stp>BDH|3495896216265182158</stp>
        <tr r="V22" s="5"/>
        <tr r="V22" s="4"/>
      </tp>
      <tp t="s">
        <v>#N/A N/A</v>
        <stp/>
        <stp>BDH|3856903061697683505</stp>
        <tr r="Z14" s="5"/>
        <tr r="Z14" s="4"/>
      </tp>
      <tp t="s">
        <v>#N/A N/A</v>
        <stp/>
        <stp>BDH|4889899648267160179</stp>
        <tr r="AH8" s="5"/>
        <tr r="AH8" s="4"/>
      </tp>
      <tp t="s">
        <v>#N/A N/A</v>
        <stp/>
        <stp>BDH|8281253109525081125</stp>
        <tr r="AH18" s="2"/>
      </tp>
      <tp t="s">
        <v>#N/A N/A</v>
        <stp/>
        <stp>BDH|8591994746749790214</stp>
        <tr r="AM20" s="5"/>
        <tr r="AM20" s="4"/>
      </tp>
      <tp t="s">
        <v>#N/A N/A</v>
        <stp/>
        <stp>BDH|7573697980426955196</stp>
        <tr r="AP7" s="2"/>
      </tp>
      <tp t="s">
        <v>#N/A N/A</v>
        <stp/>
        <stp>BDH|7569384836478412131</stp>
        <tr r="AG10" s="5"/>
        <tr r="AG10" s="4"/>
      </tp>
      <tp t="s">
        <v>#N/A N/A</v>
        <stp/>
        <stp>BDH|7986036032792516811</stp>
        <tr r="AA10" s="5"/>
        <tr r="AA10" s="4"/>
      </tp>
      <tp t="s">
        <v>#N/A N/A</v>
        <stp/>
        <stp>BDH|1007775805398824068</stp>
        <tr r="W12" s="5"/>
        <tr r="W12" s="4"/>
      </tp>
      <tp t="s">
        <v>#N/A N/A</v>
        <stp/>
        <stp>BDH|3793847210627774393</stp>
        <tr r="AD10" s="5"/>
        <tr r="AD10" s="4"/>
      </tp>
      <tp t="s">
        <v>#N/A N/A</v>
        <stp/>
        <stp>BDH|4277733867233288890</stp>
        <tr r="L8" s="2"/>
      </tp>
      <tp t="s">
        <v>#N/A N/A</v>
        <stp/>
        <stp>BDP|7871415571379867325</stp>
        <tr r="AM16" s="3"/>
      </tp>
      <tp t="s">
        <v>#N/A N/A</v>
        <stp/>
        <stp>BDH|5522654882800323538</stp>
        <tr r="K18" s="2"/>
      </tp>
      <tp t="s">
        <v>#N/A N/A</v>
        <stp/>
        <stp>BDH|8203748135001750365</stp>
        <tr r="J9" s="5"/>
        <tr r="J9" s="4"/>
      </tp>
      <tp t="s">
        <v>#N/A N/A</v>
        <stp/>
        <stp>BDH|6753815065205345331</stp>
        <tr r="J16" s="2"/>
      </tp>
      <tp t="s">
        <v>#N/A N/A</v>
        <stp/>
        <stp>BDH|3426179967462471834</stp>
        <tr r="R25" s="5"/>
        <tr r="R25" s="4"/>
      </tp>
      <tp t="s">
        <v>#N/A N/A</v>
        <stp/>
        <stp>BDH|8599371308683383696</stp>
        <tr r="X16" s="5"/>
        <tr r="X16" s="4"/>
      </tp>
      <tp t="s">
        <v>#N/A N/A</v>
        <stp/>
        <stp>BDH|3474847706675743017</stp>
        <tr r="AO9" s="2"/>
      </tp>
      <tp t="s">
        <v>#N/A N/A</v>
        <stp/>
        <stp>BDH|2212692354536747985</stp>
        <tr r="AN10" s="5"/>
        <tr r="AN10" s="4"/>
      </tp>
      <tp t="s">
        <v>#N/A N/A</v>
        <stp/>
        <stp>BDH|5954026742499952609</stp>
        <tr r="AG16" s="2"/>
      </tp>
      <tp t="s">
        <v>#N/A N/A</v>
        <stp/>
        <stp>BDH|9502419866542316717</stp>
        <tr r="D17" s="2"/>
      </tp>
      <tp t="s">
        <v>#N/A N/A</v>
        <stp/>
        <stp>BDP|4140038568375243991</stp>
        <tr r="AC16" s="3"/>
      </tp>
      <tp t="s">
        <v>#N/A N/A</v>
        <stp/>
        <stp>BDP|3660831614250437441</stp>
        <tr r="N12" s="3"/>
      </tp>
      <tp t="s">
        <v>#N/A N/A</v>
        <stp/>
        <stp>BDH|6663058388824354490</stp>
        <tr r="AO12" s="2"/>
      </tp>
      <tp t="s">
        <v>#N/A N/A</v>
        <stp/>
        <stp>BDH|5136272945424259977</stp>
        <tr r="U13" s="2"/>
      </tp>
      <tp t="s">
        <v>#N/A N/A</v>
        <stp/>
        <stp>BDH|8388803817787241803</stp>
        <tr r="K17" s="5"/>
        <tr r="K17" s="4"/>
      </tp>
      <tp t="s">
        <v>#N/A N/A</v>
        <stp/>
        <stp>BDH|8941496778880929568</stp>
        <tr r="I12" s="5"/>
        <tr r="I12" s="4"/>
      </tp>
      <tp t="s">
        <v>#N/A N/A</v>
        <stp/>
        <stp>BDH|6493839510465075400</stp>
        <tr r="AJ7" s="2"/>
      </tp>
      <tp t="s">
        <v>#N/A N/A</v>
        <stp/>
        <stp>BDH|7998883540854057163</stp>
        <tr r="AC9" s="2"/>
      </tp>
      <tp t="s">
        <v>#N/A N/A</v>
        <stp/>
        <stp>BDH|4107024753586022974</stp>
        <tr r="K12" s="2"/>
      </tp>
      <tp t="s">
        <v>#N/A N/A</v>
        <stp/>
        <stp>BDH|8011249920951185726</stp>
        <tr r="C6" s="5"/>
        <tr r="C6" s="4"/>
      </tp>
      <tp t="s">
        <v>#N/A N/A</v>
        <stp/>
        <stp>BDH|6650980075647805173</stp>
        <tr r="D13" s="5"/>
        <tr r="D13" s="4"/>
      </tp>
      <tp t="s">
        <v>#N/A N/A</v>
        <stp/>
        <stp>BDH|8377590122061803041</stp>
        <tr r="S25" s="5"/>
        <tr r="S25" s="4"/>
      </tp>
      <tp t="s">
        <v>#N/A N/A</v>
        <stp/>
        <stp>BDH|9500337027164597206</stp>
        <tr r="Q20" s="2"/>
      </tp>
      <tp t="s">
        <v>#N/A N/A</v>
        <stp/>
        <stp>BDH|3506410780958123916</stp>
        <tr r="I14" s="5"/>
        <tr r="I14" s="4"/>
      </tp>
      <tp t="s">
        <v>#N/A N/A</v>
        <stp/>
        <stp>BDH|5882241268237313836</stp>
        <tr r="AL7" s="5"/>
        <tr r="AL7" s="4"/>
      </tp>
      <tp t="s">
        <v>#N/A N/A</v>
        <stp/>
        <stp>BDH|4082841243970691656</stp>
        <tr r="AN7" s="2"/>
      </tp>
      <tp t="s">
        <v>#N/A N/A</v>
        <stp/>
        <stp>BDP|9004631605480211110</stp>
        <tr r="R17" s="3"/>
      </tp>
      <tp t="s">
        <v>#N/A N/A</v>
        <stp/>
        <stp>BDH|7959028000608999172</stp>
        <tr r="H13" s="5"/>
        <tr r="H13" s="4"/>
      </tp>
      <tp t="s">
        <v>#N/A N/A</v>
        <stp/>
        <stp>BDH|8157575942636628170</stp>
        <tr r="W13" s="2"/>
      </tp>
      <tp t="s">
        <v>#N/A N/A</v>
        <stp/>
        <stp>BDH|1612958532073102654</stp>
        <tr r="W12" s="2"/>
      </tp>
      <tp t="s">
        <v>#N/A N/A</v>
        <stp/>
        <stp>BDH|77094915247514570</stp>
        <tr r="Q24" s="2"/>
      </tp>
      <tp t="s">
        <v>#N/A N/A</v>
        <stp/>
        <stp>BDP|1589058218438498761</stp>
        <tr r="D9" s="3"/>
      </tp>
      <tp t="s">
        <v>#N/A N/A</v>
        <stp/>
        <stp>BDP|6416904455554215193</stp>
        <tr r="H16" s="3"/>
      </tp>
      <tp t="s">
        <v>#N/A N/A</v>
        <stp/>
        <stp>BDH|3150651239589701001</stp>
        <tr r="S25" s="2"/>
      </tp>
      <tp t="s">
        <v>#N/A N/A</v>
        <stp/>
        <stp>BDH|6581468413835868922</stp>
        <tr r="E13" s="5"/>
        <tr r="E13" s="4"/>
      </tp>
      <tp t="s">
        <v>#N/A N/A</v>
        <stp/>
        <stp>BDH|6094908967134879243</stp>
        <tr r="D18" s="2"/>
      </tp>
      <tp t="s">
        <v>#N/A N/A</v>
        <stp/>
        <stp>BDH|3783207905166122886</stp>
        <tr r="AE19" s="2"/>
      </tp>
      <tp t="s">
        <v>#N/A N/A</v>
        <stp/>
        <stp>BDP|3354933641245976407</stp>
        <tr r="AN12" s="3"/>
      </tp>
      <tp t="s">
        <v>#N/A N/A</v>
        <stp/>
        <stp>BDH|8471641715153846350</stp>
        <tr r="E17" s="5"/>
        <tr r="E17" s="4"/>
      </tp>
      <tp t="s">
        <v>#N/A N/A</v>
        <stp/>
        <stp>BDH|7332191601711502862</stp>
        <tr r="AB13" s="2"/>
      </tp>
      <tp t="s">
        <v>#N/A N/A</v>
        <stp/>
        <stp>BDH|3498894908363415797</stp>
        <tr r="N16" s="5"/>
        <tr r="N16" s="4"/>
      </tp>
      <tp t="s">
        <v>#N/A N/A</v>
        <stp/>
        <stp>BDH|4882553172788567127</stp>
        <tr r="W20" s="2"/>
      </tp>
      <tp t="s">
        <v>#N/A N/A</v>
        <stp/>
        <stp>BDH|9389986410268545671</stp>
        <tr r="AE20" s="2"/>
      </tp>
      <tp t="s">
        <v>#N/A N/A</v>
        <stp/>
        <stp>BDH|1568232033826858947</stp>
        <tr r="F24" s="5"/>
        <tr r="F24" s="4"/>
      </tp>
      <tp t="s">
        <v>#N/A N/A</v>
        <stp/>
        <stp>BDP|8527531722281880138</stp>
        <tr r="T10" s="3"/>
      </tp>
      <tp t="s">
        <v>#N/A N/A</v>
        <stp/>
        <stp>BDH|2791823860087090498</stp>
        <tr r="Q8" s="5"/>
        <tr r="Q8" s="4"/>
      </tp>
      <tp t="s">
        <v>#N/A N/A</v>
        <stp/>
        <stp>BDH|3654015028319180726</stp>
        <tr r="C12" s="5"/>
        <tr r="C12" s="4"/>
      </tp>
      <tp t="s">
        <v>#N/A N/A</v>
        <stp/>
        <stp>BDH|9948438334939742843</stp>
        <tr r="AL18" s="5"/>
        <tr r="AL18" s="4"/>
      </tp>
      <tp t="s">
        <v>#N/A N/A</v>
        <stp/>
        <stp>BDH|3178874758501754047</stp>
        <tr r="J8" s="5"/>
        <tr r="J8" s="4"/>
      </tp>
      <tp t="s">
        <v>#N/A N/A</v>
        <stp/>
        <stp>BDP|6199314168329927531</stp>
        <tr r="Q13" s="3"/>
      </tp>
      <tp t="s">
        <v>#N/A N/A</v>
        <stp/>
        <stp>BDP|6995486627228234779</stp>
        <tr r="W17" s="3"/>
      </tp>
      <tp t="s">
        <v>#N/A N/A</v>
        <stp/>
        <stp>BDH|4411334872008618735</stp>
        <tr r="V25" s="2"/>
      </tp>
      <tp t="s">
        <v>#N/A N/A</v>
        <stp/>
        <stp>BDH|8526006085076144915</stp>
        <tr r="S12" s="5"/>
        <tr r="S12" s="4"/>
      </tp>
      <tp t="s">
        <v>#N/A N/A</v>
        <stp/>
        <stp>BDH|5361435383302379402</stp>
        <tr r="R7" s="2"/>
      </tp>
      <tp t="s">
        <v>#N/A N/A</v>
        <stp/>
        <stp>BDH|2043540271178737729</stp>
        <tr r="AJ13" s="2"/>
      </tp>
      <tp t="s">
        <v>#N/A N/A</v>
        <stp/>
        <stp>BDP|8498722934564630754</stp>
        <tr r="F10" s="3"/>
      </tp>
      <tp t="s">
        <v>#N/A N/A</v>
        <stp/>
        <stp>BDP|8864193540792290023</stp>
        <tr r="U10" s="3"/>
      </tp>
      <tp t="s">
        <v>#N/A N/A</v>
        <stp/>
        <stp>BDH|4898111694521477283</stp>
        <tr r="E17" s="2"/>
      </tp>
      <tp t="s">
        <v>#N/A N/A</v>
        <stp/>
        <stp>BDH|9915179571158707894</stp>
        <tr r="AJ20" s="5"/>
        <tr r="AJ20" s="4"/>
      </tp>
      <tp t="s">
        <v>#N/A N/A</v>
        <stp/>
        <stp>BDH|9433900530045375968</stp>
        <tr r="AF12" s="5"/>
        <tr r="AF12" s="4"/>
      </tp>
      <tp t="s">
        <v>#N/A N/A</v>
        <stp/>
        <stp>BDP|7640556285714713175</stp>
        <tr r="AM10" s="3"/>
      </tp>
      <tp t="s">
        <v>#N/A N/A</v>
        <stp/>
        <stp>BDH|3606851257328202907</stp>
        <tr r="T7" s="2"/>
      </tp>
      <tp t="s">
        <v>#N/A N/A</v>
        <stp/>
        <stp>BDH|4067825787553557873</stp>
        <tr r="E24" s="5"/>
        <tr r="E24" s="4"/>
      </tp>
      <tp t="s">
        <v>#N/A N/A</v>
        <stp/>
        <stp>BDH|8116627113150566024</stp>
        <tr r="Y18" s="5"/>
        <tr r="Y18" s="4"/>
      </tp>
      <tp t="s">
        <v>#N/A N/A</v>
        <stp/>
        <stp>BDH|1025002133408543515</stp>
        <tr r="AE13" s="2"/>
      </tp>
      <tp t="s">
        <v>#N/A N/A</v>
        <stp/>
        <stp>BDH|9676251949071842157</stp>
        <tr r="O26" s="5"/>
        <tr r="O26" s="4"/>
      </tp>
      <tp t="s">
        <v>#N/A N/A</v>
        <stp/>
        <stp>BDH|9096316424566238102</stp>
        <tr r="AG22" s="5"/>
        <tr r="AG22" s="4"/>
      </tp>
      <tp t="s">
        <v>#N/A N/A</v>
        <stp/>
        <stp>BDP|6038359782190012232</stp>
        <tr r="AF10" s="3"/>
      </tp>
      <tp t="s">
        <v>#N/A N/A</v>
        <stp/>
        <stp>BDH|2041731813372088940</stp>
        <tr r="AJ23" s="2"/>
      </tp>
      <tp t="s">
        <v>#N/A N/A</v>
        <stp/>
        <stp>BDH|2469701171624390926</stp>
        <tr r="AK15" s="2"/>
      </tp>
      <tp t="s">
        <v>#N/A N/A</v>
        <stp/>
        <stp>BDH|3151410632909794204</stp>
        <tr r="AC17" s="2"/>
      </tp>
      <tp t="s">
        <v>#N/A N/A</v>
        <stp/>
        <stp>BDH|7297509651221001962</stp>
        <tr r="O17" s="5"/>
        <tr r="O17" s="4"/>
      </tp>
      <tp t="s">
        <v>#N/A N/A</v>
        <stp/>
        <stp>BDH|5757383982908949917</stp>
        <tr r="AE7" s="5"/>
        <tr r="AE7" s="4"/>
      </tp>
      <tp t="s">
        <v>#N/A N/A</v>
        <stp/>
        <stp>BDH|3679145674085851840</stp>
        <tr r="P7" s="2"/>
      </tp>
      <tp t="s">
        <v>#N/A N/A</v>
        <stp/>
        <stp>BDH|6951361560329360267</stp>
        <tr r="AN21" s="5"/>
        <tr r="AN21" s="4"/>
      </tp>
      <tp t="s">
        <v>#N/A N/A</v>
        <stp/>
        <stp>BDH|7326182146572767813</stp>
        <tr r="N17" s="2"/>
      </tp>
      <tp t="s">
        <v>#N/A N/A</v>
        <stp/>
        <stp>BDH|3297880820191483057</stp>
        <tr r="E7" s="5"/>
        <tr r="E7" s="4"/>
      </tp>
      <tp t="s">
        <v>#N/A N/A</v>
        <stp/>
        <stp>BDH|6668347184147422298</stp>
        <tr r="AN17" s="5"/>
        <tr r="AN17" s="4"/>
      </tp>
      <tp t="s">
        <v>#N/A N/A</v>
        <stp/>
        <stp>BDH|8504288199958405385</stp>
        <tr r="AE17" s="5"/>
        <tr r="AE17" s="4"/>
      </tp>
      <tp t="s">
        <v>#N/A N/A</v>
        <stp/>
        <stp>BDH|7951605444528160547</stp>
        <tr r="X14" s="5"/>
        <tr r="X14" s="4"/>
      </tp>
      <tp t="s">
        <v>#N/A N/A</v>
        <stp/>
        <stp>BDH|4618551199100679042</stp>
        <tr r="AJ15" s="2"/>
      </tp>
      <tp t="s">
        <v>#N/A N/A</v>
        <stp/>
        <stp>BDH|1774598837519043617</stp>
        <tr r="L17" s="2"/>
      </tp>
      <tp t="s">
        <v>#N/A N/A</v>
        <stp/>
        <stp>BDP|6226966642864632797</stp>
        <tr r="AO16" s="3"/>
      </tp>
      <tp t="s">
        <v>#N/A N/A</v>
        <stp/>
        <stp>BDH|9702285464070603544</stp>
        <tr r="T10" s="5"/>
        <tr r="T10" s="4"/>
      </tp>
      <tp t="s">
        <v>#N/A N/A</v>
        <stp/>
        <stp>BDH|1233646301388683787</stp>
        <tr r="AM21" s="5"/>
        <tr r="AM21" s="4"/>
      </tp>
      <tp t="s">
        <v>#N/A N/A</v>
        <stp/>
        <stp>BDP|1320193063838071679</stp>
        <tr r="L12" s="3"/>
      </tp>
      <tp t="s">
        <v>#N/A N/A</v>
        <stp/>
        <stp>BDH|2687953259877281162</stp>
        <tr r="F6" s="5"/>
        <tr r="F6" s="4"/>
      </tp>
      <tp t="s">
        <v>#N/A N/A</v>
        <stp/>
        <stp>BDP|1812849946966363368</stp>
        <tr r="AP9" s="3"/>
      </tp>
      <tp t="s">
        <v>#N/A N/A</v>
        <stp/>
        <stp>BDH|6069721770269548780</stp>
        <tr r="AO13" s="2"/>
      </tp>
      <tp t="s">
        <v>#N/A N/A</v>
        <stp/>
        <stp>BDH|1842091291846754685</stp>
        <tr r="C7" s="2"/>
      </tp>
      <tp t="s">
        <v>#N/A N/A</v>
        <stp/>
        <stp>BDH|6188088386252735440</stp>
        <tr r="Y13" s="2"/>
      </tp>
      <tp t="s">
        <v>#N/A N/A</v>
        <stp/>
        <stp>BDH|4645891620881115724</stp>
        <tr r="M25" s="5"/>
        <tr r="M25" s="4"/>
      </tp>
      <tp t="s">
        <v>#N/A N/A</v>
        <stp/>
        <stp>BDH|7245461170605189994</stp>
        <tr r="F15" s="2"/>
      </tp>
      <tp t="s">
        <v>#N/A N/A</v>
        <stp/>
        <stp>BDP|9990823073777442914</stp>
        <tr r="L13" s="3"/>
      </tp>
      <tp t="s">
        <v>#N/A N/A</v>
        <stp/>
        <stp>BDH|2902682844338076083</stp>
        <tr r="N15" s="2"/>
      </tp>
      <tp t="s">
        <v>#N/A N/A</v>
        <stp/>
        <stp>BDH|7912185397490341782</stp>
        <tr r="AL20" s="5"/>
        <tr r="AL20" s="4"/>
      </tp>
      <tp t="s">
        <v>#N/A N/A</v>
        <stp/>
        <stp>BDH|4699127450519957104</stp>
        <tr r="W24" s="2"/>
      </tp>
      <tp t="s">
        <v>#N/A N/A</v>
        <stp/>
        <stp>BDH|9550417151822101297</stp>
        <tr r="AP6" s="5"/>
        <tr r="AP6" s="4"/>
      </tp>
      <tp t="s">
        <v>#N/A N/A</v>
        <stp/>
        <stp>BDH|7078793362377230949</stp>
        <tr r="AA17" s="2"/>
      </tp>
      <tp t="s">
        <v>#N/A N/A</v>
        <stp/>
        <stp>BDP|9620820394137024727</stp>
        <tr r="F9" s="3"/>
      </tp>
      <tp t="s">
        <v>#N/A N/A</v>
        <stp/>
        <stp>BDH|5480296360248710188</stp>
        <tr r="L25" s="5"/>
        <tr r="L25" s="4"/>
      </tp>
      <tp t="s">
        <v>#N/A N/A</v>
        <stp/>
        <stp>BDH|9421660930790183418</stp>
        <tr r="AF18" s="2"/>
      </tp>
      <tp t="s">
        <v>#N/A N/A</v>
        <stp/>
        <stp>BDH|7898097226135129849</stp>
        <tr r="AN19" s="2"/>
      </tp>
      <tp t="s">
        <v>#N/A N/A</v>
        <stp/>
        <stp>BDH|9691410171503029141</stp>
        <tr r="AM25" s="5"/>
        <tr r="AM25" s="4"/>
      </tp>
      <tp t="s">
        <v>#N/A N/A</v>
        <stp/>
        <stp>BDH|8832398015361721309</stp>
        <tr r="C18" s="2"/>
      </tp>
      <tp t="s">
        <v>#N/A N/A</v>
        <stp/>
        <stp>BDH|9284163319905737494</stp>
        <tr r="T15" s="2"/>
      </tp>
      <tp t="s">
        <v>#N/A N/A</v>
        <stp/>
        <stp>BDH|9872853780916966773</stp>
        <tr r="AO24" s="2"/>
      </tp>
      <tp t="s">
        <v>#N/A N/A</v>
        <stp/>
        <stp>BDH|7597074295490774606</stp>
        <tr r="AI13" s="2"/>
      </tp>
      <tp t="s">
        <v>#N/A N/A</v>
        <stp/>
        <stp>BDP|1325055794408640858</stp>
        <tr r="Y10" s="3"/>
      </tp>
      <tp t="s">
        <v>#N/A N/A</v>
        <stp/>
        <stp>BDH|1448760198266809130</stp>
        <tr r="R13" s="2"/>
      </tp>
      <tp t="s">
        <v>#N/A N/A</v>
        <stp/>
        <stp>BDH|1257001581773339216</stp>
        <tr r="X17" s="5"/>
        <tr r="X17" s="4"/>
      </tp>
      <tp t="s">
        <v>#N/A N/A</v>
        <stp/>
        <stp>BDH|5727578894287216676</stp>
        <tr r="AK8" s="2"/>
      </tp>
      <tp t="s">
        <v>#N/A N/A</v>
        <stp/>
        <stp>BDH|8271820846569564551</stp>
        <tr r="N25" s="5"/>
        <tr r="N25" s="4"/>
      </tp>
      <tp t="s">
        <v>#N/A N/A</v>
        <stp/>
        <stp>BDH|7735677245394437973</stp>
        <tr r="S22" s="5"/>
        <tr r="S22" s="4"/>
      </tp>
      <tp t="s">
        <v>#N/A N/A</v>
        <stp/>
        <stp>BDH|3790102278774827914</stp>
        <tr r="AM17" s="5"/>
        <tr r="AM17" s="4"/>
      </tp>
      <tp t="s">
        <v>#N/A N/A</v>
        <stp/>
        <stp>BDH|1493360440287175952</stp>
        <tr r="V24" s="2"/>
      </tp>
      <tp t="s">
        <v>#N/A N/A</v>
        <stp/>
        <stp>BDP|4484588520879330288</stp>
        <tr r="Z13" s="3"/>
      </tp>
      <tp t="s">
        <v>#N/A N/A</v>
        <stp/>
        <stp>BDH|2846097891336726501</stp>
        <tr r="R10" s="5"/>
        <tr r="R10" s="4"/>
      </tp>
      <tp t="s">
        <v>#N/A N/A</v>
        <stp/>
        <stp>BDP|1995664431228887428</stp>
        <tr r="AP10" s="3"/>
      </tp>
      <tp t="s">
        <v>#N/A N/A</v>
        <stp/>
        <stp>BDH|9140953140534041801</stp>
        <tr r="AC8" s="2"/>
      </tp>
      <tp t="s">
        <v>#N/A N/A</v>
        <stp/>
        <stp>BDH|6377802963839241964</stp>
        <tr r="R14" s="5"/>
        <tr r="R14" s="4"/>
      </tp>
      <tp t="s">
        <v>#N/A N/A</v>
        <stp/>
        <stp>BDH|5745510559135298890</stp>
        <tr r="R23" s="2"/>
      </tp>
      <tp t="s">
        <v>#N/A N/A</v>
        <stp/>
        <stp>BDH|9331811592612602236</stp>
        <tr r="AL12" s="2"/>
      </tp>
      <tp t="s">
        <v>#N/A N/A</v>
        <stp/>
        <stp>BDH|7510544773608085575</stp>
        <tr r="F8" s="2"/>
      </tp>
      <tp t="s">
        <v>#N/A N/A</v>
        <stp/>
        <stp>BDP|9162561176896830435</stp>
        <tr r="AF9" s="3"/>
      </tp>
      <tp t="s">
        <v>#N/A N/A</v>
        <stp/>
        <stp>BDH|3846962051934254279</stp>
        <tr r="AH18" s="5"/>
        <tr r="AH18" s="4"/>
      </tp>
      <tp t="s">
        <v>#N/A N/A</v>
        <stp/>
        <stp>BDH|2312799902795336914</stp>
        <tr r="AO20" s="2"/>
      </tp>
      <tp t="s">
        <v>#N/A N/A</v>
        <stp/>
        <stp>BDH|4806619044809380642</stp>
        <tr r="H25" s="5"/>
        <tr r="H25" s="4"/>
      </tp>
      <tp t="s">
        <v>#N/A N/A</v>
        <stp/>
        <stp>BDH|3049540691124690291</stp>
        <tr r="X25" s="2"/>
      </tp>
      <tp t="s">
        <v>#N/A N/A</v>
        <stp/>
        <stp>BDH|2291986704326767435</stp>
        <tr r="R17" s="5"/>
        <tr r="R17" s="4"/>
      </tp>
      <tp t="s">
        <v>#N/A N/A</v>
        <stp/>
        <stp>BDH|2915345296236716776</stp>
        <tr r="J6" s="5"/>
        <tr r="J6" s="4"/>
      </tp>
      <tp t="s">
        <v>#N/A N/A</v>
        <stp/>
        <stp>BDH|5275961848515116465</stp>
        <tr r="Z17" s="2"/>
      </tp>
      <tp t="s">
        <v>#N/A N/A</v>
        <stp/>
        <stp>BDH|3640456330034919915</stp>
        <tr r="AN6" s="5"/>
        <tr r="AN6" s="4"/>
      </tp>
      <tp t="s">
        <v>#N/A N/A</v>
        <stp/>
        <stp>BDH|6207242259059538128</stp>
        <tr r="G7" s="2"/>
      </tp>
    </main>
    <main first="bofaddin.rtdserver">
      <tp t="s">
        <v>#N/A N/A</v>
        <stp/>
        <stp>BDH|1978246252118196706</stp>
        <tr r="AP9" s="5"/>
        <tr r="AP9" s="4"/>
      </tp>
      <tp t="s">
        <v>#N/A N/A</v>
        <stp/>
        <stp>BDH|7712683781203711366</stp>
        <tr r="U12" s="2"/>
      </tp>
      <tp t="s">
        <v>#N/A N/A</v>
        <stp/>
        <stp>BDH|7359076537928406585</stp>
        <tr r="G24" s="5"/>
        <tr r="G24" s="4"/>
      </tp>
      <tp t="s">
        <v>#N/A N/A</v>
        <stp/>
        <stp>BDH|8073167105205851572</stp>
        <tr r="Q22" s="5"/>
        <tr r="Q22" s="4"/>
      </tp>
      <tp t="s">
        <v>#N/A N/A</v>
        <stp/>
        <stp>BDH|3853905813042700008</stp>
        <tr r="AB8" s="5"/>
        <tr r="AB8" s="4"/>
      </tp>
      <tp t="s">
        <v>#N/A N/A</v>
        <stp/>
        <stp>BDH|8825242281458985387</stp>
        <tr r="AG21" s="5"/>
        <tr r="AG21" s="4"/>
      </tp>
      <tp t="s">
        <v>#N/A N/A</v>
        <stp/>
        <stp>BDH|3671414393673172498</stp>
        <tr r="AB13" s="5"/>
        <tr r="AB13" s="4"/>
      </tp>
      <tp t="s">
        <v>#N/A N/A</v>
        <stp/>
        <stp>BDH|2663390675666656914</stp>
        <tr r="V8" s="2"/>
      </tp>
      <tp t="s">
        <v>#N/A N/A</v>
        <stp/>
        <stp>BDH|3015887281708558216</stp>
        <tr r="C16" s="5"/>
        <tr r="C16" s="4"/>
      </tp>
      <tp t="s">
        <v>#N/A N/A</v>
        <stp/>
        <stp>BDH|4544492298206035665</stp>
        <tr r="L12" s="5"/>
        <tr r="L12" s="4"/>
      </tp>
      <tp t="s">
        <v>#N/A N/A</v>
        <stp/>
        <stp>BDH|5348806320284680274</stp>
        <tr r="I16" s="2"/>
      </tp>
      <tp t="s">
        <v>#N/A N/A</v>
        <stp/>
        <stp>BDH|8563168121907933586</stp>
        <tr r="AK20" s="2"/>
      </tp>
      <tp t="s">
        <v>#N/A N/A</v>
        <stp/>
        <stp>BDH|6659855260101166018</stp>
        <tr r="AK18" s="5"/>
        <tr r="AK18" s="4"/>
      </tp>
      <tp t="s">
        <v>#N/A N/A</v>
        <stp/>
        <stp>BDH|4554892448029118855</stp>
        <tr r="AM7" s="5"/>
        <tr r="AM7" s="4"/>
      </tp>
      <tp t="s">
        <v>#N/A N/A</v>
        <stp/>
        <stp>BDH|7282147561331487826</stp>
        <tr r="S10" s="5"/>
        <tr r="S10" s="4"/>
      </tp>
      <tp t="s">
        <v>#N/A N/A</v>
        <stp/>
        <stp>BDH|9638272037326233723</stp>
        <tr r="R16" s="5"/>
        <tr r="R16" s="4"/>
      </tp>
      <tp t="s">
        <v>#N/A N/A</v>
        <stp/>
        <stp>BDH|4093666456117015966</stp>
        <tr r="AM23" s="2"/>
      </tp>
      <tp t="s">
        <v>#N/A N/A</v>
        <stp/>
        <stp>BDH|6903654456565409988</stp>
        <tr r="AJ8" s="5"/>
        <tr r="AJ8" s="4"/>
      </tp>
      <tp t="s">
        <v>#N/A N/A</v>
        <stp/>
        <stp>BDH|7893059900316959837</stp>
        <tr r="AN8" s="5"/>
        <tr r="AN8" s="4"/>
      </tp>
      <tp t="s">
        <v>#N/A N/A</v>
        <stp/>
        <stp>BDH|7521723691489517943</stp>
        <tr r="V20" s="5"/>
        <tr r="V20" s="4"/>
      </tp>
      <tp t="s">
        <v>#N/A N/A</v>
        <stp/>
        <stp>BDH|4855520616801875809</stp>
        <tr r="AM14" s="5"/>
        <tr r="AM14" s="4"/>
      </tp>
      <tp t="s">
        <v>#N/A N/A</v>
        <stp/>
        <stp>BDH|6045544186697622503</stp>
        <tr r="G18" s="2"/>
      </tp>
      <tp t="s">
        <v>#N/A N/A</v>
        <stp/>
        <stp>BDH|6243817771429251948</stp>
        <tr r="AC25" s="5"/>
        <tr r="AC25" s="4"/>
      </tp>
      <tp t="s">
        <v>#N/A N/A</v>
        <stp/>
        <stp>BDH|3587103750766465855</stp>
        <tr r="AI12" s="5"/>
        <tr r="AI12" s="4"/>
      </tp>
      <tp t="s">
        <v>#N/A N/A</v>
        <stp/>
        <stp>BDH|5363957180378785548</stp>
        <tr r="AM16" s="5"/>
        <tr r="AM16" s="4"/>
      </tp>
      <tp t="s">
        <v>#N/A N/A</v>
        <stp/>
        <stp>BDH|6661306628876349884</stp>
        <tr r="AA12" s="5"/>
        <tr r="AA12" s="4"/>
      </tp>
      <tp t="s">
        <v>#N/A N/A</v>
        <stp/>
        <stp>BDH|9397169244943177654</stp>
        <tr r="D24" s="5"/>
        <tr r="D24" s="4"/>
      </tp>
      <tp t="s">
        <v>#N/A N/A</v>
        <stp/>
        <stp>BDH|5773314108177815839</stp>
        <tr r="AD23" s="2"/>
      </tp>
      <tp t="s">
        <v>#N/A N/A</v>
        <stp/>
        <stp>BDH|18964187496368343</stp>
        <tr r="H21" s="5"/>
        <tr r="H21" s="4"/>
      </tp>
      <tp t="s">
        <v>#N/A N/A</v>
        <stp/>
        <stp>BDH|85633302962482041</stp>
        <tr r="AB18" s="5"/>
        <tr r="AB18" s="4"/>
      </tp>
      <tp t="s">
        <v>#N/A N/A</v>
        <stp/>
        <stp>BDH|5887169595161171605</stp>
        <tr r="AI10" s="5"/>
        <tr r="AI10" s="4"/>
      </tp>
      <tp t="s">
        <v>#N/A N/A</v>
        <stp/>
        <stp>BDH|7967958567316160409</stp>
        <tr r="N24" s="5"/>
        <tr r="N24" s="4"/>
      </tp>
      <tp t="s">
        <v>#N/A N/A</v>
        <stp/>
        <stp>BDH|3581944062750978601</stp>
        <tr r="AE6" s="5"/>
        <tr r="AE6" s="4"/>
      </tp>
      <tp t="s">
        <v>#N/A N/A</v>
        <stp/>
        <stp>BDP|6929574004210222935</stp>
        <tr r="K10" s="3"/>
      </tp>
      <tp t="s">
        <v>#N/A N/A</v>
        <stp/>
        <stp>BDP|7011515599379757846</stp>
        <tr r="R9" s="3"/>
      </tp>
      <tp t="s">
        <v>#N/A N/A</v>
        <stp/>
        <stp>BDH|1258713593117186296</stp>
        <tr r="AA6" s="5"/>
        <tr r="AA6" s="4"/>
      </tp>
      <tp t="s">
        <v>#N/A N/A</v>
        <stp/>
        <stp>BDH|7066022350508989031</stp>
        <tr r="C19" s="2"/>
      </tp>
      <tp t="s">
        <v>#N/A N/A</v>
        <stp/>
        <stp>BDP|2933834271822650542</stp>
        <tr r="C10" s="3"/>
      </tp>
      <tp t="s">
        <v>#N/A N/A</v>
        <stp/>
        <stp>BDH|9480268968477701045</stp>
        <tr r="Q25" s="2"/>
      </tp>
      <tp t="s">
        <v>#N/A N/A</v>
        <stp/>
        <stp>BDH|1844235728338807322</stp>
        <tr r="AP18" s="2"/>
      </tp>
      <tp t="s">
        <v>#N/A N/A</v>
        <stp/>
        <stp>BDH|9031801142058356787</stp>
        <tr r="R26" s="5"/>
        <tr r="R26" s="4"/>
      </tp>
      <tp t="s">
        <v>#N/A N/A</v>
        <stp/>
        <stp>BDH|2243385054428632613</stp>
        <tr r="AJ12" s="2"/>
      </tp>
      <tp t="s">
        <v>#N/A N/A</v>
        <stp/>
        <stp>BDH|5195205165562841956</stp>
        <tr r="AK10" s="5"/>
        <tr r="AK10" s="4"/>
      </tp>
      <tp t="s">
        <v>#N/A N/A</v>
        <stp/>
        <stp>BDH|4410580443877577833</stp>
        <tr r="AA13" s="2"/>
      </tp>
      <tp t="s">
        <v>#N/A N/A</v>
        <stp/>
        <stp>BDH|1399954526256927602</stp>
        <tr r="T12" s="2"/>
      </tp>
      <tp t="s">
        <v>#N/A N/A</v>
        <stp/>
        <stp>BDH|1904451793613531543</stp>
        <tr r="AG18" s="5"/>
        <tr r="AG18" s="4"/>
      </tp>
      <tp t="s">
        <v>#N/A N/A</v>
        <stp/>
        <stp>BDP|5528846458197779511</stp>
        <tr r="AJ13" s="3"/>
      </tp>
      <tp t="s">
        <v>#N/A N/A</v>
        <stp/>
        <stp>BDH|8226646538794273332</stp>
        <tr r="G14" s="5"/>
        <tr r="G14" s="4"/>
      </tp>
      <tp t="s">
        <v>#N/A N/A</v>
        <stp/>
        <stp>BDP|9429215037741991369</stp>
        <tr r="AE12" s="3"/>
      </tp>
      <tp t="s">
        <v>#N/A N/A</v>
        <stp/>
        <stp>BDH|5287410312308537299</stp>
        <tr r="S17" s="5"/>
        <tr r="S17" s="4"/>
      </tp>
      <tp t="s">
        <v>#N/A N/A</v>
        <stp/>
        <stp>BDH|6810232396746319131</stp>
        <tr r="I13" s="5"/>
        <tr r="I13" s="4"/>
      </tp>
      <tp t="s">
        <v>#N/A N/A</v>
        <stp/>
        <stp>BDH|9684186322278394822</stp>
        <tr r="C17" s="5"/>
        <tr r="C17" s="4"/>
      </tp>
      <tp t="s">
        <v>#N/A N/A</v>
        <stp/>
        <stp>BDH|1960222070066197874</stp>
        <tr r="Y16" s="5"/>
        <tr r="Y16" s="4"/>
      </tp>
      <tp t="s">
        <v>#N/A N/A</v>
        <stp/>
        <stp>BDH|7940290148968238374</stp>
        <tr r="AM17" s="2"/>
      </tp>
      <tp t="s">
        <v>#N/A N/A</v>
        <stp/>
        <stp>BDP|2135412163849113315</stp>
        <tr r="U13" s="3"/>
      </tp>
      <tp t="s">
        <v>#N/A N/A</v>
        <stp/>
        <stp>BDH|3246685039385417941</stp>
        <tr r="AI17" s="2"/>
      </tp>
      <tp t="s">
        <v>#N/A N/A</v>
        <stp/>
        <stp>BDH|4708821437485109000</stp>
        <tr r="Z16" s="2"/>
      </tp>
      <tp t="s">
        <v>#N/A N/A</v>
        <stp/>
        <stp>BDP|9138578586236962890</stp>
        <tr r="AF16" s="3"/>
      </tp>
      <tp t="s">
        <v>#N/A N/A</v>
        <stp/>
        <stp>BDH|5321433256747123974</stp>
        <tr r="AC12" s="5"/>
        <tr r="AC12" s="4"/>
      </tp>
      <tp t="s">
        <v>#N/A N/A</v>
        <stp/>
        <stp>BDH|2470364566808316572</stp>
        <tr r="G25" s="5"/>
        <tr r="G25" s="4"/>
      </tp>
      <tp t="s">
        <v>#N/A N/A</v>
        <stp/>
        <stp>BDH|9527706143498293846</stp>
        <tr r="C7" s="5"/>
        <tr r="C7" s="4"/>
      </tp>
      <tp t="s">
        <v>#N/A N/A</v>
        <stp/>
        <stp>BDH|6525310884295767262</stp>
        <tr r="I24" s="2"/>
      </tp>
      <tp t="s">
        <v>#N/A N/A</v>
        <stp/>
        <stp>BDP|7851732298787597409</stp>
        <tr r="AF13" s="3"/>
      </tp>
      <tp t="s">
        <v>#N/A N/A</v>
        <stp/>
        <stp>BDH|3050397208939634305</stp>
        <tr r="J17" s="2"/>
      </tp>
      <tp t="s">
        <v>#N/A N/A</v>
        <stp/>
        <stp>BDH|1252617094876427279</stp>
        <tr r="F20" s="2"/>
      </tp>
      <tp t="s">
        <v>#N/A N/A</v>
        <stp/>
        <stp>BDH|3990039929023514829</stp>
        <tr r="U8" s="2"/>
      </tp>
      <tp t="s">
        <v>#N/A N/A</v>
        <stp/>
        <stp>BDH|2524626134829028475</stp>
        <tr r="H9" s="5"/>
        <tr r="H9" s="4"/>
      </tp>
      <tp t="s">
        <v>#N/A N/A</v>
        <stp/>
        <stp>BDH|7596082789880147500</stp>
        <tr r="AE14" s="5"/>
        <tr r="AE14" s="4"/>
      </tp>
      <tp t="s">
        <v>#N/A N/A</v>
        <stp/>
        <stp>BDH|6757241390884278342</stp>
        <tr r="H22" s="5"/>
        <tr r="H22" s="4"/>
      </tp>
      <tp t="s">
        <v>#N/A N/A</v>
        <stp/>
        <stp>BDH|1043678538159351790</stp>
        <tr r="F25" s="2"/>
      </tp>
    </main>
    <main first="bofaddin.rtdserver">
      <tp t="s">
        <v>#N/A N/A</v>
        <stp/>
        <stp>BDP|9777385378004876257</stp>
        <tr r="J12" s="3"/>
      </tp>
      <tp t="s">
        <v>#N/A N/A</v>
        <stp/>
        <stp>BDH|6209942874027953413</stp>
        <tr r="P16" s="5"/>
        <tr r="P16" s="4"/>
      </tp>
      <tp t="s">
        <v>#N/A N/A</v>
        <stp/>
        <stp>BDH|8260895344106566909</stp>
        <tr r="AD16" s="2"/>
      </tp>
      <tp t="s">
        <v>#N/A N/A</v>
        <stp/>
        <stp>BDP|8613869160325862830</stp>
        <tr r="G13" s="3"/>
      </tp>
      <tp t="s">
        <v>#N/A N/A</v>
        <stp/>
        <stp>BDP|4738081840398633327</stp>
        <tr r="J9" s="3"/>
      </tp>
      <tp t="s">
        <v>#N/A N/A</v>
        <stp/>
        <stp>BDH|7830026251021352834</stp>
        <tr r="Y9" s="5"/>
        <tr r="Y9" s="4"/>
      </tp>
      <tp t="s">
        <v>#N/A N/A</v>
        <stp/>
        <stp>BDH|8679536588599396751</stp>
        <tr r="AO15" s="2"/>
      </tp>
      <tp t="s">
        <v>#N/A N/A</v>
        <stp/>
        <stp>BDP|4791335486754354091</stp>
        <tr r="O10" s="3"/>
      </tp>
      <tp t="s">
        <v>#N/A N/A</v>
        <stp/>
        <stp>BDP|9902644555435902488</stp>
        <tr r="Y17" s="3"/>
      </tp>
      <tp t="s">
        <v>#N/A N/A</v>
        <stp/>
        <stp>BDP|2493154548764881880</stp>
        <tr r="AK10" s="3"/>
      </tp>
      <tp t="s">
        <v>#N/A N/A</v>
        <stp/>
        <stp>BDH|3319455015414336996</stp>
        <tr r="G23" s="2"/>
      </tp>
      <tp t="s">
        <v>#N/A N/A</v>
        <stp/>
        <stp>BDH|9721192606361123205</stp>
        <tr r="AC24" s="2"/>
      </tp>
      <tp t="s">
        <v>#N/A N/A</v>
        <stp/>
        <stp>BDH|4860472035881392908</stp>
        <tr r="H19" s="2"/>
      </tp>
      <tp t="s">
        <v>#N/A N/A</v>
        <stp/>
        <stp>BDH|8688469255137251594</stp>
        <tr r="AP19" s="2"/>
      </tp>
      <tp t="s">
        <v>#N/A N/A</v>
        <stp/>
        <stp>BDH|3616660267608855010</stp>
        <tr r="AC22" s="5"/>
        <tr r="AC22" s="4"/>
      </tp>
      <tp t="s">
        <v>#N/A N/A</v>
        <stp/>
        <stp>BDH|6206797014328557350</stp>
        <tr r="AD25" s="5"/>
        <tr r="AD25" s="4"/>
      </tp>
      <tp t="s">
        <v>#N/A N/A</v>
        <stp/>
        <stp>BDH|2422990632643798079</stp>
        <tr r="S12" s="2"/>
      </tp>
      <tp t="s">
        <v>#N/A N/A</v>
        <stp/>
        <stp>BDH|5523714798103790342</stp>
        <tr r="AB26" s="5"/>
        <tr r="AB26" s="4"/>
      </tp>
      <tp t="s">
        <v>#N/A N/A</v>
        <stp/>
        <stp>BDP|1609103333121915905</stp>
        <tr r="D16" s="3"/>
      </tp>
      <tp t="s">
        <v>#N/A N/A</v>
        <stp/>
        <stp>BDH|3805895918653187240</stp>
        <tr r="D8" s="5"/>
        <tr r="D8" s="4"/>
      </tp>
      <tp t="s">
        <v>#N/A N/A</v>
        <stp/>
        <stp>BDH|9421138387619591298</stp>
        <tr r="C9" s="2"/>
      </tp>
      <tp t="s">
        <v>#N/A N/A</v>
        <stp/>
        <stp>BDH|4423350494466031386</stp>
        <tr r="AN15" s="2"/>
      </tp>
      <tp t="s">
        <v>#N/A N/A</v>
        <stp/>
        <stp>BDH|9215840772779084497</stp>
        <tr r="AF26" s="5"/>
        <tr r="AF26" s="4"/>
      </tp>
      <tp t="s">
        <v>#N/A N/A</v>
        <stp/>
        <stp>BDH|7160303931305326915</stp>
        <tr r="P18" s="5"/>
        <tr r="P18" s="4"/>
      </tp>
      <tp t="s">
        <v>#N/A N/A</v>
        <stp/>
        <stp>BDH|5254717801948773174</stp>
        <tr r="T20" s="5"/>
        <tr r="T20" s="4"/>
      </tp>
      <tp t="s">
        <v>#N/A N/A</v>
        <stp/>
        <stp>BDP|5279948215482009401</stp>
        <tr r="AA16" s="3"/>
      </tp>
      <tp t="s">
        <v>#N/A N/A</v>
        <stp/>
        <stp>BDH|8529415389017984871</stp>
        <tr r="J7" s="5"/>
        <tr r="J7" s="4"/>
      </tp>
      <tp t="s">
        <v>#N/A N/A</v>
        <stp/>
        <stp>BDP|3153302641439786675</stp>
        <tr r="S10" s="3"/>
      </tp>
      <tp t="s">
        <v>#N/A N/A</v>
        <stp/>
        <stp>BDP|2773092765076933924</stp>
        <tr r="D12" s="3"/>
      </tp>
      <tp t="s">
        <v>#N/A N/A</v>
        <stp/>
        <stp>BDH|9242192285092961973</stp>
        <tr r="AD18" s="5"/>
        <tr r="AD18" s="4"/>
      </tp>
      <tp t="s">
        <v>#N/A N/A</v>
        <stp/>
        <stp>BDH|7487802411710454515</stp>
        <tr r="X6" s="5"/>
        <tr r="X6" s="4"/>
      </tp>
      <tp t="s">
        <v>#N/A N/A</v>
        <stp/>
        <stp>BDP|7774138151861301978</stp>
        <tr r="AE10" s="3"/>
      </tp>
      <tp t="s">
        <v>#N/A N/A</v>
        <stp/>
        <stp>BDH|6164982837035638297</stp>
        <tr r="P15" s="2"/>
      </tp>
      <tp t="s">
        <v>#N/A N/A</v>
        <stp/>
        <stp>BDH|8958521302176972011</stp>
        <tr r="AI24" s="5"/>
        <tr r="AI24" s="4"/>
      </tp>
      <tp t="s">
        <v>#N/A N/A</v>
        <stp/>
        <stp>BDP|8602002456063770513</stp>
        <tr r="AK17" s="3"/>
      </tp>
      <tp t="s">
        <v>#N/A N/A</v>
        <stp/>
        <stp>BDH|9397971247116500903</stp>
        <tr r="AF7" s="5"/>
        <tr r="AF7" s="4"/>
      </tp>
      <tp t="s">
        <v>#N/A N/A</v>
        <stp/>
        <stp>BDH|3935619598767568036</stp>
        <tr r="Q24" s="5"/>
        <tr r="Q24" s="4"/>
      </tp>
      <tp t="s">
        <v>#N/A N/A</v>
        <stp/>
        <stp>BDH|1919337688478204977</stp>
        <tr r="AA13" s="5"/>
        <tr r="AA13" s="4"/>
      </tp>
      <tp t="s">
        <v>#N/A N/A</v>
        <stp/>
        <stp>BDH|9869564749796423548</stp>
        <tr r="AG26" s="5"/>
        <tr r="AG26" s="4"/>
      </tp>
      <tp t="s">
        <v>#N/A N/A</v>
        <stp/>
        <stp>BDH|4896836729382261775</stp>
        <tr r="AJ16" s="2"/>
      </tp>
      <tp t="s">
        <v>#N/A N/A</v>
        <stp/>
        <stp>BDH|7660041966543992998</stp>
        <tr r="AO25" s="5"/>
        <tr r="AO25" s="4"/>
      </tp>
      <tp t="s">
        <v>#N/A N/A</v>
        <stp/>
        <stp>BDH|7975416496588817920</stp>
        <tr r="AE17" s="2"/>
      </tp>
      <tp t="s">
        <v>#N/A N/A</v>
        <stp/>
        <stp>BDH|9383336327577794456</stp>
        <tr r="AG8" s="2"/>
      </tp>
      <tp t="s">
        <v>#N/A N/A</v>
        <stp/>
        <stp>BDH|6416221889706315191</stp>
        <tr r="AG20" s="2"/>
      </tp>
      <tp t="s">
        <v>#N/A N/A</v>
        <stp/>
        <stp>BDH|5665778634009017306</stp>
        <tr r="S13" s="5"/>
        <tr r="S13" s="4"/>
      </tp>
      <tp t="s">
        <v>#N/A N/A</v>
        <stp/>
        <stp>BDH|5834072504167982975</stp>
        <tr r="AA21" s="5"/>
        <tr r="AA21" s="4"/>
      </tp>
      <tp t="s">
        <v>#N/A N/A</v>
        <stp/>
        <stp>BDH|4809834578842354257</stp>
        <tr r="AN22" s="5"/>
        <tr r="AN22" s="4"/>
      </tp>
      <tp t="s">
        <v>#N/A N/A</v>
        <stp/>
        <stp>BDP|9927705881841094321</stp>
        <tr r="R16" s="3"/>
      </tp>
      <tp t="s">
        <v>#N/A N/A</v>
        <stp/>
        <stp>BDH|3806957820099100562</stp>
        <tr r="AG7" s="2"/>
      </tp>
      <tp t="s">
        <v>#N/A N/A</v>
        <stp/>
        <stp>BDH|8132851227920844618</stp>
        <tr r="AD12" s="2"/>
      </tp>
      <tp t="s">
        <v>#N/A N/A</v>
        <stp/>
        <stp>BDH|3432157003282001489</stp>
        <tr r="M16" s="5"/>
        <tr r="M16" s="4"/>
      </tp>
      <tp t="s">
        <v>#N/A N/A</v>
        <stp/>
        <stp>BDP|9786150099521593455</stp>
        <tr r="S16" s="3"/>
      </tp>
      <tp t="s">
        <v>#N/A N/A</v>
        <stp/>
        <stp>BDH|9322527212170200996</stp>
        <tr r="Y23" s="2"/>
      </tp>
      <tp t="s">
        <v>#N/A N/A</v>
        <stp/>
        <stp>BDH|7533012020742424380</stp>
        <tr r="Q26" s="5"/>
        <tr r="Q26" s="4"/>
      </tp>
      <tp t="s">
        <v>#N/A N/A</v>
        <stp/>
        <stp>BDP|8327252882945437390</stp>
        <tr r="S9" s="3"/>
      </tp>
      <tp t="s">
        <v>#N/A N/A</v>
        <stp/>
        <stp>BDH|4738637796707819834</stp>
        <tr r="AF21" s="5"/>
        <tr r="AF21" s="4"/>
      </tp>
      <tp t="s">
        <v>#N/A N/A</v>
        <stp/>
        <stp>BDH|1533798674237205232</stp>
        <tr r="AD13" s="2"/>
      </tp>
      <tp t="s">
        <v>#N/A N/A</v>
        <stp/>
        <stp>BDH|6846524541443008028</stp>
        <tr r="AC18" s="2"/>
      </tp>
      <tp t="s">
        <v>#N/A N/A</v>
        <stp/>
        <stp>BDH|3811678844400666531</stp>
        <tr r="C8" s="2"/>
      </tp>
      <tp t="s">
        <v>#N/A N/A</v>
        <stp/>
        <stp>BDH|2004878986343665592</stp>
        <tr r="D8" s="2"/>
      </tp>
      <tp t="s">
        <v>#N/A N/A</v>
        <stp/>
        <stp>BDH|8000987345953216206</stp>
        <tr r="Y25" s="5"/>
        <tr r="Y25" s="4"/>
      </tp>
      <tp t="s">
        <v>#N/A N/A</v>
        <stp/>
        <stp>BDH|4075251083103261984</stp>
        <tr r="AD20" s="2"/>
      </tp>
      <tp t="s">
        <v>#N/A N/A</v>
        <stp/>
        <stp>BDH|8853483598650600127</stp>
        <tr r="F18" s="5"/>
        <tr r="F18" s="4"/>
      </tp>
      <tp t="s">
        <v>#N/A N/A</v>
        <stp/>
        <stp>BDH|4185705863257912676</stp>
        <tr r="H20" s="5"/>
        <tr r="H20" s="4"/>
      </tp>
      <tp t="s">
        <v>#N/A N/A</v>
        <stp/>
        <stp>BDH|4112135365124273399</stp>
        <tr r="AO24" s="5"/>
        <tr r="AO24" s="4"/>
      </tp>
      <tp t="s">
        <v>#N/A N/A</v>
        <stp/>
        <stp>BDH|4148643427125372131</stp>
        <tr r="H12" s="5"/>
        <tr r="H12" s="4"/>
      </tp>
      <tp t="s">
        <v>#N/A N/A</v>
        <stp/>
        <stp>BDH|4338843841239051543</stp>
        <tr r="E21" s="5"/>
        <tr r="E21" s="4"/>
      </tp>
      <tp t="s">
        <v>#N/A N/A</v>
        <stp/>
        <stp>BDH|5151752105910675650</stp>
        <tr r="AN25" s="5"/>
        <tr r="AN25" s="4"/>
      </tp>
      <tp t="s">
        <v>#N/A N/A</v>
        <stp/>
        <stp>BDH|6972962889862174149</stp>
        <tr r="AO22" s="5"/>
        <tr r="AO22" s="4"/>
      </tp>
      <tp t="s">
        <v>#N/A N/A</v>
        <stp/>
        <stp>BDH|5122804321813087834</stp>
        <tr r="AJ18" s="2"/>
      </tp>
      <tp t="s">
        <v>#N/A N/A</v>
        <stp/>
        <stp>BDH|5516375350102516540</stp>
        <tr r="Z24" s="5"/>
        <tr r="Z24" s="4"/>
      </tp>
      <tp t="s">
        <v>#N/A N/A</v>
        <stp/>
        <stp>BDH|4166782971574818439</stp>
        <tr r="F24" s="2"/>
      </tp>
      <tp t="s">
        <v>#N/A N/A</v>
        <stp/>
        <stp>BDH|6867201988218175028</stp>
        <tr r="X18" s="5"/>
        <tr r="X18" s="4"/>
      </tp>
      <tp t="s">
        <v>#N/A N/A</v>
        <stp/>
        <stp>BDH|4308440047383139311</stp>
        <tr r="X18" s="2"/>
      </tp>
      <tp t="s">
        <v>#N/A N/A</v>
        <stp/>
        <stp>BDH|1340017580228524573</stp>
        <tr r="W13" s="5"/>
        <tr r="W13" s="4"/>
      </tp>
      <tp t="s">
        <v>#N/A N/A</v>
        <stp/>
        <stp>BDH|3165960040859328340</stp>
        <tr r="X26" s="5"/>
        <tr r="X26" s="4"/>
      </tp>
      <tp t="s">
        <v>#N/A N/A</v>
        <stp/>
        <stp>BDH|3804915883530366687</stp>
        <tr r="G16" s="5"/>
        <tr r="G16" s="4"/>
      </tp>
      <tp t="s">
        <v>#N/A N/A</v>
        <stp/>
        <stp>BDH|3385660641843259678</stp>
        <tr r="AK16" s="5"/>
        <tr r="AK16" s="4"/>
      </tp>
      <tp t="s">
        <v>#N/A N/A</v>
        <stp/>
        <stp>BDP|4553513712631538554</stp>
        <tr r="H10" s="3"/>
      </tp>
      <tp t="s">
        <v>#N/A N/A</v>
        <stp/>
        <stp>BDH|8238374193230273623</stp>
        <tr r="K8" s="5"/>
        <tr r="K8" s="4"/>
      </tp>
      <tp t="s">
        <v>#N/A N/A</v>
        <stp/>
        <stp>BDH|2438317954447275752</stp>
        <tr r="AD22" s="5"/>
        <tr r="AD22" s="4"/>
      </tp>
      <tp t="s">
        <v>#N/A N/A</v>
        <stp/>
        <stp>BDH|2657938205107338852</stp>
        <tr r="W24" s="5"/>
        <tr r="W24" s="4"/>
      </tp>
      <tp t="s">
        <v>#N/A N/A</v>
        <stp/>
        <stp>BDH|2227542940670131719</stp>
        <tr r="W18" s="2"/>
      </tp>
      <tp t="s">
        <v>#N/A N/A</v>
        <stp/>
        <stp>BDH|8689704863425036834</stp>
        <tr r="AH17" s="2"/>
      </tp>
      <tp t="s">
        <v>#N/A N/A</v>
        <stp/>
        <stp>BDP|8787181033487257991</stp>
        <tr r="K16" s="3"/>
      </tp>
      <tp t="s">
        <v>#N/A N/A</v>
        <stp/>
        <stp>BDH|5260051917478176868</stp>
        <tr r="F26" s="5"/>
        <tr r="F26" s="4"/>
      </tp>
      <tp t="s">
        <v>#N/A N/A</v>
        <stp/>
        <stp>BDP|2976487978566474398</stp>
        <tr r="R12" s="3"/>
      </tp>
      <tp t="s">
        <v>#N/A N/A</v>
        <stp/>
        <stp>BDP|1435640612986632403</stp>
        <tr r="J10" s="3"/>
      </tp>
      <tp t="s">
        <v>#N/A N/A</v>
        <stp/>
        <stp>BDH|7261265274591745734</stp>
        <tr r="AK14" s="5"/>
        <tr r="AK14" s="4"/>
      </tp>
      <tp t="s">
        <v>#N/A N/A</v>
        <stp/>
        <stp>BDH|7767871595256500451</stp>
        <tr r="U13" s="5"/>
        <tr r="U13" s="4"/>
      </tp>
      <tp t="s">
        <v>#N/A N/A</v>
        <stp/>
        <stp>BDH|1267833681651223478</stp>
        <tr r="AI20" s="5"/>
        <tr r="AI20" s="4"/>
      </tp>
      <tp t="s">
        <v>#N/A N/A</v>
        <stp/>
        <stp>BDH|7821178272224105194</stp>
        <tr r="U10" s="5"/>
        <tr r="U10" s="4"/>
      </tp>
      <tp t="s">
        <v>#N/A N/A</v>
        <stp/>
        <stp>BDH|1583741756087013026</stp>
        <tr r="AM20" s="2"/>
      </tp>
      <tp t="s">
        <v>#N/A N/A</v>
        <stp/>
        <stp>BDH|5877577608727835257</stp>
        <tr r="D22" s="5"/>
        <tr r="D22" s="4"/>
      </tp>
      <tp t="s">
        <v>#N/A N/A</v>
        <stp/>
        <stp>BDH|8595360000146863814</stp>
        <tr r="L20" s="2"/>
      </tp>
      <tp t="s">
        <v>#N/A N/A</v>
        <stp/>
        <stp>BDH|9830052911905319856</stp>
        <tr r="AI9" s="2"/>
      </tp>
      <tp t="s">
        <v>#N/A N/A</v>
        <stp/>
        <stp>BDP|6775544484299873743</stp>
        <tr r="AO9" s="3"/>
      </tp>
      <tp t="s">
        <v>#N/A N/A</v>
        <stp/>
        <stp>BDP|5326682173319115814</stp>
        <tr r="AP12" s="3"/>
      </tp>
      <tp t="s">
        <v>#N/A N/A</v>
        <stp/>
        <stp>BDH|1203467367993219594</stp>
        <tr r="AF12" s="2"/>
      </tp>
      <tp t="s">
        <v>#N/A N/A</v>
        <stp/>
        <stp>BDP|5430767667786495786</stp>
        <tr r="M16" s="3"/>
      </tp>
      <tp t="s">
        <v>#N/A N/A</v>
        <stp/>
        <stp>BDH|6617492057570252233</stp>
        <tr r="W9" s="5"/>
        <tr r="W9" s="4"/>
      </tp>
      <tp t="s">
        <v>#N/A N/A</v>
        <stp/>
        <stp>BDH|7745986315478701242</stp>
        <tr r="W8" s="2"/>
      </tp>
      <tp t="s">
        <v>#N/A N/A</v>
        <stp/>
        <stp>BDH|6617494775623463379</stp>
        <tr r="AO16" s="2"/>
      </tp>
      <tp t="s">
        <v>#N/A N/A</v>
        <stp/>
        <stp>BDH|7346387769751525697</stp>
        <tr r="W25" s="5"/>
        <tr r="W25" s="4"/>
      </tp>
      <tp t="s">
        <v>#N/A N/A</v>
        <stp/>
        <stp>BDH|8388783276309743443</stp>
        <tr r="AE13" s="5"/>
        <tr r="AE13" s="4"/>
      </tp>
      <tp t="s">
        <v>#N/A N/A</v>
        <stp/>
        <stp>BDH|1161188553662372267</stp>
        <tr r="AE8" s="5"/>
        <tr r="AE8" s="4"/>
      </tp>
      <tp t="s">
        <v>#N/A N/A</v>
        <stp/>
        <stp>BDP|4572087241157379232</stp>
        <tr r="U16" s="3"/>
      </tp>
      <tp t="s">
        <v>#N/A N/A</v>
        <stp/>
        <stp>BDH|4392870220872849906</stp>
        <tr r="X9" s="2"/>
      </tp>
      <tp t="s">
        <v>#N/A N/A</v>
        <stp/>
        <stp>BDH|2017489675681524548</stp>
        <tr r="AE18" s="5"/>
        <tr r="AE18" s="4"/>
      </tp>
      <tp t="s">
        <v>#N/A N/A</v>
        <stp/>
        <stp>BDP|6584565818903220448</stp>
        <tr r="AE13" s="3"/>
      </tp>
      <tp t="s">
        <v>#N/A N/A</v>
        <stp/>
        <stp>BDH|6886442323200656542</stp>
        <tr r="J20" s="2"/>
      </tp>
      <tp t="s">
        <v>#N/A N/A</v>
        <stp/>
        <stp>BDP|2642773077006628124</stp>
        <tr r="AO17" s="3"/>
      </tp>
      <tp t="s">
        <v>#N/A N/A</v>
        <stp/>
        <stp>BDH|4489162553111131420</stp>
        <tr r="AC7" s="5"/>
        <tr r="AC7" s="4"/>
      </tp>
      <tp t="s">
        <v>#N/A N/A</v>
        <stp/>
        <stp>BDH|7602407718454987350</stp>
        <tr r="L15" s="2"/>
      </tp>
      <tp t="s">
        <v>#N/A N/A</v>
        <stp/>
        <stp>BDH|8284795647488865664</stp>
        <tr r="AJ19" s="2"/>
      </tp>
      <tp t="s">
        <v>#N/A N/A</v>
        <stp/>
        <stp>BDH|3069176347050699344</stp>
        <tr r="F12" s="5"/>
        <tr r="F12" s="4"/>
      </tp>
      <tp t="s">
        <v>#N/A N/A</v>
        <stp/>
        <stp>BDP|1801330042912310191</stp>
        <tr r="AO12" s="3"/>
      </tp>
      <tp t="s">
        <v>#N/A N/A</v>
        <stp/>
        <stp>BDH|6625566133587982297</stp>
        <tr r="AL21" s="5"/>
        <tr r="AL21" s="4"/>
      </tp>
      <tp t="s">
        <v>#N/A N/A</v>
        <stp/>
        <stp>BDH|1940976079602703806</stp>
        <tr r="AI26" s="5"/>
        <tr r="AI26" s="4"/>
      </tp>
      <tp t="s">
        <v>#N/A N/A</v>
        <stp/>
        <stp>BDH|5716616267594408457</stp>
        <tr r="AL19" s="2"/>
      </tp>
      <tp t="s">
        <v>#N/A N/A</v>
        <stp/>
        <stp>BDH|3860229078622430162</stp>
        <tr r="O18" s="2"/>
      </tp>
      <tp t="s">
        <v>#N/A N/A</v>
        <stp/>
        <stp>BDH|2687247925112441529</stp>
        <tr r="D16" s="5"/>
        <tr r="D16" s="4"/>
      </tp>
      <tp t="s">
        <v>#N/A N/A</v>
        <stp/>
        <stp>BDH|5611574757211327147</stp>
        <tr r="X12" s="2"/>
      </tp>
      <tp t="s">
        <v>#N/A N/A</v>
        <stp/>
        <stp>BDH|5638444353127717675</stp>
        <tr r="U18" s="5"/>
        <tr r="U18" s="4"/>
      </tp>
      <tp t="s">
        <v>#N/A N/A</v>
        <stp/>
        <stp>BDH|3588019622454773006</stp>
        <tr r="I9" s="5"/>
        <tr r="I9" s="4"/>
      </tp>
      <tp t="s">
        <v>#N/A N/A</v>
        <stp/>
        <stp>BDH|4813433608605492017</stp>
        <tr r="H7" s="5"/>
        <tr r="H7" s="4"/>
      </tp>
      <tp t="s">
        <v>#N/A N/A</v>
        <stp/>
        <stp>BDH|1642755941297381076</stp>
        <tr r="AE24" s="5"/>
        <tr r="AE24" s="4"/>
      </tp>
      <tp t="s">
        <v>#N/A N/A</v>
        <stp/>
        <stp>BDH|9739982077287640588</stp>
        <tr r="AP17" s="2"/>
      </tp>
      <tp t="s">
        <v>#N/A N/A</v>
        <stp/>
        <stp>BDH|8963815510207988376</stp>
        <tr r="G8" s="2"/>
      </tp>
      <tp t="s">
        <v>#N/A N/A</v>
        <stp/>
        <stp>BDH|6556698608587277200</stp>
        <tr r="X19" s="2"/>
      </tp>
      <tp t="s">
        <v>#N/A N/A</v>
        <stp/>
        <stp>BDH|4143021485758855194</stp>
        <tr r="AH22" s="5"/>
        <tr r="AH22" s="4"/>
      </tp>
      <tp t="s">
        <v>#N/A N/A</v>
        <stp/>
        <stp>BDH|8321185469552457814</stp>
        <tr r="U16" s="5"/>
        <tr r="U16" s="4"/>
      </tp>
      <tp t="s">
        <v>#N/A N/A</v>
        <stp/>
        <stp>BDH|8701783999072092118</stp>
        <tr r="S26" s="5"/>
        <tr r="S26" s="4"/>
      </tp>
      <tp t="s">
        <v>#N/A N/A</v>
        <stp/>
        <stp>BDP|9683448827963042914</stp>
        <tr r="AH10" s="3"/>
      </tp>
      <tp t="s">
        <v>#N/A N/A</v>
        <stp/>
        <stp>BDP|4413316921881461149</stp>
        <tr r="F16" s="3"/>
      </tp>
      <tp t="s">
        <v>#N/A N/A</v>
        <stp/>
        <stp>BDP|7965085547966595077</stp>
        <tr r="P10" s="3"/>
      </tp>
      <tp t="s">
        <v>#N/A N/A</v>
        <stp/>
        <stp>BDH|1084908277849306308</stp>
        <tr r="D24" s="2"/>
      </tp>
      <tp t="s">
        <v>#N/A N/A</v>
        <stp/>
        <stp>BDH|8129824937480358632</stp>
        <tr r="E23" s="2"/>
      </tp>
      <tp t="s">
        <v>#N/A N/A</v>
        <stp/>
        <stp>BDH|3916172940723897027</stp>
        <tr r="H13" s="2"/>
      </tp>
      <tp t="s">
        <v>#N/A N/A</v>
        <stp/>
        <stp>BDH|6097121064841678556</stp>
        <tr r="R18" s="2"/>
      </tp>
      <tp t="s">
        <v>#N/A N/A</v>
        <stp/>
        <stp>BDH|1233386417247041187</stp>
        <tr r="AP16" s="2"/>
      </tp>
      <tp t="s">
        <v>#N/A N/A</v>
        <stp/>
        <stp>BDH|50838368153797541</stp>
        <tr r="M19" s="2"/>
      </tp>
      <tp t="s">
        <v>#N/A N/A</v>
        <stp/>
        <stp>BDP|8970931643762539168</stp>
        <tr r="AE9" s="3"/>
      </tp>
      <tp t="s">
        <v>#N/A N/A</v>
        <stp/>
        <stp>BDH|3415205873945872555</stp>
        <tr r="AB9" s="2"/>
      </tp>
      <tp t="s">
        <v>#N/A N/A</v>
        <stp/>
        <stp>BDP|7866071293350202859</stp>
        <tr r="AG13" s="3"/>
      </tp>
      <tp t="s">
        <v>#N/A N/A</v>
        <stp/>
        <stp>BDH|1442560958117203039</stp>
        <tr r="T6" s="5"/>
        <tr r="T6" s="4"/>
      </tp>
      <tp t="s">
        <v>#N/A N/A</v>
        <stp/>
        <stp>BDH|2206411790009302082</stp>
        <tr r="J16" s="5"/>
        <tr r="J16" s="4"/>
      </tp>
      <tp t="s">
        <v>#N/A N/A</v>
        <stp/>
        <stp>BDH|6856130473896472058</stp>
        <tr r="AI6" s="5"/>
        <tr r="AI6" s="4"/>
      </tp>
      <tp t="s">
        <v>#N/A N/A</v>
        <stp/>
        <stp>BDH|2629789275456718253</stp>
        <tr r="C26" s="5"/>
        <tr r="C26" s="4"/>
      </tp>
      <tp t="s">
        <v>#N/A N/A</v>
        <stp/>
        <stp>BDH|5403176083598186284</stp>
        <tr r="L18" s="5"/>
        <tr r="L18" s="4"/>
      </tp>
      <tp t="s">
        <v>#N/A N/A</v>
        <stp/>
        <stp>BDH|2587781285668434328</stp>
        <tr r="AO20" s="5"/>
        <tr r="AO20" s="4"/>
      </tp>
      <tp t="s">
        <v>#N/A N/A</v>
        <stp/>
        <stp>BDH|4348088623095617506</stp>
        <tr r="Z20" s="2"/>
      </tp>
      <tp t="s">
        <v>#N/A N/A</v>
        <stp/>
        <stp>BDH|9125392979113924876</stp>
        <tr r="P12" s="5"/>
        <tr r="P12" s="4"/>
      </tp>
      <tp t="s">
        <v>#N/A N/A</v>
        <stp/>
        <stp>BDH|9153314398903489635</stp>
        <tr r="N17" s="5"/>
        <tr r="N17" s="4"/>
      </tp>
      <tp t="s">
        <v>#N/A N/A</v>
        <stp/>
        <stp>BDH|6503133214131939144</stp>
        <tr r="X8" s="5"/>
        <tr r="X8" s="4"/>
      </tp>
      <tp t="s">
        <v>#N/A N/A</v>
        <stp/>
        <stp>BDH|9479805771985874522</stp>
        <tr r="Y22" s="5"/>
        <tr r="Y22" s="4"/>
      </tp>
      <tp t="s">
        <v>#N/A N/A</v>
        <stp/>
        <stp>BDH|4343379657350886474</stp>
        <tr r="AL12" s="5"/>
        <tr r="AL12" s="4"/>
      </tp>
      <tp t="s">
        <v>#N/A N/A</v>
        <stp/>
        <stp>BDH|4360892587785010717</stp>
        <tr r="AJ8" s="2"/>
      </tp>
      <tp t="s">
        <v>#N/A N/A</v>
        <stp/>
        <stp>BDH|1253727653742689799</stp>
        <tr r="AH15" s="2"/>
      </tp>
      <tp t="s">
        <v>#N/A N/A</v>
        <stp/>
        <stp>BDH|4977325300034623518</stp>
        <tr r="AJ22" s="5"/>
        <tr r="AJ22" s="4"/>
      </tp>
      <tp t="s">
        <v>#N/A N/A</v>
        <stp/>
        <stp>BDP|5651204249305065026</stp>
        <tr r="T17" s="3"/>
      </tp>
      <tp t="s">
        <v>#N/A N/A</v>
        <stp/>
        <stp>BDH|2178575879594347217</stp>
        <tr r="Q18" s="2"/>
      </tp>
      <tp t="s">
        <v>#N/A N/A</v>
        <stp/>
        <stp>BDH|2937435362655169342</stp>
        <tr r="I10" s="5"/>
        <tr r="I10" s="4"/>
      </tp>
      <tp t="s">
        <v>#N/A N/A</v>
        <stp/>
        <stp>BDH|9195085683142592523</stp>
        <tr r="L21" s="5"/>
        <tr r="L21" s="4"/>
      </tp>
      <tp t="s">
        <v>#N/A N/A</v>
        <stp/>
        <stp>BDH|6267027257164857129</stp>
        <tr r="I24" s="5"/>
        <tr r="I24" s="4"/>
      </tp>
      <tp t="s">
        <v>#N/A N/A</v>
        <stp/>
        <stp>BDH|8886977053272961085</stp>
        <tr r="J14" s="5"/>
        <tr r="J14" s="4"/>
      </tp>
      <tp t="s">
        <v>#N/A N/A</v>
        <stp/>
        <stp>BDH|7077166433692464135</stp>
        <tr r="D20" s="2"/>
      </tp>
      <tp t="s">
        <v>#N/A N/A</v>
        <stp/>
        <stp>BDH|1950235927051930664</stp>
        <tr r="R9" s="2"/>
      </tp>
      <tp t="s">
        <v>#N/A N/A</v>
        <stp/>
        <stp>BDH|9118657213280442819</stp>
        <tr r="S19" s="2"/>
      </tp>
      <tp t="s">
        <v>#N/A N/A</v>
        <stp/>
        <stp>BDH|5293573075821486065</stp>
        <tr r="O25" s="5"/>
        <tr r="O25" s="4"/>
      </tp>
      <tp t="s">
        <v>#N/A N/A</v>
        <stp/>
        <stp>BDP|6638618279707461696</stp>
        <tr r="AH12" s="3"/>
      </tp>
      <tp t="s">
        <v>#N/A N/A</v>
        <stp/>
        <stp>BDH|7199325650464886383</stp>
        <tr r="R7" s="5"/>
        <tr r="R7" s="4"/>
      </tp>
      <tp t="s">
        <v>#N/A N/A</v>
        <stp/>
        <stp>BDH|8769444329080878817</stp>
        <tr r="AN7" s="5"/>
        <tr r="AN7" s="4"/>
      </tp>
      <tp t="s">
        <v>#N/A N/A</v>
        <stp/>
        <stp>BDH|1156884486554487382</stp>
        <tr r="AO16" s="5"/>
        <tr r="AO16" s="4"/>
      </tp>
      <tp t="s">
        <v>#N/A N/A</v>
        <stp/>
        <stp>BDP|5923484616882630418</stp>
        <tr r="AC9" s="3"/>
      </tp>
      <tp t="s">
        <v>#N/A N/A</v>
        <stp/>
        <stp>BDH|1091205961783505049</stp>
        <tr r="Z10" s="5"/>
        <tr r="Z10" s="4"/>
      </tp>
      <tp t="s">
        <v>#N/A N/A</v>
        <stp/>
        <stp>BDH|4130513075712045257</stp>
        <tr r="P20" s="5"/>
        <tr r="P20" s="4"/>
      </tp>
      <tp t="s">
        <v>#N/A N/A</v>
        <stp/>
        <stp>BDH|7124547612604723108</stp>
        <tr r="G13" s="5"/>
        <tr r="G13" s="4"/>
      </tp>
      <tp t="s">
        <v>#N/A N/A</v>
        <stp/>
        <stp>BDH|3445454344896360363</stp>
        <tr r="W6" s="5"/>
        <tr r="W6" s="4"/>
      </tp>
      <tp t="s">
        <v>#N/A N/A</v>
        <stp/>
        <stp>BDH|2699533152025365155</stp>
        <tr r="I17" s="5"/>
        <tr r="I17" s="4"/>
      </tp>
      <tp t="s">
        <v>#N/A N/A</v>
        <stp/>
        <stp>BDH|5567574956647498416</stp>
        <tr r="Z9" s="5"/>
        <tr r="Z9" s="4"/>
      </tp>
      <tp t="s">
        <v>#N/A N/A</v>
        <stp/>
        <stp>BDH|6929481646860952089</stp>
        <tr r="G9" s="5"/>
        <tr r="G9" s="4"/>
      </tp>
      <tp t="s">
        <v>#N/A N/A</v>
        <stp/>
        <stp>BDH|7841153859421306419</stp>
        <tr r="AC23" s="2"/>
      </tp>
      <tp t="s">
        <v>#N/A N/A</v>
        <stp/>
        <stp>BDH|1197954493711519644</stp>
        <tr r="V20" s="2"/>
      </tp>
      <tp t="s">
        <v>#N/A N/A</v>
        <stp/>
        <stp>BDH|4540679592935524838</stp>
        <tr r="AD17" s="2"/>
      </tp>
      <tp t="s">
        <v>#N/A N/A</v>
        <stp/>
        <stp>BDH|2130227852561023259</stp>
        <tr r="L9" s="5"/>
        <tr r="L9" s="4"/>
      </tp>
      <tp t="s">
        <v>#N/A N/A</v>
        <stp/>
        <stp>BDH|9342462764248379573</stp>
        <tr r="AK7" s="5"/>
        <tr r="AK7" s="4"/>
      </tp>
      <tp t="s">
        <v>#N/A N/A</v>
        <stp/>
        <stp>BDH|2002577550284126030</stp>
        <tr r="AI14" s="5"/>
        <tr r="AI14" s="4"/>
      </tp>
      <tp t="s">
        <v>#N/A N/A</v>
        <stp/>
        <stp>BDH|1350685961690823772</stp>
        <tr r="R24" s="2"/>
      </tp>
      <tp t="s">
        <v>#N/A N/A</v>
        <stp/>
        <stp>BDH|88752339399849657</stp>
        <tr r="M13" s="2"/>
      </tp>
      <tp t="s">
        <v>#N/A N/A</v>
        <stp/>
        <stp>BDH|7368984559695979911</stp>
        <tr r="C14" s="5"/>
        <tr r="C14" s="4"/>
      </tp>
      <tp t="s">
        <v>#N/A N/A</v>
        <stp/>
        <stp>BDH|7932024604884616435</stp>
        <tr r="L9" s="2"/>
      </tp>
      <tp t="s">
        <v>#N/A N/A</v>
        <stp/>
        <stp>BDH|4745798072125510627</stp>
        <tr r="AA24" s="5"/>
        <tr r="AA24" s="4"/>
      </tp>
      <tp t="s">
        <v>#N/A N/A</v>
        <stp/>
        <stp>BDH|7387932204410906950</stp>
        <tr r="U6" s="5"/>
        <tr r="U6" s="4"/>
      </tp>
      <tp t="s">
        <v>#N/A N/A</v>
        <stp/>
        <stp>BDH|8647567659618657766</stp>
        <tr r="F22" s="5"/>
        <tr r="F22" s="4"/>
      </tp>
      <tp t="s">
        <v>#N/A N/A</v>
        <stp/>
        <stp>BDH|3103960470933908972</stp>
        <tr r="F18" s="2"/>
      </tp>
      <tp t="s">
        <v>#N/A N/A</v>
        <stp/>
        <stp>BDH|5994699135196599195</stp>
        <tr r="R6" s="5"/>
        <tr r="R6" s="4"/>
      </tp>
      <tp t="s">
        <v>#N/A N/A</v>
        <stp/>
        <stp>BDH|8490696666787354813</stp>
        <tr r="AJ21" s="5"/>
        <tr r="AJ21" s="4"/>
      </tp>
    </main>
    <main first="bofaddin.rtdserver">
      <tp t="s">
        <v>#N/A N/A</v>
        <stp/>
        <stp>BDH|9427677738139022254</stp>
        <tr r="AB20" s="5"/>
        <tr r="AB20" s="4"/>
      </tp>
      <tp t="s">
        <v>#N/A N/A</v>
        <stp/>
        <stp>BDH|6415584360981239313</stp>
        <tr r="AD15" s="2"/>
      </tp>
      <tp t="s">
        <v>#N/A N/A</v>
        <stp/>
        <stp>BDP|7898494276930214380</stp>
        <tr r="AI13" s="3"/>
      </tp>
      <tp t="s">
        <v>#N/A N/A</v>
        <stp/>
        <stp>BDH|6805360537713497208</stp>
        <tr r="F9" s="5"/>
        <tr r="F9" s="4"/>
      </tp>
      <tp t="s">
        <v>#N/A N/A</v>
        <stp/>
        <stp>BDH|8978656404598268178</stp>
        <tr r="AG25" s="2"/>
      </tp>
      <tp t="s">
        <v>#N/A N/A</v>
        <stp/>
        <stp>BDH|5365645144735067517</stp>
        <tr r="H18" s="2"/>
      </tp>
      <tp t="s">
        <v>#N/A N/A</v>
        <stp/>
        <stp>BDH|7956892862926660866</stp>
        <tr r="AF7" s="2"/>
      </tp>
      <tp t="s">
        <v>#N/A N/A</v>
        <stp/>
        <stp>BDP|1633350057973681319</stp>
        <tr r="X12" s="3"/>
      </tp>
      <tp t="s">
        <v>#N/A N/A</v>
        <stp/>
        <stp>BDP|5608423201110526605</stp>
        <tr r="AE17" s="3"/>
      </tp>
      <tp t="s">
        <v>#N/A N/A</v>
        <stp/>
        <stp>BDP|1775063027663337755</stp>
        <tr r="O9" s="3"/>
      </tp>
      <tp t="s">
        <v>#N/A N/A</v>
        <stp/>
        <stp>BDH|2412322021464721001</stp>
        <tr r="AK25" s="5"/>
        <tr r="AK25" s="4"/>
      </tp>
      <tp t="s">
        <v>#N/A N/A</v>
        <stp/>
        <stp>BDH|7611721901151648631</stp>
        <tr r="AD19" s="2"/>
      </tp>
      <tp t="s">
        <v>#N/A N/A</v>
        <stp/>
        <stp>BDH|2693133507645260102</stp>
        <tr r="H24" s="5"/>
        <tr r="H24" s="4"/>
      </tp>
      <tp t="s">
        <v>#N/A N/A</v>
        <stp/>
        <stp>BDH|6538512527343358509</stp>
        <tr r="O6" s="5"/>
        <tr r="O6" s="4"/>
      </tp>
      <tp t="s">
        <v>#N/A N/A</v>
        <stp/>
        <stp>BDH|1173513497109788318</stp>
        <tr r="H16" s="5"/>
        <tr r="H16" s="4"/>
      </tp>
      <tp t="s">
        <v>#N/A N/A</v>
        <stp/>
        <stp>BDH|9924849309674139249</stp>
        <tr r="D23" s="2"/>
      </tp>
      <tp t="s">
        <v>#N/A N/A</v>
        <stp/>
        <stp>BDH|3640207637750287520</stp>
        <tr r="M26" s="5"/>
        <tr r="M26" s="4"/>
      </tp>
      <tp t="s">
        <v>#N/A N/A</v>
        <stp/>
        <stp>BDH|8581684576709318795</stp>
        <tr r="AK7" s="2"/>
      </tp>
      <tp t="s">
        <v>#N/A N/A</v>
        <stp/>
        <stp>BDP|2965933888370555416</stp>
        <tr r="AM9" s="3"/>
      </tp>
      <tp t="s">
        <v>#N/A N/A</v>
        <stp/>
        <stp>BDH|7499549873103108144</stp>
        <tr r="Q15" s="2"/>
      </tp>
      <tp t="s">
        <v>#N/A N/A</v>
        <stp/>
        <stp>BDH|5943217043513460794</stp>
        <tr r="AJ6" s="5"/>
        <tr r="AJ6" s="4"/>
      </tp>
      <tp t="s">
        <v>#N/A N/A</v>
        <stp/>
        <stp>BDH|6973741529551380517</stp>
        <tr r="D25" s="2"/>
      </tp>
      <tp t="s">
        <v>#N/A N/A</v>
        <stp/>
        <stp>BDP|7220780900025606285</stp>
        <tr r="V13" s="3"/>
      </tp>
      <tp t="s">
        <v>#N/A N/A</v>
        <stp/>
        <stp>BDH|3500931223139409656</stp>
        <tr r="M17" s="5"/>
        <tr r="M17" s="4"/>
      </tp>
      <tp t="s">
        <v>#N/A N/A</v>
        <stp/>
        <stp>BDH|3407366333501020544</stp>
        <tr r="N20" s="2"/>
      </tp>
      <tp t="s">
        <v>#N/A N/A</v>
        <stp/>
        <stp>BDH|9832572298566031421</stp>
        <tr r="S20" s="2"/>
      </tp>
      <tp t="s">
        <v>#N/A N/A</v>
        <stp/>
        <stp>BDH|3838323089469901103</stp>
        <tr r="F13" s="5"/>
        <tr r="F13" s="4"/>
      </tp>
      <tp t="s">
        <v>#N/A N/A</v>
        <stp/>
        <stp>BDH|2452883265249586561</stp>
        <tr r="AL10" s="5"/>
        <tr r="AL10" s="4"/>
      </tp>
      <tp t="s">
        <v>#N/A N/A</v>
        <stp/>
        <stp>BDH|2536692145241259135</stp>
        <tr r="AP8" s="2"/>
      </tp>
      <tp t="s">
        <v>#N/A N/A</v>
        <stp/>
        <stp>BDH|9653514619474072969</stp>
        <tr r="R8" s="5"/>
        <tr r="R8" s="4"/>
      </tp>
      <tp t="s">
        <v>#N/A N/A</v>
        <stp/>
        <stp>BDH|5906162545958712857</stp>
        <tr r="AN17" s="2"/>
      </tp>
      <tp t="s">
        <v>#N/A N/A</v>
        <stp/>
        <stp>BDP|5595431462747445095</stp>
        <tr r="Z12" s="3"/>
      </tp>
      <tp t="s">
        <v>#N/A N/A</v>
        <stp/>
        <stp>BDH|4475462938661605251</stp>
        <tr r="F12" s="2"/>
      </tp>
      <tp t="s">
        <v>#N/A N/A</v>
        <stp/>
        <stp>BDH|9333981512599378837</stp>
        <tr r="J7" s="2"/>
      </tp>
      <tp t="s">
        <v>#N/A N/A</v>
        <stp/>
        <stp>BDH|9326304984013850116</stp>
        <tr r="AD12" s="5"/>
        <tr r="AD12" s="4"/>
      </tp>
      <tp t="s">
        <v>#N/A N/A</v>
        <stp/>
        <stp>BDH|1914141337752778139</stp>
        <tr r="Y19" s="2"/>
      </tp>
      <tp t="s">
        <v>#N/A N/A</v>
        <stp/>
        <stp>BDH|4151672916924947776</stp>
        <tr r="Q18" s="5"/>
        <tr r="Q18" s="4"/>
      </tp>
      <tp t="s">
        <v>#N/A N/A</v>
        <stp/>
        <stp>BDP|5312599031305279660</stp>
        <tr r="T16" s="3"/>
      </tp>
      <tp t="s">
        <v>#N/A N/A</v>
        <stp/>
        <stp>BDH|9848077941394278936</stp>
        <tr r="O7" s="2"/>
      </tp>
      <tp t="s">
        <v>#N/A N/A</v>
        <stp/>
        <stp>BDH|8227159720023190891</stp>
        <tr r="U25" s="5"/>
        <tr r="U25" s="4"/>
      </tp>
      <tp t="s">
        <v>#N/A N/A</v>
        <stp/>
        <stp>BDH|4509114947496457788</stp>
        <tr r="AM12" s="5"/>
        <tr r="AM12" s="4"/>
      </tp>
      <tp t="s">
        <v>#N/A N/A</v>
        <stp/>
        <stp>BDH|9176027269236410920</stp>
        <tr r="J24" s="5"/>
        <tr r="J24" s="4"/>
      </tp>
      <tp t="s">
        <v>#N/A N/A</v>
        <stp/>
        <stp>BDH|9208590383577658325</stp>
        <tr r="H25" s="2"/>
      </tp>
      <tp t="s">
        <v>#N/A N/A</v>
        <stp/>
        <stp>BDH|9911173480199426966</stp>
        <tr r="AF18" s="5"/>
        <tr r="AF18" s="4"/>
      </tp>
      <tp t="s">
        <v>#N/A N/A</v>
        <stp/>
        <stp>BDH|2880026256110575755</stp>
        <tr r="AH19" s="2"/>
      </tp>
      <tp t="s">
        <v>#N/A N/A</v>
        <stp/>
        <stp>BDH|4120674023039890911</stp>
        <tr r="AK22" s="5"/>
        <tr r="AK22" s="4"/>
      </tp>
      <tp t="s">
        <v>#N/A N/A</v>
        <stp/>
        <stp>BDP|7969227962891407203</stp>
        <tr r="P16" s="3"/>
      </tp>
      <tp t="s">
        <v>#N/A N/A</v>
        <stp/>
        <stp>BDP|4726504768454440366</stp>
        <tr r="L9" s="3"/>
      </tp>
      <tp t="s">
        <v>#N/A N/A</v>
        <stp/>
        <stp>BDP|2456722047431876046</stp>
        <tr r="AG17" s="3"/>
      </tp>
      <tp t="s">
        <v>#N/A N/A</v>
        <stp/>
        <stp>BDH|4150142737805890377</stp>
        <tr r="P24" s="5"/>
        <tr r="P24" s="4"/>
      </tp>
      <tp t="s">
        <v>#N/A N/A</v>
        <stp/>
        <stp>BDH|1773487135686639016</stp>
        <tr r="Y20" s="5"/>
        <tr r="Y20" s="4"/>
      </tp>
      <tp t="s">
        <v>#N/A N/A</v>
        <stp/>
        <stp>BDH|3209076739682858292</stp>
        <tr r="AL9" s="2"/>
      </tp>
      <tp t="s">
        <v>#N/A N/A</v>
        <stp/>
        <stp>BDH|3896404033257047361</stp>
        <tr r="Z6" s="5"/>
        <tr r="Z6" s="4"/>
      </tp>
      <tp t="s">
        <v>#N/A N/A</v>
        <stp/>
        <stp>BDH|6732282039437227067</stp>
        <tr r="AM7" s="2"/>
      </tp>
      <tp t="s">
        <v>#N/A N/A</v>
        <stp/>
        <stp>BDH|6890348699789648517</stp>
        <tr r="Q7" s="5"/>
        <tr r="Q7" s="4"/>
      </tp>
      <tp t="s">
        <v>#N/A N/A</v>
        <stp/>
        <stp>BDH|4320075604266704252</stp>
        <tr r="AN24" s="5"/>
        <tr r="AN24" s="4"/>
      </tp>
      <tp t="s">
        <v>#N/A N/A</v>
        <stp/>
        <stp>BDH|7015573001773178155</stp>
        <tr r="O15" s="2"/>
      </tp>
      <tp t="s">
        <v>#N/A N/A</v>
        <stp/>
        <stp>BDH|8398932677771667737</stp>
        <tr r="N13" s="2"/>
      </tp>
      <tp t="s">
        <v>#N/A N/A</v>
        <stp/>
        <stp>BDH|7748071616865458304</stp>
        <tr r="G6" s="5"/>
        <tr r="G6" s="4"/>
      </tp>
      <tp t="s">
        <v>#N/A N/A</v>
        <stp/>
        <stp>BDP|2967264168382373477</stp>
        <tr r="AN16" s="3"/>
      </tp>
      <tp t="s">
        <v>#N/A N/A</v>
        <stp/>
        <stp>BDH|5769268392036650864</stp>
        <tr r="AP20" s="2"/>
      </tp>
      <tp t="s">
        <v>#N/A N/A</v>
        <stp/>
        <stp>BDP|2636333583829701017</stp>
        <tr r="O12" s="3"/>
      </tp>
      <tp t="s">
        <v>#N/A N/A</v>
        <stp/>
        <stp>BDH|9368308212249360223</stp>
        <tr r="AK12" s="2"/>
      </tp>
      <tp t="s">
        <v>#N/A N/A</v>
        <stp/>
        <stp>BDH|1088270590298273250</stp>
        <tr r="E9" s="2"/>
      </tp>
      <tp t="s">
        <v>#N/A N/A</v>
        <stp/>
        <stp>BDH|5789776162044762044</stp>
        <tr r="P8" s="5"/>
        <tr r="P8" s="4"/>
      </tp>
      <tp t="s">
        <v>#N/A N/A</v>
        <stp/>
        <stp>BDP|6557840606748196601</stp>
        <tr r="E13" s="3"/>
      </tp>
      <tp t="s">
        <v>#N/A N/A</v>
        <stp/>
        <stp>BDH|1381908586942486270</stp>
        <tr r="AO13" s="5"/>
        <tr r="AO13" s="4"/>
      </tp>
      <tp t="s">
        <v>#N/A N/A</v>
        <stp/>
        <stp>BDH|9575921870947045019</stp>
        <tr r="S17" s="2"/>
      </tp>
      <tp t="s">
        <v>#N/A N/A</v>
        <stp/>
        <stp>BDH|1397874386828563917</stp>
        <tr r="AB24" s="2"/>
      </tp>
      <tp t="s">
        <v>#N/A N/A</v>
        <stp/>
        <stp>BDH|9244834813866010641</stp>
        <tr r="D25" s="5"/>
        <tr r="D25" s="4"/>
      </tp>
      <tp t="s">
        <v>#N/A N/A</v>
        <stp/>
        <stp>BDH|7605710417625568421</stp>
        <tr r="P12" s="2"/>
      </tp>
      <tp t="s">
        <v>#N/A N/A</v>
        <stp/>
        <stp>BDH|1233152645623706721</stp>
        <tr r="W25" s="2"/>
      </tp>
      <tp t="s">
        <v>#N/A N/A</v>
        <stp/>
        <stp>BDH|3531155911264430715</stp>
        <tr r="AL17" s="5"/>
        <tr r="AL17" s="4"/>
      </tp>
      <tp t="s">
        <v>#N/A N/A</v>
        <stp/>
        <stp>BDH|5138567471740043725</stp>
        <tr r="AJ7" s="5"/>
        <tr r="AJ7" s="4"/>
      </tp>
      <tp t="s">
        <v>#N/A N/A</v>
        <stp/>
        <stp>BDH|8923418740471577997</stp>
        <tr r="V7" s="2"/>
      </tp>
      <tp t="s">
        <v>#N/A N/A</v>
        <stp/>
        <stp>BDH|2859537160807928666</stp>
        <tr r="O12" s="2"/>
      </tp>
      <tp t="s">
        <v>#N/A N/A</v>
        <stp/>
        <stp>BDH|1933689973190702015</stp>
        <tr r="K19" s="2"/>
      </tp>
      <tp t="s">
        <v>#N/A N/A</v>
        <stp/>
        <stp>BDH|3231162671827778277</stp>
        <tr r="K25" s="5"/>
        <tr r="K25" s="4"/>
      </tp>
    </main>
    <main first="bofaddin.rtdserver">
      <tp t="s">
        <v>#N/A N/A</v>
        <stp/>
        <stp>BDP|8547076691065020592</stp>
        <tr r="AL16" s="3"/>
      </tp>
      <tp t="s">
        <v>#N/A N/A</v>
        <stp/>
        <stp>BDH|1002953958118035472</stp>
        <tr r="D7" s="5"/>
        <tr r="D7" s="4"/>
      </tp>
      <tp t="s">
        <v>#N/A N/A</v>
        <stp/>
        <stp>BDH|1952863485646630675</stp>
        <tr r="T22" s="5"/>
        <tr r="T22" s="4"/>
      </tp>
      <tp t="s">
        <v>#N/A N/A</v>
        <stp/>
        <stp>BDH|2336100907175858744</stp>
        <tr r="AP25" s="2"/>
      </tp>
      <tp t="s">
        <v>#N/A N/A</v>
        <stp/>
        <stp>BDH|1978716282576341903</stp>
        <tr r="G22" s="5"/>
        <tr r="G22" s="4"/>
      </tp>
      <tp t="s">
        <v>#N/A N/A</v>
        <stp/>
        <stp>BDH|7174045661464520480</stp>
        <tr r="AB22" s="5"/>
        <tr r="AB22" s="4"/>
      </tp>
      <tp t="s">
        <v>#N/A N/A</v>
        <stp/>
        <stp>BDH|8653473612685278989</stp>
        <tr r="X13" s="5"/>
        <tr r="X13" s="4"/>
      </tp>
      <tp t="s">
        <v>#N/A N/A</v>
        <stp/>
        <stp>BDH|2575634118354282020</stp>
        <tr r="AG9" s="5"/>
        <tr r="AG9" s="4"/>
      </tp>
      <tp t="s">
        <v>#N/A N/A</v>
        <stp/>
        <stp>BDH|9646852643067820376</stp>
        <tr r="L20" s="5"/>
        <tr r="L20" s="4"/>
      </tp>
      <tp t="s">
        <v>#N/A N/A</v>
        <stp/>
        <stp>BDH|3685218426872940076</stp>
        <tr r="I25" s="2"/>
      </tp>
      <tp t="s">
        <v>#N/A N/A</v>
        <stp/>
        <stp>BDP|1614072468747211179</stp>
        <tr r="AA17" s="3"/>
      </tp>
      <tp t="s">
        <v>#N/A N/A</v>
        <stp/>
        <stp>BDP|9325481495537394218</stp>
        <tr r="H13" s="3"/>
      </tp>
      <tp t="s">
        <v>#N/A N/A</v>
        <stp/>
        <stp>BDH|9282726585332095590</stp>
        <tr r="AE8" s="2"/>
      </tp>
      <tp t="s">
        <v>#N/A N/A</v>
        <stp/>
        <stp>BDH|6028008648817514419</stp>
        <tr r="AA18" s="5"/>
        <tr r="AA18" s="4"/>
      </tp>
      <tp t="s">
        <v>#N/A N/A</v>
        <stp/>
        <stp>BDP|2615085740895659251</stp>
        <tr r="N16" s="3"/>
      </tp>
      <tp t="s">
        <v>#N/A N/A</v>
        <stp/>
        <stp>BDP|5554892327207229942</stp>
        <tr r="M13" s="3"/>
      </tp>
      <tp t="s">
        <v>#N/A N/A</v>
        <stp/>
        <stp>BDH|2822913397697110427</stp>
        <tr r="U24" s="5"/>
        <tr r="U24" s="4"/>
      </tp>
      <tp t="s">
        <v>#N/A N/A</v>
        <stp/>
        <stp>BDH|5289862487575757199</stp>
        <tr r="AF13" s="5"/>
        <tr r="AF13" s="4"/>
      </tp>
      <tp t="s">
        <v>#N/A N/A</v>
        <stp/>
        <stp>BDH|6877145981937684960</stp>
        <tr r="AG15" s="2"/>
      </tp>
      <tp t="s">
        <v>#N/A N/A</v>
        <stp/>
        <stp>BDH|5847534072690159655</stp>
        <tr r="Y12" s="5"/>
        <tr r="Y12" s="4"/>
      </tp>
      <tp t="s">
        <v>#N/A N/A</v>
        <stp/>
        <stp>BDH|2965726367135774760</stp>
        <tr r="Y7" s="2"/>
      </tp>
      <tp t="s">
        <v>#N/A N/A</v>
        <stp/>
        <stp>BDH|8700318079815224809</stp>
        <tr r="Q7" s="2"/>
      </tp>
      <tp t="s">
        <v>#N/A N/A</v>
        <stp/>
        <stp>BDH|7596947416726387860</stp>
        <tr r="L13" s="2"/>
      </tp>
    </main>
    <main first="bofaddin.rtdserver">
      <tp t="s">
        <v>#N/A N/A</v>
        <stp/>
        <stp>BDH|6888958564251268980</stp>
        <tr r="N7" s="5"/>
        <tr r="N7" s="4"/>
      </tp>
      <tp t="s">
        <v>#N/A N/A</v>
        <stp/>
        <stp>BDH|6607599209973580100</stp>
        <tr r="F14" s="5"/>
        <tr r="F14" s="4"/>
      </tp>
      <tp t="s">
        <v>#N/A N/A</v>
        <stp/>
        <stp>BDH|3664159563480145524</stp>
        <tr r="G12" s="2"/>
      </tp>
      <tp t="s">
        <v>#N/A N/A</v>
        <stp/>
        <stp>BDH|4706005767853707043</stp>
        <tr r="M12" s="2"/>
      </tp>
      <tp t="s">
        <v>#N/A N/A</v>
        <stp/>
        <stp>BDH|8004262506443406847</stp>
        <tr r="AP23" s="2"/>
      </tp>
      <tp t="s">
        <v>#N/A N/A</v>
        <stp/>
        <stp>BDH|3826083737347449636</stp>
        <tr r="D19" s="2"/>
      </tp>
      <tp t="s">
        <v>#N/A N/A</v>
        <stp/>
        <stp>BDH|6574028197847867985</stp>
        <tr r="AP13" s="5"/>
        <tr r="AP13" s="4"/>
      </tp>
      <tp t="s">
        <v>#N/A N/A</v>
        <stp/>
        <stp>BDH|6722618640714394150</stp>
        <tr r="AF24" s="2"/>
      </tp>
      <tp t="s">
        <v>#N/A N/A</v>
        <stp/>
        <stp>BDH|2559214257313747742</stp>
        <tr r="AJ9" s="2"/>
      </tp>
      <tp t="s">
        <v>#N/A N/A</v>
        <stp/>
        <stp>BDH|3972685910331895491</stp>
        <tr r="E18" s="2"/>
      </tp>
      <tp t="s">
        <v>#N/A N/A</v>
        <stp/>
        <stp>BDH|3521815596103492065</stp>
        <tr r="P14" s="5"/>
        <tr r="P14" s="4"/>
      </tp>
      <tp t="s">
        <v>#N/A N/A</v>
        <stp/>
        <stp>BDH|5239228237795619013</stp>
        <tr r="O24" s="2"/>
      </tp>
      <tp t="s">
        <v>#N/A N/A</v>
        <stp/>
        <stp>BDP|1489342760603712667</stp>
        <tr r="AJ10" s="3"/>
      </tp>
      <tp t="s">
        <v>#N/A N/A</v>
        <stp/>
        <stp>BDH|6101150906107603157</stp>
        <tr r="AA23" s="2"/>
      </tp>
      <tp t="s">
        <v>#N/A N/A</v>
        <stp/>
        <stp>BDH|8843484595025624129</stp>
        <tr r="X13" s="2"/>
      </tp>
      <tp t="s">
        <v>#N/A N/A</v>
        <stp/>
        <stp>BDH|8170853720913156042</stp>
        <tr r="Z7" s="2"/>
      </tp>
      <tp t="s">
        <v>#N/A N/A</v>
        <stp/>
        <stp>BDH|9250918809028316983</stp>
        <tr r="I9" s="2"/>
      </tp>
      <tp t="s">
        <v>#N/A N/A</v>
        <stp/>
        <stp>BDP|2452742323854069250</stp>
        <tr r="L10" s="3"/>
      </tp>
      <tp t="s">
        <v>#N/A N/A</v>
        <stp/>
        <stp>BDH|6056542222663195315</stp>
        <tr r="AL13" s="5"/>
        <tr r="AL13" s="4"/>
      </tp>
      <tp t="s">
        <v>#N/A N/A</v>
        <stp/>
        <stp>BDH|5784463442830212460</stp>
        <tr r="P22" s="5"/>
        <tr r="P22" s="4"/>
      </tp>
      <tp t="s">
        <v>#N/A N/A</v>
        <stp/>
        <stp>BDH|3751352502784592525</stp>
        <tr r="AB8" s="2"/>
      </tp>
      <tp t="s">
        <v>#N/A N/A</v>
        <stp/>
        <stp>BDH|4300377447761343345</stp>
        <tr r="AL9" s="5"/>
        <tr r="AL9" s="4"/>
      </tp>
      <tp t="s">
        <v>#N/A N/A</v>
        <stp/>
        <stp>BDH|1175670820526623240</stp>
        <tr r="K24" s="2"/>
      </tp>
      <tp t="s">
        <v>#N/A N/A</v>
        <stp/>
        <stp>BDH|4912477184598798198</stp>
        <tr r="Q12" s="5"/>
        <tr r="Q12" s="4"/>
      </tp>
      <tp t="s">
        <v>#N/A N/A</v>
        <stp/>
        <stp>BDH|6163913158378823355</stp>
        <tr r="I6" s="5"/>
        <tr r="I6" s="4"/>
      </tp>
      <tp t="s">
        <v>#N/A N/A</v>
        <stp/>
        <stp>BDH|9391012772917726821</stp>
        <tr r="I19" s="2"/>
      </tp>
      <tp t="s">
        <v>#N/A N/A</v>
        <stp/>
        <stp>BDH|3880212466397221188</stp>
        <tr r="AE16" s="2"/>
      </tp>
      <tp t="s">
        <v>#N/A N/A</v>
        <stp/>
        <stp>BDH|8768406242631416844</stp>
        <tr r="E22" s="5"/>
        <tr r="E22" s="4"/>
      </tp>
      <tp t="s">
        <v>#N/A N/A</v>
        <stp/>
        <stp>BDH|8978985364977129115</stp>
        <tr r="AI25" s="2"/>
      </tp>
      <tp t="s">
        <v>#N/A N/A</v>
        <stp/>
        <stp>BDH|9031583374218959209</stp>
        <tr r="K16" s="5"/>
        <tr r="K16" s="4"/>
      </tp>
    </main>
    <main first="bofaddin.rtdserver">
      <tp t="s">
        <v>#N/A N/A</v>
        <stp/>
        <stp>BDP|3509485739922662486</stp>
        <tr r="AI9" s="3"/>
      </tp>
      <tp t="s">
        <v>#N/A N/A</v>
        <stp/>
        <stp>BDH|3871510457708638922</stp>
        <tr r="I13" s="2"/>
      </tp>
      <tp t="s">
        <v>#N/A N/A</v>
        <stp/>
        <stp>BDH|4324250315423858614</stp>
        <tr r="J12" s="2"/>
      </tp>
      <tp t="s">
        <v>#N/A N/A</v>
        <stp/>
        <stp>BDH|9548278461859858601</stp>
        <tr r="Q16" s="2"/>
      </tp>
      <tp t="s">
        <v>#N/A N/A</v>
        <stp/>
        <stp>BDH|2868261733221645009</stp>
        <tr r="W22" s="5"/>
        <tr r="W22" s="4"/>
      </tp>
      <tp t="s">
        <v>#N/A N/A</v>
        <stp/>
        <stp>BDH|1078583319137945000</stp>
        <tr r="E20" s="5"/>
        <tr r="E20" s="4"/>
      </tp>
      <tp t="s">
        <v>#N/A N/A</v>
        <stp/>
        <stp>BDH|1386898814169121372</stp>
        <tr r="AM13" s="2"/>
      </tp>
      <tp t="s">
        <v>#N/A N/A</v>
        <stp/>
        <stp>BDH|1270277289900123958</stp>
        <tr r="AL8" s="5"/>
        <tr r="AL8" s="4"/>
      </tp>
      <tp t="s">
        <v>#N/A N/A</v>
        <stp/>
        <stp>BDH|6873671073805320078</stp>
        <tr r="N25" s="2"/>
      </tp>
      <tp t="s">
        <v>#N/A N/A</v>
        <stp/>
        <stp>BDH|5766953007127853942</stp>
        <tr r="AK9" s="5"/>
        <tr r="AK9" s="4"/>
      </tp>
      <tp t="s">
        <v>#N/A N/A</v>
        <stp/>
        <stp>BDH|1915008945811719628</stp>
        <tr r="AH17" s="5"/>
        <tr r="AH17" s="4"/>
      </tp>
      <tp t="s">
        <v>#N/A N/A</v>
        <stp/>
        <stp>BDH|6595009165994903678</stp>
        <tr r="AL24" s="2"/>
      </tp>
      <tp t="s">
        <v>#N/A N/A</v>
        <stp/>
        <stp>BDH|4948877097346214154</stp>
        <tr r="C22" s="5"/>
        <tr r="C22" s="4"/>
      </tp>
      <tp t="s">
        <v>#N/A N/A</v>
        <stp/>
        <stp>BDH|7028215719926635002</stp>
        <tr r="E12" s="2"/>
      </tp>
      <tp t="s">
        <v>#N/A N/A</v>
        <stp/>
        <stp>BDP|2105090473924435306</stp>
        <tr r="J16" s="3"/>
      </tp>
      <tp t="s">
        <v>#N/A N/A</v>
        <stp/>
        <stp>BDH|3923018637300283225</stp>
        <tr r="I16" s="5"/>
        <tr r="I16" s="4"/>
      </tp>
      <tp t="s">
        <v>#N/A N/A</v>
        <stp/>
        <stp>BDH|2876560233244744256</stp>
        <tr r="L24" s="5"/>
        <tr r="L24" s="4"/>
      </tp>
      <tp t="s">
        <v>#N/A N/A</v>
        <stp/>
        <stp>BDH|2825845642499387523</stp>
        <tr r="S16" s="2"/>
      </tp>
      <tp t="s">
        <v>#N/A N/A</v>
        <stp/>
        <stp>BDH|9385365935262631996</stp>
        <tr r="AO21" s="5"/>
        <tr r="AO21" s="4"/>
      </tp>
      <tp t="s">
        <v>#N/A N/A</v>
        <stp/>
        <stp>BDH|9405801465077871269</stp>
        <tr r="AH16" s="2"/>
      </tp>
      <tp t="s">
        <v>#N/A N/A</v>
        <stp/>
        <stp>BDH|1424060089938172352</stp>
        <tr r="AF20" s="2"/>
      </tp>
      <tp t="s">
        <v>#N/A N/A</v>
        <stp/>
        <stp>BDP|1244215555423943731</stp>
        <tr r="AD13" s="3"/>
      </tp>
      <tp t="s">
        <v>#N/A N/A</v>
        <stp/>
        <stp>BDP|9582817029388396925</stp>
        <tr r="AA9" s="3"/>
      </tp>
      <tp t="s">
        <v>#N/A N/A</v>
        <stp/>
        <stp>BDP|6326291706845898381</stp>
        <tr r="C17" s="3"/>
      </tp>
      <tp t="s">
        <v>#N/A N/A</v>
        <stp/>
        <stp>BDH|4560490015882780125</stp>
        <tr r="C23" s="2"/>
      </tp>
      <tp t="s">
        <v>#N/A N/A</v>
        <stp/>
        <stp>BDH|4823294451353813241</stp>
        <tr r="D18" s="5"/>
        <tr r="D18" s="4"/>
      </tp>
      <tp t="s">
        <v>#N/A N/A</v>
        <stp/>
        <stp>BDH|1350774762846244482</stp>
        <tr r="M24" s="2"/>
      </tp>
      <tp t="s">
        <v>#N/A N/A</v>
        <stp/>
        <stp>BDH|2897900891903336377</stp>
        <tr r="M20" s="2"/>
      </tp>
      <tp t="s">
        <v>#N/A N/A</v>
        <stp/>
        <stp>BDH|2127490444836938685</stp>
        <tr r="X22" s="5"/>
        <tr r="X22" s="4"/>
      </tp>
      <tp t="s">
        <v>#N/A N/A</v>
        <stp/>
        <stp>BDH|9468213997000883073</stp>
        <tr r="W15" s="2"/>
      </tp>
      <tp t="s">
        <v>#N/A N/A</v>
        <stp/>
        <stp>BDP|5751700634024218734</stp>
        <tr r="Q16" s="3"/>
      </tp>
      <tp t="s">
        <v>#N/A N/A</v>
        <stp/>
        <stp>BDH|9534830807536733540</stp>
        <tr r="E25" s="5"/>
        <tr r="E25" s="4"/>
      </tp>
      <tp t="s">
        <v>#N/A N/A</v>
        <stp/>
        <stp>BDH|7541221807027696046</stp>
        <tr r="H8" s="5"/>
        <tr r="H8" s="4"/>
      </tp>
      <tp t="s">
        <v>#N/A N/A</v>
        <stp/>
        <stp>BDH|7606745771303731671</stp>
        <tr r="D7" s="2"/>
      </tp>
      <tp t="s">
        <v>#N/A N/A</v>
        <stp/>
        <stp>BDH|6277588862152324583</stp>
        <tr r="L13" s="5"/>
        <tr r="L13" s="4"/>
      </tp>
      <tp t="s">
        <v>#N/A N/A</v>
        <stp/>
        <stp>BDH|4159482958260996780</stp>
        <tr r="K21" s="5"/>
        <tr r="K21" s="4"/>
      </tp>
      <tp t="s">
        <v>#N/A N/A</v>
        <stp/>
        <stp>BDH|2213362722276348745</stp>
        <tr r="K23" s="2"/>
      </tp>
      <tp t="s">
        <v>#N/A N/A</v>
        <stp/>
        <stp>BDH|6031547875517602167</stp>
        <tr r="Y7" s="5"/>
        <tr r="Y7" s="4"/>
      </tp>
      <tp t="s">
        <v>#N/A N/A</v>
        <stp/>
        <stp>BDH|8536815654511525649</stp>
        <tr r="O25" s="2"/>
      </tp>
      <tp t="s">
        <v>#N/A N/A</v>
        <stp/>
        <stp>BDH|7203605928525916454</stp>
        <tr r="W8" s="5"/>
        <tr r="W8" s="4"/>
      </tp>
      <tp t="s">
        <v>#N/A N/A</v>
        <stp/>
        <stp>BDH|4968240595488602584</stp>
        <tr r="K16" s="2"/>
      </tp>
      <tp t="s">
        <v>#N/A N/A</v>
        <stp/>
        <stp>BDH|3138591736872830501</stp>
        <tr r="AM15" s="2"/>
      </tp>
      <tp t="s">
        <v>#N/A N/A</v>
        <stp/>
        <stp>BDH|9862981951763448426</stp>
        <tr r="AA7" s="5"/>
        <tr r="AA7" s="4"/>
      </tp>
      <tp t="s">
        <v>#N/A N/A</v>
        <stp/>
        <stp>BDH|3603406256420617019</stp>
        <tr r="AH25" s="2"/>
      </tp>
      <tp t="s">
        <v>#N/A N/A</v>
        <stp/>
        <stp>BDH|4105111003015690224</stp>
        <tr r="D21" s="5"/>
        <tr r="D21" s="4"/>
      </tp>
      <tp t="s">
        <v>#N/A N/A</v>
        <stp/>
        <stp>BDP|6046596535035994715</stp>
        <tr r="G16" s="3"/>
      </tp>
      <tp t="s">
        <v>#N/A N/A</v>
        <stp/>
        <stp>BDP|6523310280077350835</stp>
        <tr r="V12" s="3"/>
      </tp>
      <tp t="s">
        <v>#N/A N/A</v>
        <stp/>
        <stp>BDH|1330976833160035937</stp>
        <tr r="Y12" s="2"/>
      </tp>
      <tp t="s">
        <v>#N/A N/A</v>
        <stp/>
        <stp>BDH|9198676100818711550</stp>
        <tr r="AH13" s="2"/>
      </tp>
      <tp t="s">
        <v>#N/A N/A</v>
        <stp/>
        <stp>BDH|9252402352912656823</stp>
        <tr r="W16" s="2"/>
      </tp>
      <tp t="s">
        <v>#N/A N/A</v>
        <stp/>
        <stp>BDH|6323428426547126526</stp>
        <tr r="AB16" s="2"/>
      </tp>
      <tp t="s">
        <v>#N/A N/A</v>
        <stp/>
        <stp>BDH|1945589076268575965</stp>
        <tr r="Q20" s="5"/>
        <tr r="Q20" s="4"/>
      </tp>
      <tp t="s">
        <v>#N/A N/A</v>
        <stp/>
        <stp>BDH|5250942983556528053</stp>
        <tr r="I22" s="5"/>
        <tr r="I22" s="4"/>
      </tp>
      <tp t="s">
        <v>#N/A N/A</v>
        <stp/>
        <stp>BDH|5342551657874098343</stp>
        <tr r="L24" s="2"/>
      </tp>
      <tp t="s">
        <v>#N/A N/A</v>
        <stp/>
        <stp>BDH|2112378193558745271</stp>
        <tr r="AJ13" s="5"/>
        <tr r="AJ13" s="4"/>
      </tp>
      <tp t="s">
        <v>#N/A N/A</v>
        <stp/>
        <stp>BDH|2008337502990178351</stp>
        <tr r="AA14" s="5"/>
        <tr r="AA14" s="4"/>
      </tp>
      <tp t="s">
        <v>#N/A N/A</v>
        <stp/>
        <stp>BDH|5896517134472038384</stp>
        <tr r="AN26" s="5"/>
        <tr r="AN26" s="4"/>
      </tp>
      <tp t="s">
        <v>#N/A N/A</v>
        <stp/>
        <stp>BDP|9724063997707867446</stp>
        <tr r="K17" s="3"/>
      </tp>
      <tp t="s">
        <v>#N/A N/A</v>
        <stp/>
        <stp>BDP|4543486376653324738</stp>
        <tr r="K13" s="3"/>
      </tp>
      <tp t="s">
        <v>#N/A N/A</v>
        <stp/>
        <stp>BDH|5349417671196014387</stp>
        <tr r="AK9" s="2"/>
      </tp>
      <tp t="s">
        <v>#N/A N/A</v>
        <stp/>
        <stp>BDH|4666698211654575408</stp>
        <tr r="AI22" s="5"/>
        <tr r="AI22" s="4"/>
      </tp>
      <tp t="s">
        <v>#N/A N/A</v>
        <stp/>
        <stp>BDH|2566674408580186708</stp>
        <tr r="J13" s="2"/>
      </tp>
      <tp t="s">
        <v>#N/A N/A</v>
        <stp/>
        <stp>BDH|2722488780174367972</stp>
        <tr r="U25" s="2"/>
      </tp>
      <tp t="s">
        <v>#N/A N/A</v>
        <stp/>
        <stp>BDP|8431774441001881926</stp>
        <tr r="X17" s="3"/>
      </tp>
      <tp t="s">
        <v>#N/A N/A</v>
        <stp/>
        <stp>BDP|8819949600473223160</stp>
        <tr r="T13" s="3"/>
      </tp>
      <tp t="s">
        <v>#N/A N/A</v>
        <stp/>
        <stp>BDP|5633741855900921468</stp>
        <tr r="AA13" s="3"/>
      </tp>
      <tp t="s">
        <v>#N/A N/A</v>
        <stp/>
        <stp>BDH|9975929672834476052</stp>
        <tr r="J12" s="5"/>
        <tr r="J12" s="4"/>
      </tp>
      <tp t="s">
        <v>#N/A N/A</v>
        <stp/>
        <stp>BDH|1167575149065560622</stp>
        <tr r="O16" s="5"/>
        <tr r="O16" s="4"/>
      </tp>
      <tp t="s">
        <v>#N/A N/A</v>
        <stp/>
        <stp>BDH|7130784033382242214</stp>
        <tr r="AC21" s="5"/>
        <tr r="AC21" s="4"/>
      </tp>
      <tp t="s">
        <v>#N/A N/A</v>
        <stp/>
        <stp>BDH|1188329067030991747</stp>
        <tr r="AB7" s="2"/>
      </tp>
      <tp t="s">
        <v>#N/A N/A</v>
        <stp/>
        <stp>BDH|2475222160584922117</stp>
        <tr r="AN9" s="2"/>
      </tp>
      <tp t="s">
        <v>#N/A N/A</v>
        <stp/>
        <stp>BDH|3679102446821896475</stp>
        <tr r="AA22" s="5"/>
        <tr r="AA22" s="4"/>
      </tp>
      <tp t="s">
        <v>#N/A N/A</v>
        <stp/>
        <stp>BDH|6047438289131182846</stp>
        <tr r="AB14" s="5"/>
        <tr r="AB14" s="4"/>
      </tp>
      <tp t="s">
        <v>#N/A N/A</v>
        <stp/>
        <stp>BDH|2024891302161326876</stp>
        <tr r="S18" s="2"/>
      </tp>
      <tp t="s">
        <v>#N/A N/A</v>
        <stp/>
        <stp>BDH|6397716048554107244</stp>
        <tr r="AG17" s="2"/>
      </tp>
      <tp t="s">
        <v>#N/A N/A</v>
        <stp/>
        <stp>BDH|5937318902164444128</stp>
        <tr r="AC20" s="2"/>
      </tp>
      <tp t="s">
        <v>#N/A N/A</v>
        <stp/>
        <stp>BDP|4484318065464506688</stp>
        <tr r="P9" s="3"/>
      </tp>
      <tp t="s">
        <v>#N/A N/A</v>
        <stp/>
        <stp>BDH|6242700992502545971</stp>
        <tr r="AK20" s="5"/>
        <tr r="AK20" s="4"/>
      </tp>
      <tp t="s">
        <v>#N/A N/A</v>
        <stp/>
        <stp>BDH|5391336039041898727</stp>
        <tr r="U8" s="5"/>
        <tr r="U8" s="4"/>
      </tp>
      <tp t="s">
        <v>#N/A N/A</v>
        <stp/>
        <stp>BDH|4606404162785530023</stp>
        <tr r="AB7" s="5"/>
        <tr r="AB7" s="4"/>
      </tp>
      <tp t="s">
        <v>#N/A N/A</v>
        <stp/>
        <stp>BDH|8575119136419017016</stp>
        <tr r="AE9" s="2"/>
      </tp>
      <tp t="s">
        <v>#N/A N/A</v>
        <stp/>
        <stp>BDH|8725492465951978812</stp>
        <tr r="O18" s="5"/>
        <tr r="O18" s="4"/>
      </tp>
      <tp t="s">
        <v>#N/A N/A</v>
        <stp/>
        <stp>BDP|6420326305154305204</stp>
        <tr r="Q9" s="3"/>
      </tp>
      <tp t="s">
        <v>#N/A N/A</v>
        <stp/>
        <stp>BDH|3646953533399660368</stp>
        <tr r="N10" s="5"/>
        <tr r="N10" s="4"/>
      </tp>
      <tp t="s">
        <v>#N/A N/A</v>
        <stp/>
        <stp>BDH|4901177684338328685</stp>
        <tr r="J15" s="2"/>
      </tp>
      <tp t="s">
        <v>#N/A N/A</v>
        <stp/>
        <stp>BDH|5261756582471004841</stp>
        <tr r="H20" s="2"/>
      </tp>
      <tp t="s">
        <v>#N/A N/A</v>
        <stp/>
        <stp>BDH|9578460743888962283</stp>
        <tr r="S8" s="2"/>
      </tp>
      <tp t="s">
        <v>#N/A N/A</v>
        <stp/>
        <stp>BDP|7068427507882118227</stp>
        <tr r="AL9" s="3"/>
      </tp>
      <tp t="s">
        <v>#N/A N/A</v>
        <stp/>
        <stp>BDH|1035041346064108252</stp>
        <tr r="E25" s="2"/>
      </tp>
      <tp t="s">
        <v>#N/A N/A</v>
        <stp/>
        <stp>BDH|1932679240041837103</stp>
        <tr r="Y25" s="2"/>
      </tp>
      <tp t="s">
        <v>#N/A N/A</v>
        <stp/>
        <stp>BDH|5710449617742376135</stp>
        <tr r="Y17" s="5"/>
        <tr r="Y17" s="4"/>
      </tp>
      <tp t="s">
        <v>#N/A N/A</v>
        <stp/>
        <stp>BDH|7384379931480712468</stp>
        <tr r="AE23" s="2"/>
      </tp>
      <tp t="s">
        <v>#N/A N/A</v>
        <stp/>
        <stp>BDP|3588056629087889540</stp>
        <tr r="AB10" s="3"/>
      </tp>
      <tp t="s">
        <v>#N/A N/A</v>
        <stp/>
        <stp>BDH|4242864068609157083</stp>
        <tr r="Q6" s="5"/>
        <tr r="Q6" s="4"/>
      </tp>
      <tp t="s">
        <v>#N/A N/A</v>
        <stp/>
        <stp>BDP|98183497751836254</stp>
        <tr r="I9" s="3"/>
      </tp>
    </main>
    <main first="bofaddin.rtdserver">
      <tp t="s">
        <v>#N/A N/A</v>
        <stp/>
        <stp>BDH|931046297198775439</stp>
        <tr r="G16" s="2"/>
      </tp>
      <tp t="s">
        <v>#N/A N/A</v>
        <stp/>
        <stp>BDP|444240840091938204</stp>
        <tr r="AD12" s="3"/>
      </tp>
      <tp t="s">
        <v>#N/A N/A</v>
        <stp/>
        <stp>BDH|479609025895375427</stp>
        <tr r="I12" s="2"/>
      </tp>
      <tp t="s">
        <v>#N/A N/A</v>
        <stp/>
        <stp>BDH|728872627768573727</stp>
        <tr r="AJ26" s="5"/>
        <tr r="AJ26" s="4"/>
      </tp>
      <tp t="s">
        <v>#N/A N/A</v>
        <stp/>
        <stp>BDH|197984084405836088</stp>
        <tr r="D12" s="5"/>
        <tr r="D12" s="4"/>
      </tp>
      <tp t="s">
        <v>#N/A N/A</v>
        <stp/>
        <stp>BDH|977759695972633815</stp>
        <tr r="Z26" s="5"/>
        <tr r="Z26" s="4"/>
      </tp>
      <tp t="s">
        <v>#N/A N/A</v>
        <stp/>
        <stp>BDH|686098416206735319</stp>
        <tr r="L16" s="2"/>
      </tp>
      <tp t="s">
        <v>#N/A N/A</v>
        <stp/>
        <stp>BDH|776177939472453454</stp>
        <tr r="Q23" s="2"/>
      </tp>
      <tp t="s">
        <v>#N/A N/A</v>
        <stp/>
        <stp>BDH|347383018226231052</stp>
        <tr r="L23" s="2"/>
      </tp>
      <tp t="s">
        <v>#N/A N/A</v>
        <stp/>
        <stp>BDH|943460919477079635</stp>
        <tr r="N23" s="2"/>
      </tp>
      <tp t="s">
        <v>#N/A N/A</v>
        <stp/>
        <stp>BDH|683837964688773205</stp>
        <tr r="Y16" s="2"/>
      </tp>
      <tp t="s">
        <v>#N/A N/A</v>
        <stp/>
        <stp>BDH|780285033095992044</stp>
        <tr r="X25" s="5"/>
        <tr r="X25" s="4"/>
      </tp>
      <tp t="s">
        <v>#N/A N/A</v>
        <stp/>
        <stp>BDH|954749127664697639</stp>
        <tr r="AH20" s="2"/>
      </tp>
      <tp t="s">
        <v>#N/A N/A</v>
        <stp/>
        <stp>BDH|722704837463645091</stp>
        <tr r="AE7" s="2"/>
      </tp>
      <tp t="s">
        <v>#N/A N/A</v>
        <stp/>
        <stp>BDH|404260274330295210</stp>
        <tr r="AH7" s="5"/>
        <tr r="AH7" s="4"/>
      </tp>
      <tp t="s">
        <v>#N/A N/A</v>
        <stp/>
        <stp>BDH|700614944671394405</stp>
        <tr r="O19" s="2"/>
      </tp>
    </main>
    <main first="bofaddin.rtdserver">
      <tp t="s">
        <v>#N/A N/A</v>
        <stp/>
        <stp>BDH|812578350182965486</stp>
        <tr r="G19" s="2"/>
      </tp>
      <tp t="s">
        <v>#N/A N/A</v>
        <stp/>
        <stp>BDH|434181430941314501</stp>
        <tr r="S13" s="2"/>
      </tp>
      <tp t="s">
        <v>#N/A N/A</v>
        <stp/>
        <stp>BDH|769366109775115062</stp>
        <tr r="R15" s="2"/>
      </tp>
      <tp t="s">
        <v>#N/A N/A</v>
        <stp/>
        <stp>BDH|173139734803913702</stp>
        <tr r="AL8" s="2"/>
      </tp>
      <tp t="s">
        <v>#N/A N/A</v>
        <stp/>
        <stp>BDP|815907709696973901</stp>
        <tr r="Q17" s="3"/>
      </tp>
      <tp t="s">
        <v>#N/A N/A</v>
        <stp/>
        <stp>BDH|389988998252060420</stp>
        <tr r="Y14" s="5"/>
        <tr r="Y14" s="4"/>
      </tp>
    </main>
    <main first="bofaddin.rtdserver">
      <tp t="s">
        <v>#N/A N/A</v>
        <stp/>
        <stp>BDH|255452577646941472</stp>
        <tr r="C13" s="2"/>
      </tp>
      <tp t="s">
        <v>#N/A N/A</v>
        <stp/>
        <stp>BDH|304818389974873570</stp>
        <tr r="O20" s="2"/>
      </tp>
      <tp t="s">
        <v>#N/A N/A</v>
        <stp/>
        <stp>BDP|348625924284205128</stp>
        <tr r="V17" s="3"/>
      </tp>
    </main>
    <main first="bofaddin.rtdserver">
      <tp t="s">
        <v>#N/A N/A</v>
        <stp/>
        <stp>BDH|534568139412041462</stp>
        <tr r="AI17" s="5"/>
        <tr r="AI17" s="4"/>
      </tp>
      <tp t="s">
        <v>#N/A N/A</v>
        <stp/>
        <stp>BDH|101590245227921620</stp>
        <tr r="T21" s="5"/>
        <tr r="T21" s="4"/>
      </tp>
      <tp t="s">
        <v>#N/A N/A</v>
        <stp/>
        <stp>BDH|624759763937138606</stp>
        <tr r="M10" s="5"/>
        <tr r="M10" s="4"/>
      </tp>
    </main>
    <main first="bofaddin.rtdserver">
      <tp t="s">
        <v>#N/A N/A</v>
        <stp/>
        <stp>BDH|410585847284118722</stp>
        <tr r="C15" s="2"/>
      </tp>
      <tp t="s">
        <v>#N/A N/A</v>
        <stp/>
        <stp>BDH|573534405476015197</stp>
        <tr r="AL20" s="2"/>
      </tp>
      <tp t="s">
        <v>#N/A N/A</v>
        <stp/>
        <stp>BDP|383701857671557171</stp>
        <tr r="AC17" s="3"/>
      </tp>
      <tp t="s">
        <v>#N/A N/A</v>
        <stp/>
        <stp>BDH|951305327775898617</stp>
        <tr r="W23" s="2"/>
      </tp>
    </main>
    <main first="bofaddin.rtdserver">
      <tp t="s">
        <v>#N/A N/A</v>
        <stp/>
        <stp>BDH|857975490004432933</stp>
        <tr r="V18" s="5"/>
        <tr r="V18" s="4"/>
      </tp>
      <tp t="s">
        <v>#N/A N/A</v>
        <stp/>
        <stp>BDH|170292140109096225</stp>
        <tr r="G15" s="2"/>
      </tp>
      <tp t="s">
        <v>#N/A N/A</v>
        <stp/>
        <stp>BDH|104332699417630092</stp>
        <tr r="Y6" s="5"/>
        <tr r="Y6" s="4"/>
      </tp>
      <tp t="s">
        <v>#N/A N/A</v>
        <stp/>
        <stp>BDH|812653824880342846</stp>
        <tr r="M24" s="5"/>
        <tr r="M24" s="4"/>
      </tp>
    </main>
    <main first="bofaddin.rtdserver">
      <tp t="s">
        <v>#N/A N/A</v>
        <stp/>
        <stp>BDH|340943239513203564</stp>
        <tr r="I15" s="2"/>
      </tp>
      <tp t="s">
        <v>#N/A N/A</v>
        <stp/>
        <stp>BDH|952680416743509899</stp>
        <tr r="AB10" s="5"/>
        <tr r="AB10" s="4"/>
      </tp>
      <tp t="s">
        <v>#N/A N/A</v>
        <stp/>
        <stp>BDH|113908351041841131</stp>
        <tr r="AN12" s="2"/>
      </tp>
      <tp t="s">
        <v>#N/A N/A</v>
        <stp/>
        <stp>BDH|132703977409586547</stp>
        <tr r="AL16" s="2"/>
      </tp>
      <tp t="s">
        <v>#N/A N/A</v>
        <stp/>
        <stp>BDP|813676398903485035</stp>
        <tr r="AE16" s="3"/>
      </tp>
    </main>
    <main first="bofaddin.rtdserver">
      <tp t="s">
        <v>#N/A N/A</v>
        <stp/>
        <stp>BDH|370967387627759993</stp>
        <tr r="P6" s="5"/>
        <tr r="P6" s="4"/>
      </tp>
    </main>
    <main first="bofaddin.rtdserver">
      <tp t="s">
        <v>#N/A N/A</v>
        <stp/>
        <stp>BDH|152942949592966026</stp>
        <tr r="V14" s="5"/>
        <tr r="V14" s="4"/>
      </tp>
      <tp t="s">
        <v>#N/A N/A</v>
        <stp/>
        <stp>BDH|165279594081581500</stp>
        <tr r="W17" s="2"/>
      </tp>
      <tp t="s">
        <v>#N/A N/A</v>
        <stp/>
        <stp>BDH|648836490557355966</stp>
        <tr r="D17" s="5"/>
        <tr r="D17" s="4"/>
      </tp>
      <tp t="s">
        <v>#N/A N/A</v>
        <stp/>
        <stp>BDH|406200211659100567</stp>
        <tr r="G17" s="2"/>
      </tp>
      <tp t="s">
        <v>#N/A N/A</v>
        <stp/>
        <stp>BDH|439152797646929039</stp>
        <tr r="K24" s="5"/>
        <tr r="K24" s="4"/>
      </tp>
    </main>
    <main first="bofaddin.rtdserver">
      <tp t="s">
        <v>#N/A N/A</v>
        <stp/>
        <stp>BDH|996458784480870277</stp>
        <tr r="AL25" s="2"/>
      </tp>
      <tp t="s">
        <v>#N/A N/A</v>
        <stp/>
        <stp>BDH|725783091766583697</stp>
        <tr r="Z12" s="2"/>
      </tp>
    </main>
    <main first="bofaddin.rtdserver">
      <tp t="s">
        <v>#N/A N/A</v>
        <stp/>
        <stp>BDH|870735783653603538</stp>
        <tr r="J25" s="5"/>
        <tr r="J25" s="4"/>
      </tp>
      <tp t="s">
        <v>#N/A N/A</v>
        <stp/>
        <stp>BDH|409096643569057407</stp>
        <tr r="P20" s="2"/>
      </tp>
      <tp t="s">
        <v>#N/A N/A</v>
        <stp/>
        <stp>BDP|540929492409910040</stp>
        <tr r="AF17" s="3"/>
      </tp>
      <tp t="s">
        <v>#N/A N/A</v>
        <stp/>
        <stp>BDH|996402568883981912</stp>
        <tr r="O20" s="5"/>
        <tr r="O20" s="4"/>
      </tp>
      <tp t="s">
        <v>#N/A N/A</v>
        <stp/>
        <stp>BDH|732453171953801827</stp>
        <tr r="O24" s="5"/>
        <tr r="O24" s="4"/>
      </tp>
      <tp t="s">
        <v>#N/A N/A</v>
        <stp/>
        <stp>BDH|281267213188047310</stp>
        <tr r="M7" s="5"/>
        <tr r="M7" s="4"/>
      </tp>
      <tp t="s">
        <v>#N/A N/A</v>
        <stp/>
        <stp>BDP|126176212490332802</stp>
        <tr r="X13" s="3"/>
      </tp>
    </main>
    <main first="bofaddin.rtdserver">
      <tp t="s">
        <v>#N/A N/A</v>
        <stp/>
        <stp>BDH|776518581684086283</stp>
        <tr r="AL13" s="2"/>
      </tp>
      <tp t="s">
        <v>#N/A N/A</v>
        <stp/>
        <stp>BDP|439807415780866264</stp>
        <tr r="S13" s="3"/>
      </tp>
      <tp t="s">
        <v>#N/A N/A</v>
        <stp/>
        <stp>BDH|765075254069916778</stp>
        <tr r="V12" s="5"/>
        <tr r="V12" s="4"/>
      </tp>
      <tp t="s">
        <v>#N/A N/A</v>
        <stp/>
        <stp>BDH|916377190283027247</stp>
        <tr r="J26" s="5"/>
        <tr r="J26" s="4"/>
      </tp>
      <tp t="s">
        <v>#N/A N/A</v>
        <stp/>
        <stp>BDH|231587073650531985</stp>
        <tr r="E13" s="2"/>
      </tp>
      <tp t="s">
        <v>#N/A N/A</v>
        <stp/>
        <stp>BDH|515197627528429098</stp>
        <tr r="AO6" s="5"/>
        <tr r="AO6" s="4"/>
      </tp>
      <tp t="s">
        <v>#N/A N/A</v>
        <stp/>
        <stp>BDH|217958944412332426</stp>
        <tr r="Y15" s="2"/>
      </tp>
    </main>
    <main first="bofaddin.rtdserver">
      <tp t="s">
        <v>#N/A N/A</v>
        <stp/>
        <stp>BDH|858342784395545451</stp>
        <tr r="U7" s="2"/>
      </tp>
      <tp t="s">
        <v>#N/A N/A</v>
        <stp/>
        <stp>BDH|587576589223974468</stp>
        <tr r="AD9" s="2"/>
      </tp>
      <tp t="s">
        <v>#N/A N/A</v>
        <stp/>
        <stp>BDH|786137058188876611</stp>
        <tr r="AA24" s="2"/>
      </tp>
      <tp t="s">
        <v>#N/A N/A</v>
        <stp/>
        <stp>BDH|111561893482558429</stp>
        <tr r="AN13" s="2"/>
      </tp>
      <tp t="s">
        <v>#N/A N/A</v>
        <stp/>
        <stp>BDH|444393340798764592</stp>
        <tr r="AF14" s="5"/>
        <tr r="AF14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11" t="s">
        <v>2</v>
      </c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</row>
    <row r="5" spans="1:42" x14ac:dyDescent="0.25">
      <c r="A5" s="17" t="s">
        <v>43</v>
      </c>
      <c r="B5" s="17"/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  <c r="M5" s="13" t="s">
        <v>54</v>
      </c>
      <c r="N5" s="13" t="s">
        <v>55</v>
      </c>
      <c r="O5" s="13" t="s">
        <v>56</v>
      </c>
      <c r="P5" s="13" t="s">
        <v>57</v>
      </c>
      <c r="Q5" s="13" t="s">
        <v>58</v>
      </c>
      <c r="R5" s="13" t="s">
        <v>59</v>
      </c>
      <c r="S5" s="13" t="s">
        <v>60</v>
      </c>
      <c r="T5" s="13" t="s">
        <v>61</v>
      </c>
      <c r="U5" s="13" t="s">
        <v>62</v>
      </c>
      <c r="V5" s="13" t="s">
        <v>63</v>
      </c>
      <c r="W5" s="13" t="s">
        <v>64</v>
      </c>
      <c r="X5" s="13" t="s">
        <v>65</v>
      </c>
      <c r="Y5" s="13" t="s">
        <v>66</v>
      </c>
      <c r="Z5" s="13" t="s">
        <v>67</v>
      </c>
      <c r="AA5" s="13" t="s">
        <v>68</v>
      </c>
      <c r="AB5" s="13" t="s">
        <v>69</v>
      </c>
      <c r="AC5" s="13" t="s">
        <v>70</v>
      </c>
      <c r="AD5" s="13" t="s">
        <v>71</v>
      </c>
      <c r="AE5" s="13" t="s">
        <v>72</v>
      </c>
      <c r="AF5" s="13" t="s">
        <v>73</v>
      </c>
      <c r="AG5" s="13" t="s">
        <v>74</v>
      </c>
      <c r="AH5" s="13" t="s">
        <v>75</v>
      </c>
      <c r="AI5" s="13" t="s">
        <v>76</v>
      </c>
      <c r="AJ5" s="13" t="s">
        <v>77</v>
      </c>
      <c r="AK5" s="13" t="s">
        <v>78</v>
      </c>
      <c r="AL5" s="13" t="s">
        <v>79</v>
      </c>
      <c r="AM5" s="13" t="s">
        <v>80</v>
      </c>
      <c r="AN5" s="13" t="s">
        <v>81</v>
      </c>
      <c r="AO5" s="13" t="s">
        <v>82</v>
      </c>
      <c r="AP5" s="13" t="s">
        <v>83</v>
      </c>
    </row>
    <row r="6" spans="1:42" x14ac:dyDescent="0.25">
      <c r="A6" s="14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18" t="s">
        <v>85</v>
      </c>
      <c r="B7" s="18" t="s">
        <v>86</v>
      </c>
      <c r="C7" s="21">
        <f>_xll.BDH("ADSK US Equity","RETURN_COM_EQY","FQ2 2012","FQ2 2012","Currency=USD","Period=FQ","BEST_FPERIOD_OVERRIDE=FQ","FILING_STATUS=MR","FA_ADJUSTED=GAAP","Sort=A","Dates=H","DateFormat=P","Fill=—","Direction=H","UseDPDF=Y")</f>
        <v>15.427300000000001</v>
      </c>
      <c r="D7" s="21">
        <f>_xll.BDH("ADSK US Equity","RETURN_COM_EQY","FQ3 2012","FQ3 2012","Currency=USD","Period=FQ","BEST_FPERIOD_OVERRIDE=FQ","FILING_STATUS=MR","FA_ADJUSTED=GAAP","Sort=A","Dates=H","DateFormat=P","Fill=—","Direction=H","UseDPDF=Y")</f>
        <v>16.248999999999999</v>
      </c>
      <c r="E7" s="21">
        <f>_xll.BDH("ADSK US Equity","RETURN_COM_EQY","FQ4 2012","FQ4 2012","Currency=USD","Period=FQ","BEST_FPERIOD_OVERRIDE=FQ","FILING_STATUS=MR","FA_ADJUSTED=GAAP","Sort=A","Dates=H","DateFormat=P","Fill=—","Direction=H","UseDPDF=Y")</f>
        <v>16.339300000000001</v>
      </c>
      <c r="F7" s="21">
        <f>_xll.BDH("ADSK US Equity","RETURN_COM_EQY","FQ1 2013","FQ1 2013","Currency=USD","Period=FQ","BEST_FPERIOD_OVERRIDE=FQ","FILING_STATUS=MR","FA_ADJUSTED=GAAP","Sort=A","Dates=H","DateFormat=P","Fill=—","Direction=H","UseDPDF=Y")</f>
        <v>15.535399999999999</v>
      </c>
      <c r="G7" s="21">
        <f>_xll.BDH("ADSK US Equity","RETURN_COM_EQY","FQ2 2013","FQ2 2013","Currency=USD","Period=FQ","BEST_FPERIOD_OVERRIDE=FQ","FILING_STATUS=MR","FA_ADJUSTED=GAAP","Sort=A","Dates=H","DateFormat=P","Fill=—","Direction=H","UseDPDF=Y")</f>
        <v>15.014099999999999</v>
      </c>
      <c r="H7" s="21">
        <f>_xll.BDH("ADSK US Equity","RETURN_COM_EQY","FQ3 2013","FQ3 2013","Currency=USD","Period=FQ","BEST_FPERIOD_OVERRIDE=FQ","FILING_STATUS=MR","FA_ADJUSTED=GAAP","Sort=A","Dates=H","DateFormat=P","Fill=—","Direction=H","UseDPDF=Y")</f>
        <v>12.737299999999999</v>
      </c>
      <c r="I7" s="21">
        <f>_xll.BDH("ADSK US Equity","RETURN_COM_EQY","FQ4 2013","FQ4 2013","Currency=USD","Period=FQ","BEST_FPERIOD_OVERRIDE=FQ","FILING_STATUS=MR","FA_ADJUSTED=GAAP","Sort=A","Dates=H","DateFormat=P","Fill=—","Direction=H","UseDPDF=Y")</f>
        <v>12.6028</v>
      </c>
      <c r="J7" s="21">
        <f>_xll.BDH("ADSK US Equity","RETURN_COM_EQY","FQ1 2014","FQ1 2014","Currency=USD","Period=FQ","BEST_FPERIOD_OVERRIDE=FQ","FILING_STATUS=MR","FA_ADJUSTED=GAAP","Sort=A","Dates=H","DateFormat=P","Fill=—","Direction=H","UseDPDF=Y")</f>
        <v>10.8528</v>
      </c>
      <c r="K7" s="21">
        <f>_xll.BDH("ADSK US Equity","RETURN_COM_EQY","FQ2 2014","FQ2 2014","Currency=USD","Period=FQ","BEST_FPERIOD_OVERRIDE=FQ","FILING_STATUS=MR","FA_ADJUSTED=GAAP","Sort=A","Dates=H","DateFormat=P","Fill=—","Direction=H","UseDPDF=Y")</f>
        <v>10.783899999999999</v>
      </c>
      <c r="L7" s="21">
        <f>_xll.BDH("ADSK US Equity","RETURN_COM_EQY","FQ3 2014","FQ3 2014","Currency=USD","Period=FQ","BEST_FPERIOD_OVERRIDE=FQ","FILING_STATUS=MR","FA_ADJUSTED=GAAP","Sort=A","Dates=H","DateFormat=P","Fill=—","Direction=H","UseDPDF=Y")</f>
        <v>11.9336</v>
      </c>
      <c r="M7" s="21">
        <f>_xll.BDH("ADSK US Equity","RETURN_COM_EQY","FQ4 2014","FQ4 2014","Currency=USD","Period=FQ","BEST_FPERIOD_OVERRIDE=FQ","FILING_STATUS=MR","FA_ADJUSTED=GAAP","Sort=A","Dates=H","DateFormat=P","Fill=—","Direction=H","UseDPDF=Y")</f>
        <v>10.6302</v>
      </c>
      <c r="N7" s="21">
        <f>_xll.BDH("ADSK US Equity","RETURN_COM_EQY","FQ1 2015","FQ1 2015","Currency=USD","Period=FQ","BEST_FPERIOD_OVERRIDE=FQ","FILING_STATUS=MR","FA_ADJUSTED=GAAP","Sort=A","Dates=H","DateFormat=P","Fill=—","Direction=H","UseDPDF=Y")</f>
        <v>9.2151999999999994</v>
      </c>
      <c r="O7" s="21">
        <f>_xll.BDH("ADSK US Equity","RETURN_COM_EQY","FQ2 2015","FQ2 2015","Currency=USD","Period=FQ","BEST_FPERIOD_OVERRIDE=FQ","FILING_STATUS=MR","FA_ADJUSTED=GAAP","Sort=A","Dates=H","DateFormat=P","Fill=—","Direction=H","UseDPDF=Y")</f>
        <v>7.8948</v>
      </c>
      <c r="P7" s="21">
        <f>_xll.BDH("ADSK US Equity","RETURN_COM_EQY","FQ3 2015","FQ3 2015","Currency=USD","Period=FQ","BEST_FPERIOD_OVERRIDE=FQ","FILING_STATUS=MR","FA_ADJUSTED=GAAP","Sort=A","Dates=H","DateFormat=P","Fill=—","Direction=H","UseDPDF=Y")</f>
        <v>5.6067</v>
      </c>
      <c r="Q7" s="21">
        <f>_xll.BDH("ADSK US Equity","RETURN_COM_EQY","FQ4 2015","FQ4 2015","Currency=USD","Period=FQ","BEST_FPERIOD_OVERRIDE=FQ","FILING_STATUS=MR","FA_ADJUSTED=GAAP","Sort=A","Dates=H","DateFormat=P","Fill=—","Direction=H","UseDPDF=Y")</f>
        <v>3.6512000000000002</v>
      </c>
      <c r="R7" s="21">
        <f>_xll.BDH("ADSK US Equity","RETURN_COM_EQY","FQ1 2016","FQ1 2016","Currency=USD","Period=FQ","BEST_FPERIOD_OVERRIDE=FQ","FILING_STATUS=MR","FA_ADJUSTED=GAAP","Sort=A","Dates=H","DateFormat=P","Fill=—","Direction=H","UseDPDF=Y")</f>
        <v>3.2172999999999998</v>
      </c>
      <c r="S7" s="21">
        <f>_xll.BDH("ADSK US Equity","RETURN_COM_EQY","FQ2 2016","FQ2 2016","Currency=USD","Period=FQ","BEST_FPERIOD_OVERRIDE=FQ","FILING_STATUS=MR","FA_ADJUSTED=GAAP","Sort=A","Dates=H","DateFormat=P","Fill=—","Direction=H","UseDPDF=Y")</f>
        <v>-10.8613</v>
      </c>
      <c r="T7" s="21">
        <f>_xll.BDH("ADSK US Equity","RETURN_COM_EQY","FQ3 2016","FQ3 2016","Currency=USD","Period=FQ","BEST_FPERIOD_OVERRIDE=FQ","FILING_STATUS=MR","FA_ADJUSTED=GAAP","Sort=A","Dates=H","DateFormat=P","Fill=—","Direction=H","UseDPDF=Y")</f>
        <v>-14.0844</v>
      </c>
      <c r="U7" s="21">
        <f>_xll.BDH("ADSK US Equity","RETURN_COM_EQY","FQ4 2016","FQ4 2016","Currency=USD","Period=FQ","BEST_FPERIOD_OVERRIDE=FQ","FILING_STATUS=MR","FA_ADJUSTED=GAAP","Sort=A","Dates=H","DateFormat=P","Fill=—","Direction=H","UseDPDF=Y")</f>
        <v>-16.984500000000001</v>
      </c>
      <c r="V7" s="21">
        <f>_xll.BDH("ADSK US Equity","RETURN_COM_EQY","FQ1 2017","FQ1 2017","Currency=USD","Period=FQ","BEST_FPERIOD_OVERRIDE=FQ","FILING_STATUS=MR","FA_ADJUSTED=GAAP","Sort=A","Dates=H","DateFormat=P","Fill=—","Direction=H","UseDPDF=Y")</f>
        <v>-28.019600000000001</v>
      </c>
      <c r="W7" s="21">
        <f>_xll.BDH("ADSK US Equity","RETURN_COM_EQY","FQ2 2017","FQ2 2017","Currency=USD","Period=FQ","BEST_FPERIOD_OVERRIDE=FQ","FILING_STATUS=MR","FA_ADJUSTED=GAAP","Sort=A","Dates=H","DateFormat=P","Fill=—","Direction=H","UseDPDF=Y")</f>
        <v>-21.176300000000001</v>
      </c>
      <c r="X7" s="21">
        <f>_xll.BDH("ADSK US Equity","RETURN_COM_EQY","FQ3 2017","FQ3 2017","Currency=USD","Period=FQ","BEST_FPERIOD_OVERRIDE=FQ","FILING_STATUS=MR","FA_ADJUSTED=GAAP","Sort=A","Dates=H","DateFormat=P","Fill=—","Direction=H","UseDPDF=Y")</f>
        <v>-31.599699999999999</v>
      </c>
      <c r="Y7" s="21">
        <f>_xll.BDH("ADSK US Equity","RETURN_COM_EQY","FQ4 2017","FQ4 2017","Currency=USD","Period=FQ","BEST_FPERIOD_OVERRIDE=FQ","FILING_STATUS=MR","FA_ADJUSTED=GAAP","Sort=A","Dates=H","DateFormat=P","Fill=—","Direction=H","UseDPDF=Y")</f>
        <v>-49.473100000000002</v>
      </c>
      <c r="Z7" s="21">
        <f>_xll.BDH("ADSK US Equity","RETURN_COM_EQY","FQ1 2018","FQ1 2018","Currency=USD","Period=FQ","BEST_FPERIOD_OVERRIDE=FQ","FILING_STATUS=MR","FA_ADJUSTED=GAAP","Sort=A","Dates=H","DateFormat=P","Fill=—","Direction=H","UseDPDF=Y")</f>
        <v>-55.967100000000002</v>
      </c>
      <c r="AA7" s="21">
        <f>_xll.BDH("ADSK US Equity","RETURN_COM_EQY","FQ2 2018","FQ2 2018","Currency=USD","Period=FQ","BEST_FPERIOD_OVERRIDE=FQ","FILING_STATUS=MR","FA_ADJUSTED=GAAP","Sort=A","Dates=H","DateFormat=P","Fill=—","Direction=H","UseDPDF=Y")</f>
        <v>-71.612399999999994</v>
      </c>
      <c r="AB7" s="21">
        <f>_xll.BDH("ADSK US Equity","RETURN_COM_EQY","FQ3 2018","FQ3 2018","Currency=USD","Period=FQ","BEST_FPERIOD_OVERRIDE=FQ","FILING_STATUS=MR","FA_ADJUSTED=GAAP","Sort=A","Dates=H","DateFormat=P","Fill=—","Direction=H","UseDPDF=Y")</f>
        <v>-97.063100000000006</v>
      </c>
      <c r="AC7" s="21" t="str">
        <f>_xll.BDH("ADSK US Equity","RETURN_COM_EQY","FQ4 2018","FQ4 2018","Currency=USD","Period=FQ","BEST_FPERIOD_OVERRIDE=FQ","FILING_STATUS=MR","FA_ADJUSTED=GAAP","Sort=A","Dates=H","DateFormat=P","Fill=—","Direction=H","UseDPDF=Y")</f>
        <v>—</v>
      </c>
      <c r="AD7" s="21" t="str">
        <f>_xll.BDH("ADSK US Equity","RETURN_COM_EQY","FQ1 2019","FQ1 2019","Currency=USD","Period=FQ","BEST_FPERIOD_OVERRIDE=FQ","FILING_STATUS=MR","FA_ADJUSTED=GAAP","Sort=A","Dates=H","DateFormat=P","Fill=—","Direction=H","UseDPDF=Y")</f>
        <v>—</v>
      </c>
      <c r="AE7" s="21" t="str">
        <f>_xll.BDH("ADSK US Equity","RETURN_COM_EQY","FQ2 2019","FQ2 2019","Currency=USD","Period=FQ","BEST_FPERIOD_OVERRIDE=FQ","FILING_STATUS=MR","FA_ADJUSTED=GAAP","Sort=A","Dates=H","DateFormat=P","Fill=—","Direction=H","UseDPDF=Y")</f>
        <v>—</v>
      </c>
      <c r="AF7" s="21" t="str">
        <f>_xll.BDH("ADSK US Equity","RETURN_COM_EQY","FQ3 2019","FQ3 2019","Currency=USD","Period=FQ","BEST_FPERIOD_OVERRIDE=FQ","FILING_STATUS=MR","FA_ADJUSTED=GAAP","Sort=A","Dates=H","DateFormat=P","Fill=—","Direction=H","UseDPDF=Y")</f>
        <v>—</v>
      </c>
      <c r="AG7" s="21" t="str">
        <f>_xll.BDH("ADSK US Equity","RETURN_COM_EQY","FQ4 2019","FQ4 2019","Currency=USD","Period=FQ","BEST_FPERIOD_OVERRIDE=FQ","FILING_STATUS=MR","FA_ADJUSTED=GAAP","Sort=A","Dates=H","DateFormat=P","Fill=—","Direction=H","UseDPDF=Y")</f>
        <v>—</v>
      </c>
      <c r="AH7" s="21" t="str">
        <f>_xll.BDH("ADSK US Equity","RETURN_COM_EQY","FQ1 2020","FQ1 2020","Currency=USD","Period=FQ","BEST_FPERIOD_OVERRIDE=FQ","FILING_STATUS=MR","FA_ADJUSTED=GAAP","Sort=A","Dates=H","DateFormat=P","Fill=—","Direction=H","UseDPDF=Y")</f>
        <v>—</v>
      </c>
      <c r="AI7" s="21" t="str">
        <f>_xll.BDH("ADSK US Equity","RETURN_COM_EQY","FQ2 2020","FQ2 2020","Currency=USD","Period=FQ","BEST_FPERIOD_OVERRIDE=FQ","FILING_STATUS=MR","FA_ADJUSTED=GAAP","Sort=A","Dates=H","DateFormat=P","Fill=—","Direction=H","UseDPDF=Y")</f>
        <v>—</v>
      </c>
      <c r="AJ7" s="21" t="str">
        <f>_xll.BDH("ADSK US Equity","RETURN_COM_EQY","FQ3 2020","FQ3 2020","Currency=USD","Period=FQ","BEST_FPERIOD_OVERRIDE=FQ","FILING_STATUS=MR","FA_ADJUSTED=GAAP","Sort=A","Dates=H","DateFormat=P","Fill=—","Direction=H","UseDPDF=Y")</f>
        <v>—</v>
      </c>
      <c r="AK7" s="21" t="str">
        <f>_xll.BDH("ADSK US Equity","RETURN_COM_EQY","FQ4 2020","FQ4 2020","Currency=USD","Period=FQ","BEST_FPERIOD_OVERRIDE=FQ","FILING_STATUS=MR","FA_ADJUSTED=GAAP","Sort=A","Dates=H","DateFormat=P","Fill=—","Direction=H","UseDPDF=Y")</f>
        <v>—</v>
      </c>
      <c r="AL7" s="21" t="str">
        <f>_xll.BDH("ADSK US Equity","RETURN_COM_EQY","FQ1 2021","FQ1 2021","Currency=USD","Period=FQ","BEST_FPERIOD_OVERRIDE=FQ","FILING_STATUS=MR","FA_ADJUSTED=GAAP","Sort=A","Dates=H","DateFormat=P","Fill=—","Direction=H","UseDPDF=Y")</f>
        <v>—</v>
      </c>
      <c r="AM7" s="21" t="str">
        <f>_xll.BDH("ADSK US Equity","RETURN_COM_EQY","FQ2 2021","FQ2 2021","Currency=USD","Period=FQ","BEST_FPERIOD_OVERRIDE=FQ","FILING_STATUS=MR","FA_ADJUSTED=GAAP","Sort=A","Dates=H","DateFormat=P","Fill=—","Direction=H","UseDPDF=Y")</f>
        <v>—</v>
      </c>
      <c r="AN7" s="21" t="str">
        <f>_xll.BDH("ADSK US Equity","RETURN_COM_EQY","FQ3 2021","FQ3 2021","Currency=USD","Period=FQ","BEST_FPERIOD_OVERRIDE=FQ","FILING_STATUS=MR","FA_ADJUSTED=GAAP","Sort=A","Dates=H","DateFormat=P","Fill=—","Direction=H","UseDPDF=Y")</f>
        <v>—</v>
      </c>
      <c r="AO7" s="21" t="str">
        <f>_xll.BDH("ADSK US Equity","RETURN_COM_EQY","FQ4 2021","FQ4 2021","Currency=USD","Period=FQ","BEST_FPERIOD_OVERRIDE=FQ","FILING_STATUS=MR","FA_ADJUSTED=GAAP","Sort=A","Dates=H","DateFormat=P","Fill=—","Direction=H","UseDPDF=Y")</f>
        <v>—</v>
      </c>
      <c r="AP7" s="21" t="str">
        <f>_xll.BDH("ADSK US Equity","RETURN_COM_EQY","FQ1 2022","FQ1 2022","Currency=USD","Period=FQ","BEST_FPERIOD_OVERRIDE=FQ","FILING_STATUS=MR","FA_ADJUSTED=GAAP","Sort=A","Dates=H","DateFormat=P","Fill=—","Direction=H","UseDPDF=Y")</f>
        <v>—</v>
      </c>
    </row>
    <row r="8" spans="1:42" x14ac:dyDescent="0.25">
      <c r="A8" s="18" t="s">
        <v>87</v>
      </c>
      <c r="B8" s="18" t="s">
        <v>88</v>
      </c>
      <c r="C8" s="21">
        <f>_xll.BDH("ADSK US Equity","RETURN_ON_ASSET","FQ2 2012","FQ2 2012","Currency=USD","Period=FQ","BEST_FPERIOD_OVERRIDE=FQ","FILING_STATUS=MR","FA_ADJUSTED=GAAP","Sort=A","Dates=H","DateFormat=P","Fill=—","Direction=H","UseDPDF=Y")</f>
        <v>9.3003999999999998</v>
      </c>
      <c r="D8" s="21">
        <f>_xll.BDH("ADSK US Equity","RETURN_ON_ASSET","FQ3 2012","FQ3 2012","Currency=USD","Period=FQ","BEST_FPERIOD_OVERRIDE=FQ","FILING_STATUS=MR","FA_ADJUSTED=GAAP","Sort=A","Dates=H","DateFormat=P","Fill=—","Direction=H","UseDPDF=Y")</f>
        <v>9.8422999999999998</v>
      </c>
      <c r="E8" s="21">
        <f>_xll.BDH("ADSK US Equity","RETURN_ON_ASSET","FQ4 2012","FQ4 2012","Currency=USD","Period=FQ","BEST_FPERIOD_OVERRIDE=FQ","FILING_STATUS=MR","FA_ADJUSTED=GAAP","Sort=A","Dates=H","DateFormat=P","Fill=—","Direction=H","UseDPDF=Y")</f>
        <v>9.4856999999999996</v>
      </c>
      <c r="F8" s="21">
        <f>_xll.BDH("ADSK US Equity","RETURN_ON_ASSET","FQ1 2013","FQ1 2013","Currency=USD","Period=FQ","BEST_FPERIOD_OVERRIDE=FQ","FILING_STATUS=MR","FA_ADJUSTED=GAAP","Sort=A","Dates=H","DateFormat=P","Fill=—","Direction=H","UseDPDF=Y")</f>
        <v>9.4834999999999994</v>
      </c>
      <c r="G8" s="21">
        <f>_xll.BDH("ADSK US Equity","RETURN_ON_ASSET","FQ2 2013","FQ2 2013","Currency=USD","Period=FQ","BEST_FPERIOD_OVERRIDE=FQ","FILING_STATUS=MR","FA_ADJUSTED=GAAP","Sort=A","Dates=H","DateFormat=P","Fill=—","Direction=H","UseDPDF=Y")</f>
        <v>9.0808999999999997</v>
      </c>
      <c r="H8" s="21">
        <f>_xll.BDH("ADSK US Equity","RETURN_ON_ASSET","FQ3 2013","FQ3 2013","Currency=USD","Period=FQ","BEST_FPERIOD_OVERRIDE=FQ","FILING_STATUS=MR","FA_ADJUSTED=GAAP","Sort=A","Dates=H","DateFormat=P","Fill=—","Direction=H","UseDPDF=Y")</f>
        <v>7.6124000000000001</v>
      </c>
      <c r="I8" s="21">
        <f>_xll.BDH("ADSK US Equity","RETURN_ON_ASSET","FQ4 2013","FQ4 2013","Currency=USD","Period=FQ","BEST_FPERIOD_OVERRIDE=FQ","FILING_STATUS=MR","FA_ADJUSTED=GAAP","Sort=A","Dates=H","DateFormat=P","Fill=—","Direction=H","UseDPDF=Y")</f>
        <v>6.5655999999999999</v>
      </c>
      <c r="J8" s="21">
        <f>_xll.BDH("ADSK US Equity","RETURN_ON_ASSET","FQ1 2014","FQ1 2014","Currency=USD","Period=FQ","BEST_FPERIOD_OVERRIDE=FQ","FILING_STATUS=MR","FA_ADJUSTED=GAAP","Sort=A","Dates=H","DateFormat=P","Fill=—","Direction=H","UseDPDF=Y")</f>
        <v>5.8921999999999999</v>
      </c>
      <c r="K8" s="21">
        <f>_xll.BDH("ADSK US Equity","RETURN_ON_ASSET","FQ2 2014","FQ2 2014","Currency=USD","Period=FQ","BEST_FPERIOD_OVERRIDE=FQ","FILING_STATUS=MR","FA_ADJUSTED=GAAP","Sort=A","Dates=H","DateFormat=P","Fill=—","Direction=H","UseDPDF=Y")</f>
        <v>5.8216999999999999</v>
      </c>
      <c r="L8" s="21">
        <f>_xll.BDH("ADSK US Equity","RETURN_ON_ASSET","FQ3 2014","FQ3 2014","Currency=USD","Period=FQ","BEST_FPERIOD_OVERRIDE=FQ","FILING_STATUS=MR","FA_ADJUSTED=GAAP","Sort=A","Dates=H","DateFormat=P","Fill=—","Direction=H","UseDPDF=Y")</f>
        <v>6.4355000000000002</v>
      </c>
      <c r="M8" s="21">
        <f>_xll.BDH("ADSK US Equity","RETURN_ON_ASSET","FQ4 2014","FQ4 2014","Currency=USD","Period=FQ","BEST_FPERIOD_OVERRIDE=FQ","FILING_STATUS=MR","FA_ADJUSTED=GAAP","Sort=A","Dates=H","DateFormat=P","Fill=—","Direction=H","UseDPDF=Y")</f>
        <v>5.1395999999999997</v>
      </c>
      <c r="N8" s="21">
        <f>_xll.BDH("ADSK US Equity","RETURN_ON_ASSET","FQ1 2015","FQ1 2015","Currency=USD","Period=FQ","BEST_FPERIOD_OVERRIDE=FQ","FILING_STATUS=MR","FA_ADJUSTED=GAAP","Sort=A","Dates=H","DateFormat=P","Fill=—","Direction=H","UseDPDF=Y")</f>
        <v>4.5087000000000002</v>
      </c>
      <c r="O8" s="21">
        <f>_xll.BDH("ADSK US Equity","RETURN_ON_ASSET","FQ2 2015","FQ2 2015","Currency=USD","Period=FQ","BEST_FPERIOD_OVERRIDE=FQ","FILING_STATUS=MR","FA_ADJUSTED=GAAP","Sort=A","Dates=H","DateFormat=P","Fill=—","Direction=H","UseDPDF=Y")</f>
        <v>3.8334000000000001</v>
      </c>
      <c r="P8" s="21">
        <f>_xll.BDH("ADSK US Equity","RETURN_ON_ASSET","FQ3 2015","FQ3 2015","Currency=USD","Period=FQ","BEST_FPERIOD_OVERRIDE=FQ","FILING_STATUS=MR","FA_ADJUSTED=GAAP","Sort=A","Dates=H","DateFormat=P","Fill=—","Direction=H","UseDPDF=Y")</f>
        <v>2.7422</v>
      </c>
      <c r="Q8" s="21">
        <f>_xll.BDH("ADSK US Equity","RETURN_ON_ASSET","FQ4 2015","FQ4 2015","Currency=USD","Period=FQ","BEST_FPERIOD_OVERRIDE=FQ","FILING_STATUS=MR","FA_ADJUSTED=GAAP","Sort=A","Dates=H","DateFormat=P","Fill=—","Direction=H","UseDPDF=Y")</f>
        <v>1.7213000000000001</v>
      </c>
      <c r="R8" s="21">
        <f>_xll.BDH("ADSK US Equity","RETURN_ON_ASSET","FQ1 2016","FQ1 2016","Currency=USD","Period=FQ","BEST_FPERIOD_OVERRIDE=FQ","FILING_STATUS=MR","FA_ADJUSTED=GAAP","Sort=A","Dates=H","DateFormat=P","Fill=—","Direction=H","UseDPDF=Y")</f>
        <v>1.5407</v>
      </c>
      <c r="S8" s="21">
        <f>_xll.BDH("ADSK US Equity","RETURN_ON_ASSET","FQ2 2016","FQ2 2016","Currency=USD","Period=FQ","BEST_FPERIOD_OVERRIDE=FQ","FILING_STATUS=MR","FA_ADJUSTED=GAAP","Sort=A","Dates=H","DateFormat=P","Fill=—","Direction=H","UseDPDF=Y")</f>
        <v>-4.5255000000000001</v>
      </c>
      <c r="T8" s="21">
        <f>_xll.BDH("ADSK US Equity","RETURN_ON_ASSET","FQ3 2016","FQ3 2016","Currency=USD","Period=FQ","BEST_FPERIOD_OVERRIDE=FQ","FILING_STATUS=MR","FA_ADJUSTED=GAAP","Sort=A","Dates=H","DateFormat=P","Fill=—","Direction=H","UseDPDF=Y")</f>
        <v>-5.6604999999999999</v>
      </c>
      <c r="U8" s="21">
        <f>_xll.BDH("ADSK US Equity","RETURN_ON_ASSET","FQ4 2016","FQ4 2016","Currency=USD","Period=FQ","BEST_FPERIOD_OVERRIDE=FQ","FILING_STATUS=MR","FA_ADJUSTED=GAAP","Sort=A","Dates=H","DateFormat=P","Fill=—","Direction=H","UseDPDF=Y")</f>
        <v>-6.2542</v>
      </c>
      <c r="V8" s="21">
        <f>_xll.BDH("ADSK US Equity","RETURN_ON_ASSET","FQ1 2017","FQ1 2017","Currency=USD","Period=FQ","BEST_FPERIOD_OVERRIDE=FQ","FILING_STATUS=MR","FA_ADJUSTED=GAAP","Sort=A","Dates=H","DateFormat=P","Fill=—","Direction=H","UseDPDF=Y")</f>
        <v>-10.275</v>
      </c>
      <c r="W8" s="21">
        <f>_xll.BDH("ADSK US Equity","RETURN_ON_ASSET","FQ2 2017","FQ2 2017","Currency=USD","Period=FQ","BEST_FPERIOD_OVERRIDE=FQ","FILING_STATUS=MR","FA_ADJUSTED=GAAP","Sort=A","Dates=H","DateFormat=P","Fill=—","Direction=H","UseDPDF=Y")</f>
        <v>-6.5914999999999999</v>
      </c>
      <c r="X8" s="21">
        <f>_xll.BDH("ADSK US Equity","RETURN_ON_ASSET","FQ3 2017","FQ3 2017","Currency=USD","Period=FQ","BEST_FPERIOD_OVERRIDE=FQ","FILING_STATUS=MR","FA_ADJUSTED=GAAP","Sort=A","Dates=H","DateFormat=P","Fill=—","Direction=H","UseDPDF=Y")</f>
        <v>-8.7848000000000006</v>
      </c>
      <c r="Y8" s="21">
        <f>_xll.BDH("ADSK US Equity","RETURN_ON_ASSET","FQ4 2017","FQ4 2017","Currency=USD","Period=FQ","BEST_FPERIOD_OVERRIDE=FQ","FILING_STATUS=MR","FA_ADJUSTED=GAAP","Sort=A","Dates=H","DateFormat=P","Fill=—","Direction=H","UseDPDF=Y")</f>
        <v>-11.2882</v>
      </c>
      <c r="Z8" s="21">
        <f>_xll.BDH("ADSK US Equity","RETURN_ON_ASSET","FQ1 2018","FQ1 2018","Currency=USD","Period=FQ","BEST_FPERIOD_OVERRIDE=FQ","FILING_STATUS=MR","FA_ADJUSTED=GAAP","Sort=A","Dates=H","DateFormat=P","Fill=—","Direction=H","UseDPDF=Y")</f>
        <v>-11.2898</v>
      </c>
      <c r="AA8" s="21">
        <f>_xll.BDH("ADSK US Equity","RETURN_ON_ASSET","FQ2 2018","FQ2 2018","Currency=USD","Period=FQ","BEST_FPERIOD_OVERRIDE=FQ","FILING_STATUS=MR","FA_ADJUSTED=GAAP","Sort=A","Dates=H","DateFormat=P","Fill=—","Direction=H","UseDPDF=Y")</f>
        <v>-12.5471</v>
      </c>
      <c r="AB8" s="21">
        <f>_xll.BDH("ADSK US Equity","RETURN_ON_ASSET","FQ3 2018","FQ3 2018","Currency=USD","Period=FQ","BEST_FPERIOD_OVERRIDE=FQ","FILING_STATUS=MR","FA_ADJUSTED=GAAP","Sort=A","Dates=H","DateFormat=P","Fill=—","Direction=H","UseDPDF=Y")</f>
        <v>-12.6219</v>
      </c>
      <c r="AC8" s="21">
        <f>_xll.BDH("ADSK US Equity","RETURN_ON_ASSET","FQ4 2018","FQ4 2018","Currency=USD","Period=FQ","BEST_FPERIOD_OVERRIDE=FQ","FILING_STATUS=MR","FA_ADJUSTED=GAAP","Sort=A","Dates=H","DateFormat=P","Fill=—","Direction=H","UseDPDF=Y")</f>
        <v>-12.7226</v>
      </c>
      <c r="AD8" s="21">
        <f>_xll.BDH("ADSK US Equity","RETURN_ON_ASSET","FQ1 2019","FQ1 2019","Currency=USD","Period=FQ","BEST_FPERIOD_OVERRIDE=FQ","FILING_STATUS=MR","FA_ADJUSTED=GAAP","Sort=A","Dates=H","DateFormat=P","Fill=—","Direction=H","UseDPDF=Y")</f>
        <v>-12.458600000000001</v>
      </c>
      <c r="AE8" s="21">
        <f>_xll.BDH("ADSK US Equity","RETURN_ON_ASSET","FQ2 2019","FQ2 2019","Currency=USD","Period=FQ","BEST_FPERIOD_OVERRIDE=FQ","FILING_STATUS=MR","FA_ADJUSTED=GAAP","Sort=A","Dates=H","DateFormat=P","Fill=—","Direction=H","UseDPDF=Y")</f>
        <v>-10.140499999999999</v>
      </c>
      <c r="AF8" s="21">
        <f>_xll.BDH("ADSK US Equity","RETURN_ON_ASSET","FQ3 2019","FQ3 2019","Currency=USD","Period=FQ","BEST_FPERIOD_OVERRIDE=FQ","FILING_STATUS=MR","FA_ADJUSTED=GAAP","Sort=A","Dates=H","DateFormat=P","Fill=—","Direction=H","UseDPDF=Y")</f>
        <v>-8.0490999999999993</v>
      </c>
      <c r="AG8" s="21">
        <f>_xll.BDH("ADSK US Equity","RETURN_ON_ASSET","FQ4 2019","FQ4 2019","Currency=USD","Period=FQ","BEST_FPERIOD_OVERRIDE=FQ","FILING_STATUS=MR","FA_ADJUSTED=GAAP","Sort=A","Dates=H","DateFormat=P","Fill=—","Direction=H","UseDPDF=Y")</f>
        <v>-1.8275000000000001</v>
      </c>
      <c r="AH8" s="21">
        <f>_xll.BDH("ADSK US Equity","RETURN_ON_ASSET","FQ1 2020","FQ1 2020","Currency=USD","Period=FQ","BEST_FPERIOD_OVERRIDE=FQ","FILING_STATUS=MR","FA_ADJUSTED=GAAP","Sort=A","Dates=H","DateFormat=P","Fill=—","Direction=H","UseDPDF=Y")</f>
        <v>-0.51839999999999997</v>
      </c>
      <c r="AI8" s="21">
        <f>_xll.BDH("ADSK US Equity","RETURN_ON_ASSET","FQ2 2020","FQ2 2020","Currency=USD","Period=FQ","BEST_FPERIOD_OVERRIDE=FQ","FILING_STATUS=MR","FA_ADJUSTED=GAAP","Sort=A","Dates=H","DateFormat=P","Fill=—","Direction=H","UseDPDF=Y")</f>
        <v>1.3094999999999999</v>
      </c>
      <c r="AJ8" s="21">
        <f>_xll.BDH("ADSK US Equity","RETURN_ON_ASSET","FQ3 2020","FQ3 2020","Currency=USD","Period=FQ","BEST_FPERIOD_OVERRIDE=FQ","FILING_STATUS=MR","FA_ADJUSTED=GAAP","Sort=A","Dates=H","DateFormat=P","Fill=—","Direction=H","UseDPDF=Y")</f>
        <v>3.3458000000000001</v>
      </c>
      <c r="AK8" s="21">
        <f>_xll.BDH("ADSK US Equity","RETURN_ON_ASSET","FQ4 2020","FQ4 2020","Currency=USD","Period=FQ","BEST_FPERIOD_OVERRIDE=FQ","FILING_STATUS=MR","FA_ADJUSTED=GAAP","Sort=A","Dates=H","DateFormat=P","Fill=—","Direction=H","UseDPDF=Y")</f>
        <v>3.9327000000000001</v>
      </c>
      <c r="AL8" s="21">
        <f>_xll.BDH("ADSK US Equity","RETURN_ON_ASSET","FQ1 2021","FQ1 2021","Currency=USD","Period=FQ","BEST_FPERIOD_OVERRIDE=FQ","FILING_STATUS=MR","FA_ADJUSTED=GAAP","Sort=A","Dates=H","DateFormat=P","Fill=—","Direction=H","UseDPDF=Y")</f>
        <v>5.8962000000000003</v>
      </c>
      <c r="AM8" s="21">
        <f>_xll.BDH("ADSK US Equity","RETURN_ON_ASSET","FQ2 2021","FQ2 2021","Currency=USD","Period=FQ","BEST_FPERIOD_OVERRIDE=FQ","FILING_STATUS=MR","FA_ADJUSTED=GAAP","Sort=A","Dates=H","DateFormat=P","Fill=—","Direction=H","UseDPDF=Y")</f>
        <v>6.8399000000000001</v>
      </c>
      <c r="AN8" s="21">
        <f>_xll.BDH("ADSK US Equity","RETURN_ON_ASSET","FQ3 2021","FQ3 2021","Currency=USD","Period=FQ","BEST_FPERIOD_OVERRIDE=FQ","FILING_STATUS=MR","FA_ADJUSTED=GAAP","Sort=A","Dates=H","DateFormat=P","Fill=—","Direction=H","UseDPDF=Y")</f>
        <v>7.8079999999999998</v>
      </c>
      <c r="AO8" s="21">
        <f>_xll.BDH("ADSK US Equity","RETURN_ON_ASSET","FQ4 2021","FQ4 2021","Currency=USD","Period=FQ","BEST_FPERIOD_OVERRIDE=FQ","FILING_STATUS=MR","FA_ADJUSTED=GAAP","Sort=A","Dates=H","DateFormat=P","Fill=—","Direction=H","UseDPDF=Y")</f>
        <v>17.953700000000001</v>
      </c>
      <c r="AP8" s="21">
        <f>_xll.BDH("ADSK US Equity","RETURN_ON_ASSET","FQ1 2022","FQ1 2022","Currency=USD","Period=FQ","BEST_FPERIOD_OVERRIDE=FQ","FILING_STATUS=MR","FA_ADJUSTED=GAAP","Sort=A","Dates=H","DateFormat=P","Fill=—","Direction=H","UseDPDF=Y")</f>
        <v>20.203700000000001</v>
      </c>
    </row>
    <row r="9" spans="1:42" x14ac:dyDescent="0.25">
      <c r="A9" s="18" t="s">
        <v>89</v>
      </c>
      <c r="B9" s="18" t="s">
        <v>90</v>
      </c>
      <c r="C9" s="21">
        <f>_xll.BDH("ADSK US Equity","RETURN_ON_INV_CAPITAL","FQ2 2012","FQ2 2012","Currency=USD","Period=FQ","BEST_FPERIOD_OVERRIDE=FQ","FILING_STATUS=MR","FA_ADJUSTED=GAAP","Sort=A","Dates=H","DateFormat=P","Fill=—","Direction=H","UseDPDF=Y")</f>
        <v>15.1533</v>
      </c>
      <c r="D9" s="21">
        <f>_xll.BDH("ADSK US Equity","RETURN_ON_INV_CAPITAL","FQ3 2012","FQ3 2012","Currency=USD","Period=FQ","BEST_FPERIOD_OVERRIDE=FQ","FILING_STATUS=MR","FA_ADJUSTED=GAAP","Sort=A","Dates=H","DateFormat=P","Fill=—","Direction=H","UseDPDF=Y")</f>
        <v>15.6431</v>
      </c>
      <c r="E9" s="21">
        <f>_xll.BDH("ADSK US Equity","RETURN_ON_INV_CAPITAL","FQ4 2012","FQ4 2012","Currency=USD","Period=FQ","BEST_FPERIOD_OVERRIDE=FQ","FILING_STATUS=MR","FA_ADJUSTED=GAAP","Sort=A","Dates=H","DateFormat=P","Fill=—","Direction=H","UseDPDF=Y")</f>
        <v>15.5884</v>
      </c>
      <c r="F9" s="21">
        <f>_xll.BDH("ADSK US Equity","RETURN_ON_INV_CAPITAL","FQ1 2013","FQ1 2013","Currency=USD","Period=FQ","BEST_FPERIOD_OVERRIDE=FQ","FILING_STATUS=MR","FA_ADJUSTED=GAAP","Sort=A","Dates=H","DateFormat=P","Fill=—","Direction=H","UseDPDF=Y")</f>
        <v>15.1608</v>
      </c>
      <c r="G9" s="21">
        <f>_xll.BDH("ADSK US Equity","RETURN_ON_INV_CAPITAL","FQ2 2013","FQ2 2013","Currency=USD","Period=FQ","BEST_FPERIOD_OVERRIDE=FQ","FILING_STATUS=MR","FA_ADJUSTED=GAAP","Sort=A","Dates=H","DateFormat=P","Fill=—","Direction=H","UseDPDF=Y")</f>
        <v>14.382199999999999</v>
      </c>
      <c r="H9" s="21">
        <f>_xll.BDH("ADSK US Equity","RETURN_ON_INV_CAPITAL","FQ3 2013","FQ3 2013","Currency=USD","Period=FQ","BEST_FPERIOD_OVERRIDE=FQ","FILING_STATUS=MR","FA_ADJUSTED=GAAP","Sort=A","Dates=H","DateFormat=P","Fill=—","Direction=H","UseDPDF=Y")</f>
        <v>11.9497</v>
      </c>
      <c r="I9" s="21">
        <f>_xll.BDH("ADSK US Equity","RETURN_ON_INV_CAPITAL","FQ4 2013","FQ4 2013","Currency=USD","Period=FQ","BEST_FPERIOD_OVERRIDE=FQ","FILING_STATUS=MR","FA_ADJUSTED=GAAP","Sort=A","Dates=H","DateFormat=P","Fill=—","Direction=H","UseDPDF=Y")</f>
        <v>10.117900000000001</v>
      </c>
      <c r="J9" s="21">
        <f>_xll.BDH("ADSK US Equity","RETURN_ON_INV_CAPITAL","FQ1 2014","FQ1 2014","Currency=USD","Period=FQ","BEST_FPERIOD_OVERRIDE=FQ","FILING_STATUS=MR","FA_ADJUSTED=GAAP","Sort=A","Dates=H","DateFormat=P","Fill=—","Direction=H","UseDPDF=Y")</f>
        <v>9.3413000000000004</v>
      </c>
      <c r="K9" s="21">
        <f>_xll.BDH("ADSK US Equity","RETURN_ON_INV_CAPITAL","FQ2 2014","FQ2 2014","Currency=USD","Period=FQ","BEST_FPERIOD_OVERRIDE=FQ","FILING_STATUS=MR","FA_ADJUSTED=GAAP","Sort=A","Dates=H","DateFormat=P","Fill=—","Direction=H","UseDPDF=Y")</f>
        <v>9.0722000000000005</v>
      </c>
      <c r="L9" s="21">
        <f>_xll.BDH("ADSK US Equity","RETURN_ON_INV_CAPITAL","FQ3 2014","FQ3 2014","Currency=USD","Period=FQ","BEST_FPERIOD_OVERRIDE=FQ","FILING_STATUS=MR","FA_ADJUSTED=GAAP","Sort=A","Dates=H","DateFormat=P","Fill=—","Direction=H","UseDPDF=Y")</f>
        <v>9.7544000000000004</v>
      </c>
      <c r="M9" s="21">
        <f>_xll.BDH("ADSK US Equity","RETURN_ON_INV_CAPITAL","FQ4 2014","FQ4 2014","Currency=USD","Period=FQ","BEST_FPERIOD_OVERRIDE=FQ","FILING_STATUS=MR","FA_ADJUSTED=GAAP","Sort=A","Dates=H","DateFormat=P","Fill=—","Direction=H","UseDPDF=Y")</f>
        <v>7.7225000000000001</v>
      </c>
      <c r="N9" s="21">
        <f>_xll.BDH("ADSK US Equity","RETURN_ON_INV_CAPITAL","FQ1 2015","FQ1 2015","Currency=USD","Period=FQ","BEST_FPERIOD_OVERRIDE=FQ","FILING_STATUS=MR","FA_ADJUSTED=GAAP","Sort=A","Dates=H","DateFormat=P","Fill=—","Direction=H","UseDPDF=Y")</f>
        <v>6.8308</v>
      </c>
      <c r="O9" s="21">
        <f>_xll.BDH("ADSK US Equity","RETURN_ON_INV_CAPITAL","FQ2 2015","FQ2 2015","Currency=USD","Period=FQ","BEST_FPERIOD_OVERRIDE=FQ","FILING_STATUS=MR","FA_ADJUSTED=GAAP","Sort=A","Dates=H","DateFormat=P","Fill=—","Direction=H","UseDPDF=Y")</f>
        <v>5.7888999999999999</v>
      </c>
      <c r="P9" s="21">
        <f>_xll.BDH("ADSK US Equity","RETURN_ON_INV_CAPITAL","FQ3 2015","FQ3 2015","Currency=USD","Period=FQ","BEST_FPERIOD_OVERRIDE=FQ","FILING_STATUS=MR","FA_ADJUSTED=GAAP","Sort=A","Dates=H","DateFormat=P","Fill=—","Direction=H","UseDPDF=Y")</f>
        <v>4.3056000000000001</v>
      </c>
      <c r="Q9" s="21">
        <f>_xll.BDH("ADSK US Equity","RETURN_ON_INV_CAPITAL","FQ4 2015","FQ4 2015","Currency=USD","Period=FQ","BEST_FPERIOD_OVERRIDE=FQ","FILING_STATUS=MR","FA_ADJUSTED=GAAP","Sort=A","Dates=H","DateFormat=P","Fill=—","Direction=H","UseDPDF=Y")</f>
        <v>3.8477999999999999</v>
      </c>
      <c r="R9" s="21">
        <f>_xll.BDH("ADSK US Equity","RETURN_ON_INV_CAPITAL","FQ1 2016","FQ1 2016","Currency=USD","Period=FQ","BEST_FPERIOD_OVERRIDE=FQ","FILING_STATUS=MR","FA_ADJUSTED=GAAP","Sort=A","Dates=H","DateFormat=P","Fill=—","Direction=H","UseDPDF=Y")</f>
        <v>3.3266999999999998</v>
      </c>
      <c r="S9" s="21">
        <f>_xll.BDH("ADSK US Equity","RETURN_ON_INV_CAPITAL","FQ2 2016","FQ2 2016","Currency=USD","Period=FQ","BEST_FPERIOD_OVERRIDE=FQ","FILING_STATUS=MR","FA_ADJUSTED=GAAP","Sort=A","Dates=H","DateFormat=P","Fill=—","Direction=H","UseDPDF=Y")</f>
        <v>-36.747999999999998</v>
      </c>
      <c r="T9" s="21">
        <f>_xll.BDH("ADSK US Equity","RETURN_ON_INV_CAPITAL","FQ3 2016","FQ3 2016","Currency=USD","Period=FQ","BEST_FPERIOD_OVERRIDE=FQ","FILING_STATUS=MR","FA_ADJUSTED=GAAP","Sort=A","Dates=H","DateFormat=P","Fill=—","Direction=H","UseDPDF=Y")</f>
        <v>-39.490900000000003</v>
      </c>
      <c r="U9" s="21">
        <f>_xll.BDH("ADSK US Equity","RETURN_ON_INV_CAPITAL","FQ4 2016","FQ4 2016","Currency=USD","Period=FQ","BEST_FPERIOD_OVERRIDE=FQ","FILING_STATUS=MR","FA_ADJUSTED=GAAP","Sort=A","Dates=H","DateFormat=P","Fill=—","Direction=H","UseDPDF=Y")</f>
        <v>-43.575000000000003</v>
      </c>
      <c r="V9" s="21">
        <f>_xll.BDH("ADSK US Equity","RETURN_ON_INV_CAPITAL","FQ1 2017","FQ1 2017","Currency=USD","Period=FQ","BEST_FPERIOD_OVERRIDE=FQ","FILING_STATUS=MR","FA_ADJUSTED=GAAP","Sort=A","Dates=H","DateFormat=P","Fill=—","Direction=H","UseDPDF=Y")</f>
        <v>-50.283200000000001</v>
      </c>
      <c r="W9" s="21">
        <f>_xll.BDH("ADSK US Equity","RETURN_ON_INV_CAPITAL","FQ2 2017","FQ2 2017","Currency=USD","Period=FQ","BEST_FPERIOD_OVERRIDE=FQ","FILING_STATUS=MR","FA_ADJUSTED=GAAP","Sort=A","Dates=H","DateFormat=P","Fill=—","Direction=H","UseDPDF=Y")</f>
        <v>-10.0505</v>
      </c>
      <c r="X9" s="21">
        <f>_xll.BDH("ADSK US Equity","RETURN_ON_INV_CAPITAL","FQ3 2017","FQ3 2017","Currency=USD","Period=FQ","BEST_FPERIOD_OVERRIDE=FQ","FILING_STATUS=MR","FA_ADJUSTED=GAAP","Sort=A","Dates=H","DateFormat=P","Fill=—","Direction=H","UseDPDF=Y")</f>
        <v>-14.0693</v>
      </c>
      <c r="Y9" s="21">
        <f>_xll.BDH("ADSK US Equity","RETURN_ON_INV_CAPITAL","FQ4 2017","FQ4 2017","Currency=USD","Period=FQ","BEST_FPERIOD_OVERRIDE=FQ","FILING_STATUS=MR","FA_ADJUSTED=GAAP","Sort=A","Dates=H","DateFormat=P","Fill=—","Direction=H","UseDPDF=Y")</f>
        <v>-20.572099999999999</v>
      </c>
      <c r="Z9" s="21">
        <f>_xll.BDH("ADSK US Equity","RETURN_ON_INV_CAPITAL","FQ1 2018","FQ1 2018","Currency=USD","Period=FQ","BEST_FPERIOD_OVERRIDE=FQ","FILING_STATUS=MR","FA_ADJUSTED=GAAP","Sort=A","Dates=H","DateFormat=P","Fill=—","Direction=H","UseDPDF=Y")</f>
        <v>-20.892600000000002</v>
      </c>
      <c r="AA9" s="21">
        <f>_xll.BDH("ADSK US Equity","RETURN_ON_INV_CAPITAL","FQ2 2018","FQ2 2018","Currency=USD","Period=FQ","BEST_FPERIOD_OVERRIDE=FQ","FILING_STATUS=MR","FA_ADJUSTED=GAAP","Sort=A","Dates=H","DateFormat=P","Fill=—","Direction=H","UseDPDF=Y")</f>
        <v>-23.304500000000001</v>
      </c>
      <c r="AB9" s="21">
        <f>_xll.BDH("ADSK US Equity","RETURN_ON_INV_CAPITAL","FQ3 2018","FQ3 2018","Currency=USD","Period=FQ","BEST_FPERIOD_OVERRIDE=FQ","FILING_STATUS=MR","FA_ADJUSTED=GAAP","Sort=A","Dates=H","DateFormat=P","Fill=—","Direction=H","UseDPDF=Y")</f>
        <v>-24.733699999999999</v>
      </c>
      <c r="AC9" s="21">
        <f>_xll.BDH("ADSK US Equity","RETURN_ON_INV_CAPITAL","FQ4 2018","FQ4 2018","Currency=USD","Period=FQ","BEST_FPERIOD_OVERRIDE=FQ","FILING_STATUS=MR","FA_ADJUSTED=GAAP","Sort=A","Dates=H","DateFormat=P","Fill=—","Direction=H","UseDPDF=Y")</f>
        <v>-29.3156</v>
      </c>
      <c r="AD9" s="21">
        <f>_xll.BDH("ADSK US Equity","RETURN_ON_INV_CAPITAL","FQ1 2019","FQ1 2019","Currency=USD","Period=FQ","BEST_FPERIOD_OVERRIDE=FQ","FILING_STATUS=MR","FA_ADJUSTED=GAAP","Sort=A","Dates=H","DateFormat=P","Fill=—","Direction=H","UseDPDF=Y")</f>
        <v>-27.151399999999999</v>
      </c>
      <c r="AE9" s="21">
        <f>_xll.BDH("ADSK US Equity","RETURN_ON_INV_CAPITAL","FQ2 2019","FQ2 2019","Currency=USD","Period=FQ","BEST_FPERIOD_OVERRIDE=FQ","FILING_STATUS=MR","FA_ADJUSTED=GAAP","Sort=A","Dates=H","DateFormat=P","Fill=—","Direction=H","UseDPDF=Y")</f>
        <v>-23.3432</v>
      </c>
      <c r="AF9" s="21">
        <f>_xll.BDH("ADSK US Equity","RETURN_ON_INV_CAPITAL","FQ3 2019","FQ3 2019","Currency=USD","Period=FQ","BEST_FPERIOD_OVERRIDE=FQ","FILING_STATUS=MR","FA_ADJUSTED=GAAP","Sort=A","Dates=H","DateFormat=P","Fill=—","Direction=H","UseDPDF=Y")</f>
        <v>-20.119399999999999</v>
      </c>
      <c r="AG9" s="21">
        <f>_xll.BDH("ADSK US Equity","RETURN_ON_INV_CAPITAL","FQ4 2019","FQ4 2019","Currency=USD","Period=FQ","BEST_FPERIOD_OVERRIDE=FQ","FILING_STATUS=MR","FA_ADJUSTED=GAAP","Sort=A","Dates=H","DateFormat=P","Fill=—","Direction=H","UseDPDF=Y")</f>
        <v>-4.6704999999999997</v>
      </c>
      <c r="AH9" s="21">
        <f>_xll.BDH("ADSK US Equity","RETURN_ON_INV_CAPITAL","FQ1 2020","FQ1 2020","Currency=USD","Period=FQ","BEST_FPERIOD_OVERRIDE=FQ","FILING_STATUS=MR","FA_ADJUSTED=GAAP","Sort=A","Dates=H","DateFormat=P","Fill=—","Direction=H","UseDPDF=Y")</f>
        <v>-3.9028999999999998</v>
      </c>
      <c r="AI9" s="21">
        <f>_xll.BDH("ADSK US Equity","RETURN_ON_INV_CAPITAL","FQ2 2020","FQ2 2020","Currency=USD","Period=FQ","BEST_FPERIOD_OVERRIDE=FQ","FILING_STATUS=MR","FA_ADJUSTED=GAAP","Sort=A","Dates=H","DateFormat=P","Fill=—","Direction=H","UseDPDF=Y")</f>
        <v>0.87939999999999996</v>
      </c>
      <c r="AJ9" s="21">
        <f>_xll.BDH("ADSK US Equity","RETURN_ON_INV_CAPITAL","FQ3 2020","FQ3 2020","Currency=USD","Period=FQ","BEST_FPERIOD_OVERRIDE=FQ","FILING_STATUS=MR","FA_ADJUSTED=GAAP","Sort=A","Dates=H","DateFormat=P","Fill=—","Direction=H","UseDPDF=Y")</f>
        <v>7.4593999999999996</v>
      </c>
      <c r="AK9" s="21">
        <f>_xll.BDH("ADSK US Equity","RETURN_ON_INV_CAPITAL","FQ4 2020","FQ4 2020","Currency=USD","Period=FQ","BEST_FPERIOD_OVERRIDE=FQ","FILING_STATUS=MR","FA_ADJUSTED=GAAP","Sort=A","Dates=H","DateFormat=P","Fill=—","Direction=H","UseDPDF=Y")</f>
        <v>8.7431000000000001</v>
      </c>
      <c r="AL9" s="21">
        <f>_xll.BDH("ADSK US Equity","RETURN_ON_INV_CAPITAL","FQ1 2021","FQ1 2021","Currency=USD","Period=FQ","BEST_FPERIOD_OVERRIDE=FQ","FILING_STATUS=MR","FA_ADJUSTED=GAAP","Sort=A","Dates=H","DateFormat=P","Fill=—","Direction=H","UseDPDF=Y")</f>
        <v>17.4404</v>
      </c>
      <c r="AM9" s="21">
        <f>_xll.BDH("ADSK US Equity","RETURN_ON_INV_CAPITAL","FQ2 2021","FQ2 2021","Currency=USD","Period=FQ","BEST_FPERIOD_OVERRIDE=FQ","FILING_STATUS=MR","FA_ADJUSTED=GAAP","Sort=A","Dates=H","DateFormat=P","Fill=—","Direction=H","UseDPDF=Y")</f>
        <v>19.952300000000001</v>
      </c>
      <c r="AN9" s="21">
        <f>_xll.BDH("ADSK US Equity","RETURN_ON_INV_CAPITAL","FQ3 2021","FQ3 2021","Currency=USD","Period=FQ","BEST_FPERIOD_OVERRIDE=FQ","FILING_STATUS=MR","FA_ADJUSTED=GAAP","Sort=A","Dates=H","DateFormat=P","Fill=—","Direction=H","UseDPDF=Y")</f>
        <v>23.283799999999999</v>
      </c>
      <c r="AO9" s="21">
        <f>_xll.BDH("ADSK US Equity","RETURN_ON_INV_CAPITAL","FQ4 2021","FQ4 2021","Currency=USD","Period=FQ","BEST_FPERIOD_OVERRIDE=FQ","FILING_STATUS=MR","FA_ADJUSTED=GAAP","Sort=A","Dates=H","DateFormat=P","Fill=—","Direction=H","UseDPDF=Y")</f>
        <v>52.7224</v>
      </c>
      <c r="AP9" s="21">
        <f>_xll.BDH("ADSK US Equity","RETURN_ON_INV_CAPITAL","FQ1 2022","FQ1 2022","Currency=USD","Period=FQ","BEST_FPERIOD_OVERRIDE=FQ","FILING_STATUS=MR","FA_ADJUSTED=GAAP","Sort=A","Dates=H","DateFormat=P","Fill=—","Direction=H","UseDPDF=Y")</f>
        <v>58.213500000000003</v>
      </c>
    </row>
    <row r="10" spans="1:42" x14ac:dyDescent="0.25">
      <c r="A10" s="18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</row>
    <row r="11" spans="1:42" x14ac:dyDescent="0.25">
      <c r="A11" s="14" t="s">
        <v>91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x14ac:dyDescent="0.25">
      <c r="A12" s="18" t="s">
        <v>92</v>
      </c>
      <c r="B12" s="18" t="s">
        <v>93</v>
      </c>
      <c r="C12" s="21">
        <f>_xll.BDH("ADSK US Equity","GROSS_MARGIN","FQ2 2012","FQ2 2012","Currency=USD","Period=FQ","BEST_FPERIOD_OVERRIDE=FQ","FILING_STATUS=MR","FA_ADJUSTED=GAAP","Sort=A","Dates=H","DateFormat=P","Fill=—","Direction=H","UseDPDF=Y")</f>
        <v>89.492999999999995</v>
      </c>
      <c r="D12" s="21">
        <f>_xll.BDH("ADSK US Equity","GROSS_MARGIN","FQ3 2012","FQ3 2012","Currency=USD","Period=FQ","BEST_FPERIOD_OVERRIDE=FQ","FILING_STATUS=MR","FA_ADJUSTED=GAAP","Sort=A","Dates=H","DateFormat=P","Fill=—","Direction=H","UseDPDF=Y")</f>
        <v>89.135999999999996</v>
      </c>
      <c r="E12" s="21">
        <f>_xll.BDH("ADSK US Equity","GROSS_MARGIN","FQ4 2012","FQ4 2012","Currency=USD","Period=FQ","BEST_FPERIOD_OVERRIDE=FQ","FILING_STATUS=MR","FA_ADJUSTED=GAAP","Sort=A","Dates=H","DateFormat=P","Fill=—","Direction=H","UseDPDF=Y")</f>
        <v>90.293700000000001</v>
      </c>
      <c r="F12" s="21">
        <f>_xll.BDH("ADSK US Equity","GROSS_MARGIN","FQ1 2013","FQ1 2013","Currency=USD","Period=FQ","BEST_FPERIOD_OVERRIDE=FQ","FILING_STATUS=MR","FA_ADJUSTED=GAAP","Sort=A","Dates=H","DateFormat=P","Fill=—","Direction=H","UseDPDF=Y")</f>
        <v>90.010199999999998</v>
      </c>
      <c r="G12" s="21">
        <f>_xll.BDH("ADSK US Equity","GROSS_MARGIN","FQ2 2013","FQ2 2013","Currency=USD","Period=FQ","BEST_FPERIOD_OVERRIDE=FQ","FILING_STATUS=MR","FA_ADJUSTED=GAAP","Sort=A","Dates=H","DateFormat=P","Fill=—","Direction=H","UseDPDF=Y")</f>
        <v>89.484800000000007</v>
      </c>
      <c r="H12" s="21">
        <f>_xll.BDH("ADSK US Equity","GROSS_MARGIN","FQ3 2013","FQ3 2013","Currency=USD","Period=FQ","BEST_FPERIOD_OVERRIDE=FQ","FILING_STATUS=MR","FA_ADJUSTED=GAAP","Sort=A","Dates=H","DateFormat=P","Fill=—","Direction=H","UseDPDF=Y")</f>
        <v>89.434299999999993</v>
      </c>
      <c r="I12" s="21">
        <f>_xll.BDH("ADSK US Equity","GROSS_MARGIN","FQ4 2013","FQ4 2013","Currency=USD","Period=FQ","BEST_FPERIOD_OVERRIDE=FQ","FILING_STATUS=MR","FA_ADJUSTED=GAAP","Sort=A","Dates=H","DateFormat=P","Fill=—","Direction=H","UseDPDF=Y")</f>
        <v>89.784099999999995</v>
      </c>
      <c r="J12" s="21">
        <f>_xll.BDH("ADSK US Equity","GROSS_MARGIN","FQ1 2014","FQ1 2014","Currency=USD","Period=FQ","BEST_FPERIOD_OVERRIDE=FQ","FILING_STATUS=MR","FA_ADJUSTED=GAAP","Sort=A","Dates=H","DateFormat=P","Fill=—","Direction=H","UseDPDF=Y")</f>
        <v>88.166200000000003</v>
      </c>
      <c r="K12" s="21">
        <f>_xll.BDH("ADSK US Equity","GROSS_MARGIN","FQ2 2014","FQ2 2014","Currency=USD","Period=FQ","BEST_FPERIOD_OVERRIDE=FQ","FILING_STATUS=MR","FA_ADJUSTED=GAAP","Sort=A","Dates=H","DateFormat=P","Fill=—","Direction=H","UseDPDF=Y")</f>
        <v>87.929500000000004</v>
      </c>
      <c r="L12" s="21">
        <f>_xll.BDH("ADSK US Equity","GROSS_MARGIN","FQ3 2014","FQ3 2014","Currency=USD","Period=FQ","BEST_FPERIOD_OVERRIDE=FQ","FILING_STATUS=MR","FA_ADJUSTED=GAAP","Sort=A","Dates=H","DateFormat=P","Fill=—","Direction=H","UseDPDF=Y")</f>
        <v>87.914299999999997</v>
      </c>
      <c r="M12" s="21">
        <f>_xll.BDH("ADSK US Equity","GROSS_MARGIN","FQ4 2014","FQ4 2014","Currency=USD","Period=FQ","BEST_FPERIOD_OVERRIDE=FQ","FILING_STATUS=MR","FA_ADJUSTED=GAAP","Sort=A","Dates=H","DateFormat=P","Fill=—","Direction=H","UseDPDF=Y")</f>
        <v>87.742900000000006</v>
      </c>
      <c r="N12" s="21">
        <f>_xll.BDH("ADSK US Equity","GROSS_MARGIN","FQ1 2015","FQ1 2015","Currency=USD","Period=FQ","BEST_FPERIOD_OVERRIDE=FQ","FILING_STATUS=MR","FA_ADJUSTED=GAAP","Sort=A","Dates=H","DateFormat=P","Fill=—","Direction=H","UseDPDF=Y")</f>
        <v>86.717299999999994</v>
      </c>
      <c r="O12" s="21">
        <f>_xll.BDH("ADSK US Equity","GROSS_MARGIN","FQ2 2015","FQ2 2015","Currency=USD","Period=FQ","BEST_FPERIOD_OVERRIDE=FQ","FILING_STATUS=MR","FA_ADJUSTED=GAAP","Sort=A","Dates=H","DateFormat=P","Fill=—","Direction=H","UseDPDF=Y")</f>
        <v>86.203100000000006</v>
      </c>
      <c r="P12" s="21">
        <f>_xll.BDH("ADSK US Equity","GROSS_MARGIN","FQ3 2015","FQ3 2015","Currency=USD","Period=FQ","BEST_FPERIOD_OVERRIDE=FQ","FILING_STATUS=MR","FA_ADJUSTED=GAAP","Sort=A","Dates=H","DateFormat=P","Fill=—","Direction=H","UseDPDF=Y")</f>
        <v>86.084100000000007</v>
      </c>
      <c r="Q12" s="21">
        <f>_xll.BDH("ADSK US Equity","GROSS_MARGIN","FQ4 2015","FQ4 2015","Currency=USD","Period=FQ","BEST_FPERIOD_OVERRIDE=FQ","FILING_STATUS=MR","FA_ADJUSTED=GAAP","Sort=A","Dates=H","DateFormat=P","Fill=—","Direction=H","UseDPDF=Y")</f>
        <v>86.533299999999997</v>
      </c>
      <c r="R12" s="21">
        <f>_xll.BDH("ADSK US Equity","GROSS_MARGIN","FQ1 2016","FQ1 2016","Currency=USD","Period=FQ","BEST_FPERIOD_OVERRIDE=FQ","FILING_STATUS=MR","FA_ADJUSTED=GAAP","Sort=A","Dates=H","DateFormat=P","Fill=—","Direction=H","UseDPDF=Y")</f>
        <v>85.8005</v>
      </c>
      <c r="S12" s="21">
        <f>_xll.BDH("ADSK US Equity","GROSS_MARGIN","FQ2 2016","FQ2 2016","Currency=USD","Period=FQ","BEST_FPERIOD_OVERRIDE=FQ","FILING_STATUS=MR","FA_ADJUSTED=GAAP","Sort=A","Dates=H","DateFormat=P","Fill=—","Direction=H","UseDPDF=Y")</f>
        <v>84.741600000000005</v>
      </c>
      <c r="T12" s="21">
        <f>_xll.BDH("ADSK US Equity","GROSS_MARGIN","FQ3 2016","FQ3 2016","Currency=USD","Period=FQ","BEST_FPERIOD_OVERRIDE=FQ","FILING_STATUS=MR","FA_ADJUSTED=GAAP","Sort=A","Dates=H","DateFormat=P","Fill=—","Direction=H","UseDPDF=Y")</f>
        <v>84.828299999999999</v>
      </c>
      <c r="U12" s="21">
        <f>_xll.BDH("ADSK US Equity","GROSS_MARGIN","FQ4 2016","FQ4 2016","Currency=USD","Period=FQ","BEST_FPERIOD_OVERRIDE=FQ","FILING_STATUS=MR","FA_ADJUSTED=GAAP","Sort=A","Dates=H","DateFormat=P","Fill=—","Direction=H","UseDPDF=Y")</f>
        <v>85.361699999999999</v>
      </c>
      <c r="V12" s="21">
        <f>_xll.BDH("ADSK US Equity","GROSS_MARGIN","FQ1 2017","FQ1 2017","Currency=USD","Period=FQ","BEST_FPERIOD_OVERRIDE=FQ","FILING_STATUS=MR","FA_ADJUSTED=GAAP","Sort=A","Dates=H","DateFormat=P","Fill=—","Direction=H","UseDPDF=Y")</f>
        <v>81.949600000000004</v>
      </c>
      <c r="W12" s="21">
        <f>_xll.BDH("ADSK US Equity","GROSS_MARGIN","FQ2 2017","FQ2 2017","Currency=USD","Period=FQ","BEST_FPERIOD_OVERRIDE=FQ","FILING_STATUS=MR","FA_ADJUSTED=GAAP","Sort=A","Dates=H","DateFormat=P","Fill=—","Direction=H","UseDPDF=Y")</f>
        <v>84.546899999999994</v>
      </c>
      <c r="X12" s="21">
        <f>_xll.BDH("ADSK US Equity","GROSS_MARGIN","FQ3 2017","FQ3 2017","Currency=USD","Period=FQ","BEST_FPERIOD_OVERRIDE=FQ","FILING_STATUS=MR","FA_ADJUSTED=GAAP","Sort=A","Dates=H","DateFormat=P","Fill=—","Direction=H","UseDPDF=Y")</f>
        <v>83.353800000000007</v>
      </c>
      <c r="Y12" s="21">
        <f>_xll.BDH("ADSK US Equity","GROSS_MARGIN","FQ4 2017","FQ4 2017","Currency=USD","Period=FQ","BEST_FPERIOD_OVERRIDE=FQ","FILING_STATUS=MR","FA_ADJUSTED=GAAP","Sort=A","Dates=H","DateFormat=P","Fill=—","Direction=H","UseDPDF=Y")</f>
        <v>82.685900000000004</v>
      </c>
      <c r="Z12" s="21">
        <f>_xll.BDH("ADSK US Equity","GROSS_MARGIN","FQ1 2018","FQ1 2018","Currency=USD","Period=FQ","BEST_FPERIOD_OVERRIDE=FQ","FILING_STATUS=MR","FA_ADJUSTED=GAAP","Sort=A","Dates=H","DateFormat=P","Fill=—","Direction=H","UseDPDF=Y")</f>
        <v>83.899500000000003</v>
      </c>
      <c r="AA12" s="21">
        <f>_xll.BDH("ADSK US Equity","GROSS_MARGIN","FQ2 2018","FQ2 2018","Currency=USD","Period=FQ","BEST_FPERIOD_OVERRIDE=FQ","FILING_STATUS=MR","FA_ADJUSTED=GAAP","Sort=A","Dates=H","DateFormat=P","Fill=—","Direction=H","UseDPDF=Y")</f>
        <v>85.133499999999998</v>
      </c>
      <c r="AB12" s="21">
        <f>_xll.BDH("ADSK US Equity","GROSS_MARGIN","FQ3 2018","FQ3 2018","Currency=USD","Period=FQ","BEST_FPERIOD_OVERRIDE=FQ","FILING_STATUS=MR","FA_ADJUSTED=GAAP","Sort=A","Dates=H","DateFormat=P","Fill=—","Direction=H","UseDPDF=Y")</f>
        <v>84.9602</v>
      </c>
      <c r="AC12" s="21">
        <f>_xll.BDH("ADSK US Equity","GROSS_MARGIN","FQ4 2018","FQ4 2018","Currency=USD","Period=FQ","BEST_FPERIOD_OVERRIDE=FQ","FILING_STATUS=MR","FA_ADJUSTED=GAAP","Sort=A","Dates=H","DateFormat=P","Fill=—","Direction=H","UseDPDF=Y")</f>
        <v>86.800299999999993</v>
      </c>
      <c r="AD12" s="21">
        <f>_xll.BDH("ADSK US Equity","GROSS_MARGIN","FQ1 2019","FQ1 2019","Currency=USD","Period=FQ","BEST_FPERIOD_OVERRIDE=FQ","FILING_STATUS=MR","FA_ADJUSTED=GAAP","Sort=A","Dates=H","DateFormat=P","Fill=—","Direction=H","UseDPDF=Y")</f>
        <v>88.069299999999998</v>
      </c>
      <c r="AE12" s="21">
        <f>_xll.BDH("ADSK US Equity","GROSS_MARGIN","FQ2 2019","FQ2 2019","Currency=USD","Period=FQ","BEST_FPERIOD_OVERRIDE=FQ","FILING_STATUS=MR","FA_ADJUSTED=GAAP","Sort=A","Dates=H","DateFormat=P","Fill=—","Direction=H","UseDPDF=Y")</f>
        <v>88.589200000000005</v>
      </c>
      <c r="AF12" s="21">
        <f>_xll.BDH("ADSK US Equity","GROSS_MARGIN","FQ3 2019","FQ3 2019","Currency=USD","Period=FQ","BEST_FPERIOD_OVERRIDE=FQ","FILING_STATUS=MR","FA_ADJUSTED=GAAP","Sort=A","Dates=H","DateFormat=P","Fill=—","Direction=H","UseDPDF=Y")</f>
        <v>89.060400000000001</v>
      </c>
      <c r="AG12" s="21">
        <f>_xll.BDH("ADSK US Equity","GROSS_MARGIN","FQ4 2019","FQ4 2019","Currency=USD","Period=FQ","BEST_FPERIOD_OVERRIDE=FQ","FILING_STATUS=MR","FA_ADJUSTED=GAAP","Sort=A","Dates=H","DateFormat=P","Fill=—","Direction=H","UseDPDF=Y")</f>
        <v>89.5565</v>
      </c>
      <c r="AH12" s="21">
        <f>_xll.BDH("ADSK US Equity","GROSS_MARGIN","FQ1 2020","FQ1 2020","Currency=USD","Period=FQ","BEST_FPERIOD_OVERRIDE=FQ","FILING_STATUS=MR","FA_ADJUSTED=GAAP","Sort=A","Dates=H","DateFormat=P","Fill=—","Direction=H","UseDPDF=Y")</f>
        <v>88.755899999999997</v>
      </c>
      <c r="AI12" s="21">
        <f>_xll.BDH("ADSK US Equity","GROSS_MARGIN","FQ2 2020","FQ2 2020","Currency=USD","Period=FQ","BEST_FPERIOD_OVERRIDE=FQ","FILING_STATUS=MR","FA_ADJUSTED=GAAP","Sort=A","Dates=H","DateFormat=P","Fill=—","Direction=H","UseDPDF=Y")</f>
        <v>90.022599999999997</v>
      </c>
      <c r="AJ12" s="21">
        <f>_xll.BDH("ADSK US Equity","GROSS_MARGIN","FQ3 2020","FQ3 2020","Currency=USD","Period=FQ","BEST_FPERIOD_OVERRIDE=FQ","FILING_STATUS=MR","FA_ADJUSTED=GAAP","Sort=A","Dates=H","DateFormat=P","Fill=—","Direction=H","UseDPDF=Y")</f>
        <v>90.566000000000003</v>
      </c>
      <c r="AK12" s="21">
        <f>_xll.BDH("ADSK US Equity","GROSS_MARGIN","FQ4 2020","FQ4 2020","Currency=USD","Period=FQ","BEST_FPERIOD_OVERRIDE=FQ","FILING_STATUS=MR","FA_ADJUSTED=GAAP","Sort=A","Dates=H","DateFormat=P","Fill=—","Direction=H","UseDPDF=Y")</f>
        <v>90.748400000000004</v>
      </c>
      <c r="AL12" s="21">
        <f>_xll.BDH("ADSK US Equity","GROSS_MARGIN","FQ1 2021","FQ1 2021","Currency=USD","Period=FQ","BEST_FPERIOD_OVERRIDE=FQ","FILING_STATUS=MR","FA_ADJUSTED=GAAP","Sort=A","Dates=H","DateFormat=P","Fill=—","Direction=H","UseDPDF=Y")</f>
        <v>90.753100000000003</v>
      </c>
      <c r="AM12" s="21">
        <f>_xll.BDH("ADSK US Equity","GROSS_MARGIN","FQ2 2021","FQ2 2021","Currency=USD","Period=FQ","BEST_FPERIOD_OVERRIDE=FQ","FILING_STATUS=MR","FA_ADJUSTED=GAAP","Sort=A","Dates=H","DateFormat=P","Fill=—","Direction=H","UseDPDF=Y")</f>
        <v>91.140100000000004</v>
      </c>
      <c r="AN12" s="21">
        <f>_xll.BDH("ADSK US Equity","GROSS_MARGIN","FQ3 2021","FQ3 2021","Currency=USD","Period=FQ","BEST_FPERIOD_OVERRIDE=FQ","FILING_STATUS=MR","FA_ADJUSTED=GAAP","Sort=A","Dates=H","DateFormat=P","Fill=—","Direction=H","UseDPDF=Y")</f>
        <v>91.211699999999993</v>
      </c>
      <c r="AO12" s="21">
        <f>_xll.BDH("ADSK US Equity","GROSS_MARGIN","FQ4 2021","FQ4 2021","Currency=USD","Period=FQ","BEST_FPERIOD_OVERRIDE=FQ","FILING_STATUS=MR","FA_ADJUSTED=GAAP","Sort=A","Dates=H","DateFormat=P","Fill=—","Direction=H","UseDPDF=Y")</f>
        <v>91.281800000000004</v>
      </c>
      <c r="AP12" s="21">
        <f>_xll.BDH("ADSK US Equity","GROSS_MARGIN","FQ1 2022","FQ1 2022","Currency=USD","Period=FQ","BEST_FPERIOD_OVERRIDE=FQ","FILING_STATUS=MR","FA_ADJUSTED=GAAP","Sort=A","Dates=H","DateFormat=P","Fill=—","Direction=H","UseDPDF=Y")</f>
        <v>90.619600000000005</v>
      </c>
    </row>
    <row r="13" spans="1:42" x14ac:dyDescent="0.25">
      <c r="A13" s="18" t="s">
        <v>94</v>
      </c>
      <c r="B13" s="18" t="s">
        <v>95</v>
      </c>
      <c r="C13" s="21">
        <f>_xll.BDH("ADSK US Equity","EBITDA_TO_REVENUE","FQ2 2012","FQ2 2012","Currency=USD","Period=FQ","BEST_FPERIOD_OVERRIDE=FQ","FILING_STATUS=MR","FA_ADJUSTED=GAAP","Sort=A","Dates=H","DateFormat=P","Fill=—","Direction=H","UseDPDF=Y")</f>
        <v>22.8263</v>
      </c>
      <c r="D13" s="21">
        <f>_xll.BDH("ADSK US Equity","EBITDA_TO_REVENUE","FQ3 2012","FQ3 2012","Currency=USD","Period=FQ","BEST_FPERIOD_OVERRIDE=FQ","FILING_STATUS=MR","FA_ADJUSTED=GAAP","Sort=A","Dates=H","DateFormat=P","Fill=—","Direction=H","UseDPDF=Y")</f>
        <v>22.092600000000001</v>
      </c>
      <c r="E13" s="21">
        <f>_xll.BDH("ADSK US Equity","EBITDA_TO_REVENUE","FQ4 2012","FQ4 2012","Currency=USD","Period=FQ","BEST_FPERIOD_OVERRIDE=FQ","FILING_STATUS=MR","FA_ADJUSTED=GAAP","Sort=A","Dates=H","DateFormat=P","Fill=—","Direction=H","UseDPDF=Y")</f>
        <v>20.6111</v>
      </c>
      <c r="F13" s="21">
        <f>_xll.BDH("ADSK US Equity","EBITDA_TO_REVENUE","FQ1 2013","FQ1 2013","Currency=USD","Period=FQ","BEST_FPERIOD_OVERRIDE=FQ","FILING_STATUS=MR","FA_ADJUSTED=GAAP","Sort=A","Dates=H","DateFormat=P","Fill=—","Direction=H","UseDPDF=Y")</f>
        <v>20.931000000000001</v>
      </c>
      <c r="G13" s="21">
        <f>_xll.BDH("ADSK US Equity","EBITDA_TO_REVENUE","FQ2 2013","FQ2 2013","Currency=USD","Period=FQ","BEST_FPERIOD_OVERRIDE=FQ","FILING_STATUS=MR","FA_ADJUSTED=GAAP","Sort=A","Dates=H","DateFormat=P","Fill=—","Direction=H","UseDPDF=Y")</f>
        <v>21.417300000000001</v>
      </c>
      <c r="H13" s="21">
        <f>_xll.BDH("ADSK US Equity","EBITDA_TO_REVENUE","FQ3 2013","FQ3 2013","Currency=USD","Period=FQ","BEST_FPERIOD_OVERRIDE=FQ","FILING_STATUS=MR","FA_ADJUSTED=GAAP","Sort=A","Dates=H","DateFormat=P","Fill=—","Direction=H","UseDPDF=Y")</f>
        <v>12.664199999999999</v>
      </c>
      <c r="I13" s="21">
        <f>_xll.BDH("ADSK US Equity","EBITDA_TO_REVENUE","FQ4 2013","FQ4 2013","Currency=USD","Period=FQ","BEST_FPERIOD_OVERRIDE=FQ","FILING_STATUS=MR","FA_ADJUSTED=GAAP","Sort=A","Dates=H","DateFormat=P","Fill=—","Direction=H","UseDPDF=Y")</f>
        <v>19.657299999999999</v>
      </c>
      <c r="J13" s="21">
        <f>_xll.BDH("ADSK US Equity","EBITDA_TO_REVENUE","FQ1 2014","FQ1 2014","Currency=USD","Period=FQ","BEST_FPERIOD_OVERRIDE=FQ","FILING_STATUS=MR","FA_ADJUSTED=GAAP","Sort=A","Dates=H","DateFormat=P","Fill=—","Direction=H","UseDPDF=Y")</f>
        <v>20.073599999999999</v>
      </c>
      <c r="K13" s="21">
        <f>_xll.BDH("ADSK US Equity","EBITDA_TO_REVENUE","FQ2 2014","FQ2 2014","Currency=USD","Period=FQ","BEST_FPERIOD_OVERRIDE=FQ","FILING_STATUS=MR","FA_ADJUSTED=GAAP","Sort=A","Dates=H","DateFormat=P","Fill=—","Direction=H","UseDPDF=Y")</f>
        <v>20.580400000000001</v>
      </c>
      <c r="L13" s="21">
        <f>_xll.BDH("ADSK US Equity","EBITDA_TO_REVENUE","FQ3 2014","FQ3 2014","Currency=USD","Period=FQ","BEST_FPERIOD_OVERRIDE=FQ","FILING_STATUS=MR","FA_ADJUSTED=GAAP","Sort=A","Dates=H","DateFormat=P","Fill=—","Direction=H","UseDPDF=Y")</f>
        <v>17.7774</v>
      </c>
      <c r="M13" s="21">
        <f>_xll.BDH("ADSK US Equity","EBITDA_TO_REVENUE","FQ4 2014","FQ4 2014","Currency=USD","Period=FQ","BEST_FPERIOD_OVERRIDE=FQ","FILING_STATUS=MR","FA_ADJUSTED=GAAP","Sort=A","Dates=H","DateFormat=P","Fill=—","Direction=H","UseDPDF=Y")</f>
        <v>14.4732</v>
      </c>
      <c r="N13" s="21">
        <f>_xll.BDH("ADSK US Equity","EBITDA_TO_REVENUE","FQ1 2015","FQ1 2015","Currency=USD","Period=FQ","BEST_FPERIOD_OVERRIDE=FQ","FILING_STATUS=MR","FA_ADJUSTED=GAAP","Sort=A","Dates=H","DateFormat=P","Fill=—","Direction=H","UseDPDF=Y")</f>
        <v>13.215199999999999</v>
      </c>
      <c r="O13" s="21">
        <f>_xll.BDH("ADSK US Equity","EBITDA_TO_REVENUE","FQ2 2015","FQ2 2015","Currency=USD","Period=FQ","BEST_FPERIOD_OVERRIDE=FQ","FILING_STATUS=MR","FA_ADJUSTED=GAAP","Sort=A","Dates=H","DateFormat=P","Fill=—","Direction=H","UseDPDF=Y")</f>
        <v>13.6713</v>
      </c>
      <c r="P13" s="21">
        <f>_xll.BDH("ADSK US Equity","EBITDA_TO_REVENUE","FQ3 2015","FQ3 2015","Currency=USD","Period=FQ","BEST_FPERIOD_OVERRIDE=FQ","FILING_STATUS=MR","FA_ADJUSTED=GAAP","Sort=A","Dates=H","DateFormat=P","Fill=—","Direction=H","UseDPDF=Y")</f>
        <v>8.2848000000000006</v>
      </c>
      <c r="Q13" s="21">
        <f>_xll.BDH("ADSK US Equity","EBITDA_TO_REVENUE","FQ4 2015","FQ4 2015","Currency=USD","Period=FQ","BEST_FPERIOD_OVERRIDE=FQ","FILING_STATUS=MR","FA_ADJUSTED=GAAP","Sort=A","Dates=H","DateFormat=P","Fill=—","Direction=H","UseDPDF=Y")</f>
        <v>7.5232999999999999</v>
      </c>
      <c r="R13" s="21">
        <f>_xll.BDH("ADSK US Equity","EBITDA_TO_REVENUE","FQ1 2016","FQ1 2016","Currency=USD","Period=FQ","BEST_FPERIOD_OVERRIDE=FQ","FILING_STATUS=MR","FA_ADJUSTED=GAAP","Sort=A","Dates=H","DateFormat=P","Fill=—","Direction=H","UseDPDF=Y")</f>
        <v>9.1724999999999994</v>
      </c>
      <c r="S13" s="21">
        <f>_xll.BDH("ADSK US Equity","EBITDA_TO_REVENUE","FQ2 2016","FQ2 2016","Currency=USD","Period=FQ","BEST_FPERIOD_OVERRIDE=FQ","FILING_STATUS=MR","FA_ADJUSTED=GAAP","Sort=A","Dates=H","DateFormat=P","Fill=—","Direction=H","UseDPDF=Y")</f>
        <v>6.6448</v>
      </c>
      <c r="T13" s="21">
        <f>_xll.BDH("ADSK US Equity","EBITDA_TO_REVENUE","FQ3 2016","FQ3 2016","Currency=USD","Period=FQ","BEST_FPERIOD_OVERRIDE=FQ","FILING_STATUS=MR","FA_ADJUSTED=GAAP","Sort=A","Dates=H","DateFormat=P","Fill=—","Direction=H","UseDPDF=Y")</f>
        <v>3.4845000000000002</v>
      </c>
      <c r="U13" s="21">
        <f>_xll.BDH("ADSK US Equity","EBITDA_TO_REVENUE","FQ4 2016","FQ4 2016","Currency=USD","Period=FQ","BEST_FPERIOD_OVERRIDE=FQ","FILING_STATUS=MR","FA_ADJUSTED=GAAP","Sort=A","Dates=H","DateFormat=P","Fill=—","Direction=H","UseDPDF=Y")</f>
        <v>4.0721999999999996</v>
      </c>
      <c r="V13" s="21">
        <f>_xll.BDH("ADSK US Equity","EBITDA_TO_REVENUE","FQ1 2017","FQ1 2017","Currency=USD","Period=FQ","BEST_FPERIOD_OVERRIDE=FQ","FILING_STATUS=MR","FA_ADJUSTED=GAAP","Sort=A","Dates=H","DateFormat=P","Fill=—","Direction=H","UseDPDF=Y")</f>
        <v>-21.937899999999999</v>
      </c>
      <c r="W13" s="21">
        <f>_xll.BDH("ADSK US Equity","EBITDA_TO_REVENUE","FQ2 2017","FQ2 2017","Currency=USD","Period=FQ","BEST_FPERIOD_OVERRIDE=FQ","FILING_STATUS=MR","FA_ADJUSTED=GAAP","Sort=A","Dates=H","DateFormat=P","Fill=—","Direction=H","UseDPDF=Y")</f>
        <v>-5.4295</v>
      </c>
      <c r="X13" s="21">
        <f>_xll.BDH("ADSK US Equity","EBITDA_TO_REVENUE","FQ3 2017","FQ3 2017","Currency=USD","Period=FQ","BEST_FPERIOD_OVERRIDE=FQ","FILING_STATUS=MR","FA_ADJUSTED=GAAP","Sort=A","Dates=H","DateFormat=P","Fill=—","Direction=H","UseDPDF=Y")</f>
        <v>-17.5245</v>
      </c>
      <c r="Y13" s="21">
        <f>_xll.BDH("ADSK US Equity","EBITDA_TO_REVENUE","FQ4 2017","FQ4 2017","Currency=USD","Period=FQ","BEST_FPERIOD_OVERRIDE=FQ","FILING_STATUS=MR","FA_ADJUSTED=GAAP","Sort=A","Dates=H","DateFormat=P","Fill=—","Direction=H","UseDPDF=Y")</f>
        <v>-27.6525</v>
      </c>
      <c r="Z13" s="21">
        <f>_xll.BDH("ADSK US Equity","EBITDA_TO_REVENUE","FQ1 2018","FQ1 2018","Currency=USD","Period=FQ","BEST_FPERIOD_OVERRIDE=FQ","FILING_STATUS=MR","FA_ADJUSTED=GAAP","Sort=A","Dates=H","DateFormat=P","Fill=—","Direction=H","UseDPDF=Y")</f>
        <v>-18.777000000000001</v>
      </c>
      <c r="AA13" s="21">
        <f>_xll.BDH("ADSK US Equity","EBITDA_TO_REVENUE","FQ2 2018","FQ2 2018","Currency=USD","Period=FQ","BEST_FPERIOD_OVERRIDE=FQ","FILING_STATUS=MR","FA_ADJUSTED=GAAP","Sort=A","Dates=H","DateFormat=P","Fill=—","Direction=H","UseDPDF=Y")</f>
        <v>-15.783200000000001</v>
      </c>
      <c r="AB13" s="21">
        <f>_xll.BDH("ADSK US Equity","EBITDA_TO_REVENUE","FQ3 2018","FQ3 2018","Currency=USD","Period=FQ","BEST_FPERIOD_OVERRIDE=FQ","FILING_STATUS=MR","FA_ADJUSTED=GAAP","Sort=A","Dates=H","DateFormat=P","Fill=—","Direction=H","UseDPDF=Y")</f>
        <v>-14.6128</v>
      </c>
      <c r="AC13" s="21">
        <f>_xll.BDH("ADSK US Equity","EBITDA_TO_REVENUE","FQ4 2018","FQ4 2018","Currency=USD","Period=FQ","BEST_FPERIOD_OVERRIDE=FQ","FILING_STATUS=MR","FA_ADJUSTED=GAAP","Sort=A","Dates=H","DateFormat=P","Fill=—","Direction=H","UseDPDF=Y")</f>
        <v>-27.988399999999999</v>
      </c>
      <c r="AD13" s="21">
        <f>_xll.BDH("ADSK US Equity","EBITDA_TO_REVENUE","FQ1 2019","FQ1 2019","Currency=USD","Period=FQ","BEST_FPERIOD_OVERRIDE=FQ","FILING_STATUS=MR","FA_ADJUSTED=GAAP","Sort=A","Dates=H","DateFormat=P","Fill=—","Direction=H","UseDPDF=Y")</f>
        <v>-5.5724</v>
      </c>
      <c r="AE13" s="21">
        <f>_xll.BDH("ADSK US Equity","EBITDA_TO_REVENUE","FQ2 2019","FQ2 2019","Currency=USD","Period=FQ","BEST_FPERIOD_OVERRIDE=FQ","FILING_STATUS=MR","FA_ADJUSTED=GAAP","Sort=A","Dates=H","DateFormat=P","Fill=—","Direction=H","UseDPDF=Y")</f>
        <v>-0.40870000000000001</v>
      </c>
      <c r="AF13" s="21">
        <f>_xll.BDH("ADSK US Equity","EBITDA_TO_REVENUE","FQ3 2019","FQ3 2019","Currency=USD","Period=FQ","BEST_FPERIOD_OVERRIDE=FQ","FILING_STATUS=MR","FA_ADJUSTED=GAAP","Sort=A","Dates=H","DateFormat=P","Fill=—","Direction=H","UseDPDF=Y")</f>
        <v>5.78</v>
      </c>
      <c r="AG13" s="21">
        <f>_xll.BDH("ADSK US Equity","EBITDA_TO_REVENUE","FQ4 2019","FQ4 2019","Currency=USD","Period=FQ","BEST_FPERIOD_OVERRIDE=FQ","FILING_STATUS=MR","FA_ADJUSTED=GAAP","Sort=A","Dates=H","DateFormat=P","Fill=—","Direction=H","UseDPDF=Y")</f>
        <v>8.9108999999999998</v>
      </c>
      <c r="AH13" s="21">
        <f>_xll.BDH("ADSK US Equity","EBITDA_TO_REVENUE","FQ1 2020","FQ1 2020","Currency=USD","Period=FQ","BEST_FPERIOD_OVERRIDE=FQ","FILING_STATUS=MR","FA_ADJUSTED=GAAP","Sort=A","Dates=H","DateFormat=P","Fill=—","Direction=H","UseDPDF=Y")</f>
        <v>10.5778</v>
      </c>
      <c r="AI13" s="21">
        <f>_xll.BDH("ADSK US Equity","EBITDA_TO_REVENUE","FQ2 2020","FQ2 2020","Currency=USD","Period=FQ","BEST_FPERIOD_OVERRIDE=FQ","FILING_STATUS=MR","FA_ADJUSTED=GAAP","Sort=A","Dates=H","DateFormat=P","Fill=—","Direction=H","UseDPDF=Y")</f>
        <v>16.014099999999999</v>
      </c>
      <c r="AJ13" s="21">
        <f>_xll.BDH("ADSK US Equity","EBITDA_TO_REVENUE","FQ3 2020","FQ3 2020","Currency=USD","Period=FQ","BEST_FPERIOD_OVERRIDE=FQ","FILING_STATUS=MR","FA_ADJUSTED=GAAP","Sort=A","Dates=H","DateFormat=P","Fill=—","Direction=H","UseDPDF=Y")</f>
        <v>19.449400000000001</v>
      </c>
      <c r="AK13" s="21">
        <f>_xll.BDH("ADSK US Equity","EBITDA_TO_REVENUE","FQ4 2020","FQ4 2020","Currency=USD","Period=FQ","BEST_FPERIOD_OVERRIDE=FQ","FILING_STATUS=MR","FA_ADJUSTED=GAAP","Sort=A","Dates=H","DateFormat=P","Fill=—","Direction=H","UseDPDF=Y")</f>
        <v>20.882899999999999</v>
      </c>
      <c r="AL13" s="21">
        <f>_xll.BDH("ADSK US Equity","EBITDA_TO_REVENUE","FQ1 2021","FQ1 2021","Currency=USD","Period=FQ","BEST_FPERIOD_OVERRIDE=FQ","FILING_STATUS=MR","FA_ADJUSTED=GAAP","Sort=A","Dates=H","DateFormat=P","Fill=—","Direction=H","UseDPDF=Y")</f>
        <v>21.011600000000001</v>
      </c>
      <c r="AM13" s="21">
        <f>_xll.BDH("ADSK US Equity","EBITDA_TO_REVENUE","FQ2 2021","FQ2 2021","Currency=USD","Period=FQ","BEST_FPERIOD_OVERRIDE=FQ","FILING_STATUS=MR","FA_ADJUSTED=GAAP","Sort=A","Dates=H","DateFormat=P","Fill=—","Direction=H","UseDPDF=Y")</f>
        <v>21.991</v>
      </c>
      <c r="AN13" s="21">
        <f>_xll.BDH("ADSK US Equity","EBITDA_TO_REVENUE","FQ3 2021","FQ3 2021","Currency=USD","Period=FQ","BEST_FPERIOD_OVERRIDE=FQ","FILING_STATUS=MR","FA_ADJUSTED=GAAP","Sort=A","Dates=H","DateFormat=P","Fill=—","Direction=H","UseDPDF=Y")</f>
        <v>23.74</v>
      </c>
      <c r="AO13" s="21">
        <f>_xll.BDH("ADSK US Equity","EBITDA_TO_REVENUE","FQ4 2021","FQ4 2021","Currency=USD","Period=FQ","BEST_FPERIOD_OVERRIDE=FQ","FILING_STATUS=MR","FA_ADJUSTED=GAAP","Sort=A","Dates=H","DateFormat=P","Fill=—","Direction=H","UseDPDF=Y")</f>
        <v>23.219799999999999</v>
      </c>
      <c r="AP13" s="21">
        <f>_xll.BDH("ADSK US Equity","EBITDA_TO_REVENUE","FQ1 2022","FQ1 2022","Currency=USD","Period=FQ","BEST_FPERIOD_OVERRIDE=FQ","FILING_STATUS=MR","FA_ADJUSTED=GAAP","Sort=A","Dates=H","DateFormat=P","Fill=—","Direction=H","UseDPDF=Y")</f>
        <v>19.377300000000002</v>
      </c>
    </row>
    <row r="14" spans="1:42" x14ac:dyDescent="0.25">
      <c r="A14" s="19" t="s">
        <v>96</v>
      </c>
      <c r="B14" s="19" t="s">
        <v>95</v>
      </c>
      <c r="C14" s="23">
        <v>1.71789052946381</v>
      </c>
      <c r="D14" s="23">
        <v>9.9325867587769192</v>
      </c>
      <c r="E14" s="23">
        <v>11.668004969482</v>
      </c>
      <c r="F14" s="23">
        <v>7.2537280378236204</v>
      </c>
      <c r="G14" s="23">
        <v>-6.1727913161168697</v>
      </c>
      <c r="H14" s="23">
        <v>-42.676576893465501</v>
      </c>
      <c r="I14" s="23">
        <v>-4.6276045585979704</v>
      </c>
      <c r="J14" s="23">
        <v>-4.096264191196</v>
      </c>
      <c r="K14" s="23">
        <v>-3.90752937804809</v>
      </c>
      <c r="L14" s="23">
        <v>40.374680379405497</v>
      </c>
      <c r="M14" s="23">
        <v>-26.372114140947801</v>
      </c>
      <c r="N14" s="23">
        <v>-34.166426177065198</v>
      </c>
      <c r="O14" s="23">
        <v>-33.5710888928635</v>
      </c>
      <c r="P14" s="23">
        <v>-53.397008265223398</v>
      </c>
      <c r="Q14" s="23">
        <v>-48.019074656144603</v>
      </c>
      <c r="R14" s="23">
        <v>-30.591486009660098</v>
      </c>
      <c r="S14" s="23">
        <v>-51.396137740290399</v>
      </c>
      <c r="T14" s="23">
        <v>-57.941058252532599</v>
      </c>
      <c r="U14" s="23">
        <v>-45.872461659889098</v>
      </c>
      <c r="V14" s="23" t="s">
        <v>97</v>
      </c>
      <c r="W14" s="23" t="s">
        <v>97</v>
      </c>
      <c r="X14" s="23" t="s">
        <v>97</v>
      </c>
      <c r="Y14" s="23" t="s">
        <v>97</v>
      </c>
      <c r="Z14" s="23">
        <v>14.4082075759561</v>
      </c>
      <c r="AA14" s="23">
        <v>-190.695600459199</v>
      </c>
      <c r="AB14" s="23">
        <v>16.6148040658483</v>
      </c>
      <c r="AC14" s="23">
        <v>-1.21500565012941</v>
      </c>
      <c r="AD14" s="23">
        <v>70.323176362940998</v>
      </c>
      <c r="AE14" s="23">
        <v>97.410553677360696</v>
      </c>
      <c r="AF14" s="23" t="s">
        <v>97</v>
      </c>
      <c r="AG14" s="23" t="s">
        <v>97</v>
      </c>
      <c r="AH14" s="23" t="s">
        <v>97</v>
      </c>
      <c r="AI14" s="23" t="s">
        <v>97</v>
      </c>
      <c r="AJ14" s="23">
        <v>236.49479402844</v>
      </c>
      <c r="AK14" s="23">
        <v>134.35264778797099</v>
      </c>
      <c r="AL14" s="23">
        <v>98.638218887451302</v>
      </c>
      <c r="AM14" s="23">
        <v>37.323236536702503</v>
      </c>
      <c r="AN14" s="23">
        <v>22.060518199312099</v>
      </c>
      <c r="AO14" s="23">
        <v>11.1903710349933</v>
      </c>
      <c r="AP14" s="23">
        <v>-7.7780309180216198</v>
      </c>
    </row>
    <row r="15" spans="1:42" x14ac:dyDescent="0.25">
      <c r="A15" s="18" t="s">
        <v>98</v>
      </c>
      <c r="B15" s="18" t="s">
        <v>99</v>
      </c>
      <c r="C15" s="21">
        <f>_xll.BDH("ADSK US Equity","OPER_MARGIN","FQ2 2012","FQ2 2012","Currency=USD","Period=FQ","BEST_FPERIOD_OVERRIDE=FQ","FILING_STATUS=MR","FA_ADJUSTED=GAAP","Sort=A","Dates=H","DateFormat=P","Fill=—","Direction=H","UseDPDF=Y")</f>
        <v>17.389700000000001</v>
      </c>
      <c r="D15" s="21">
        <f>_xll.BDH("ADSK US Equity","OPER_MARGIN","FQ3 2012","FQ3 2012","Currency=USD","Period=FQ","BEST_FPERIOD_OVERRIDE=FQ","FILING_STATUS=MR","FA_ADJUSTED=GAAP","Sort=A","Dates=H","DateFormat=P","Fill=—","Direction=H","UseDPDF=Y")</f>
        <v>16.4419</v>
      </c>
      <c r="E15" s="21">
        <f>_xll.BDH("ADSK US Equity","OPER_MARGIN","FQ4 2012","FQ4 2012","Currency=USD","Period=FQ","BEST_FPERIOD_OVERRIDE=FQ","FILING_STATUS=MR","FA_ADJUSTED=GAAP","Sort=A","Dates=H","DateFormat=P","Fill=—","Direction=H","UseDPDF=Y")</f>
        <v>15.4963</v>
      </c>
      <c r="F15" s="21">
        <f>_xll.BDH("ADSK US Equity","OPER_MARGIN","FQ1 2013","FQ1 2013","Currency=USD","Period=FQ","BEST_FPERIOD_OVERRIDE=FQ","FILING_STATUS=MR","FA_ADJUSTED=GAAP","Sort=A","Dates=H","DateFormat=P","Fill=—","Direction=H","UseDPDF=Y")</f>
        <v>15.9701</v>
      </c>
      <c r="G15" s="21">
        <f>_xll.BDH("ADSK US Equity","OPER_MARGIN","FQ2 2013","FQ2 2013","Currency=USD","Period=FQ","BEST_FPERIOD_OVERRIDE=FQ","FILING_STATUS=MR","FA_ADJUSTED=GAAP","Sort=A","Dates=H","DateFormat=P","Fill=—","Direction=H","UseDPDF=Y")</f>
        <v>16.3355</v>
      </c>
      <c r="H15" s="21">
        <f>_xll.BDH("ADSK US Equity","OPER_MARGIN","FQ3 2013","FQ3 2013","Currency=USD","Period=FQ","BEST_FPERIOD_OVERRIDE=FQ","FILING_STATUS=MR","FA_ADJUSTED=GAAP","Sort=A","Dates=H","DateFormat=P","Fill=—","Direction=H","UseDPDF=Y")</f>
        <v>6.2774000000000001</v>
      </c>
      <c r="I15" s="21">
        <f>_xll.BDH("ADSK US Equity","OPER_MARGIN","FQ4 2013","FQ4 2013","Currency=USD","Period=FQ","BEST_FPERIOD_OVERRIDE=FQ","FILING_STATUS=MR","FA_ADJUSTED=GAAP","Sort=A","Dates=H","DateFormat=P","Fill=—","Direction=H","UseDPDF=Y")</f>
        <v>13.9397</v>
      </c>
      <c r="J15" s="21">
        <f>_xll.BDH("ADSK US Equity","OPER_MARGIN","FQ1 2014","FQ1 2014","Currency=USD","Period=FQ","BEST_FPERIOD_OVERRIDE=FQ","FILING_STATUS=MR","FA_ADJUSTED=GAAP","Sort=A","Dates=H","DateFormat=P","Fill=—","Direction=H","UseDPDF=Y")</f>
        <v>14.2707</v>
      </c>
      <c r="K15" s="21">
        <f>_xll.BDH("ADSK US Equity","OPER_MARGIN","FQ2 2014","FQ2 2014","Currency=USD","Period=FQ","BEST_FPERIOD_OVERRIDE=FQ","FILING_STATUS=MR","FA_ADJUSTED=GAAP","Sort=A","Dates=H","DateFormat=P","Fill=—","Direction=H","UseDPDF=Y")</f>
        <v>14.8834</v>
      </c>
      <c r="L15" s="21">
        <f>_xll.BDH("ADSK US Equity","OPER_MARGIN","FQ3 2014","FQ3 2014","Currency=USD","Period=FQ","BEST_FPERIOD_OVERRIDE=FQ","FILING_STATUS=MR","FA_ADJUSTED=GAAP","Sort=A","Dates=H","DateFormat=P","Fill=—","Direction=H","UseDPDF=Y")</f>
        <v>12.2659</v>
      </c>
      <c r="M15" s="21">
        <f>_xll.BDH("ADSK US Equity","OPER_MARGIN","FQ4 2014","FQ4 2014","Currency=USD","Period=FQ","BEST_FPERIOD_OVERRIDE=FQ","FILING_STATUS=MR","FA_ADJUSTED=GAAP","Sort=A","Dates=H","DateFormat=P","Fill=—","Direction=H","UseDPDF=Y")</f>
        <v>8.8134999999999994</v>
      </c>
      <c r="N15" s="21">
        <f>_xll.BDH("ADSK US Equity","OPER_MARGIN","FQ1 2015","FQ1 2015","Currency=USD","Period=FQ","BEST_FPERIOD_OVERRIDE=FQ","FILING_STATUS=MR","FA_ADJUSTED=GAAP","Sort=A","Dates=H","DateFormat=P","Fill=—","Direction=H","UseDPDF=Y")</f>
        <v>7.1223999999999998</v>
      </c>
      <c r="O15" s="21">
        <f>_xll.BDH("ADSK US Equity","OPER_MARGIN","FQ2 2015","FQ2 2015","Currency=USD","Period=FQ","BEST_FPERIOD_OVERRIDE=FQ","FILING_STATUS=MR","FA_ADJUSTED=GAAP","Sort=A","Dates=H","DateFormat=P","Fill=—","Direction=H","UseDPDF=Y")</f>
        <v>7.8323999999999998</v>
      </c>
      <c r="P15" s="21">
        <f>_xll.BDH("ADSK US Equity","OPER_MARGIN","FQ3 2015","FQ3 2015","Currency=USD","Period=FQ","BEST_FPERIOD_OVERRIDE=FQ","FILING_STATUS=MR","FA_ADJUSTED=GAAP","Sort=A","Dates=H","DateFormat=P","Fill=—","Direction=H","UseDPDF=Y")</f>
        <v>2.3624999999999998</v>
      </c>
      <c r="Q15" s="21">
        <f>_xll.BDH("ADSK US Equity","OPER_MARGIN","FQ4 2015","FQ4 2015","Currency=USD","Period=FQ","BEST_FPERIOD_OVERRIDE=FQ","FILING_STATUS=MR","FA_ADJUSTED=GAAP","Sort=A","Dates=H","DateFormat=P","Fill=—","Direction=H","UseDPDF=Y")</f>
        <v>2.1065</v>
      </c>
      <c r="R15" s="21">
        <f>_xll.BDH("ADSK US Equity","OPER_MARGIN","FQ1 2016","FQ1 2016","Currency=USD","Period=FQ","BEST_FPERIOD_OVERRIDE=FQ","FILING_STATUS=MR","FA_ADJUSTED=GAAP","Sort=A","Dates=H","DateFormat=P","Fill=—","Direction=H","UseDPDF=Y")</f>
        <v>3.3256000000000001</v>
      </c>
      <c r="S15" s="21">
        <f>_xll.BDH("ADSK US Equity","OPER_MARGIN","FQ2 2016","FQ2 2016","Currency=USD","Period=FQ","BEST_FPERIOD_OVERRIDE=FQ","FILING_STATUS=MR","FA_ADJUSTED=GAAP","Sort=A","Dates=H","DateFormat=P","Fill=—","Direction=H","UseDPDF=Y")</f>
        <v>0.70550000000000002</v>
      </c>
      <c r="T15" s="21">
        <f>_xll.BDH("ADSK US Equity","OPER_MARGIN","FQ3 2016","FQ3 2016","Currency=USD","Period=FQ","BEST_FPERIOD_OVERRIDE=FQ","FILING_STATUS=MR","FA_ADJUSTED=GAAP","Sort=A","Dates=H","DateFormat=P","Fill=—","Direction=H","UseDPDF=Y")</f>
        <v>-2.4675000000000002</v>
      </c>
      <c r="U15" s="21">
        <f>_xll.BDH("ADSK US Equity","OPER_MARGIN","FQ4 2016","FQ4 2016","Currency=USD","Period=FQ","BEST_FPERIOD_OVERRIDE=FQ","FILING_STATUS=MR","FA_ADJUSTED=GAAP","Sort=A","Dates=H","DateFormat=P","Fill=—","Direction=H","UseDPDF=Y")</f>
        <v>-1.4962</v>
      </c>
      <c r="V15" s="21">
        <f>_xll.BDH("ADSK US Equity","OPER_MARGIN","FQ1 2017","FQ1 2017","Currency=USD","Period=FQ","BEST_FPERIOD_OVERRIDE=FQ","FILING_STATUS=MR","FA_ADJUSTED=GAAP","Sort=A","Dates=H","DateFormat=P","Fill=—","Direction=H","UseDPDF=Y")</f>
        <v>-29.244</v>
      </c>
      <c r="W15" s="21">
        <f>_xll.BDH("ADSK US Equity","OPER_MARGIN","FQ2 2017","FQ2 2017","Currency=USD","Period=FQ","BEST_FPERIOD_OVERRIDE=FQ","FILING_STATUS=MR","FA_ADJUSTED=GAAP","Sort=A","Dates=H","DateFormat=P","Fill=—","Direction=H","UseDPDF=Y")</f>
        <v>-11.421799999999999</v>
      </c>
      <c r="X15" s="21">
        <f>_xll.BDH("ADSK US Equity","OPER_MARGIN","FQ3 2017","FQ3 2017","Currency=USD","Period=FQ","BEST_FPERIOD_OVERRIDE=FQ","FILING_STATUS=MR","FA_ADJUSTED=GAAP","Sort=A","Dates=H","DateFormat=P","Fill=—","Direction=H","UseDPDF=Y")</f>
        <v>-24.4894</v>
      </c>
      <c r="Y15" s="21">
        <f>_xll.BDH("ADSK US Equity","OPER_MARGIN","FQ4 2017","FQ4 2017","Currency=USD","Period=FQ","BEST_FPERIOD_OVERRIDE=FQ","FILING_STATUS=MR","FA_ADJUSTED=GAAP","Sort=A","Dates=H","DateFormat=P","Fill=—","Direction=H","UseDPDF=Y")</f>
        <v>-34.899700000000003</v>
      </c>
      <c r="Z15" s="21">
        <f>_xll.BDH("ADSK US Equity","OPER_MARGIN","FQ1 2018","FQ1 2018","Currency=USD","Period=FQ","BEST_FPERIOD_OVERRIDE=FQ","FILING_STATUS=MR","FA_ADJUSTED=GAAP","Sort=A","Dates=H","DateFormat=P","Fill=—","Direction=H","UseDPDF=Y")</f>
        <v>-24.624300000000002</v>
      </c>
      <c r="AA15" s="21">
        <f>_xll.BDH("ADSK US Equity","OPER_MARGIN","FQ2 2018","FQ2 2018","Currency=USD","Period=FQ","BEST_FPERIOD_OVERRIDE=FQ","FILING_STATUS=MR","FA_ADJUSTED=GAAP","Sort=A","Dates=H","DateFormat=P","Fill=—","Direction=H","UseDPDF=Y")</f>
        <v>-21.442799999999998</v>
      </c>
      <c r="AB15" s="21">
        <f>_xll.BDH("ADSK US Equity","OPER_MARGIN","FQ3 2018","FQ3 2018","Currency=USD","Period=FQ","BEST_FPERIOD_OVERRIDE=FQ","FILING_STATUS=MR","FA_ADJUSTED=GAAP","Sort=A","Dates=H","DateFormat=P","Fill=—","Direction=H","UseDPDF=Y")</f>
        <v>-19.406199999999998</v>
      </c>
      <c r="AC15" s="21">
        <f>_xll.BDH("ADSK US Equity","OPER_MARGIN","FQ4 2018","FQ4 2018","Currency=USD","Period=FQ","BEST_FPERIOD_OVERRIDE=FQ","FILING_STATUS=MR","FA_ADJUSTED=GAAP","Sort=A","Dates=H","DateFormat=P","Fill=—","Direction=H","UseDPDF=Y")</f>
        <v>-32.845799999999997</v>
      </c>
      <c r="AD15" s="21">
        <f>_xll.BDH("ADSK US Equity","OPER_MARGIN","FQ1 2019","FQ1 2019","Currency=USD","Period=FQ","BEST_FPERIOD_OVERRIDE=FQ","FILING_STATUS=MR","FA_ADJUSTED=GAAP","Sort=A","Dates=H","DateFormat=P","Fill=—","Direction=H","UseDPDF=Y")</f>
        <v>-9.8767999999999994</v>
      </c>
      <c r="AE15" s="21">
        <f>_xll.BDH("ADSK US Equity","OPER_MARGIN","FQ2 2019","FQ2 2019","Currency=USD","Period=FQ","BEST_FPERIOD_OVERRIDE=FQ","FILING_STATUS=MR","FA_ADJUSTED=GAAP","Sort=A","Dates=H","DateFormat=P","Fill=—","Direction=H","UseDPDF=Y")</f>
        <v>-4.0378999999999996</v>
      </c>
      <c r="AF15" s="21">
        <f>_xll.BDH("ADSK US Equity","OPER_MARGIN","FQ3 2019","FQ3 2019","Currency=USD","Period=FQ","BEST_FPERIOD_OVERRIDE=FQ","FILING_STATUS=MR","FA_ADJUSTED=GAAP","Sort=A","Dates=H","DateFormat=P","Fill=—","Direction=H","UseDPDF=Y")</f>
        <v>2.2242000000000002</v>
      </c>
      <c r="AG15" s="21">
        <f>_xll.BDH("ADSK US Equity","OPER_MARGIN","FQ4 2019","FQ4 2019","Currency=USD","Period=FQ","BEST_FPERIOD_OVERRIDE=FQ","FILING_STATUS=MR","FA_ADJUSTED=GAAP","Sort=A","Dates=H","DateFormat=P","Fill=—","Direction=H","UseDPDF=Y")</f>
        <v>5.4658999999999995</v>
      </c>
      <c r="AH15" s="21">
        <f>_xll.BDH("ADSK US Equity","OPER_MARGIN","FQ1 2020","FQ1 2020","Currency=USD","Period=FQ","BEST_FPERIOD_OVERRIDE=FQ","FILING_STATUS=MR","FA_ADJUSTED=GAAP","Sort=A","Dates=H","DateFormat=P","Fill=—","Direction=H","UseDPDF=Y")</f>
        <v>3.3719000000000001</v>
      </c>
      <c r="AI15" s="21">
        <f>_xll.BDH("ADSK US Equity","OPER_MARGIN","FQ2 2020","FQ2 2020","Currency=USD","Period=FQ","BEST_FPERIOD_OVERRIDE=FQ","FILING_STATUS=MR","FA_ADJUSTED=GAAP","Sort=A","Dates=H","DateFormat=P","Fill=—","Direction=H","UseDPDF=Y")</f>
        <v>9.2620000000000005</v>
      </c>
      <c r="AJ15" s="21">
        <f>_xll.BDH("ADSK US Equity","OPER_MARGIN","FQ3 2020","FQ3 2020","Currency=USD","Period=FQ","BEST_FPERIOD_OVERRIDE=FQ","FILING_STATUS=MR","FA_ADJUSTED=GAAP","Sort=A","Dates=H","DateFormat=P","Fill=—","Direction=H","UseDPDF=Y")</f>
        <v>13.124499999999999</v>
      </c>
      <c r="AK15" s="21">
        <f>_xll.BDH("ADSK US Equity","OPER_MARGIN","FQ4 2020","FQ4 2020","Currency=USD","Period=FQ","BEST_FPERIOD_OVERRIDE=FQ","FILING_STATUS=MR","FA_ADJUSTED=GAAP","Sort=A","Dates=H","DateFormat=P","Fill=—","Direction=H","UseDPDF=Y")</f>
        <v>14.8782</v>
      </c>
      <c r="AL15" s="21">
        <f>_xll.BDH("ADSK US Equity","OPER_MARGIN","FQ1 2021","FQ1 2021","Currency=USD","Period=FQ","BEST_FPERIOD_OVERRIDE=FQ","FILING_STATUS=MR","FA_ADJUSTED=GAAP","Sort=A","Dates=H","DateFormat=P","Fill=—","Direction=H","UseDPDF=Y")</f>
        <v>14.7454</v>
      </c>
      <c r="AM15" s="21">
        <f>_xll.BDH("ADSK US Equity","OPER_MARGIN","FQ2 2021","FQ2 2021","Currency=USD","Period=FQ","BEST_FPERIOD_OVERRIDE=FQ","FILING_STATUS=MR","FA_ADJUSTED=GAAP","Sort=A","Dates=H","DateFormat=P","Fill=—","Direction=H","UseDPDF=Y")</f>
        <v>16.000399999999999</v>
      </c>
      <c r="AN15" s="21">
        <f>_xll.BDH("ADSK US Equity","OPER_MARGIN","FQ3 2021","FQ3 2021","Currency=USD","Period=FQ","BEST_FPERIOD_OVERRIDE=FQ","FILING_STATUS=MR","FA_ADJUSTED=GAAP","Sort=A","Dates=H","DateFormat=P","Fill=—","Direction=H","UseDPDF=Y")</f>
        <v>17.639600000000002</v>
      </c>
      <c r="AO15" s="21">
        <f>_xll.BDH("ADSK US Equity","OPER_MARGIN","FQ4 2021","FQ4 2021","Currency=USD","Period=FQ","BEST_FPERIOD_OVERRIDE=FQ","FILING_STATUS=MR","FA_ADJUSTED=GAAP","Sort=A","Dates=H","DateFormat=P","Fill=—","Direction=H","UseDPDF=Y")</f>
        <v>17.744399999999999</v>
      </c>
      <c r="AP15" s="21">
        <f>_xll.BDH("ADSK US Equity","OPER_MARGIN","FQ1 2022","FQ1 2022","Currency=USD","Period=FQ","BEST_FPERIOD_OVERRIDE=FQ","FILING_STATUS=MR","FA_ADJUSTED=GAAP","Sort=A","Dates=H","DateFormat=P","Fill=—","Direction=H","UseDPDF=Y")</f>
        <v>13.524699999999999</v>
      </c>
    </row>
    <row r="16" spans="1:42" x14ac:dyDescent="0.25">
      <c r="A16" s="18" t="s">
        <v>100</v>
      </c>
      <c r="B16" s="18" t="s">
        <v>101</v>
      </c>
      <c r="C16" s="21">
        <f>_xll.BDH("ADSK US Equity","INCREMENTAL_OPERATING_MARGIN","FQ2 2012","FQ2 2012","Currency=USD","Period=FQ","BEST_FPERIOD_OVERRIDE=FQ","FILING_STATUS=MR","FA_ADJUSTED=GAAP","Sort=A","Dates=H","DateFormat=P","Fill=—","Direction=H","UseDPDF=Y")</f>
        <v>20.680299999999999</v>
      </c>
      <c r="D16" s="21">
        <f>_xll.BDH("ADSK US Equity","INCREMENTAL_OPERATING_MARGIN","FQ3 2012","FQ3 2012","Currency=USD","Period=FQ","BEST_FPERIOD_OVERRIDE=FQ","FILING_STATUS=MR","FA_ADJUSTED=GAAP","Sort=A","Dates=H","DateFormat=P","Fill=—","Direction=H","UseDPDF=Y")</f>
        <v>29.2072</v>
      </c>
      <c r="E16" s="21">
        <f>_xll.BDH("ADSK US Equity","INCREMENTAL_OPERATING_MARGIN","FQ4 2012","FQ4 2012","Currency=USD","Period=FQ","BEST_FPERIOD_OVERRIDE=FQ","FILING_STATUS=MR","FA_ADJUSTED=GAAP","Sort=A","Dates=H","DateFormat=P","Fill=—","Direction=H","UseDPDF=Y")</f>
        <v>31.221</v>
      </c>
      <c r="F16" s="21">
        <f>_xll.BDH("ADSK US Equity","INCREMENTAL_OPERATING_MARGIN","FQ1 2013","FQ1 2013","Currency=USD","Period=FQ","BEST_FPERIOD_OVERRIDE=FQ","FILING_STATUS=MR","FA_ADJUSTED=GAAP","Sort=A","Dates=H","DateFormat=P","Fill=—","Direction=H","UseDPDF=Y")</f>
        <v>25.539000000000001</v>
      </c>
      <c r="G16" s="21" t="str">
        <f>_xll.BDH("ADSK US Equity","INCREMENTAL_OPERATING_MARGIN","FQ2 2013","FQ2 2013","Currency=USD","Period=FQ","BEST_FPERIOD_OVERRIDE=FQ","FILING_STATUS=MR","FA_ADJUSTED=GAAP","Sort=A","Dates=H","DateFormat=P","Fill=—","Direction=H","UseDPDF=Y")</f>
        <v>—</v>
      </c>
      <c r="H16" s="21">
        <f>_xll.BDH("ADSK US Equity","INCREMENTAL_OPERATING_MARGIN","FQ3 2013","FQ3 2013","Currency=USD","Period=FQ","BEST_FPERIOD_OVERRIDE=FQ","FILING_STATUS=MR","FA_ADJUSTED=GAAP","Sort=A","Dates=H","DateFormat=P","Fill=—","Direction=H","UseDPDF=Y")</f>
        <v>-9300</v>
      </c>
      <c r="I16" s="21" t="str">
        <f>_xll.BDH("ADSK US Equity","INCREMENTAL_OPERATING_MARGIN","FQ4 2013","FQ4 2013","Currency=USD","Period=FQ","BEST_FPERIOD_OVERRIDE=FQ","FILING_STATUS=MR","FA_ADJUSTED=GAAP","Sort=A","Dates=H","DateFormat=P","Fill=—","Direction=H","UseDPDF=Y")</f>
        <v>—</v>
      </c>
      <c r="J16" s="21">
        <f>_xll.BDH("ADSK US Equity","INCREMENTAL_OPERATING_MARGIN","FQ1 2014","FQ1 2014","Currency=USD","Period=FQ","BEST_FPERIOD_OVERRIDE=FQ","FILING_STATUS=MR","FA_ADJUSTED=GAAP","Sort=A","Dates=H","DateFormat=P","Fill=—","Direction=H","UseDPDF=Y")</f>
        <v>-69.230800000000002</v>
      </c>
      <c r="K16" s="21">
        <f>_xll.BDH("ADSK US Equity","INCREMENTAL_OPERATING_MARGIN","FQ2 2014","FQ2 2014","Currency=USD","Period=FQ","BEST_FPERIOD_OVERRIDE=FQ","FILING_STATUS=MR","FA_ADJUSTED=GAAP","Sort=A","Dates=H","DateFormat=P","Fill=—","Direction=H","UseDPDF=Y")</f>
        <v>-132.8571</v>
      </c>
      <c r="L16" s="21">
        <f>_xll.BDH("ADSK US Equity","INCREMENTAL_OPERATING_MARGIN","FQ3 2014","FQ3 2014","Currency=USD","Period=FQ","BEST_FPERIOD_OVERRIDE=FQ","FILING_STATUS=MR","FA_ADJUSTED=GAAP","Sort=A","Dates=H","DateFormat=P","Fill=—","Direction=H","UseDPDF=Y")</f>
        <v>468.05560000000003</v>
      </c>
      <c r="M16" s="21">
        <f>_xll.BDH("ADSK US Equity","INCREMENTAL_OPERATING_MARGIN","FQ4 2014","FQ4 2014","Currency=USD","Period=FQ","BEST_FPERIOD_OVERRIDE=FQ","FILING_STATUS=MR","FA_ADJUSTED=GAAP","Sort=A","Dates=H","DateFormat=P","Fill=—","Direction=H","UseDPDF=Y")</f>
        <v>-162.06899999999999</v>
      </c>
      <c r="N16" s="21" t="str">
        <f>_xll.BDH("ADSK US Equity","INCREMENTAL_OPERATING_MARGIN","FQ1 2015","FQ1 2015","Currency=USD","Period=FQ","BEST_FPERIOD_OVERRIDE=FQ","FILING_STATUS=MR","FA_ADJUSTED=GAAP","Sort=A","Dates=H","DateFormat=P","Fill=—","Direction=H","UseDPDF=Y")</f>
        <v>—</v>
      </c>
      <c r="O16" s="21" t="str">
        <f>_xll.BDH("ADSK US Equity","INCREMENTAL_OPERATING_MARGIN","FQ2 2015","FQ2 2015","Currency=USD","Period=FQ","BEST_FPERIOD_OVERRIDE=FQ","FILING_STATUS=MR","FA_ADJUSTED=GAAP","Sort=A","Dates=H","DateFormat=P","Fill=—","Direction=H","UseDPDF=Y")</f>
        <v>—</v>
      </c>
      <c r="P16" s="21" t="str">
        <f>_xll.BDH("ADSK US Equity","INCREMENTAL_OPERATING_MARGIN","FQ3 2015","FQ3 2015","Currency=USD","Period=FQ","BEST_FPERIOD_OVERRIDE=FQ","FILING_STATUS=MR","FA_ADJUSTED=GAAP","Sort=A","Dates=H","DateFormat=P","Fill=—","Direction=H","UseDPDF=Y")</f>
        <v>—</v>
      </c>
      <c r="Q16" s="21" t="str">
        <f>_xll.BDH("ADSK US Equity","INCREMENTAL_OPERATING_MARGIN","FQ4 2015","FQ4 2015","Currency=USD","Period=FQ","BEST_FPERIOD_OVERRIDE=FQ","FILING_STATUS=MR","FA_ADJUSTED=GAAP","Sort=A","Dates=H","DateFormat=P","Fill=—","Direction=H","UseDPDF=Y")</f>
        <v>—</v>
      </c>
      <c r="R16" s="21" t="str">
        <f>_xll.BDH("ADSK US Equity","INCREMENTAL_OPERATING_MARGIN","FQ1 2016","FQ1 2016","Currency=USD","Period=FQ","BEST_FPERIOD_OVERRIDE=FQ","FILING_STATUS=MR","FA_ADJUSTED=GAAP","Sort=A","Dates=H","DateFormat=P","Fill=—","Direction=H","UseDPDF=Y")</f>
        <v>—</v>
      </c>
      <c r="S16" s="21">
        <f>_xll.BDH("ADSK US Equity","INCREMENTAL_OPERATING_MARGIN","FQ2 2016","FQ2 2016","Currency=USD","Period=FQ","BEST_FPERIOD_OVERRIDE=FQ","FILING_STATUS=MR","FA_ADJUSTED=GAAP","Sort=A","Dates=H","DateFormat=P","Fill=—","Direction=H","UseDPDF=Y")</f>
        <v>-165.2174</v>
      </c>
      <c r="T16" s="21">
        <f>_xll.BDH("ADSK US Equity","INCREMENTAL_OPERATING_MARGIN","FQ3 2016","FQ3 2016","Currency=USD","Period=FQ","BEST_FPERIOD_OVERRIDE=FQ","FILING_STATUS=MR","FA_ADJUSTED=GAAP","Sort=A","Dates=H","DateFormat=P","Fill=—","Direction=H","UseDPDF=Y")</f>
        <v>-161.5385</v>
      </c>
      <c r="U16" s="21">
        <f>_xll.BDH("ADSK US Equity","INCREMENTAL_OPERATING_MARGIN","FQ4 2016","FQ4 2016","Currency=USD","Period=FQ","BEST_FPERIOD_OVERRIDE=FQ","FILING_STATUS=MR","FA_ADJUSTED=GAAP","Sort=A","Dates=H","DateFormat=P","Fill=—","Direction=H","UseDPDF=Y")</f>
        <v>-145.39879999999999</v>
      </c>
      <c r="V16" s="21">
        <f>_xll.BDH("ADSK US Equity","INCREMENTAL_OPERATING_MARGIN","FQ1 2017","FQ1 2017","Currency=USD","Period=FQ","BEST_FPERIOD_OVERRIDE=FQ","FILING_STATUS=MR","FA_ADJUSTED=GAAP","Sort=A","Dates=H","DateFormat=P","Fill=—","Direction=H","UseDPDF=Y")</f>
        <v>-127.1917</v>
      </c>
      <c r="W16" s="21">
        <f>_xll.BDH("ADSK US Equity","INCREMENTAL_OPERATING_MARGIN","FQ2 2017","FQ2 2017","Currency=USD","Period=FQ","BEST_FPERIOD_OVERRIDE=FQ","FILING_STATUS=MR","FA_ADJUSTED=GAAP","Sort=A","Dates=H","DateFormat=P","Fill=—","Direction=H","UseDPDF=Y")</f>
        <v>-114.28570000000001</v>
      </c>
      <c r="X16" s="21">
        <f>_xll.BDH("ADSK US Equity","INCREMENTAL_OPERATING_MARGIN","FQ3 2017","FQ3 2017","Currency=USD","Period=FQ","BEST_FPERIOD_OVERRIDE=FQ","FILING_STATUS=MR","FA_ADJUSTED=GAAP","Sort=A","Dates=H","DateFormat=P","Fill=—","Direction=H","UseDPDF=Y")</f>
        <v>-95.372100000000003</v>
      </c>
      <c r="Y16" s="21">
        <f>_xll.BDH("ADSK US Equity","INCREMENTAL_OPERATING_MARGIN","FQ4 2017","FQ4 2017","Currency=USD","Period=FQ","BEST_FPERIOD_OVERRIDE=FQ","FILING_STATUS=MR","FA_ADJUSTED=GAAP","Sort=A","Dates=H","DateFormat=P","Fill=—","Direction=H","UseDPDF=Y")</f>
        <v>-92.861400000000003</v>
      </c>
      <c r="Z16" s="21" t="str">
        <f>_xll.BDH("ADSK US Equity","INCREMENTAL_OPERATING_MARGIN","FQ1 2018","FQ1 2018","Currency=USD","Period=FQ","BEST_FPERIOD_OVERRIDE=FQ","FILING_STATUS=MR","FA_ADJUSTED=GAAP","Sort=A","Dates=H","DateFormat=P","Fill=—","Direction=H","UseDPDF=Y")</f>
        <v>—</v>
      </c>
      <c r="AA16" s="21">
        <f>_xll.BDH("ADSK US Equity","INCREMENTAL_OPERATING_MARGIN","FQ2 2018","FQ2 2018","Currency=USD","Period=FQ","BEST_FPERIOD_OVERRIDE=FQ","FILING_STATUS=MR","FA_ADJUSTED=GAAP","Sort=A","Dates=H","DateFormat=P","Fill=—","Direction=H","UseDPDF=Y")</f>
        <v>-91.411000000000001</v>
      </c>
      <c r="AB16" s="21">
        <f>_xll.BDH("ADSK US Equity","INCREMENTAL_OPERATING_MARGIN","FQ3 2018","FQ3 2018","Currency=USD","Period=FQ","BEST_FPERIOD_OVERRIDE=FQ","FILING_STATUS=MR","FA_ADJUSTED=GAAP","Sort=A","Dates=H","DateFormat=P","Fill=—","Direction=H","UseDPDF=Y")</f>
        <v>77.431899999999999</v>
      </c>
      <c r="AC16" s="21" t="str">
        <f>_xll.BDH("ADSK US Equity","INCREMENTAL_OPERATING_MARGIN","FQ4 2018","FQ4 2018","Currency=USD","Period=FQ","BEST_FPERIOD_OVERRIDE=FQ","FILING_STATUS=MR","FA_ADJUSTED=GAAP","Sort=A","Dates=H","DateFormat=P","Fill=—","Direction=H","UseDPDF=Y")</f>
        <v>—</v>
      </c>
      <c r="AD16" s="21">
        <f>_xll.BDH("ADSK US Equity","INCREMENTAL_OPERATING_MARGIN","FQ1 2019","FQ1 2019","Currency=USD","Period=FQ","BEST_FPERIOD_OVERRIDE=FQ","FILING_STATUS=MR","FA_ADJUSTED=GAAP","Sort=A","Dates=H","DateFormat=P","Fill=—","Direction=H","UseDPDF=Y")</f>
        <v>86.657700000000006</v>
      </c>
      <c r="AE16" s="21">
        <f>_xll.BDH("ADSK US Equity","INCREMENTAL_OPERATING_MARGIN","FQ2 2019","FQ2 2019","Currency=USD","Period=FQ","BEST_FPERIOD_OVERRIDE=FQ","FILING_STATUS=MR","FA_ADJUSTED=GAAP","Sort=A","Dates=H","DateFormat=P","Fill=—","Direction=H","UseDPDF=Y")</f>
        <v>75.432199999999995</v>
      </c>
      <c r="AF16" s="21">
        <f>_xll.BDH("ADSK US Equity","INCREMENTAL_OPERATING_MARGIN","FQ3 2019","FQ3 2019","Currency=USD","Period=FQ","BEST_FPERIOD_OVERRIDE=FQ","FILING_STATUS=MR","FA_ADJUSTED=GAAP","Sort=A","Dates=H","DateFormat=P","Fill=—","Direction=H","UseDPDF=Y")</f>
        <v>78.777500000000003</v>
      </c>
      <c r="AG16" s="21">
        <f>_xll.BDH("ADSK US Equity","INCREMENTAL_OPERATING_MARGIN","FQ4 2019","FQ4 2019","Currency=USD","Period=FQ","BEST_FPERIOD_OVERRIDE=FQ","FILING_STATUS=MR","FA_ADJUSTED=GAAP","Sort=A","Dates=H","DateFormat=P","Fill=—","Direction=H","UseDPDF=Y")</f>
        <v>121.0899</v>
      </c>
      <c r="AH16" s="21">
        <f>_xll.BDH("ADSK US Equity","INCREMENTAL_OPERATING_MARGIN","FQ1 2020","FQ1 2020","Currency=USD","Period=FQ","BEST_FPERIOD_OVERRIDE=FQ","FILING_STATUS=MR","FA_ADJUSTED=GAAP","Sort=A","Dates=H","DateFormat=P","Fill=—","Direction=H","UseDPDF=Y")</f>
        <v>45.615000000000002</v>
      </c>
      <c r="AI16" s="21">
        <f>_xll.BDH("ADSK US Equity","INCREMENTAL_OPERATING_MARGIN","FQ2 2020","FQ2 2020","Currency=USD","Period=FQ","BEST_FPERIOD_OVERRIDE=FQ","FILING_STATUS=MR","FA_ADJUSTED=GAAP","Sort=A","Dates=H","DateFormat=P","Fill=—","Direction=H","UseDPDF=Y")</f>
        <v>53.214500000000001</v>
      </c>
      <c r="AJ16" s="21">
        <f>_xll.BDH("ADSK US Equity","INCREMENTAL_OPERATING_MARGIN","FQ3 2020","FQ3 2020","Currency=USD","Period=FQ","BEST_FPERIOD_OVERRIDE=FQ","FILING_STATUS=MR","FA_ADJUSTED=GAAP","Sort=A","Dates=H","DateFormat=P","Fill=—","Direction=H","UseDPDF=Y")</f>
        <v>52.750300000000003</v>
      </c>
      <c r="AK16" s="21">
        <f>_xll.BDH("ADSK US Equity","INCREMENTAL_OPERATING_MARGIN","FQ4 2020","FQ4 2020","Currency=USD","Period=FQ","BEST_FPERIOD_OVERRIDE=FQ","FILING_STATUS=MR","FA_ADJUSTED=GAAP","Sort=A","Dates=H","DateFormat=P","Fill=—","Direction=H","UseDPDF=Y")</f>
        <v>57.716000000000001</v>
      </c>
      <c r="AL16" s="21">
        <f>_xll.BDH("ADSK US Equity","INCREMENTAL_OPERATING_MARGIN","FQ1 2021","FQ1 2021","Currency=USD","Period=FQ","BEST_FPERIOD_OVERRIDE=FQ","FILING_STATUS=MR","FA_ADJUSTED=GAAP","Sort=A","Dates=H","DateFormat=P","Fill=—","Direction=H","UseDPDF=Y")</f>
        <v>70.439400000000006</v>
      </c>
      <c r="AM16" s="21">
        <f>_xll.BDH("ADSK US Equity","INCREMENTAL_OPERATING_MARGIN","FQ2 2021","FQ2 2021","Currency=USD","Period=FQ","BEST_FPERIOD_OVERRIDE=FQ","FILING_STATUS=MR","FA_ADJUSTED=GAAP","Sort=A","Dates=H","DateFormat=P","Fill=—","Direction=H","UseDPDF=Y")</f>
        <v>62.166800000000002</v>
      </c>
      <c r="AN16" s="21">
        <f>_xll.BDH("ADSK US Equity","INCREMENTAL_OPERATING_MARGIN","FQ3 2021","FQ3 2021","Currency=USD","Period=FQ","BEST_FPERIOD_OVERRIDE=FQ","FILING_STATUS=MR","FA_ADJUSTED=GAAP","Sort=A","Dates=H","DateFormat=P","Fill=—","Direction=H","UseDPDF=Y")</f>
        <v>52.3245</v>
      </c>
      <c r="AO16" s="21">
        <f>_xll.BDH("ADSK US Equity","INCREMENTAL_OPERATING_MARGIN","FQ4 2021","FQ4 2021","Currency=USD","Period=FQ","BEST_FPERIOD_OVERRIDE=FQ","FILING_STATUS=MR","FA_ADJUSTED=GAAP","Sort=A","Dates=H","DateFormat=P","Fill=—","Direction=H","UseDPDF=Y")</f>
        <v>36.168700000000001</v>
      </c>
      <c r="AP16" s="21">
        <f>_xll.BDH("ADSK US Equity","INCREMENTAL_OPERATING_MARGIN","FQ1 2022","FQ1 2022","Currency=USD","Period=FQ","BEST_FPERIOD_OVERRIDE=FQ","FILING_STATUS=MR","FA_ADJUSTED=GAAP","Sort=A","Dates=H","DateFormat=P","Fill=—","Direction=H","UseDPDF=Y")</f>
        <v>3.0888</v>
      </c>
    </row>
    <row r="17" spans="1:42" x14ac:dyDescent="0.25">
      <c r="A17" s="18" t="s">
        <v>102</v>
      </c>
      <c r="B17" s="18" t="s">
        <v>103</v>
      </c>
      <c r="C17" s="21">
        <f>_xll.BDH("ADSK US Equity","PRETAX_INC_TO_NET_SALES","FQ2 2012","FQ2 2012","Currency=USD","Period=FQ","BEST_FPERIOD_OVERRIDE=FQ","FILING_STATUS=MR","FA_ADJUSTED=GAAP","Sort=A","Dates=H","DateFormat=P","Fill=—","Direction=H","UseDPDF=Y")</f>
        <v>17.243300000000001</v>
      </c>
      <c r="D17" s="21">
        <f>_xll.BDH("ADSK US Equity","PRETAX_INC_TO_NET_SALES","FQ3 2012","FQ3 2012","Currency=USD","Period=FQ","BEST_FPERIOD_OVERRIDE=FQ","FILING_STATUS=MR","FA_ADJUSTED=GAAP","Sort=A","Dates=H","DateFormat=P","Fill=—","Direction=H","UseDPDF=Y")</f>
        <v>16.642399999999999</v>
      </c>
      <c r="E17" s="21">
        <f>_xll.BDH("ADSK US Equity","PRETAX_INC_TO_NET_SALES","FQ4 2012","FQ4 2012","Currency=USD","Period=FQ","BEST_FPERIOD_OVERRIDE=FQ","FILING_STATUS=MR","FA_ADJUSTED=GAAP","Sort=A","Dates=H","DateFormat=P","Fill=—","Direction=H","UseDPDF=Y")</f>
        <v>15.682</v>
      </c>
      <c r="F17" s="21">
        <f>_xll.BDH("ADSK US Equity","PRETAX_INC_TO_NET_SALES","FQ1 2013","FQ1 2013","Currency=USD","Period=FQ","BEST_FPERIOD_OVERRIDE=FQ","FILING_STATUS=MR","FA_ADJUSTED=GAAP","Sort=A","Dates=H","DateFormat=P","Fill=—","Direction=H","UseDPDF=Y")</f>
        <v>16.564699999999998</v>
      </c>
      <c r="G17" s="21">
        <f>_xll.BDH("ADSK US Equity","PRETAX_INC_TO_NET_SALES","FQ2 2013","FQ2 2013","Currency=USD","Period=FQ","BEST_FPERIOD_OVERRIDE=FQ","FILING_STATUS=MR","FA_ADJUSTED=GAAP","Sort=A","Dates=H","DateFormat=P","Fill=—","Direction=H","UseDPDF=Y")</f>
        <v>16.194800000000001</v>
      </c>
      <c r="H17" s="21">
        <f>_xll.BDH("ADSK US Equity","PRETAX_INC_TO_NET_SALES","FQ3 2013","FQ3 2013","Currency=USD","Period=FQ","BEST_FPERIOD_OVERRIDE=FQ","FILING_STATUS=MR","FA_ADJUSTED=GAAP","Sort=A","Dates=H","DateFormat=P","Fill=—","Direction=H","UseDPDF=Y")</f>
        <v>6.2591000000000001</v>
      </c>
      <c r="I17" s="21">
        <f>_xll.BDH("ADSK US Equity","PRETAX_INC_TO_NET_SALES","FQ4 2013","FQ4 2013","Currency=USD","Period=FQ","BEST_FPERIOD_OVERRIDE=FQ","FILING_STATUS=MR","FA_ADJUSTED=GAAP","Sort=A","Dates=H","DateFormat=P","Fill=—","Direction=H","UseDPDF=Y")</f>
        <v>14.1869</v>
      </c>
      <c r="J17" s="21">
        <f>_xll.BDH("ADSK US Equity","PRETAX_INC_TO_NET_SALES","FQ1 2014","FQ1 2014","Currency=USD","Period=FQ","BEST_FPERIOD_OVERRIDE=FQ","FILING_STATUS=MR","FA_ADJUSTED=GAAP","Sort=A","Dates=H","DateFormat=P","Fill=—","Direction=H","UseDPDF=Y")</f>
        <v>12.7279</v>
      </c>
      <c r="K17" s="21">
        <f>_xll.BDH("ADSK US Equity","PRETAX_INC_TO_NET_SALES","FQ2 2014","FQ2 2014","Currency=USD","Period=FQ","BEST_FPERIOD_OVERRIDE=FQ","FILING_STATUS=MR","FA_ADJUSTED=GAAP","Sort=A","Dates=H","DateFormat=P","Fill=—","Direction=H","UseDPDF=Y")</f>
        <v>14.562899999999999</v>
      </c>
      <c r="L17" s="21">
        <f>_xll.BDH("ADSK US Equity","PRETAX_INC_TO_NET_SALES","FQ3 2014","FQ3 2014","Currency=USD","Period=FQ","BEST_FPERIOD_OVERRIDE=FQ","FILING_STATUS=MR","FA_ADJUSTED=GAAP","Sort=A","Dates=H","DateFormat=P","Fill=—","Direction=H","UseDPDF=Y")</f>
        <v>12.464</v>
      </c>
      <c r="M17" s="21">
        <f>_xll.BDH("ADSK US Equity","PRETAX_INC_TO_NET_SALES","FQ4 2014","FQ4 2014","Currency=USD","Period=FQ","BEST_FPERIOD_OVERRIDE=FQ","FILING_STATUS=MR","FA_ADJUSTED=GAAP","Sort=A","Dates=H","DateFormat=P","Fill=—","Direction=H","UseDPDF=Y")</f>
        <v>9.5976999999999997</v>
      </c>
      <c r="N17" s="21">
        <f>_xll.BDH("ADSK US Equity","PRETAX_INC_TO_NET_SALES","FQ1 2015","FQ1 2015","Currency=USD","Period=FQ","BEST_FPERIOD_OVERRIDE=FQ","FILING_STATUS=MR","FA_ADJUSTED=GAAP","Sort=A","Dates=H","DateFormat=P","Fill=—","Direction=H","UseDPDF=Y")</f>
        <v>6.0084</v>
      </c>
      <c r="O17" s="21">
        <f>_xll.BDH("ADSK US Equity","PRETAX_INC_TO_NET_SALES","FQ2 2015","FQ2 2015","Currency=USD","Period=FQ","BEST_FPERIOD_OVERRIDE=FQ","FILING_STATUS=MR","FA_ADJUSTED=GAAP","Sort=A","Dates=H","DateFormat=P","Fill=—","Direction=H","UseDPDF=Y")</f>
        <v>6.7336</v>
      </c>
      <c r="P17" s="21">
        <f>_xll.BDH("ADSK US Equity","PRETAX_INC_TO_NET_SALES","FQ3 2015","FQ3 2015","Currency=USD","Period=FQ","BEST_FPERIOD_OVERRIDE=FQ","FILING_STATUS=MR","FA_ADJUSTED=GAAP","Sort=A","Dates=H","DateFormat=P","Fill=—","Direction=H","UseDPDF=Y")</f>
        <v>1.877</v>
      </c>
      <c r="Q17" s="21">
        <f>_xll.BDH("ADSK US Equity","PRETAX_INC_TO_NET_SALES","FQ4 2015","FQ4 2015","Currency=USD","Period=FQ","BEST_FPERIOD_OVERRIDE=FQ","FILING_STATUS=MR","FA_ADJUSTED=GAAP","Sort=A","Dates=H","DateFormat=P","Fill=—","Direction=H","UseDPDF=Y")</f>
        <v>-1.0683</v>
      </c>
      <c r="R17" s="21">
        <f>_xll.BDH("ADSK US Equity","PRETAX_INC_TO_NET_SALES","FQ1 2016","FQ1 2016","Currency=USD","Period=FQ","BEST_FPERIOD_OVERRIDE=FQ","FILING_STATUS=MR","FA_ADJUSTED=GAAP","Sort=A","Dates=H","DateFormat=P","Fill=—","Direction=H","UseDPDF=Y")</f>
        <v>3.3719999999999999</v>
      </c>
      <c r="S17" s="21">
        <f>_xll.BDH("ADSK US Equity","PRETAX_INC_TO_NET_SALES","FQ2 2016","FQ2 2016","Currency=USD","Period=FQ","BEST_FPERIOD_OVERRIDE=FQ","FILING_STATUS=MR","FA_ADJUSTED=GAAP","Sort=A","Dates=H","DateFormat=P","Fill=—","Direction=H","UseDPDF=Y")</f>
        <v>0.1477</v>
      </c>
      <c r="T17" s="21">
        <f>_xll.BDH("ADSK US Equity","PRETAX_INC_TO_NET_SALES","FQ3 2016","FQ3 2016","Currency=USD","Period=FQ","BEST_FPERIOD_OVERRIDE=FQ","FILING_STATUS=MR","FA_ADJUSTED=GAAP","Sort=A","Dates=H","DateFormat=P","Fill=—","Direction=H","UseDPDF=Y")</f>
        <v>-3.7513000000000001</v>
      </c>
      <c r="U17" s="21">
        <f>_xll.BDH("ADSK US Equity","PRETAX_INC_TO_NET_SALES","FQ4 2016","FQ4 2016","Currency=USD","Period=FQ","BEST_FPERIOD_OVERRIDE=FQ","FILING_STATUS=MR","FA_ADJUSTED=GAAP","Sort=A","Dates=H","DateFormat=P","Fill=—","Direction=H","UseDPDF=Y")</f>
        <v>-3.1621000000000001</v>
      </c>
      <c r="V17" s="21">
        <f>_xll.BDH("ADSK US Equity","PRETAX_INC_TO_NET_SALES","FQ1 2017","FQ1 2017","Currency=USD","Period=FQ","BEST_FPERIOD_OVERRIDE=FQ","FILING_STATUS=MR","FA_ADJUSTED=GAAP","Sort=A","Dates=H","DateFormat=P","Fill=—","Direction=H","UseDPDF=Y")</f>
        <v>-29.947299999999998</v>
      </c>
      <c r="W17" s="21">
        <f>_xll.BDH("ADSK US Equity","PRETAX_INC_TO_NET_SALES","FQ2 2017","FQ2 2017","Currency=USD","Period=FQ","BEST_FPERIOD_OVERRIDE=FQ","FILING_STATUS=MR","FA_ADJUSTED=GAAP","Sort=A","Dates=H","DateFormat=P","Fill=—","Direction=H","UseDPDF=Y")</f>
        <v>-13.2559</v>
      </c>
      <c r="X17" s="21">
        <f>_xll.BDH("ADSK US Equity","PRETAX_INC_TO_NET_SALES","FQ3 2017","FQ3 2017","Currency=USD","Period=FQ","BEST_FPERIOD_OVERRIDE=FQ","FILING_STATUS=MR","FA_ADJUSTED=GAAP","Sort=A","Dates=H","DateFormat=P","Fill=—","Direction=H","UseDPDF=Y")</f>
        <v>-26.409300000000002</v>
      </c>
      <c r="Y17" s="21">
        <f>_xll.BDH("ADSK US Equity","PRETAX_INC_TO_NET_SALES","FQ4 2017","FQ4 2017","Currency=USD","Period=FQ","BEST_FPERIOD_OVERRIDE=FQ","FILING_STATUS=MR","FA_ADJUSTED=GAAP","Sort=A","Dates=H","DateFormat=P","Fill=—","Direction=H","UseDPDF=Y")</f>
        <v>-35.1295</v>
      </c>
      <c r="Z17" s="21">
        <f>_xll.BDH("ADSK US Equity","PRETAX_INC_TO_NET_SALES","FQ1 2018","FQ1 2018","Currency=USD","Period=FQ","BEST_FPERIOD_OVERRIDE=FQ","FILING_STATUS=MR","FA_ADJUSTED=GAAP","Sort=A","Dates=H","DateFormat=P","Fill=—","Direction=H","UseDPDF=Y")</f>
        <v>-24.994900000000001</v>
      </c>
      <c r="AA17" s="21">
        <f>_xll.BDH("ADSK US Equity","PRETAX_INC_TO_NET_SALES","FQ2 2018","FQ2 2018","Currency=USD","Period=FQ","BEST_FPERIOD_OVERRIDE=FQ","FILING_STATUS=MR","FA_ADJUSTED=GAAP","Sort=A","Dates=H","DateFormat=P","Fill=—","Direction=H","UseDPDF=Y")</f>
        <v>-25.189299999999999</v>
      </c>
      <c r="AB17" s="21">
        <f>_xll.BDH("ADSK US Equity","PRETAX_INC_TO_NET_SALES","FQ3 2018","FQ3 2018","Currency=USD","Period=FQ","BEST_FPERIOD_OVERRIDE=FQ","FILING_STATUS=MR","FA_ADJUSTED=GAAP","Sort=A","Dates=H","DateFormat=P","Fill=—","Direction=H","UseDPDF=Y")</f>
        <v>-21.579699999999999</v>
      </c>
      <c r="AC17" s="21">
        <f>_xll.BDH("ADSK US Equity","PRETAX_INC_TO_NET_SALES","FQ4 2018","FQ4 2018","Currency=USD","Period=FQ","BEST_FPERIOD_OVERRIDE=FQ","FILING_STATUS=MR","FA_ADJUSTED=GAAP","Sort=A","Dates=H","DateFormat=P","Fill=—","Direction=H","UseDPDF=Y")</f>
        <v>-35.807200000000002</v>
      </c>
      <c r="AD17" s="21">
        <f>_xll.BDH("ADSK US Equity","PRETAX_INC_TO_NET_SALES","FQ1 2019","FQ1 2019","Currency=USD","Period=FQ","BEST_FPERIOD_OVERRIDE=FQ","FILING_STATUS=MR","FA_ADJUSTED=GAAP","Sort=A","Dates=H","DateFormat=P","Fill=—","Direction=H","UseDPDF=Y")</f>
        <v>-11.3949</v>
      </c>
      <c r="AE17" s="21">
        <f>_xll.BDH("ADSK US Equity","PRETAX_INC_TO_NET_SALES","FQ2 2019","FQ2 2019","Currency=USD","Period=FQ","BEST_FPERIOD_OVERRIDE=FQ","FILING_STATUS=MR","FA_ADJUSTED=GAAP","Sort=A","Dates=H","DateFormat=P","Fill=—","Direction=H","UseDPDF=Y")</f>
        <v>-3.8254000000000001</v>
      </c>
      <c r="AF17" s="21">
        <f>_xll.BDH("ADSK US Equity","PRETAX_INC_TO_NET_SALES","FQ3 2019","FQ3 2019","Currency=USD","Period=FQ","BEST_FPERIOD_OVERRIDE=FQ","FILING_STATUS=MR","FA_ADJUSTED=GAAP","Sort=A","Dates=H","DateFormat=P","Fill=—","Direction=H","UseDPDF=Y")</f>
        <v>1.7401</v>
      </c>
      <c r="AG17" s="21">
        <f>_xll.BDH("ADSK US Equity","PRETAX_INC_TO_NET_SALES","FQ4 2019","FQ4 2019","Currency=USD","Period=FQ","BEST_FPERIOD_OVERRIDE=FQ","FILING_STATUS=MR","FA_ADJUSTED=GAAP","Sort=A","Dates=H","DateFormat=P","Fill=—","Direction=H","UseDPDF=Y")</f>
        <v>4.4757999999999996</v>
      </c>
      <c r="AH17" s="21">
        <f>_xll.BDH("ADSK US Equity","PRETAX_INC_TO_NET_SALES","FQ1 2020","FQ1 2020","Currency=USD","Period=FQ","BEST_FPERIOD_OVERRIDE=FQ","FILING_STATUS=MR","FA_ADJUSTED=GAAP","Sort=A","Dates=H","DateFormat=P","Fill=—","Direction=H","UseDPDF=Y")</f>
        <v>1.1693</v>
      </c>
      <c r="AI17" s="21">
        <f>_xll.BDH("ADSK US Equity","PRETAX_INC_TO_NET_SALES","FQ2 2020","FQ2 2020","Currency=USD","Period=FQ","BEST_FPERIOD_OVERRIDE=FQ","FILING_STATUS=MR","FA_ADJUSTED=GAAP","Sort=A","Dates=H","DateFormat=P","Fill=—","Direction=H","UseDPDF=Y")</f>
        <v>8.3459000000000003</v>
      </c>
      <c r="AJ17" s="21">
        <f>_xll.BDH("ADSK US Equity","PRETAX_INC_TO_NET_SALES","FQ3 2020","FQ3 2020","Currency=USD","Period=FQ","BEST_FPERIOD_OVERRIDE=FQ","FILING_STATUS=MR","FA_ADJUSTED=GAAP","Sort=A","Dates=H","DateFormat=P","Fill=—","Direction=H","UseDPDF=Y")</f>
        <v>11.439399999999999</v>
      </c>
      <c r="AK17" s="21">
        <f>_xll.BDH("ADSK US Equity","PRETAX_INC_TO_NET_SALES","FQ4 2020","FQ4 2020","Currency=USD","Period=FQ","BEST_FPERIOD_OVERRIDE=FQ","FILING_STATUS=MR","FA_ADJUSTED=GAAP","Sort=A","Dates=H","DateFormat=P","Fill=—","Direction=H","UseDPDF=Y")</f>
        <v>13.710699999999999</v>
      </c>
      <c r="AL17" s="21">
        <f>_xll.BDH("ADSK US Equity","PRETAX_INC_TO_NET_SALES","FQ1 2021","FQ1 2021","Currency=USD","Period=FQ","BEST_FPERIOD_OVERRIDE=FQ","FILING_STATUS=MR","FA_ADJUSTED=GAAP","Sort=A","Dates=H","DateFormat=P","Fill=—","Direction=H","UseDPDF=Y")</f>
        <v>10.2179</v>
      </c>
      <c r="AM17" s="21">
        <f>_xll.BDH("ADSK US Equity","PRETAX_INC_TO_NET_SALES","FQ2 2021","FQ2 2021","Currency=USD","Period=FQ","BEST_FPERIOD_OVERRIDE=FQ","FILING_STATUS=MR","FA_ADJUSTED=GAAP","Sort=A","Dates=H","DateFormat=P","Fill=—","Direction=H","UseDPDF=Y")</f>
        <v>14.127700000000001</v>
      </c>
      <c r="AN17" s="21">
        <f>_xll.BDH("ADSK US Equity","PRETAX_INC_TO_NET_SALES","FQ3 2021","FQ3 2021","Currency=USD","Period=FQ","BEST_FPERIOD_OVERRIDE=FQ","FILING_STATUS=MR","FA_ADJUSTED=GAAP","Sort=A","Dates=H","DateFormat=P","Fill=—","Direction=H","UseDPDF=Y")</f>
        <v>16.3902</v>
      </c>
      <c r="AO17" s="21">
        <f>_xll.BDH("ADSK US Equity","PRETAX_INC_TO_NET_SALES","FQ4 2021","FQ4 2021","Currency=USD","Period=FQ","BEST_FPERIOD_OVERRIDE=FQ","FILING_STATUS=MR","FA_ADJUSTED=GAAP","Sort=A","Dates=H","DateFormat=P","Fill=—","Direction=H","UseDPDF=Y")</f>
        <v>16.464600000000001</v>
      </c>
      <c r="AP17" s="21">
        <f>_xll.BDH("ADSK US Equity","PRETAX_INC_TO_NET_SALES","FQ1 2022","FQ1 2022","Currency=USD","Period=FQ","BEST_FPERIOD_OVERRIDE=FQ","FILING_STATUS=MR","FA_ADJUSTED=GAAP","Sort=A","Dates=H","DateFormat=P","Fill=—","Direction=H","UseDPDF=Y")</f>
        <v>13.2821</v>
      </c>
    </row>
    <row r="18" spans="1:42" x14ac:dyDescent="0.25">
      <c r="A18" s="18" t="s">
        <v>104</v>
      </c>
      <c r="B18" s="18" t="s">
        <v>105</v>
      </c>
      <c r="C18" s="21">
        <f>_xll.BDH("ADSK US Equity","INC_BEF_XO_ITEMS_TO_NET_SALES","FQ2 2012","FQ2 2012","Currency=USD","Period=FQ","BEST_FPERIOD_OVERRIDE=FQ","FILING_STATUS=MR","FA_ADJUSTED=GAAP","Sort=A","Dates=H","DateFormat=P","Fill=—","Direction=H","UseDPDF=Y")</f>
        <v>13.033099999999999</v>
      </c>
      <c r="D18" s="21">
        <f>_xll.BDH("ADSK US Equity","INC_BEF_XO_ITEMS_TO_NET_SALES","FQ3 2012","FQ3 2012","Currency=USD","Period=FQ","BEST_FPERIOD_OVERRIDE=FQ","FILING_STATUS=MR","FA_ADJUSTED=GAAP","Sort=A","Dates=H","DateFormat=P","Fill=—","Direction=H","UseDPDF=Y")</f>
        <v>13.270099999999999</v>
      </c>
      <c r="E18" s="21">
        <f>_xll.BDH("ADSK US Equity","INC_BEF_XO_ITEMS_TO_NET_SALES","FQ4 2012","FQ4 2012","Currency=USD","Period=FQ","BEST_FPERIOD_OVERRIDE=FQ","FILING_STATUS=MR","FA_ADJUSTED=GAAP","Sort=A","Dates=H","DateFormat=P","Fill=—","Direction=H","UseDPDF=Y")</f>
        <v>12.154</v>
      </c>
      <c r="F18" s="21">
        <f>_xll.BDH("ADSK US Equity","INC_BEF_XO_ITEMS_TO_NET_SALES","FQ1 2013","FQ1 2013","Currency=USD","Period=FQ","BEST_FPERIOD_OVERRIDE=FQ","FILING_STATUS=MR","FA_ADJUSTED=GAAP","Sort=A","Dates=H","DateFormat=P","Fill=—","Direction=H","UseDPDF=Y")</f>
        <v>13.4047</v>
      </c>
      <c r="G18" s="21">
        <f>_xll.BDH("ADSK US Equity","INC_BEF_XO_ITEMS_TO_NET_SALES","FQ2 2013","FQ2 2013","Currency=USD","Period=FQ","BEST_FPERIOD_OVERRIDE=FQ","FILING_STATUS=MR","FA_ADJUSTED=GAAP","Sort=A","Dates=H","DateFormat=P","Fill=—","Direction=H","UseDPDF=Y")</f>
        <v>11.3592</v>
      </c>
      <c r="H18" s="21">
        <f>_xll.BDH("ADSK US Equity","INC_BEF_XO_ITEMS_TO_NET_SALES","FQ3 2013","FQ3 2013","Currency=USD","Period=FQ","BEST_FPERIOD_OVERRIDE=FQ","FILING_STATUS=MR","FA_ADJUSTED=GAAP","Sort=A","Dates=H","DateFormat=P","Fill=—","Direction=H","UseDPDF=Y")</f>
        <v>5.3650000000000002</v>
      </c>
      <c r="I18" s="21">
        <f>_xll.BDH("ADSK US Equity","INC_BEF_XO_ITEMS_TO_NET_SALES","FQ4 2013","FQ4 2013","Currency=USD","Period=FQ","BEST_FPERIOD_OVERRIDE=FQ","FILING_STATUS=MR","FA_ADJUSTED=GAAP","Sort=A","Dates=H","DateFormat=P","Fill=—","Direction=H","UseDPDF=Y")</f>
        <v>12.275499999999999</v>
      </c>
      <c r="J18" s="21">
        <f>_xll.BDH("ADSK US Equity","INC_BEF_XO_ITEMS_TO_NET_SALES","FQ1 2014","FQ1 2014","Currency=USD","Period=FQ","BEST_FPERIOD_OVERRIDE=FQ","FILING_STATUS=MR","FA_ADJUSTED=GAAP","Sort=A","Dates=H","DateFormat=P","Fill=—","Direction=H","UseDPDF=Y")</f>
        <v>9.7475000000000005</v>
      </c>
      <c r="K18" s="21">
        <f>_xll.BDH("ADSK US Equity","INC_BEF_XO_ITEMS_TO_NET_SALES","FQ2 2014","FQ2 2014","Currency=USD","Period=FQ","BEST_FPERIOD_OVERRIDE=FQ","FILING_STATUS=MR","FA_ADJUSTED=GAAP","Sort=A","Dates=H","DateFormat=P","Fill=—","Direction=H","UseDPDF=Y")</f>
        <v>10.984500000000001</v>
      </c>
      <c r="L18" s="21">
        <f>_xll.BDH("ADSK US Equity","INC_BEF_XO_ITEMS_TO_NET_SALES","FQ3 2014","FQ3 2014","Currency=USD","Period=FQ","BEST_FPERIOD_OVERRIDE=FQ","FILING_STATUS=MR","FA_ADJUSTED=GAAP","Sort=A","Dates=H","DateFormat=P","Fill=—","Direction=H","UseDPDF=Y")</f>
        <v>10.374599999999999</v>
      </c>
      <c r="M18" s="21">
        <f>_xll.BDH("ADSK US Equity","INC_BEF_XO_ITEMS_TO_NET_SALES","FQ4 2014","FQ4 2014","Currency=USD","Period=FQ","BEST_FPERIOD_OVERRIDE=FQ","FILING_STATUS=MR","FA_ADJUSTED=GAAP","Sort=A","Dates=H","DateFormat=P","Fill=—","Direction=H","UseDPDF=Y")</f>
        <v>9.1884999999999994</v>
      </c>
      <c r="N18" s="21">
        <f>_xll.BDH("ADSK US Equity","INC_BEF_XO_ITEMS_TO_NET_SALES","FQ1 2015","FQ1 2015","Currency=USD","Period=FQ","BEST_FPERIOD_OVERRIDE=FQ","FILING_STATUS=MR","FA_ADJUSTED=GAAP","Sort=A","Dates=H","DateFormat=P","Fill=—","Direction=H","UseDPDF=Y")</f>
        <v>4.7763999999999998</v>
      </c>
      <c r="O18" s="21">
        <f>_xll.BDH("ADSK US Equity","INC_BEF_XO_ITEMS_TO_NET_SALES","FQ2 2015","FQ2 2015","Currency=USD","Period=FQ","BEST_FPERIOD_OVERRIDE=FQ","FILING_STATUS=MR","FA_ADJUSTED=GAAP","Sort=A","Dates=H","DateFormat=P","Fill=—","Direction=H","UseDPDF=Y")</f>
        <v>4.9129000000000005</v>
      </c>
      <c r="P18" s="21">
        <f>_xll.BDH("ADSK US Equity","INC_BEF_XO_ITEMS_TO_NET_SALES","FQ3 2015","FQ3 2015","Currency=USD","Period=FQ","BEST_FPERIOD_OVERRIDE=FQ","FILING_STATUS=MR","FA_ADJUSTED=GAAP","Sort=A","Dates=H","DateFormat=P","Fill=—","Direction=H","UseDPDF=Y")</f>
        <v>1.7314000000000001</v>
      </c>
      <c r="Q18" s="21">
        <f>_xll.BDH("ADSK US Equity","INC_BEF_XO_ITEMS_TO_NET_SALES","FQ4 2015","FQ4 2015","Currency=USD","Period=FQ","BEST_FPERIOD_OVERRIDE=FQ","FILING_STATUS=MR","FA_ADJUSTED=GAAP","Sort=A","Dates=H","DateFormat=P","Fill=—","Direction=H","UseDPDF=Y")</f>
        <v>1.7303999999999999</v>
      </c>
      <c r="R18" s="21">
        <f>_xll.BDH("ADSK US Equity","INC_BEF_XO_ITEMS_TO_NET_SALES","FQ1 2016","FQ1 2016","Currency=USD","Period=FQ","BEST_FPERIOD_OVERRIDE=FQ","FILING_STATUS=MR","FA_ADJUSTED=GAAP","Sort=A","Dates=H","DateFormat=P","Fill=—","Direction=H","UseDPDF=Y")</f>
        <v>2.9544000000000001</v>
      </c>
      <c r="S18" s="21">
        <f>_xll.BDH("ADSK US Equity","INC_BEF_XO_ITEMS_TO_NET_SALES","FQ2 2016","FQ2 2016","Currency=USD","Period=FQ","BEST_FPERIOD_OVERRIDE=FQ","FILING_STATUS=MR","FA_ADJUSTED=GAAP","Sort=A","Dates=H","DateFormat=P","Fill=—","Direction=H","UseDPDF=Y")</f>
        <v>-44.068899999999999</v>
      </c>
      <c r="T18" s="21">
        <f>_xll.BDH("ADSK US Equity","INC_BEF_XO_ITEMS_TO_NET_SALES","FQ3 2016","FQ3 2016","Currency=USD","Period=FQ","BEST_FPERIOD_OVERRIDE=FQ","FILING_STATUS=MR","FA_ADJUSTED=GAAP","Sort=A","Dates=H","DateFormat=P","Fill=—","Direction=H","UseDPDF=Y")</f>
        <v>-7.3024000000000004</v>
      </c>
      <c r="U18" s="21">
        <f>_xll.BDH("ADSK US Equity","INC_BEF_XO_ITEMS_TO_NET_SALES","FQ4 2016","FQ4 2016","Currency=USD","Period=FQ","BEST_FPERIOD_OVERRIDE=FQ","FILING_STATUS=MR","FA_ADJUSTED=GAAP","Sort=A","Dates=H","DateFormat=P","Fill=—","Direction=H","UseDPDF=Y")</f>
        <v>-5.0439999999999996</v>
      </c>
      <c r="V18" s="21">
        <f>_xll.BDH("ADSK US Equity","INC_BEF_XO_ITEMS_TO_NET_SALES","FQ1 2017","FQ1 2017","Currency=USD","Period=FQ","BEST_FPERIOD_OVERRIDE=FQ","FILING_STATUS=MR","FA_ADJUSTED=GAAP","Sort=A","Dates=H","DateFormat=P","Fill=—","Direction=H","UseDPDF=Y")</f>
        <v>-32.760300000000001</v>
      </c>
      <c r="W18" s="21">
        <f>_xll.BDH("ADSK US Equity","INC_BEF_XO_ITEMS_TO_NET_SALES","FQ2 2017","FQ2 2017","Currency=USD","Period=FQ","BEST_FPERIOD_OVERRIDE=FQ","FILING_STATUS=MR","FA_ADJUSTED=GAAP","Sort=A","Dates=H","DateFormat=P","Fill=—","Direction=H","UseDPDF=Y")</f>
        <v>-17.831900000000001</v>
      </c>
      <c r="X18" s="21">
        <f>_xll.BDH("ADSK US Equity","INC_BEF_XO_ITEMS_TO_NET_SALES","FQ3 2017","FQ3 2017","Currency=USD","Period=FQ","BEST_FPERIOD_OVERRIDE=FQ","FILING_STATUS=MR","FA_ADJUSTED=GAAP","Sort=A","Dates=H","DateFormat=P","Fill=—","Direction=H","UseDPDF=Y")</f>
        <v>-29.166699999999999</v>
      </c>
      <c r="Y18" s="21">
        <f>_xll.BDH("ADSK US Equity","INC_BEF_XO_ITEMS_TO_NET_SALES","FQ4 2017","FQ4 2017","Currency=USD","Period=FQ","BEST_FPERIOD_OVERRIDE=FQ","FILING_STATUS=MR","FA_ADJUSTED=GAAP","Sort=A","Dates=H","DateFormat=P","Fill=—","Direction=H","UseDPDF=Y")</f>
        <v>-36.215499999999999</v>
      </c>
      <c r="Z18" s="21">
        <f>_xll.BDH("ADSK US Equity","INC_BEF_XO_ITEMS_TO_NET_SALES","FQ1 2018","FQ1 2018","Currency=USD","Period=FQ","BEST_FPERIOD_OVERRIDE=FQ","FILING_STATUS=MR","FA_ADJUSTED=GAAP","Sort=A","Dates=H","DateFormat=P","Fill=—","Direction=H","UseDPDF=Y")</f>
        <v>-26.6831</v>
      </c>
      <c r="AA18" s="21">
        <f>_xll.BDH("ADSK US Equity","INC_BEF_XO_ITEMS_TO_NET_SALES","FQ2 2018","FQ2 2018","Currency=USD","Period=FQ","BEST_FPERIOD_OVERRIDE=FQ","FILING_STATUS=MR","FA_ADJUSTED=GAAP","Sort=A","Dates=H","DateFormat=P","Fill=—","Direction=H","UseDPDF=Y")</f>
        <v>-28.6967</v>
      </c>
      <c r="AB18" s="21">
        <f>_xll.BDH("ADSK US Equity","INC_BEF_XO_ITEMS_TO_NET_SALES","FQ3 2018","FQ3 2018","Currency=USD","Period=FQ","BEST_FPERIOD_OVERRIDE=FQ","FILING_STATUS=MR","FA_ADJUSTED=GAAP","Sort=A","Dates=H","DateFormat=P","Fill=—","Direction=H","UseDPDF=Y")</f>
        <v>-23.2486</v>
      </c>
      <c r="AC18" s="21">
        <f>_xll.BDH("ADSK US Equity","INC_BEF_XO_ITEMS_TO_NET_SALES","FQ4 2018","FQ4 2018","Currency=USD","Period=FQ","BEST_FPERIOD_OVERRIDE=FQ","FILING_STATUS=MR","FA_ADJUSTED=GAAP","Sort=A","Dates=H","DateFormat=P","Fill=—","Direction=H","UseDPDF=Y")</f>
        <v>-31.329000000000001</v>
      </c>
      <c r="AD18" s="21">
        <f>_xll.BDH("ADSK US Equity","INC_BEF_XO_ITEMS_TO_NET_SALES","FQ1 2019","FQ1 2019","Currency=USD","Period=FQ","BEST_FPERIOD_OVERRIDE=FQ","FILING_STATUS=MR","FA_ADJUSTED=GAAP","Sort=A","Dates=H","DateFormat=P","Fill=—","Direction=H","UseDPDF=Y")</f>
        <v>-14.716900000000001</v>
      </c>
      <c r="AE18" s="21">
        <f>_xll.BDH("ADSK US Equity","INC_BEF_XO_ITEMS_TO_NET_SALES","FQ2 2019","FQ2 2019","Currency=USD","Period=FQ","BEST_FPERIOD_OVERRIDE=FQ","FILING_STATUS=MR","FA_ADJUSTED=GAAP","Sort=A","Dates=H","DateFormat=P","Fill=—","Direction=H","UseDPDF=Y")</f>
        <v>-6.4410999999999996</v>
      </c>
      <c r="AF18" s="21">
        <f>_xll.BDH("ADSK US Equity","INC_BEF_XO_ITEMS_TO_NET_SALES","FQ3 2019","FQ3 2019","Currency=USD","Period=FQ","BEST_FPERIOD_OVERRIDE=FQ","FILING_STATUS=MR","FA_ADJUSTED=GAAP","Sort=A","Dates=H","DateFormat=P","Fill=—","Direction=H","UseDPDF=Y")</f>
        <v>-3.5859999999999999</v>
      </c>
      <c r="AG18" s="21">
        <f>_xll.BDH("ADSK US Equity","INC_BEF_XO_ITEMS_TO_NET_SALES","FQ4 2019","FQ4 2019","Currency=USD","Period=FQ","BEST_FPERIOD_OVERRIDE=FQ","FILING_STATUS=MR","FA_ADJUSTED=GAAP","Sort=A","Dates=H","DateFormat=P","Fill=—","Direction=H","UseDPDF=Y")</f>
        <v>8.7752999999999997</v>
      </c>
      <c r="AH18" s="21">
        <f>_xll.BDH("ADSK US Equity","INC_BEF_XO_ITEMS_TO_NET_SALES","FQ1 2020","FQ1 2020","Currency=USD","Period=FQ","BEST_FPERIOD_OVERRIDE=FQ","FILING_STATUS=MR","FA_ADJUSTED=GAAP","Sort=A","Dates=H","DateFormat=P","Fill=—","Direction=H","UseDPDF=Y")</f>
        <v>-3.2903000000000002</v>
      </c>
      <c r="AI18" s="21">
        <f>_xll.BDH("ADSK US Equity","INC_BEF_XO_ITEMS_TO_NET_SALES","FQ2 2020","FQ2 2020","Currency=USD","Period=FQ","BEST_FPERIOD_OVERRIDE=FQ","FILING_STATUS=MR","FA_ADJUSTED=GAAP","Sort=A","Dates=H","DateFormat=P","Fill=—","Direction=H","UseDPDF=Y")</f>
        <v>5.0452000000000004</v>
      </c>
      <c r="AJ18" s="21">
        <f>_xll.BDH("ADSK US Equity","INC_BEF_XO_ITEMS_TO_NET_SALES","FQ3 2020","FQ3 2020","Currency=USD","Period=FQ","BEST_FPERIOD_OVERRIDE=FQ","FILING_STATUS=MR","FA_ADJUSTED=GAAP","Sort=A","Dates=H","DateFormat=P","Fill=—","Direction=H","UseDPDF=Y")</f>
        <v>7.915</v>
      </c>
      <c r="AK18" s="21">
        <f>_xll.BDH("ADSK US Equity","INC_BEF_XO_ITEMS_TO_NET_SALES","FQ4 2020","FQ4 2020","Currency=USD","Period=FQ","BEST_FPERIOD_OVERRIDE=FQ","FILING_STATUS=MR","FA_ADJUSTED=GAAP","Sort=A","Dates=H","DateFormat=P","Fill=—","Direction=H","UseDPDF=Y")</f>
        <v>14.655799999999999</v>
      </c>
      <c r="AL18" s="21">
        <f>_xll.BDH("ADSK US Equity","INC_BEF_XO_ITEMS_TO_NET_SALES","FQ1 2021","FQ1 2021","Currency=USD","Period=FQ","BEST_FPERIOD_OVERRIDE=FQ","FILING_STATUS=MR","FA_ADJUSTED=GAAP","Sort=A","Dates=H","DateFormat=P","Fill=—","Direction=H","UseDPDF=Y")</f>
        <v>7.5082000000000004</v>
      </c>
      <c r="AM18" s="21">
        <f>_xll.BDH("ADSK US Equity","INC_BEF_XO_ITEMS_TO_NET_SALES","FQ2 2021","FQ2 2021","Currency=USD","Period=FQ","BEST_FPERIOD_OVERRIDE=FQ","FILING_STATUS=MR","FA_ADJUSTED=GAAP","Sort=A","Dates=H","DateFormat=P","Fill=—","Direction=H","UseDPDF=Y")</f>
        <v>10.7546</v>
      </c>
      <c r="AN18" s="21">
        <f>_xll.BDH("ADSK US Equity","INC_BEF_XO_ITEMS_TO_NET_SALES","FQ3 2021","FQ3 2021","Currency=USD","Period=FQ","BEST_FPERIOD_OVERRIDE=FQ","FILING_STATUS=MR","FA_ADJUSTED=GAAP","Sort=A","Dates=H","DateFormat=P","Fill=—","Direction=H","UseDPDF=Y")</f>
        <v>13.880700000000001</v>
      </c>
      <c r="AO18" s="21">
        <f>_xll.BDH("ADSK US Equity","INC_BEF_XO_ITEMS_TO_NET_SALES","FQ4 2021","FQ4 2021","Currency=USD","Period=FQ","BEST_FPERIOD_OVERRIDE=FQ","FILING_STATUS=MR","FA_ADJUSTED=GAAP","Sort=A","Dates=H","DateFormat=P","Fill=—","Direction=H","UseDPDF=Y")</f>
        <v>87.692499999999995</v>
      </c>
      <c r="AP18" s="21">
        <f>_xll.BDH("ADSK US Equity","INC_BEF_XO_ITEMS_TO_NET_SALES","FQ1 2022","FQ1 2022","Currency=USD","Period=FQ","BEST_FPERIOD_OVERRIDE=FQ","FILING_STATUS=MR","FA_ADJUSTED=GAAP","Sort=A","Dates=H","DateFormat=P","Fill=—","Direction=H","UseDPDF=Y")</f>
        <v>15.728300000000001</v>
      </c>
    </row>
    <row r="19" spans="1:42" x14ac:dyDescent="0.25">
      <c r="A19" s="18" t="s">
        <v>106</v>
      </c>
      <c r="B19" s="18" t="s">
        <v>107</v>
      </c>
      <c r="C19" s="21">
        <f>_xll.BDH("ADSK US Equity","PROF_MARGIN","FQ2 2012","FQ2 2012","Currency=USD","Period=FQ","BEST_FPERIOD_OVERRIDE=FQ","FILING_STATUS=MR","FA_ADJUSTED=GAAP","Sort=A","Dates=H","DateFormat=P","Fill=—","Direction=H","UseDPDF=Y")</f>
        <v>13.033099999999999</v>
      </c>
      <c r="D19" s="21">
        <f>_xll.BDH("ADSK US Equity","PROF_MARGIN","FQ3 2012","FQ3 2012","Currency=USD","Period=FQ","BEST_FPERIOD_OVERRIDE=FQ","FILING_STATUS=MR","FA_ADJUSTED=GAAP","Sort=A","Dates=H","DateFormat=P","Fill=—","Direction=H","UseDPDF=Y")</f>
        <v>13.270099999999999</v>
      </c>
      <c r="E19" s="21">
        <f>_xll.BDH("ADSK US Equity","PROF_MARGIN","FQ4 2012","FQ4 2012","Currency=USD","Period=FQ","BEST_FPERIOD_OVERRIDE=FQ","FILING_STATUS=MR","FA_ADJUSTED=GAAP","Sort=A","Dates=H","DateFormat=P","Fill=—","Direction=H","UseDPDF=Y")</f>
        <v>12.154</v>
      </c>
      <c r="F19" s="21">
        <f>_xll.BDH("ADSK US Equity","PROF_MARGIN","FQ1 2013","FQ1 2013","Currency=USD","Period=FQ","BEST_FPERIOD_OVERRIDE=FQ","FILING_STATUS=MR","FA_ADJUSTED=GAAP","Sort=A","Dates=H","DateFormat=P","Fill=—","Direction=H","UseDPDF=Y")</f>
        <v>13.4047</v>
      </c>
      <c r="G19" s="21">
        <f>_xll.BDH("ADSK US Equity","PROF_MARGIN","FQ2 2013","FQ2 2013","Currency=USD","Period=FQ","BEST_FPERIOD_OVERRIDE=FQ","FILING_STATUS=MR","FA_ADJUSTED=GAAP","Sort=A","Dates=H","DateFormat=P","Fill=—","Direction=H","UseDPDF=Y")</f>
        <v>11.3592</v>
      </c>
      <c r="H19" s="21">
        <f>_xll.BDH("ADSK US Equity","PROF_MARGIN","FQ3 2013","FQ3 2013","Currency=USD","Period=FQ","BEST_FPERIOD_OVERRIDE=FQ","FILING_STATUS=MR","FA_ADJUSTED=GAAP","Sort=A","Dates=H","DateFormat=P","Fill=—","Direction=H","UseDPDF=Y")</f>
        <v>5.3650000000000002</v>
      </c>
      <c r="I19" s="21">
        <f>_xll.BDH("ADSK US Equity","PROF_MARGIN","FQ4 2013","FQ4 2013","Currency=USD","Period=FQ","BEST_FPERIOD_OVERRIDE=FQ","FILING_STATUS=MR","FA_ADJUSTED=GAAP","Sort=A","Dates=H","DateFormat=P","Fill=—","Direction=H","UseDPDF=Y")</f>
        <v>12.275499999999999</v>
      </c>
      <c r="J19" s="21">
        <f>_xll.BDH("ADSK US Equity","PROF_MARGIN","FQ1 2014","FQ1 2014","Currency=USD","Period=FQ","BEST_FPERIOD_OVERRIDE=FQ","FILING_STATUS=MR","FA_ADJUSTED=GAAP","Sort=A","Dates=H","DateFormat=P","Fill=—","Direction=H","UseDPDF=Y")</f>
        <v>9.7475000000000005</v>
      </c>
      <c r="K19" s="21">
        <f>_xll.BDH("ADSK US Equity","PROF_MARGIN","FQ2 2014","FQ2 2014","Currency=USD","Period=FQ","BEST_FPERIOD_OVERRIDE=FQ","FILING_STATUS=MR","FA_ADJUSTED=GAAP","Sort=A","Dates=H","DateFormat=P","Fill=—","Direction=H","UseDPDF=Y")</f>
        <v>10.984500000000001</v>
      </c>
      <c r="L19" s="21">
        <f>_xll.BDH("ADSK US Equity","PROF_MARGIN","FQ3 2014","FQ3 2014","Currency=USD","Period=FQ","BEST_FPERIOD_OVERRIDE=FQ","FILING_STATUS=MR","FA_ADJUSTED=GAAP","Sort=A","Dates=H","DateFormat=P","Fill=—","Direction=H","UseDPDF=Y")</f>
        <v>10.374599999999999</v>
      </c>
      <c r="M19" s="21">
        <f>_xll.BDH("ADSK US Equity","PROF_MARGIN","FQ4 2014","FQ4 2014","Currency=USD","Period=FQ","BEST_FPERIOD_OVERRIDE=FQ","FILING_STATUS=MR","FA_ADJUSTED=GAAP","Sort=A","Dates=H","DateFormat=P","Fill=—","Direction=H","UseDPDF=Y")</f>
        <v>9.1884999999999994</v>
      </c>
      <c r="N19" s="21">
        <f>_xll.BDH("ADSK US Equity","PROF_MARGIN","FQ1 2015","FQ1 2015","Currency=USD","Period=FQ","BEST_FPERIOD_OVERRIDE=FQ","FILING_STATUS=MR","FA_ADJUSTED=GAAP","Sort=A","Dates=H","DateFormat=P","Fill=—","Direction=H","UseDPDF=Y")</f>
        <v>4.7763999999999998</v>
      </c>
      <c r="O19" s="21">
        <f>_xll.BDH("ADSK US Equity","PROF_MARGIN","FQ2 2015","FQ2 2015","Currency=USD","Period=FQ","BEST_FPERIOD_OVERRIDE=FQ","FILING_STATUS=MR","FA_ADJUSTED=GAAP","Sort=A","Dates=H","DateFormat=P","Fill=—","Direction=H","UseDPDF=Y")</f>
        <v>4.9129000000000005</v>
      </c>
      <c r="P19" s="21">
        <f>_xll.BDH("ADSK US Equity","PROF_MARGIN","FQ3 2015","FQ3 2015","Currency=USD","Period=FQ","BEST_FPERIOD_OVERRIDE=FQ","FILING_STATUS=MR","FA_ADJUSTED=GAAP","Sort=A","Dates=H","DateFormat=P","Fill=—","Direction=H","UseDPDF=Y")</f>
        <v>1.7314000000000001</v>
      </c>
      <c r="Q19" s="21">
        <f>_xll.BDH("ADSK US Equity","PROF_MARGIN","FQ4 2015","FQ4 2015","Currency=USD","Period=FQ","BEST_FPERIOD_OVERRIDE=FQ","FILING_STATUS=MR","FA_ADJUSTED=GAAP","Sort=A","Dates=H","DateFormat=P","Fill=—","Direction=H","UseDPDF=Y")</f>
        <v>1.7303999999999999</v>
      </c>
      <c r="R19" s="21">
        <f>_xll.BDH("ADSK US Equity","PROF_MARGIN","FQ1 2016","FQ1 2016","Currency=USD","Period=FQ","BEST_FPERIOD_OVERRIDE=FQ","FILING_STATUS=MR","FA_ADJUSTED=GAAP","Sort=A","Dates=H","DateFormat=P","Fill=—","Direction=H","UseDPDF=Y")</f>
        <v>2.9544000000000001</v>
      </c>
      <c r="S19" s="21">
        <f>_xll.BDH("ADSK US Equity","PROF_MARGIN","FQ2 2016","FQ2 2016","Currency=USD","Period=FQ","BEST_FPERIOD_OVERRIDE=FQ","FILING_STATUS=MR","FA_ADJUSTED=GAAP","Sort=A","Dates=H","DateFormat=P","Fill=—","Direction=H","UseDPDF=Y")</f>
        <v>-44.068899999999999</v>
      </c>
      <c r="T19" s="21">
        <f>_xll.BDH("ADSK US Equity","PROF_MARGIN","FQ3 2016","FQ3 2016","Currency=USD","Period=FQ","BEST_FPERIOD_OVERRIDE=FQ","FILING_STATUS=MR","FA_ADJUSTED=GAAP","Sort=A","Dates=H","DateFormat=P","Fill=—","Direction=H","UseDPDF=Y")</f>
        <v>-7.3024000000000004</v>
      </c>
      <c r="U19" s="21">
        <f>_xll.BDH("ADSK US Equity","PROF_MARGIN","FQ4 2016","FQ4 2016","Currency=USD","Period=FQ","BEST_FPERIOD_OVERRIDE=FQ","FILING_STATUS=MR","FA_ADJUSTED=GAAP","Sort=A","Dates=H","DateFormat=P","Fill=—","Direction=H","UseDPDF=Y")</f>
        <v>-5.0439999999999996</v>
      </c>
      <c r="V19" s="21">
        <f>_xll.BDH("ADSK US Equity","PROF_MARGIN","FQ1 2017","FQ1 2017","Currency=USD","Period=FQ","BEST_FPERIOD_OVERRIDE=FQ","FILING_STATUS=MR","FA_ADJUSTED=GAAP","Sort=A","Dates=H","DateFormat=P","Fill=—","Direction=H","UseDPDF=Y")</f>
        <v>-32.760300000000001</v>
      </c>
      <c r="W19" s="21">
        <f>_xll.BDH("ADSK US Equity","PROF_MARGIN","FQ2 2017","FQ2 2017","Currency=USD","Period=FQ","BEST_FPERIOD_OVERRIDE=FQ","FILING_STATUS=MR","FA_ADJUSTED=GAAP","Sort=A","Dates=H","DateFormat=P","Fill=—","Direction=H","UseDPDF=Y")</f>
        <v>-17.831900000000001</v>
      </c>
      <c r="X19" s="21">
        <f>_xll.BDH("ADSK US Equity","PROF_MARGIN","FQ3 2017","FQ3 2017","Currency=USD","Period=FQ","BEST_FPERIOD_OVERRIDE=FQ","FILING_STATUS=MR","FA_ADJUSTED=GAAP","Sort=A","Dates=H","DateFormat=P","Fill=—","Direction=H","UseDPDF=Y")</f>
        <v>-29.166699999999999</v>
      </c>
      <c r="Y19" s="21">
        <f>_xll.BDH("ADSK US Equity","PROF_MARGIN","FQ4 2017","FQ4 2017","Currency=USD","Period=FQ","BEST_FPERIOD_OVERRIDE=FQ","FILING_STATUS=MR","FA_ADJUSTED=GAAP","Sort=A","Dates=H","DateFormat=P","Fill=—","Direction=H","UseDPDF=Y")</f>
        <v>-36.215499999999999</v>
      </c>
      <c r="Z19" s="21">
        <f>_xll.BDH("ADSK US Equity","PROF_MARGIN","FQ1 2018","FQ1 2018","Currency=USD","Period=FQ","BEST_FPERIOD_OVERRIDE=FQ","FILING_STATUS=MR","FA_ADJUSTED=GAAP","Sort=A","Dates=H","DateFormat=P","Fill=—","Direction=H","UseDPDF=Y")</f>
        <v>-26.6831</v>
      </c>
      <c r="AA19" s="21">
        <f>_xll.BDH("ADSK US Equity","PROF_MARGIN","FQ2 2018","FQ2 2018","Currency=USD","Period=FQ","BEST_FPERIOD_OVERRIDE=FQ","FILING_STATUS=MR","FA_ADJUSTED=GAAP","Sort=A","Dates=H","DateFormat=P","Fill=—","Direction=H","UseDPDF=Y")</f>
        <v>-28.6967</v>
      </c>
      <c r="AB19" s="21">
        <f>_xll.BDH("ADSK US Equity","PROF_MARGIN","FQ3 2018","FQ3 2018","Currency=USD","Period=FQ","BEST_FPERIOD_OVERRIDE=FQ","FILING_STATUS=MR","FA_ADJUSTED=GAAP","Sort=A","Dates=H","DateFormat=P","Fill=—","Direction=H","UseDPDF=Y")</f>
        <v>-23.2486</v>
      </c>
      <c r="AC19" s="21">
        <f>_xll.BDH("ADSK US Equity","PROF_MARGIN","FQ4 2018","FQ4 2018","Currency=USD","Period=FQ","BEST_FPERIOD_OVERRIDE=FQ","FILING_STATUS=MR","FA_ADJUSTED=GAAP","Sort=A","Dates=H","DateFormat=P","Fill=—","Direction=H","UseDPDF=Y")</f>
        <v>-31.329000000000001</v>
      </c>
      <c r="AD19" s="21">
        <f>_xll.BDH("ADSK US Equity","PROF_MARGIN","FQ1 2019","FQ1 2019","Currency=USD","Period=FQ","BEST_FPERIOD_OVERRIDE=FQ","FILING_STATUS=MR","FA_ADJUSTED=GAAP","Sort=A","Dates=H","DateFormat=P","Fill=—","Direction=H","UseDPDF=Y")</f>
        <v>-14.716900000000001</v>
      </c>
      <c r="AE19" s="21">
        <f>_xll.BDH("ADSK US Equity","PROF_MARGIN","FQ2 2019","FQ2 2019","Currency=USD","Period=FQ","BEST_FPERIOD_OVERRIDE=FQ","FILING_STATUS=MR","FA_ADJUSTED=GAAP","Sort=A","Dates=H","DateFormat=P","Fill=—","Direction=H","UseDPDF=Y")</f>
        <v>-6.4410999999999996</v>
      </c>
      <c r="AF19" s="21">
        <f>_xll.BDH("ADSK US Equity","PROF_MARGIN","FQ3 2019","FQ3 2019","Currency=USD","Period=FQ","BEST_FPERIOD_OVERRIDE=FQ","FILING_STATUS=MR","FA_ADJUSTED=GAAP","Sort=A","Dates=H","DateFormat=P","Fill=—","Direction=H","UseDPDF=Y")</f>
        <v>-3.5859999999999999</v>
      </c>
      <c r="AG19" s="21">
        <f>_xll.BDH("ADSK US Equity","PROF_MARGIN","FQ4 2019","FQ4 2019","Currency=USD","Period=FQ","BEST_FPERIOD_OVERRIDE=FQ","FILING_STATUS=MR","FA_ADJUSTED=GAAP","Sort=A","Dates=H","DateFormat=P","Fill=—","Direction=H","UseDPDF=Y")</f>
        <v>8.7752999999999997</v>
      </c>
      <c r="AH19" s="21">
        <f>_xll.BDH("ADSK US Equity","PROF_MARGIN","FQ1 2020","FQ1 2020","Currency=USD","Period=FQ","BEST_FPERIOD_OVERRIDE=FQ","FILING_STATUS=MR","FA_ADJUSTED=GAAP","Sort=A","Dates=H","DateFormat=P","Fill=—","Direction=H","UseDPDF=Y")</f>
        <v>-3.2903000000000002</v>
      </c>
      <c r="AI19" s="21">
        <f>_xll.BDH("ADSK US Equity","PROF_MARGIN","FQ2 2020","FQ2 2020","Currency=USD","Period=FQ","BEST_FPERIOD_OVERRIDE=FQ","FILING_STATUS=MR","FA_ADJUSTED=GAAP","Sort=A","Dates=H","DateFormat=P","Fill=—","Direction=H","UseDPDF=Y")</f>
        <v>5.0452000000000004</v>
      </c>
      <c r="AJ19" s="21">
        <f>_xll.BDH("ADSK US Equity","PROF_MARGIN","FQ3 2020","FQ3 2020","Currency=USD","Period=FQ","BEST_FPERIOD_OVERRIDE=FQ","FILING_STATUS=MR","FA_ADJUSTED=GAAP","Sort=A","Dates=H","DateFormat=P","Fill=—","Direction=H","UseDPDF=Y")</f>
        <v>7.915</v>
      </c>
      <c r="AK19" s="21">
        <f>_xll.BDH("ADSK US Equity","PROF_MARGIN","FQ4 2020","FQ4 2020","Currency=USD","Period=FQ","BEST_FPERIOD_OVERRIDE=FQ","FILING_STATUS=MR","FA_ADJUSTED=GAAP","Sort=A","Dates=H","DateFormat=P","Fill=—","Direction=H","UseDPDF=Y")</f>
        <v>14.655799999999999</v>
      </c>
      <c r="AL19" s="21">
        <f>_xll.BDH("ADSK US Equity","PROF_MARGIN","FQ1 2021","FQ1 2021","Currency=USD","Period=FQ","BEST_FPERIOD_OVERRIDE=FQ","FILING_STATUS=MR","FA_ADJUSTED=GAAP","Sort=A","Dates=H","DateFormat=P","Fill=—","Direction=H","UseDPDF=Y")</f>
        <v>7.5082000000000004</v>
      </c>
      <c r="AM19" s="21">
        <f>_xll.BDH("ADSK US Equity","PROF_MARGIN","FQ2 2021","FQ2 2021","Currency=USD","Period=FQ","BEST_FPERIOD_OVERRIDE=FQ","FILING_STATUS=MR","FA_ADJUSTED=GAAP","Sort=A","Dates=H","DateFormat=P","Fill=—","Direction=H","UseDPDF=Y")</f>
        <v>10.7546</v>
      </c>
      <c r="AN19" s="21">
        <f>_xll.BDH("ADSK US Equity","PROF_MARGIN","FQ3 2021","FQ3 2021","Currency=USD","Period=FQ","BEST_FPERIOD_OVERRIDE=FQ","FILING_STATUS=MR","FA_ADJUSTED=GAAP","Sort=A","Dates=H","DateFormat=P","Fill=—","Direction=H","UseDPDF=Y")</f>
        <v>13.880700000000001</v>
      </c>
      <c r="AO19" s="21">
        <f>_xll.BDH("ADSK US Equity","PROF_MARGIN","FQ4 2021","FQ4 2021","Currency=USD","Period=FQ","BEST_FPERIOD_OVERRIDE=FQ","FILING_STATUS=MR","FA_ADJUSTED=GAAP","Sort=A","Dates=H","DateFormat=P","Fill=—","Direction=H","UseDPDF=Y")</f>
        <v>87.692499999999995</v>
      </c>
      <c r="AP19" s="21">
        <f>_xll.BDH("ADSK US Equity","PROF_MARGIN","FQ1 2022","FQ1 2022","Currency=USD","Period=FQ","BEST_FPERIOD_OVERRIDE=FQ","FILING_STATUS=MR","FA_ADJUSTED=GAAP","Sort=A","Dates=H","DateFormat=P","Fill=—","Direction=H","UseDPDF=Y")</f>
        <v>15.728300000000001</v>
      </c>
    </row>
    <row r="20" spans="1:42" x14ac:dyDescent="0.25">
      <c r="A20" s="18" t="s">
        <v>108</v>
      </c>
      <c r="B20" s="18" t="s">
        <v>109</v>
      </c>
      <c r="C20" s="21">
        <f>_xll.BDH("ADSK US Equity","NET_INCOME_TO_COMMON_MARGIN","FQ2 2012","FQ2 2012","Currency=USD","Period=FQ","BEST_FPERIOD_OVERRIDE=FQ","FILING_STATUS=MR","FA_ADJUSTED=GAAP","Sort=A","Dates=H","DateFormat=P","Fill=—","Direction=H","UseDPDF=Y")</f>
        <v>13.033099999999999</v>
      </c>
      <c r="D20" s="21">
        <f>_xll.BDH("ADSK US Equity","NET_INCOME_TO_COMMON_MARGIN","FQ3 2012","FQ3 2012","Currency=USD","Period=FQ","BEST_FPERIOD_OVERRIDE=FQ","FILING_STATUS=MR","FA_ADJUSTED=GAAP","Sort=A","Dates=H","DateFormat=P","Fill=—","Direction=H","UseDPDF=Y")</f>
        <v>13.270099999999999</v>
      </c>
      <c r="E20" s="21">
        <f>_xll.BDH("ADSK US Equity","NET_INCOME_TO_COMMON_MARGIN","FQ4 2012","FQ4 2012","Currency=USD","Period=FQ","BEST_FPERIOD_OVERRIDE=FQ","FILING_STATUS=MR","FA_ADJUSTED=GAAP","Sort=A","Dates=H","DateFormat=P","Fill=—","Direction=H","UseDPDF=Y")</f>
        <v>12.154</v>
      </c>
      <c r="F20" s="21">
        <f>_xll.BDH("ADSK US Equity","NET_INCOME_TO_COMMON_MARGIN","FQ1 2013","FQ1 2013","Currency=USD","Period=FQ","BEST_FPERIOD_OVERRIDE=FQ","FILING_STATUS=MR","FA_ADJUSTED=GAAP","Sort=A","Dates=H","DateFormat=P","Fill=—","Direction=H","UseDPDF=Y")</f>
        <v>13.4047</v>
      </c>
      <c r="G20" s="21">
        <f>_xll.BDH("ADSK US Equity","NET_INCOME_TO_COMMON_MARGIN","FQ2 2013","FQ2 2013","Currency=USD","Period=FQ","BEST_FPERIOD_OVERRIDE=FQ","FILING_STATUS=MR","FA_ADJUSTED=GAAP","Sort=A","Dates=H","DateFormat=P","Fill=—","Direction=H","UseDPDF=Y")</f>
        <v>11.3592</v>
      </c>
      <c r="H20" s="21">
        <f>_xll.BDH("ADSK US Equity","NET_INCOME_TO_COMMON_MARGIN","FQ3 2013","FQ3 2013","Currency=USD","Period=FQ","BEST_FPERIOD_OVERRIDE=FQ","FILING_STATUS=MR","FA_ADJUSTED=GAAP","Sort=A","Dates=H","DateFormat=P","Fill=—","Direction=H","UseDPDF=Y")</f>
        <v>5.3650000000000002</v>
      </c>
      <c r="I20" s="21">
        <f>_xll.BDH("ADSK US Equity","NET_INCOME_TO_COMMON_MARGIN","FQ4 2013","FQ4 2013","Currency=USD","Period=FQ","BEST_FPERIOD_OVERRIDE=FQ","FILING_STATUS=MR","FA_ADJUSTED=GAAP","Sort=A","Dates=H","DateFormat=P","Fill=—","Direction=H","UseDPDF=Y")</f>
        <v>12.275499999999999</v>
      </c>
      <c r="J20" s="21">
        <f>_xll.BDH("ADSK US Equity","NET_INCOME_TO_COMMON_MARGIN","FQ1 2014","FQ1 2014","Currency=USD","Period=FQ","BEST_FPERIOD_OVERRIDE=FQ","FILING_STATUS=MR","FA_ADJUSTED=GAAP","Sort=A","Dates=H","DateFormat=P","Fill=—","Direction=H","UseDPDF=Y")</f>
        <v>9.7475000000000005</v>
      </c>
      <c r="K20" s="21">
        <f>_xll.BDH("ADSK US Equity","NET_INCOME_TO_COMMON_MARGIN","FQ2 2014","FQ2 2014","Currency=USD","Period=FQ","BEST_FPERIOD_OVERRIDE=FQ","FILING_STATUS=MR","FA_ADJUSTED=GAAP","Sort=A","Dates=H","DateFormat=P","Fill=—","Direction=H","UseDPDF=Y")</f>
        <v>10.984500000000001</v>
      </c>
      <c r="L20" s="21">
        <f>_xll.BDH("ADSK US Equity","NET_INCOME_TO_COMMON_MARGIN","FQ3 2014","FQ3 2014","Currency=USD","Period=FQ","BEST_FPERIOD_OVERRIDE=FQ","FILING_STATUS=MR","FA_ADJUSTED=GAAP","Sort=A","Dates=H","DateFormat=P","Fill=—","Direction=H","UseDPDF=Y")</f>
        <v>10.374599999999999</v>
      </c>
      <c r="M20" s="21">
        <f>_xll.BDH("ADSK US Equity","NET_INCOME_TO_COMMON_MARGIN","FQ4 2014","FQ4 2014","Currency=USD","Period=FQ","BEST_FPERIOD_OVERRIDE=FQ","FILING_STATUS=MR","FA_ADJUSTED=GAAP","Sort=A","Dates=H","DateFormat=P","Fill=—","Direction=H","UseDPDF=Y")</f>
        <v>9.1884999999999994</v>
      </c>
      <c r="N20" s="21">
        <f>_xll.BDH("ADSK US Equity","NET_INCOME_TO_COMMON_MARGIN","FQ1 2015","FQ1 2015","Currency=USD","Period=FQ","BEST_FPERIOD_OVERRIDE=FQ","FILING_STATUS=MR","FA_ADJUSTED=GAAP","Sort=A","Dates=H","DateFormat=P","Fill=—","Direction=H","UseDPDF=Y")</f>
        <v>4.7763999999999998</v>
      </c>
      <c r="O20" s="21">
        <f>_xll.BDH("ADSK US Equity","NET_INCOME_TO_COMMON_MARGIN","FQ2 2015","FQ2 2015","Currency=USD","Period=FQ","BEST_FPERIOD_OVERRIDE=FQ","FILING_STATUS=MR","FA_ADJUSTED=GAAP","Sort=A","Dates=H","DateFormat=P","Fill=—","Direction=H","UseDPDF=Y")</f>
        <v>4.9129000000000005</v>
      </c>
      <c r="P20" s="21">
        <f>_xll.BDH("ADSK US Equity","NET_INCOME_TO_COMMON_MARGIN","FQ3 2015","FQ3 2015","Currency=USD","Period=FQ","BEST_FPERIOD_OVERRIDE=FQ","FILING_STATUS=MR","FA_ADJUSTED=GAAP","Sort=A","Dates=H","DateFormat=P","Fill=—","Direction=H","UseDPDF=Y")</f>
        <v>1.7314000000000001</v>
      </c>
      <c r="Q20" s="21">
        <f>_xll.BDH("ADSK US Equity","NET_INCOME_TO_COMMON_MARGIN","FQ4 2015","FQ4 2015","Currency=USD","Period=FQ","BEST_FPERIOD_OVERRIDE=FQ","FILING_STATUS=MR","FA_ADJUSTED=GAAP","Sort=A","Dates=H","DateFormat=P","Fill=—","Direction=H","UseDPDF=Y")</f>
        <v>1.7303999999999999</v>
      </c>
      <c r="R20" s="21">
        <f>_xll.BDH("ADSK US Equity","NET_INCOME_TO_COMMON_MARGIN","FQ1 2016","FQ1 2016","Currency=USD","Period=FQ","BEST_FPERIOD_OVERRIDE=FQ","FILING_STATUS=MR","FA_ADJUSTED=GAAP","Sort=A","Dates=H","DateFormat=P","Fill=—","Direction=H","UseDPDF=Y")</f>
        <v>2.9544000000000001</v>
      </c>
      <c r="S20" s="21">
        <f>_xll.BDH("ADSK US Equity","NET_INCOME_TO_COMMON_MARGIN","FQ2 2016","FQ2 2016","Currency=USD","Period=FQ","BEST_FPERIOD_OVERRIDE=FQ","FILING_STATUS=MR","FA_ADJUSTED=GAAP","Sort=A","Dates=H","DateFormat=P","Fill=—","Direction=H","UseDPDF=Y")</f>
        <v>-44.068899999999999</v>
      </c>
      <c r="T20" s="21">
        <f>_xll.BDH("ADSK US Equity","NET_INCOME_TO_COMMON_MARGIN","FQ3 2016","FQ3 2016","Currency=USD","Period=FQ","BEST_FPERIOD_OVERRIDE=FQ","FILING_STATUS=MR","FA_ADJUSTED=GAAP","Sort=A","Dates=H","DateFormat=P","Fill=—","Direction=H","UseDPDF=Y")</f>
        <v>-7.3024000000000004</v>
      </c>
      <c r="U20" s="21">
        <f>_xll.BDH("ADSK US Equity","NET_INCOME_TO_COMMON_MARGIN","FQ4 2016","FQ4 2016","Currency=USD","Period=FQ","BEST_FPERIOD_OVERRIDE=FQ","FILING_STATUS=MR","FA_ADJUSTED=GAAP","Sort=A","Dates=H","DateFormat=P","Fill=—","Direction=H","UseDPDF=Y")</f>
        <v>-5.0439999999999996</v>
      </c>
      <c r="V20" s="21">
        <f>_xll.BDH("ADSK US Equity","NET_INCOME_TO_COMMON_MARGIN","FQ1 2017","FQ1 2017","Currency=USD","Period=FQ","BEST_FPERIOD_OVERRIDE=FQ","FILING_STATUS=MR","FA_ADJUSTED=GAAP","Sort=A","Dates=H","DateFormat=P","Fill=—","Direction=H","UseDPDF=Y")</f>
        <v>-32.760300000000001</v>
      </c>
      <c r="W20" s="21">
        <f>_xll.BDH("ADSK US Equity","NET_INCOME_TO_COMMON_MARGIN","FQ2 2017","FQ2 2017","Currency=USD","Period=FQ","BEST_FPERIOD_OVERRIDE=FQ","FILING_STATUS=MR","FA_ADJUSTED=GAAP","Sort=A","Dates=H","DateFormat=P","Fill=—","Direction=H","UseDPDF=Y")</f>
        <v>-17.831900000000001</v>
      </c>
      <c r="X20" s="21">
        <f>_xll.BDH("ADSK US Equity","NET_INCOME_TO_COMMON_MARGIN","FQ3 2017","FQ3 2017","Currency=USD","Period=FQ","BEST_FPERIOD_OVERRIDE=FQ","FILING_STATUS=MR","FA_ADJUSTED=GAAP","Sort=A","Dates=H","DateFormat=P","Fill=—","Direction=H","UseDPDF=Y")</f>
        <v>-29.166699999999999</v>
      </c>
      <c r="Y20" s="21">
        <f>_xll.BDH("ADSK US Equity","NET_INCOME_TO_COMMON_MARGIN","FQ4 2017","FQ4 2017","Currency=USD","Period=FQ","BEST_FPERIOD_OVERRIDE=FQ","FILING_STATUS=MR","FA_ADJUSTED=GAAP","Sort=A","Dates=H","DateFormat=P","Fill=—","Direction=H","UseDPDF=Y")</f>
        <v>-36.215499999999999</v>
      </c>
      <c r="Z20" s="21">
        <f>_xll.BDH("ADSK US Equity","NET_INCOME_TO_COMMON_MARGIN","FQ1 2018","FQ1 2018","Currency=USD","Period=FQ","BEST_FPERIOD_OVERRIDE=FQ","FILING_STATUS=MR","FA_ADJUSTED=GAAP","Sort=A","Dates=H","DateFormat=P","Fill=—","Direction=H","UseDPDF=Y")</f>
        <v>-26.6831</v>
      </c>
      <c r="AA20" s="21">
        <f>_xll.BDH("ADSK US Equity","NET_INCOME_TO_COMMON_MARGIN","FQ2 2018","FQ2 2018","Currency=USD","Period=FQ","BEST_FPERIOD_OVERRIDE=FQ","FILING_STATUS=MR","FA_ADJUSTED=GAAP","Sort=A","Dates=H","DateFormat=P","Fill=—","Direction=H","UseDPDF=Y")</f>
        <v>-28.6967</v>
      </c>
      <c r="AB20" s="21">
        <f>_xll.BDH("ADSK US Equity","NET_INCOME_TO_COMMON_MARGIN","FQ3 2018","FQ3 2018","Currency=USD","Period=FQ","BEST_FPERIOD_OVERRIDE=FQ","FILING_STATUS=MR","FA_ADJUSTED=GAAP","Sort=A","Dates=H","DateFormat=P","Fill=—","Direction=H","UseDPDF=Y")</f>
        <v>-23.2486</v>
      </c>
      <c r="AC20" s="21">
        <f>_xll.BDH("ADSK US Equity","NET_INCOME_TO_COMMON_MARGIN","FQ4 2018","FQ4 2018","Currency=USD","Period=FQ","BEST_FPERIOD_OVERRIDE=FQ","FILING_STATUS=MR","FA_ADJUSTED=GAAP","Sort=A","Dates=H","DateFormat=P","Fill=—","Direction=H","UseDPDF=Y")</f>
        <v>-31.329000000000001</v>
      </c>
      <c r="AD20" s="21">
        <f>_xll.BDH("ADSK US Equity","NET_INCOME_TO_COMMON_MARGIN","FQ1 2019","FQ1 2019","Currency=USD","Period=FQ","BEST_FPERIOD_OVERRIDE=FQ","FILING_STATUS=MR","FA_ADJUSTED=GAAP","Sort=A","Dates=H","DateFormat=P","Fill=—","Direction=H","UseDPDF=Y")</f>
        <v>-14.716900000000001</v>
      </c>
      <c r="AE20" s="21">
        <f>_xll.BDH("ADSK US Equity","NET_INCOME_TO_COMMON_MARGIN","FQ2 2019","FQ2 2019","Currency=USD","Period=FQ","BEST_FPERIOD_OVERRIDE=FQ","FILING_STATUS=MR","FA_ADJUSTED=GAAP","Sort=A","Dates=H","DateFormat=P","Fill=—","Direction=H","UseDPDF=Y")</f>
        <v>-6.4410999999999996</v>
      </c>
      <c r="AF20" s="21">
        <f>_xll.BDH("ADSK US Equity","NET_INCOME_TO_COMMON_MARGIN","FQ3 2019","FQ3 2019","Currency=USD","Period=FQ","BEST_FPERIOD_OVERRIDE=FQ","FILING_STATUS=MR","FA_ADJUSTED=GAAP","Sort=A","Dates=H","DateFormat=P","Fill=—","Direction=H","UseDPDF=Y")</f>
        <v>-3.5859999999999999</v>
      </c>
      <c r="AG20" s="21">
        <f>_xll.BDH("ADSK US Equity","NET_INCOME_TO_COMMON_MARGIN","FQ4 2019","FQ4 2019","Currency=USD","Period=FQ","BEST_FPERIOD_OVERRIDE=FQ","FILING_STATUS=MR","FA_ADJUSTED=GAAP","Sort=A","Dates=H","DateFormat=P","Fill=—","Direction=H","UseDPDF=Y")</f>
        <v>8.7752999999999997</v>
      </c>
      <c r="AH20" s="21">
        <f>_xll.BDH("ADSK US Equity","NET_INCOME_TO_COMMON_MARGIN","FQ1 2020","FQ1 2020","Currency=USD","Period=FQ","BEST_FPERIOD_OVERRIDE=FQ","FILING_STATUS=MR","FA_ADJUSTED=GAAP","Sort=A","Dates=H","DateFormat=P","Fill=—","Direction=H","UseDPDF=Y")</f>
        <v>-3.2903000000000002</v>
      </c>
      <c r="AI20" s="21">
        <f>_xll.BDH("ADSK US Equity","NET_INCOME_TO_COMMON_MARGIN","FQ2 2020","FQ2 2020","Currency=USD","Period=FQ","BEST_FPERIOD_OVERRIDE=FQ","FILING_STATUS=MR","FA_ADJUSTED=GAAP","Sort=A","Dates=H","DateFormat=P","Fill=—","Direction=H","UseDPDF=Y")</f>
        <v>5.0452000000000004</v>
      </c>
      <c r="AJ20" s="21">
        <f>_xll.BDH("ADSK US Equity","NET_INCOME_TO_COMMON_MARGIN","FQ3 2020","FQ3 2020","Currency=USD","Period=FQ","BEST_FPERIOD_OVERRIDE=FQ","FILING_STATUS=MR","FA_ADJUSTED=GAAP","Sort=A","Dates=H","DateFormat=P","Fill=—","Direction=H","UseDPDF=Y")</f>
        <v>7.915</v>
      </c>
      <c r="AK20" s="21">
        <f>_xll.BDH("ADSK US Equity","NET_INCOME_TO_COMMON_MARGIN","FQ4 2020","FQ4 2020","Currency=USD","Period=FQ","BEST_FPERIOD_OVERRIDE=FQ","FILING_STATUS=MR","FA_ADJUSTED=GAAP","Sort=A","Dates=H","DateFormat=P","Fill=—","Direction=H","UseDPDF=Y")</f>
        <v>14.655799999999999</v>
      </c>
      <c r="AL20" s="21">
        <f>_xll.BDH("ADSK US Equity","NET_INCOME_TO_COMMON_MARGIN","FQ1 2021","FQ1 2021","Currency=USD","Period=FQ","BEST_FPERIOD_OVERRIDE=FQ","FILING_STATUS=MR","FA_ADJUSTED=GAAP","Sort=A","Dates=H","DateFormat=P","Fill=—","Direction=H","UseDPDF=Y")</f>
        <v>7.5082000000000004</v>
      </c>
      <c r="AM20" s="21">
        <f>_xll.BDH("ADSK US Equity","NET_INCOME_TO_COMMON_MARGIN","FQ2 2021","FQ2 2021","Currency=USD","Period=FQ","BEST_FPERIOD_OVERRIDE=FQ","FILING_STATUS=MR","FA_ADJUSTED=GAAP","Sort=A","Dates=H","DateFormat=P","Fill=—","Direction=H","UseDPDF=Y")</f>
        <v>10.7546</v>
      </c>
      <c r="AN20" s="21">
        <f>_xll.BDH("ADSK US Equity","NET_INCOME_TO_COMMON_MARGIN","FQ3 2021","FQ3 2021","Currency=USD","Period=FQ","BEST_FPERIOD_OVERRIDE=FQ","FILING_STATUS=MR","FA_ADJUSTED=GAAP","Sort=A","Dates=H","DateFormat=P","Fill=—","Direction=H","UseDPDF=Y")</f>
        <v>13.880700000000001</v>
      </c>
      <c r="AO20" s="21">
        <f>_xll.BDH("ADSK US Equity","NET_INCOME_TO_COMMON_MARGIN","FQ4 2021","FQ4 2021","Currency=USD","Period=FQ","BEST_FPERIOD_OVERRIDE=FQ","FILING_STATUS=MR","FA_ADJUSTED=GAAP","Sort=A","Dates=H","DateFormat=P","Fill=—","Direction=H","UseDPDF=Y")</f>
        <v>87.692499999999995</v>
      </c>
      <c r="AP20" s="21">
        <f>_xll.BDH("ADSK US Equity","NET_INCOME_TO_COMMON_MARGIN","FQ1 2022","FQ1 2022","Currency=USD","Period=FQ","BEST_FPERIOD_OVERRIDE=FQ","FILING_STATUS=MR","FA_ADJUSTED=GAAP","Sort=A","Dates=H","DateFormat=P","Fill=—","Direction=H","UseDPDF=Y")</f>
        <v>15.728300000000001</v>
      </c>
    </row>
    <row r="21" spans="1:42" x14ac:dyDescent="0.25">
      <c r="A21" s="18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</row>
    <row r="22" spans="1:42" x14ac:dyDescent="0.25">
      <c r="A22" s="14" t="s">
        <v>110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x14ac:dyDescent="0.25">
      <c r="A23" s="18" t="s">
        <v>111</v>
      </c>
      <c r="B23" s="18" t="s">
        <v>112</v>
      </c>
      <c r="C23" s="21">
        <f>_xll.BDH("ADSK US Equity","EFF_TAX_RATE","FQ2 2012","FQ2 2012","Currency=USD","Period=FQ","BEST_FPERIOD_OVERRIDE=FQ","FILING_STATUS=MR","FA_ADJUSTED=GAAP","Sort=A","Dates=H","DateFormat=P","Fill=—","Direction=H","UseDPDF=Y")</f>
        <v>24.4161</v>
      </c>
      <c r="D23" s="21">
        <f>_xll.BDH("ADSK US Equity","EFF_TAX_RATE","FQ3 2012","FQ3 2012","Currency=USD","Period=FQ","BEST_FPERIOD_OVERRIDE=FQ","FILING_STATUS=MR","FA_ADJUSTED=GAAP","Sort=A","Dates=H","DateFormat=P","Fill=—","Direction=H","UseDPDF=Y")</f>
        <v>20.262899999999998</v>
      </c>
      <c r="E23" s="21">
        <f>_xll.BDH("ADSK US Equity","EFF_TAX_RATE","FQ4 2012","FQ4 2012","Currency=USD","Period=FQ","BEST_FPERIOD_OVERRIDE=FQ","FILING_STATUS=MR","FA_ADJUSTED=GAAP","Sort=A","Dates=H","DateFormat=P","Fill=—","Direction=H","UseDPDF=Y")</f>
        <v>22.497299999999999</v>
      </c>
      <c r="F23" s="21">
        <f>_xll.BDH("ADSK US Equity","EFF_TAX_RATE","FQ1 2013","FQ1 2013","Currency=USD","Period=FQ","BEST_FPERIOD_OVERRIDE=FQ","FILING_STATUS=MR","FA_ADJUSTED=GAAP","Sort=A","Dates=H","DateFormat=P","Fill=—","Direction=H","UseDPDF=Y")</f>
        <v>19.076899999999998</v>
      </c>
      <c r="G23" s="21">
        <f>_xll.BDH("ADSK US Equity","EFF_TAX_RATE","FQ2 2013","FQ2 2013","Currency=USD","Period=FQ","BEST_FPERIOD_OVERRIDE=FQ","FILING_STATUS=MR","FA_ADJUSTED=GAAP","Sort=A","Dates=H","DateFormat=P","Fill=—","Direction=H","UseDPDF=Y")</f>
        <v>29.858799999999999</v>
      </c>
      <c r="H23" s="21">
        <f>_xll.BDH("ADSK US Equity","EFF_TAX_RATE","FQ3 2013","FQ3 2013","Currency=USD","Period=FQ","BEST_FPERIOD_OVERRIDE=FQ","FILING_STATUS=MR","FA_ADJUSTED=GAAP","Sort=A","Dates=H","DateFormat=P","Fill=—","Direction=H","UseDPDF=Y")</f>
        <v>14.2857</v>
      </c>
      <c r="I23" s="21">
        <f>_xll.BDH("ADSK US Equity","EFF_TAX_RATE","FQ4 2013","FQ4 2013","Currency=USD","Period=FQ","BEST_FPERIOD_OVERRIDE=FQ","FILING_STATUS=MR","FA_ADJUSTED=GAAP","Sort=A","Dates=H","DateFormat=P","Fill=—","Direction=H","UseDPDF=Y")</f>
        <v>13.4727</v>
      </c>
      <c r="J23" s="21">
        <f>_xll.BDH("ADSK US Equity","EFF_TAX_RATE","FQ1 2014","FQ1 2014","Currency=USD","Period=FQ","BEST_FPERIOD_OVERRIDE=FQ","FILING_STATUS=MR","FA_ADJUSTED=GAAP","Sort=A","Dates=H","DateFormat=P","Fill=—","Direction=H","UseDPDF=Y")</f>
        <v>23.416</v>
      </c>
      <c r="K23" s="21">
        <f>_xll.BDH("ADSK US Equity","EFF_TAX_RATE","FQ2 2014","FQ2 2014","Currency=USD","Period=FQ","BEST_FPERIOD_OVERRIDE=FQ","FILING_STATUS=MR","FA_ADJUSTED=GAAP","Sort=A","Dates=H","DateFormat=P","Fill=—","Direction=H","UseDPDF=Y")</f>
        <v>24.572099999999999</v>
      </c>
      <c r="L23" s="21">
        <f>_xll.BDH("ADSK US Equity","EFF_TAX_RATE","FQ3 2014","FQ3 2014","Currency=USD","Period=FQ","BEST_FPERIOD_OVERRIDE=FQ","FILING_STATUS=MR","FA_ADJUSTED=GAAP","Sort=A","Dates=H","DateFormat=P","Fill=—","Direction=H","UseDPDF=Y")</f>
        <v>16.763000000000002</v>
      </c>
      <c r="M23" s="21">
        <f>_xll.BDH("ADSK US Equity","EFF_TAX_RATE","FQ4 2014","FQ4 2014","Currency=USD","Period=FQ","BEST_FPERIOD_OVERRIDE=FQ","FILING_STATUS=MR","FA_ADJUSTED=GAAP","Sort=A","Dates=H","DateFormat=P","Fill=—","Direction=H","UseDPDF=Y")</f>
        <v>4.2629000000000001</v>
      </c>
      <c r="N23" s="21">
        <f>_xll.BDH("ADSK US Equity","EFF_TAX_RATE","FQ1 2015","FQ1 2015","Currency=USD","Period=FQ","BEST_FPERIOD_OVERRIDE=FQ","FILING_STATUS=MR","FA_ADJUSTED=GAAP","Sort=A","Dates=H","DateFormat=P","Fill=—","Direction=H","UseDPDF=Y")</f>
        <v>20.505600000000001</v>
      </c>
      <c r="O23" s="21">
        <f>_xll.BDH("ADSK US Equity","EFF_TAX_RATE","FQ2 2015","FQ2 2015","Currency=USD","Period=FQ","BEST_FPERIOD_OVERRIDE=FQ","FILING_STATUS=MR","FA_ADJUSTED=GAAP","Sort=A","Dates=H","DateFormat=P","Fill=—","Direction=H","UseDPDF=Y")</f>
        <v>27.0396</v>
      </c>
      <c r="P23" s="21">
        <f>_xll.BDH("ADSK US Equity","EFF_TAX_RATE","FQ3 2015","FQ3 2015","Currency=USD","Period=FQ","BEST_FPERIOD_OVERRIDE=FQ","FILING_STATUS=MR","FA_ADJUSTED=GAAP","Sort=A","Dates=H","DateFormat=P","Fill=—","Direction=H","UseDPDF=Y")</f>
        <v>7.7586000000000004</v>
      </c>
      <c r="Q23" s="21" t="str">
        <f>_xll.BDH("ADSK US Equity","EFF_TAX_RATE","FQ4 2015","FQ4 2015","Currency=USD","Period=FQ","BEST_FPERIOD_OVERRIDE=FQ","FILING_STATUS=MR","FA_ADJUSTED=GAAP","Sort=A","Dates=H","DateFormat=P","Fill=—","Direction=H","UseDPDF=Y")</f>
        <v>—</v>
      </c>
      <c r="R23" s="21">
        <f>_xll.BDH("ADSK US Equity","EFF_TAX_RATE","FQ1 2016","FQ1 2016","Currency=USD","Period=FQ","BEST_FPERIOD_OVERRIDE=FQ","FILING_STATUS=MR","FA_ADJUSTED=GAAP","Sort=A","Dates=H","DateFormat=P","Fill=—","Direction=H","UseDPDF=Y")</f>
        <v>12.385300000000001</v>
      </c>
      <c r="S23" s="21">
        <f>_xll.BDH("ADSK US Equity","EFF_TAX_RATE","FQ2 2016","FQ2 2016","Currency=USD","Period=FQ","BEST_FPERIOD_OVERRIDE=FQ","FILING_STATUS=MR","FA_ADJUSTED=GAAP","Sort=A","Dates=H","DateFormat=P","Fill=—","Direction=H","UseDPDF=Y")</f>
        <v>29944.4444</v>
      </c>
      <c r="T23" s="21" t="str">
        <f>_xll.BDH("ADSK US Equity","EFF_TAX_RATE","FQ3 2016","FQ3 2016","Currency=USD","Period=FQ","BEST_FPERIOD_OVERRIDE=FQ","FILING_STATUS=MR","FA_ADJUSTED=GAAP","Sort=A","Dates=H","DateFormat=P","Fill=—","Direction=H","UseDPDF=Y")</f>
        <v>—</v>
      </c>
      <c r="U23" s="21" t="str">
        <f>_xll.BDH("ADSK US Equity","EFF_TAX_RATE","FQ4 2016","FQ4 2016","Currency=USD","Period=FQ","BEST_FPERIOD_OVERRIDE=FQ","FILING_STATUS=MR","FA_ADJUSTED=GAAP","Sort=A","Dates=H","DateFormat=P","Fill=—","Direction=H","UseDPDF=Y")</f>
        <v>—</v>
      </c>
      <c r="V23" s="21" t="str">
        <f>_xll.BDH("ADSK US Equity","EFF_TAX_RATE","FQ1 2017","FQ1 2017","Currency=USD","Period=FQ","BEST_FPERIOD_OVERRIDE=FQ","FILING_STATUS=MR","FA_ADJUSTED=GAAP","Sort=A","Dates=H","DateFormat=P","Fill=—","Direction=H","UseDPDF=Y")</f>
        <v>—</v>
      </c>
      <c r="W23" s="21" t="str">
        <f>_xll.BDH("ADSK US Equity","EFF_TAX_RATE","FQ2 2017","FQ2 2017","Currency=USD","Period=FQ","BEST_FPERIOD_OVERRIDE=FQ","FILING_STATUS=MR","FA_ADJUSTED=GAAP","Sort=A","Dates=H","DateFormat=P","Fill=—","Direction=H","UseDPDF=Y")</f>
        <v>—</v>
      </c>
      <c r="X23" s="21" t="str">
        <f>_xll.BDH("ADSK US Equity","EFF_TAX_RATE","FQ3 2017","FQ3 2017","Currency=USD","Period=FQ","BEST_FPERIOD_OVERRIDE=FQ","FILING_STATUS=MR","FA_ADJUSTED=GAAP","Sort=A","Dates=H","DateFormat=P","Fill=—","Direction=H","UseDPDF=Y")</f>
        <v>—</v>
      </c>
      <c r="Y23" s="21" t="str">
        <f>_xll.BDH("ADSK US Equity","EFF_TAX_RATE","FQ4 2017","FQ4 2017","Currency=USD","Period=FQ","BEST_FPERIOD_OVERRIDE=FQ","FILING_STATUS=MR","FA_ADJUSTED=GAAP","Sort=A","Dates=H","DateFormat=P","Fill=—","Direction=H","UseDPDF=Y")</f>
        <v>—</v>
      </c>
      <c r="Z23" s="21" t="str">
        <f>_xll.BDH("ADSK US Equity","EFF_TAX_RATE","FQ1 2018","FQ1 2018","Currency=USD","Period=FQ","BEST_FPERIOD_OVERRIDE=FQ","FILING_STATUS=MR","FA_ADJUSTED=GAAP","Sort=A","Dates=H","DateFormat=P","Fill=—","Direction=H","UseDPDF=Y")</f>
        <v>—</v>
      </c>
      <c r="AA23" s="21" t="str">
        <f>_xll.BDH("ADSK US Equity","EFF_TAX_RATE","FQ2 2018","FQ2 2018","Currency=USD","Period=FQ","BEST_FPERIOD_OVERRIDE=FQ","FILING_STATUS=MR","FA_ADJUSTED=GAAP","Sort=A","Dates=H","DateFormat=P","Fill=—","Direction=H","UseDPDF=Y")</f>
        <v>—</v>
      </c>
      <c r="AB23" s="21" t="str">
        <f>_xll.BDH("ADSK US Equity","EFF_TAX_RATE","FQ3 2018","FQ3 2018","Currency=USD","Period=FQ","BEST_FPERIOD_OVERRIDE=FQ","FILING_STATUS=MR","FA_ADJUSTED=GAAP","Sort=A","Dates=H","DateFormat=P","Fill=—","Direction=H","UseDPDF=Y")</f>
        <v>—</v>
      </c>
      <c r="AC23" s="21" t="str">
        <f>_xll.BDH("ADSK US Equity","EFF_TAX_RATE","FQ4 2018","FQ4 2018","Currency=USD","Period=FQ","BEST_FPERIOD_OVERRIDE=FQ","FILING_STATUS=MR","FA_ADJUSTED=GAAP","Sort=A","Dates=H","DateFormat=P","Fill=—","Direction=H","UseDPDF=Y")</f>
        <v>—</v>
      </c>
      <c r="AD23" s="21" t="str">
        <f>_xll.BDH("ADSK US Equity","EFF_TAX_RATE","FQ1 2019","FQ1 2019","Currency=USD","Period=FQ","BEST_FPERIOD_OVERRIDE=FQ","FILING_STATUS=MR","FA_ADJUSTED=GAAP","Sort=A","Dates=H","DateFormat=P","Fill=—","Direction=H","UseDPDF=Y")</f>
        <v>—</v>
      </c>
      <c r="AE23" s="21" t="str">
        <f>_xll.BDH("ADSK US Equity","EFF_TAX_RATE","FQ2 2019","FQ2 2019","Currency=USD","Period=FQ","BEST_FPERIOD_OVERRIDE=FQ","FILING_STATUS=MR","FA_ADJUSTED=GAAP","Sort=A","Dates=H","DateFormat=P","Fill=—","Direction=H","UseDPDF=Y")</f>
        <v>—</v>
      </c>
      <c r="AF23" s="21">
        <f>_xll.BDH("ADSK US Equity","EFF_TAX_RATE","FQ3 2019","FQ3 2019","Currency=USD","Period=FQ","BEST_FPERIOD_OVERRIDE=FQ","FILING_STATUS=MR","FA_ADJUSTED=GAAP","Sort=A","Dates=H","DateFormat=P","Fill=—","Direction=H","UseDPDF=Y")</f>
        <v>306.08699999999999</v>
      </c>
      <c r="AG23" s="21" t="str">
        <f>_xll.BDH("ADSK US Equity","EFF_TAX_RATE","FQ4 2019","FQ4 2019","Currency=USD","Period=FQ","BEST_FPERIOD_OVERRIDE=FQ","FILING_STATUS=MR","FA_ADJUSTED=GAAP","Sort=A","Dates=H","DateFormat=P","Fill=—","Direction=H","UseDPDF=Y")</f>
        <v>—</v>
      </c>
      <c r="AH23" s="21">
        <f>_xll.BDH("ADSK US Equity","EFF_TAX_RATE","FQ1 2020","FQ1 2020","Currency=USD","Period=FQ","BEST_FPERIOD_OVERRIDE=FQ","FILING_STATUS=MR","FA_ADJUSTED=GAAP","Sort=A","Dates=H","DateFormat=P","Fill=—","Direction=H","UseDPDF=Y")</f>
        <v>381.39530000000002</v>
      </c>
      <c r="AI23" s="21">
        <f>_xll.BDH("ADSK US Equity","EFF_TAX_RATE","FQ2 2020","FQ2 2020","Currency=USD","Period=FQ","BEST_FPERIOD_OVERRIDE=FQ","FILING_STATUS=MR","FA_ADJUSTED=GAAP","Sort=A","Dates=H","DateFormat=P","Fill=—","Direction=H","UseDPDF=Y")</f>
        <v>39.548900000000003</v>
      </c>
      <c r="AJ23" s="21">
        <f>_xll.BDH("ADSK US Equity","EFF_TAX_RATE","FQ3 2020","FQ3 2020","Currency=USD","Period=FQ","BEST_FPERIOD_OVERRIDE=FQ","FILING_STATUS=MR","FA_ADJUSTED=GAAP","Sort=A","Dates=H","DateFormat=P","Fill=—","Direction=H","UseDPDF=Y")</f>
        <v>30.809100000000001</v>
      </c>
      <c r="AK23" s="21" t="str">
        <f>_xll.BDH("ADSK US Equity","EFF_TAX_RATE","FQ4 2020","FQ4 2020","Currency=USD","Period=FQ","BEST_FPERIOD_OVERRIDE=FQ","FILING_STATUS=MR","FA_ADJUSTED=GAAP","Sort=A","Dates=H","DateFormat=P","Fill=—","Direction=H","UseDPDF=Y")</f>
        <v>—</v>
      </c>
      <c r="AL23" s="21">
        <f>_xll.BDH("ADSK US Equity","EFF_TAX_RATE","FQ1 2021","FQ1 2021","Currency=USD","Period=FQ","BEST_FPERIOD_OVERRIDE=FQ","FILING_STATUS=MR","FA_ADJUSTED=GAAP","Sort=A","Dates=H","DateFormat=P","Fill=—","Direction=H","UseDPDF=Y")</f>
        <v>26.519300000000001</v>
      </c>
      <c r="AM23" s="21">
        <f>_xll.BDH("ADSK US Equity","EFF_TAX_RATE","FQ2 2021","FQ2 2021","Currency=USD","Period=FQ","BEST_FPERIOD_OVERRIDE=FQ","FILING_STATUS=MR","FA_ADJUSTED=GAAP","Sort=A","Dates=H","DateFormat=P","Fill=—","Direction=H","UseDPDF=Y")</f>
        <v>23.876000000000001</v>
      </c>
      <c r="AN23" s="21">
        <f>_xll.BDH("ADSK US Equity","EFF_TAX_RATE","FQ3 2021","FQ3 2021","Currency=USD","Period=FQ","BEST_FPERIOD_OVERRIDE=FQ","FILING_STATUS=MR","FA_ADJUSTED=GAAP","Sort=A","Dates=H","DateFormat=P","Fill=—","Direction=H","UseDPDF=Y")</f>
        <v>15.310700000000001</v>
      </c>
      <c r="AO23" s="21" t="str">
        <f>_xll.BDH("ADSK US Equity","EFF_TAX_RATE","FQ4 2021","FQ4 2021","Currency=USD","Period=FQ","BEST_FPERIOD_OVERRIDE=FQ","FILING_STATUS=MR","FA_ADJUSTED=GAAP","Sort=A","Dates=H","DateFormat=P","Fill=—","Direction=H","UseDPDF=Y")</f>
        <v>—</v>
      </c>
      <c r="AP23" s="21" t="str">
        <f>_xll.BDH("ADSK US Equity","EFF_TAX_RATE","FQ1 2022","FQ1 2022","Currency=USD","Period=FQ","BEST_FPERIOD_OVERRIDE=FQ","FILING_STATUS=MR","FA_ADJUSTED=GAAP","Sort=A","Dates=H","DateFormat=P","Fill=—","Direction=H","UseDPDF=Y")</f>
        <v>—</v>
      </c>
    </row>
    <row r="24" spans="1:42" x14ac:dyDescent="0.25">
      <c r="A24" s="18" t="s">
        <v>113</v>
      </c>
      <c r="B24" s="18" t="s">
        <v>114</v>
      </c>
      <c r="C24" s="21">
        <f>_xll.BDH("ADSK US Equity","DVD_PAYOUT_RATIO","FQ2 2012","FQ2 2012","Currency=USD","Period=FQ","BEST_FPERIOD_OVERRIDE=FQ","FILING_STATUS=MR","FA_ADJUSTED=GAAP","Sort=A","Dates=H","DateFormat=P","Fill=—","Direction=H","UseDPDF=Y")</f>
        <v>0</v>
      </c>
      <c r="D24" s="21">
        <f>_xll.BDH("ADSK US Equity","DVD_PAYOUT_RATIO","FQ3 2012","FQ3 2012","Currency=USD","Period=FQ","BEST_FPERIOD_OVERRIDE=FQ","FILING_STATUS=MR","FA_ADJUSTED=GAAP","Sort=A","Dates=H","DateFormat=P","Fill=—","Direction=H","UseDPDF=Y")</f>
        <v>0</v>
      </c>
      <c r="E24" s="21">
        <f>_xll.BDH("ADSK US Equity","DVD_PAYOUT_RATIO","FQ4 2012","FQ4 2012","Currency=USD","Period=FQ","BEST_FPERIOD_OVERRIDE=FQ","FILING_STATUS=MR","FA_ADJUSTED=GAAP","Sort=A","Dates=H","DateFormat=P","Fill=—","Direction=H","UseDPDF=Y")</f>
        <v>0</v>
      </c>
      <c r="F24" s="21">
        <f>_xll.BDH("ADSK US Equity","DVD_PAYOUT_RATIO","FQ1 2013","FQ1 2013","Currency=USD","Period=FQ","BEST_FPERIOD_OVERRIDE=FQ","FILING_STATUS=MR","FA_ADJUSTED=GAAP","Sort=A","Dates=H","DateFormat=P","Fill=—","Direction=H","UseDPDF=Y")</f>
        <v>0</v>
      </c>
      <c r="G24" s="21">
        <f>_xll.BDH("ADSK US Equity","DVD_PAYOUT_RATIO","FQ2 2013","FQ2 2013","Currency=USD","Period=FQ","BEST_FPERIOD_OVERRIDE=FQ","FILING_STATUS=MR","FA_ADJUSTED=GAAP","Sort=A","Dates=H","DateFormat=P","Fill=—","Direction=H","UseDPDF=Y")</f>
        <v>0</v>
      </c>
      <c r="H24" s="21">
        <f>_xll.BDH("ADSK US Equity","DVD_PAYOUT_RATIO","FQ3 2013","FQ3 2013","Currency=USD","Period=FQ","BEST_FPERIOD_OVERRIDE=FQ","FILING_STATUS=MR","FA_ADJUSTED=GAAP","Sort=A","Dates=H","DateFormat=P","Fill=—","Direction=H","UseDPDF=Y")</f>
        <v>0</v>
      </c>
      <c r="I24" s="21">
        <f>_xll.BDH("ADSK US Equity","DVD_PAYOUT_RATIO","FQ4 2013","FQ4 2013","Currency=USD","Period=FQ","BEST_FPERIOD_OVERRIDE=FQ","FILING_STATUS=MR","FA_ADJUSTED=GAAP","Sort=A","Dates=H","DateFormat=P","Fill=—","Direction=H","UseDPDF=Y")</f>
        <v>0</v>
      </c>
      <c r="J24" s="21">
        <f>_xll.BDH("ADSK US Equity","DVD_PAYOUT_RATIO","FQ1 2014","FQ1 2014","Currency=USD","Period=FQ","BEST_FPERIOD_OVERRIDE=FQ","FILING_STATUS=MR","FA_ADJUSTED=GAAP","Sort=A","Dates=H","DateFormat=P","Fill=—","Direction=H","UseDPDF=Y")</f>
        <v>0</v>
      </c>
      <c r="K24" s="21">
        <f>_xll.BDH("ADSK US Equity","DVD_PAYOUT_RATIO","FQ2 2014","FQ2 2014","Currency=USD","Period=FQ","BEST_FPERIOD_OVERRIDE=FQ","FILING_STATUS=MR","FA_ADJUSTED=GAAP","Sort=A","Dates=H","DateFormat=P","Fill=—","Direction=H","UseDPDF=Y")</f>
        <v>0</v>
      </c>
      <c r="L24" s="21">
        <f>_xll.BDH("ADSK US Equity","DVD_PAYOUT_RATIO","FQ3 2014","FQ3 2014","Currency=USD","Period=FQ","BEST_FPERIOD_OVERRIDE=FQ","FILING_STATUS=MR","FA_ADJUSTED=GAAP","Sort=A","Dates=H","DateFormat=P","Fill=—","Direction=H","UseDPDF=Y")</f>
        <v>0</v>
      </c>
      <c r="M24" s="21">
        <f>_xll.BDH("ADSK US Equity","DVD_PAYOUT_RATIO","FQ4 2014","FQ4 2014","Currency=USD","Period=FQ","BEST_FPERIOD_OVERRIDE=FQ","FILING_STATUS=MR","FA_ADJUSTED=GAAP","Sort=A","Dates=H","DateFormat=P","Fill=—","Direction=H","UseDPDF=Y")</f>
        <v>0</v>
      </c>
      <c r="N24" s="21">
        <f>_xll.BDH("ADSK US Equity","DVD_PAYOUT_RATIO","FQ1 2015","FQ1 2015","Currency=USD","Period=FQ","BEST_FPERIOD_OVERRIDE=FQ","FILING_STATUS=MR","FA_ADJUSTED=GAAP","Sort=A","Dates=H","DateFormat=P","Fill=—","Direction=H","UseDPDF=Y")</f>
        <v>0</v>
      </c>
      <c r="O24" s="21">
        <f>_xll.BDH("ADSK US Equity","DVD_PAYOUT_RATIO","FQ2 2015","FQ2 2015","Currency=USD","Period=FQ","BEST_FPERIOD_OVERRIDE=FQ","FILING_STATUS=MR","FA_ADJUSTED=GAAP","Sort=A","Dates=H","DateFormat=P","Fill=—","Direction=H","UseDPDF=Y")</f>
        <v>0</v>
      </c>
      <c r="P24" s="21">
        <f>_xll.BDH("ADSK US Equity","DVD_PAYOUT_RATIO","FQ3 2015","FQ3 2015","Currency=USD","Period=FQ","BEST_FPERIOD_OVERRIDE=FQ","FILING_STATUS=MR","FA_ADJUSTED=GAAP","Sort=A","Dates=H","DateFormat=P","Fill=—","Direction=H","UseDPDF=Y")</f>
        <v>0</v>
      </c>
      <c r="Q24" s="21">
        <f>_xll.BDH("ADSK US Equity","DVD_PAYOUT_RATIO","FQ4 2015","FQ4 2015","Currency=USD","Period=FQ","BEST_FPERIOD_OVERRIDE=FQ","FILING_STATUS=MR","FA_ADJUSTED=GAAP","Sort=A","Dates=H","DateFormat=P","Fill=—","Direction=H","UseDPDF=Y")</f>
        <v>0</v>
      </c>
      <c r="R24" s="21">
        <f>_xll.BDH("ADSK US Equity","DVD_PAYOUT_RATIO","FQ1 2016","FQ1 2016","Currency=USD","Period=FQ","BEST_FPERIOD_OVERRIDE=FQ","FILING_STATUS=MR","FA_ADJUSTED=GAAP","Sort=A","Dates=H","DateFormat=P","Fill=—","Direction=H","UseDPDF=Y")</f>
        <v>0</v>
      </c>
      <c r="S24" s="21" t="str">
        <f>_xll.BDH("ADSK US Equity","DVD_PAYOUT_RATIO","FQ2 2016","FQ2 2016","Currency=USD","Period=FQ","BEST_FPERIOD_OVERRIDE=FQ","FILING_STATUS=MR","FA_ADJUSTED=GAAP","Sort=A","Dates=H","DateFormat=P","Fill=—","Direction=H","UseDPDF=Y")</f>
        <v>—</v>
      </c>
      <c r="T24" s="21" t="str">
        <f>_xll.BDH("ADSK US Equity","DVD_PAYOUT_RATIO","FQ3 2016","FQ3 2016","Currency=USD","Period=FQ","BEST_FPERIOD_OVERRIDE=FQ","FILING_STATUS=MR","FA_ADJUSTED=GAAP","Sort=A","Dates=H","DateFormat=P","Fill=—","Direction=H","UseDPDF=Y")</f>
        <v>—</v>
      </c>
      <c r="U24" s="21" t="str">
        <f>_xll.BDH("ADSK US Equity","DVD_PAYOUT_RATIO","FQ4 2016","FQ4 2016","Currency=USD","Period=FQ","BEST_FPERIOD_OVERRIDE=FQ","FILING_STATUS=MR","FA_ADJUSTED=GAAP","Sort=A","Dates=H","DateFormat=P","Fill=—","Direction=H","UseDPDF=Y")</f>
        <v>—</v>
      </c>
      <c r="V24" s="21" t="str">
        <f>_xll.BDH("ADSK US Equity","DVD_PAYOUT_RATIO","FQ1 2017","FQ1 2017","Currency=USD","Period=FQ","BEST_FPERIOD_OVERRIDE=FQ","FILING_STATUS=MR","FA_ADJUSTED=GAAP","Sort=A","Dates=H","DateFormat=P","Fill=—","Direction=H","UseDPDF=Y")</f>
        <v>—</v>
      </c>
      <c r="W24" s="21" t="str">
        <f>_xll.BDH("ADSK US Equity","DVD_PAYOUT_RATIO","FQ2 2017","FQ2 2017","Currency=USD","Period=FQ","BEST_FPERIOD_OVERRIDE=FQ","FILING_STATUS=MR","FA_ADJUSTED=GAAP","Sort=A","Dates=H","DateFormat=P","Fill=—","Direction=H","UseDPDF=Y")</f>
        <v>—</v>
      </c>
      <c r="X24" s="21" t="str">
        <f>_xll.BDH("ADSK US Equity","DVD_PAYOUT_RATIO","FQ3 2017","FQ3 2017","Currency=USD","Period=FQ","BEST_FPERIOD_OVERRIDE=FQ","FILING_STATUS=MR","FA_ADJUSTED=GAAP","Sort=A","Dates=H","DateFormat=P","Fill=—","Direction=H","UseDPDF=Y")</f>
        <v>—</v>
      </c>
      <c r="Y24" s="21" t="str">
        <f>_xll.BDH("ADSK US Equity","DVD_PAYOUT_RATIO","FQ4 2017","FQ4 2017","Currency=USD","Period=FQ","BEST_FPERIOD_OVERRIDE=FQ","FILING_STATUS=MR","FA_ADJUSTED=GAAP","Sort=A","Dates=H","DateFormat=P","Fill=—","Direction=H","UseDPDF=Y")</f>
        <v>—</v>
      </c>
      <c r="Z24" s="21" t="str">
        <f>_xll.BDH("ADSK US Equity","DVD_PAYOUT_RATIO","FQ1 2018","FQ1 2018","Currency=USD","Period=FQ","BEST_FPERIOD_OVERRIDE=FQ","FILING_STATUS=MR","FA_ADJUSTED=GAAP","Sort=A","Dates=H","DateFormat=P","Fill=—","Direction=H","UseDPDF=Y")</f>
        <v>—</v>
      </c>
      <c r="AA24" s="21" t="str">
        <f>_xll.BDH("ADSK US Equity","DVD_PAYOUT_RATIO","FQ2 2018","FQ2 2018","Currency=USD","Period=FQ","BEST_FPERIOD_OVERRIDE=FQ","FILING_STATUS=MR","FA_ADJUSTED=GAAP","Sort=A","Dates=H","DateFormat=P","Fill=—","Direction=H","UseDPDF=Y")</f>
        <v>—</v>
      </c>
      <c r="AB24" s="21" t="str">
        <f>_xll.BDH("ADSK US Equity","DVD_PAYOUT_RATIO","FQ3 2018","FQ3 2018","Currency=USD","Period=FQ","BEST_FPERIOD_OVERRIDE=FQ","FILING_STATUS=MR","FA_ADJUSTED=GAAP","Sort=A","Dates=H","DateFormat=P","Fill=—","Direction=H","UseDPDF=Y")</f>
        <v>—</v>
      </c>
      <c r="AC24" s="21" t="str">
        <f>_xll.BDH("ADSK US Equity","DVD_PAYOUT_RATIO","FQ4 2018","FQ4 2018","Currency=USD","Period=FQ","BEST_FPERIOD_OVERRIDE=FQ","FILING_STATUS=MR","FA_ADJUSTED=GAAP","Sort=A","Dates=H","DateFormat=P","Fill=—","Direction=H","UseDPDF=Y")</f>
        <v>—</v>
      </c>
      <c r="AD24" s="21" t="str">
        <f>_xll.BDH("ADSK US Equity","DVD_PAYOUT_RATIO","FQ1 2019","FQ1 2019","Currency=USD","Period=FQ","BEST_FPERIOD_OVERRIDE=FQ","FILING_STATUS=MR","FA_ADJUSTED=GAAP","Sort=A","Dates=H","DateFormat=P","Fill=—","Direction=H","UseDPDF=Y")</f>
        <v>—</v>
      </c>
      <c r="AE24" s="21" t="str">
        <f>_xll.BDH("ADSK US Equity","DVD_PAYOUT_RATIO","FQ2 2019","FQ2 2019","Currency=USD","Period=FQ","BEST_FPERIOD_OVERRIDE=FQ","FILING_STATUS=MR","FA_ADJUSTED=GAAP","Sort=A","Dates=H","DateFormat=P","Fill=—","Direction=H","UseDPDF=Y")</f>
        <v>—</v>
      </c>
      <c r="AF24" s="21" t="str">
        <f>_xll.BDH("ADSK US Equity","DVD_PAYOUT_RATIO","FQ3 2019","FQ3 2019","Currency=USD","Period=FQ","BEST_FPERIOD_OVERRIDE=FQ","FILING_STATUS=MR","FA_ADJUSTED=GAAP","Sort=A","Dates=H","DateFormat=P","Fill=—","Direction=H","UseDPDF=Y")</f>
        <v>—</v>
      </c>
      <c r="AG24" s="21">
        <f>_xll.BDH("ADSK US Equity","DVD_PAYOUT_RATIO","FQ4 2019","FQ4 2019","Currency=USD","Period=FQ","BEST_FPERIOD_OVERRIDE=FQ","FILING_STATUS=MR","FA_ADJUSTED=GAAP","Sort=A","Dates=H","DateFormat=P","Fill=—","Direction=H","UseDPDF=Y")</f>
        <v>0</v>
      </c>
      <c r="AH24" s="21" t="str">
        <f>_xll.BDH("ADSK US Equity","DVD_PAYOUT_RATIO","FQ1 2020","FQ1 2020","Currency=USD","Period=FQ","BEST_FPERIOD_OVERRIDE=FQ","FILING_STATUS=MR","FA_ADJUSTED=GAAP","Sort=A","Dates=H","DateFormat=P","Fill=—","Direction=H","UseDPDF=Y")</f>
        <v>—</v>
      </c>
      <c r="AI24" s="21">
        <f>_xll.BDH("ADSK US Equity","DVD_PAYOUT_RATIO","FQ2 2020","FQ2 2020","Currency=USD","Period=FQ","BEST_FPERIOD_OVERRIDE=FQ","FILING_STATUS=MR","FA_ADJUSTED=GAAP","Sort=A","Dates=H","DateFormat=P","Fill=—","Direction=H","UseDPDF=Y")</f>
        <v>0</v>
      </c>
      <c r="AJ24" s="21">
        <f>_xll.BDH("ADSK US Equity","DVD_PAYOUT_RATIO","FQ3 2020","FQ3 2020","Currency=USD","Period=FQ","BEST_FPERIOD_OVERRIDE=FQ","FILING_STATUS=MR","FA_ADJUSTED=GAAP","Sort=A","Dates=H","DateFormat=P","Fill=—","Direction=H","UseDPDF=Y")</f>
        <v>0</v>
      </c>
      <c r="AK24" s="21">
        <f>_xll.BDH("ADSK US Equity","DVD_PAYOUT_RATIO","FQ4 2020","FQ4 2020","Currency=USD","Period=FQ","BEST_FPERIOD_OVERRIDE=FQ","FILING_STATUS=MR","FA_ADJUSTED=GAAP","Sort=A","Dates=H","DateFormat=P","Fill=—","Direction=H","UseDPDF=Y")</f>
        <v>0</v>
      </c>
      <c r="AL24" s="21">
        <f>_xll.BDH("ADSK US Equity","DVD_PAYOUT_RATIO","FQ1 2021","FQ1 2021","Currency=USD","Period=FQ","BEST_FPERIOD_OVERRIDE=FQ","FILING_STATUS=MR","FA_ADJUSTED=GAAP","Sort=A","Dates=H","DateFormat=P","Fill=—","Direction=H","UseDPDF=Y")</f>
        <v>0</v>
      </c>
      <c r="AM24" s="21">
        <f>_xll.BDH("ADSK US Equity","DVD_PAYOUT_RATIO","FQ2 2021","FQ2 2021","Currency=USD","Period=FQ","BEST_FPERIOD_OVERRIDE=FQ","FILING_STATUS=MR","FA_ADJUSTED=GAAP","Sort=A","Dates=H","DateFormat=P","Fill=—","Direction=H","UseDPDF=Y")</f>
        <v>0</v>
      </c>
      <c r="AN24" s="21">
        <f>_xll.BDH("ADSK US Equity","DVD_PAYOUT_RATIO","FQ3 2021","FQ3 2021","Currency=USD","Period=FQ","BEST_FPERIOD_OVERRIDE=FQ","FILING_STATUS=MR","FA_ADJUSTED=GAAP","Sort=A","Dates=H","DateFormat=P","Fill=—","Direction=H","UseDPDF=Y")</f>
        <v>0</v>
      </c>
      <c r="AO24" s="21">
        <f>_xll.BDH("ADSK US Equity","DVD_PAYOUT_RATIO","FQ4 2021","FQ4 2021","Currency=USD","Period=FQ","BEST_FPERIOD_OVERRIDE=FQ","FILING_STATUS=MR","FA_ADJUSTED=GAAP","Sort=A","Dates=H","DateFormat=P","Fill=—","Direction=H","UseDPDF=Y")</f>
        <v>0</v>
      </c>
      <c r="AP24" s="21">
        <f>_xll.BDH("ADSK US Equity","DVD_PAYOUT_RATIO","FQ1 2022","FQ1 2022","Currency=USD","Period=FQ","BEST_FPERIOD_OVERRIDE=FQ","FILING_STATUS=MR","FA_ADJUSTED=GAAP","Sort=A","Dates=H","DateFormat=P","Fill=—","Direction=H","UseDPDF=Y")</f>
        <v>0</v>
      </c>
    </row>
    <row r="25" spans="1:42" x14ac:dyDescent="0.25">
      <c r="A25" s="18" t="s">
        <v>115</v>
      </c>
      <c r="B25" s="18" t="s">
        <v>116</v>
      </c>
      <c r="C25" s="21">
        <f>_xll.BDH("ADSK US Equity","SUSTAIN_GROWTH_RT","FQ2 2012","FQ2 2012","Currency=USD","Period=FQ","BEST_FPERIOD_OVERRIDE=FQ","FILING_STATUS=MR","FA_ADJUSTED=GAAP","Sort=A","Dates=H","DateFormat=P","Fill=—","Direction=H","UseDPDF=Y")</f>
        <v>15.427300000000001</v>
      </c>
      <c r="D25" s="21">
        <f>_xll.BDH("ADSK US Equity","SUSTAIN_GROWTH_RT","FQ3 2012","FQ3 2012","Currency=USD","Period=FQ","BEST_FPERIOD_OVERRIDE=FQ","FILING_STATUS=MR","FA_ADJUSTED=GAAP","Sort=A","Dates=H","DateFormat=P","Fill=—","Direction=H","UseDPDF=Y")</f>
        <v>16.248999999999999</v>
      </c>
      <c r="E25" s="21">
        <f>_xll.BDH("ADSK US Equity","SUSTAIN_GROWTH_RT","FQ4 2012","FQ4 2012","Currency=USD","Period=FQ","BEST_FPERIOD_OVERRIDE=FQ","FILING_STATUS=MR","FA_ADJUSTED=GAAP","Sort=A","Dates=H","DateFormat=P","Fill=—","Direction=H","UseDPDF=Y")</f>
        <v>16.339300000000001</v>
      </c>
      <c r="F25" s="21">
        <f>_xll.BDH("ADSK US Equity","SUSTAIN_GROWTH_RT","FQ1 2013","FQ1 2013","Currency=USD","Period=FQ","BEST_FPERIOD_OVERRIDE=FQ","FILING_STATUS=MR","FA_ADJUSTED=GAAP","Sort=A","Dates=H","DateFormat=P","Fill=—","Direction=H","UseDPDF=Y")</f>
        <v>15.535399999999999</v>
      </c>
      <c r="G25" s="21">
        <f>_xll.BDH("ADSK US Equity","SUSTAIN_GROWTH_RT","FQ2 2013","FQ2 2013","Currency=USD","Period=FQ","BEST_FPERIOD_OVERRIDE=FQ","FILING_STATUS=MR","FA_ADJUSTED=GAAP","Sort=A","Dates=H","DateFormat=P","Fill=—","Direction=H","UseDPDF=Y")</f>
        <v>15.014099999999999</v>
      </c>
      <c r="H25" s="21">
        <f>_xll.BDH("ADSK US Equity","SUSTAIN_GROWTH_RT","FQ3 2013","FQ3 2013","Currency=USD","Period=FQ","BEST_FPERIOD_OVERRIDE=FQ","FILING_STATUS=MR","FA_ADJUSTED=GAAP","Sort=A","Dates=H","DateFormat=P","Fill=—","Direction=H","UseDPDF=Y")</f>
        <v>12.737299999999999</v>
      </c>
      <c r="I25" s="21">
        <f>_xll.BDH("ADSK US Equity","SUSTAIN_GROWTH_RT","FQ4 2013","FQ4 2013","Currency=USD","Period=FQ","BEST_FPERIOD_OVERRIDE=FQ","FILING_STATUS=MR","FA_ADJUSTED=GAAP","Sort=A","Dates=H","DateFormat=P","Fill=—","Direction=H","UseDPDF=Y")</f>
        <v>12.6028</v>
      </c>
      <c r="J25" s="21">
        <f>_xll.BDH("ADSK US Equity","SUSTAIN_GROWTH_RT","FQ1 2014","FQ1 2014","Currency=USD","Period=FQ","BEST_FPERIOD_OVERRIDE=FQ","FILING_STATUS=MR","FA_ADJUSTED=GAAP","Sort=A","Dates=H","DateFormat=P","Fill=—","Direction=H","UseDPDF=Y")</f>
        <v>10.8528</v>
      </c>
      <c r="K25" s="21">
        <f>_xll.BDH("ADSK US Equity","SUSTAIN_GROWTH_RT","FQ2 2014","FQ2 2014","Currency=USD","Period=FQ","BEST_FPERIOD_OVERRIDE=FQ","FILING_STATUS=MR","FA_ADJUSTED=GAAP","Sort=A","Dates=H","DateFormat=P","Fill=—","Direction=H","UseDPDF=Y")</f>
        <v>10.783899999999999</v>
      </c>
      <c r="L25" s="21">
        <f>_xll.BDH("ADSK US Equity","SUSTAIN_GROWTH_RT","FQ3 2014","FQ3 2014","Currency=USD","Period=FQ","BEST_FPERIOD_OVERRIDE=FQ","FILING_STATUS=MR","FA_ADJUSTED=GAAP","Sort=A","Dates=H","DateFormat=P","Fill=—","Direction=H","UseDPDF=Y")</f>
        <v>11.9336</v>
      </c>
      <c r="M25" s="21">
        <f>_xll.BDH("ADSK US Equity","SUSTAIN_GROWTH_RT","FQ4 2014","FQ4 2014","Currency=USD","Period=FQ","BEST_FPERIOD_OVERRIDE=FQ","FILING_STATUS=MR","FA_ADJUSTED=GAAP","Sort=A","Dates=H","DateFormat=P","Fill=—","Direction=H","UseDPDF=Y")</f>
        <v>10.6302</v>
      </c>
      <c r="N25" s="21">
        <f>_xll.BDH("ADSK US Equity","SUSTAIN_GROWTH_RT","FQ1 2015","FQ1 2015","Currency=USD","Period=FQ","BEST_FPERIOD_OVERRIDE=FQ","FILING_STATUS=MR","FA_ADJUSTED=GAAP","Sort=A","Dates=H","DateFormat=P","Fill=—","Direction=H","UseDPDF=Y")</f>
        <v>9.2151999999999994</v>
      </c>
      <c r="O25" s="21">
        <f>_xll.BDH("ADSK US Equity","SUSTAIN_GROWTH_RT","FQ2 2015","FQ2 2015","Currency=USD","Period=FQ","BEST_FPERIOD_OVERRIDE=FQ","FILING_STATUS=MR","FA_ADJUSTED=GAAP","Sort=A","Dates=H","DateFormat=P","Fill=—","Direction=H","UseDPDF=Y")</f>
        <v>7.8948</v>
      </c>
      <c r="P25" s="21">
        <f>_xll.BDH("ADSK US Equity","SUSTAIN_GROWTH_RT","FQ3 2015","FQ3 2015","Currency=USD","Period=FQ","BEST_FPERIOD_OVERRIDE=FQ","FILING_STATUS=MR","FA_ADJUSTED=GAAP","Sort=A","Dates=H","DateFormat=P","Fill=—","Direction=H","UseDPDF=Y")</f>
        <v>5.6067</v>
      </c>
      <c r="Q25" s="21">
        <f>_xll.BDH("ADSK US Equity","SUSTAIN_GROWTH_RT","FQ4 2015","FQ4 2015","Currency=USD","Period=FQ","BEST_FPERIOD_OVERRIDE=FQ","FILING_STATUS=MR","FA_ADJUSTED=GAAP","Sort=A","Dates=H","DateFormat=P","Fill=—","Direction=H","UseDPDF=Y")</f>
        <v>3.6512000000000002</v>
      </c>
      <c r="R25" s="21">
        <f>_xll.BDH("ADSK US Equity","SUSTAIN_GROWTH_RT","FQ1 2016","FQ1 2016","Currency=USD","Period=FQ","BEST_FPERIOD_OVERRIDE=FQ","FILING_STATUS=MR","FA_ADJUSTED=GAAP","Sort=A","Dates=H","DateFormat=P","Fill=—","Direction=H","UseDPDF=Y")</f>
        <v>3.2172999999999998</v>
      </c>
      <c r="S25" s="21" t="str">
        <f>_xll.BDH("ADSK US Equity","SUSTAIN_GROWTH_RT","FQ2 2016","FQ2 2016","Currency=USD","Period=FQ","BEST_FPERIOD_OVERRIDE=FQ","FILING_STATUS=MR","FA_ADJUSTED=GAAP","Sort=A","Dates=H","DateFormat=P","Fill=—","Direction=H","UseDPDF=Y")</f>
        <v>—</v>
      </c>
      <c r="T25" s="21" t="str">
        <f>_xll.BDH("ADSK US Equity","SUSTAIN_GROWTH_RT","FQ3 2016","FQ3 2016","Currency=USD","Period=FQ","BEST_FPERIOD_OVERRIDE=FQ","FILING_STATUS=MR","FA_ADJUSTED=GAAP","Sort=A","Dates=H","DateFormat=P","Fill=—","Direction=H","UseDPDF=Y")</f>
        <v>—</v>
      </c>
      <c r="U25" s="21" t="str">
        <f>_xll.BDH("ADSK US Equity","SUSTAIN_GROWTH_RT","FQ4 2016","FQ4 2016","Currency=USD","Period=FQ","BEST_FPERIOD_OVERRIDE=FQ","FILING_STATUS=MR","FA_ADJUSTED=GAAP","Sort=A","Dates=H","DateFormat=P","Fill=—","Direction=H","UseDPDF=Y")</f>
        <v>—</v>
      </c>
      <c r="V25" s="21" t="str">
        <f>_xll.BDH("ADSK US Equity","SUSTAIN_GROWTH_RT","FQ1 2017","FQ1 2017","Currency=USD","Period=FQ","BEST_FPERIOD_OVERRIDE=FQ","FILING_STATUS=MR","FA_ADJUSTED=GAAP","Sort=A","Dates=H","DateFormat=P","Fill=—","Direction=H","UseDPDF=Y")</f>
        <v>—</v>
      </c>
      <c r="W25" s="21" t="str">
        <f>_xll.BDH("ADSK US Equity","SUSTAIN_GROWTH_RT","FQ2 2017","FQ2 2017","Currency=USD","Period=FQ","BEST_FPERIOD_OVERRIDE=FQ","FILING_STATUS=MR","FA_ADJUSTED=GAAP","Sort=A","Dates=H","DateFormat=P","Fill=—","Direction=H","UseDPDF=Y")</f>
        <v>—</v>
      </c>
      <c r="X25" s="21" t="str">
        <f>_xll.BDH("ADSK US Equity","SUSTAIN_GROWTH_RT","FQ3 2017","FQ3 2017","Currency=USD","Period=FQ","BEST_FPERIOD_OVERRIDE=FQ","FILING_STATUS=MR","FA_ADJUSTED=GAAP","Sort=A","Dates=H","DateFormat=P","Fill=—","Direction=H","UseDPDF=Y")</f>
        <v>—</v>
      </c>
      <c r="Y25" s="21" t="str">
        <f>_xll.BDH("ADSK US Equity","SUSTAIN_GROWTH_RT","FQ4 2017","FQ4 2017","Currency=USD","Period=FQ","BEST_FPERIOD_OVERRIDE=FQ","FILING_STATUS=MR","FA_ADJUSTED=GAAP","Sort=A","Dates=H","DateFormat=P","Fill=—","Direction=H","UseDPDF=Y")</f>
        <v>—</v>
      </c>
      <c r="Z25" s="21" t="str">
        <f>_xll.BDH("ADSK US Equity","SUSTAIN_GROWTH_RT","FQ1 2018","FQ1 2018","Currency=USD","Period=FQ","BEST_FPERIOD_OVERRIDE=FQ","FILING_STATUS=MR","FA_ADJUSTED=GAAP","Sort=A","Dates=H","DateFormat=P","Fill=—","Direction=H","UseDPDF=Y")</f>
        <v>—</v>
      </c>
      <c r="AA25" s="21" t="str">
        <f>_xll.BDH("ADSK US Equity","SUSTAIN_GROWTH_RT","FQ2 2018","FQ2 2018","Currency=USD","Period=FQ","BEST_FPERIOD_OVERRIDE=FQ","FILING_STATUS=MR","FA_ADJUSTED=GAAP","Sort=A","Dates=H","DateFormat=P","Fill=—","Direction=H","UseDPDF=Y")</f>
        <v>—</v>
      </c>
      <c r="AB25" s="21" t="str">
        <f>_xll.BDH("ADSK US Equity","SUSTAIN_GROWTH_RT","FQ3 2018","FQ3 2018","Currency=USD","Period=FQ","BEST_FPERIOD_OVERRIDE=FQ","FILING_STATUS=MR","FA_ADJUSTED=GAAP","Sort=A","Dates=H","DateFormat=P","Fill=—","Direction=H","UseDPDF=Y")</f>
        <v>—</v>
      </c>
      <c r="AC25" s="21" t="str">
        <f>_xll.BDH("ADSK US Equity","SUSTAIN_GROWTH_RT","FQ4 2018","FQ4 2018","Currency=USD","Period=FQ","BEST_FPERIOD_OVERRIDE=FQ","FILING_STATUS=MR","FA_ADJUSTED=GAAP","Sort=A","Dates=H","DateFormat=P","Fill=—","Direction=H","UseDPDF=Y")</f>
        <v>—</v>
      </c>
      <c r="AD25" s="21" t="str">
        <f>_xll.BDH("ADSK US Equity","SUSTAIN_GROWTH_RT","FQ1 2019","FQ1 2019","Currency=USD","Period=FQ","BEST_FPERIOD_OVERRIDE=FQ","FILING_STATUS=MR","FA_ADJUSTED=GAAP","Sort=A","Dates=H","DateFormat=P","Fill=—","Direction=H","UseDPDF=Y")</f>
        <v>—</v>
      </c>
      <c r="AE25" s="21" t="str">
        <f>_xll.BDH("ADSK US Equity","SUSTAIN_GROWTH_RT","FQ2 2019","FQ2 2019","Currency=USD","Period=FQ","BEST_FPERIOD_OVERRIDE=FQ","FILING_STATUS=MR","FA_ADJUSTED=GAAP","Sort=A","Dates=H","DateFormat=P","Fill=—","Direction=H","UseDPDF=Y")</f>
        <v>—</v>
      </c>
      <c r="AF25" s="21" t="str">
        <f>_xll.BDH("ADSK US Equity","SUSTAIN_GROWTH_RT","FQ3 2019","FQ3 2019","Currency=USD","Period=FQ","BEST_FPERIOD_OVERRIDE=FQ","FILING_STATUS=MR","FA_ADJUSTED=GAAP","Sort=A","Dates=H","DateFormat=P","Fill=—","Direction=H","UseDPDF=Y")</f>
        <v>—</v>
      </c>
      <c r="AG25" s="21" t="str">
        <f>_xll.BDH("ADSK US Equity","SUSTAIN_GROWTH_RT","FQ4 2019","FQ4 2019","Currency=USD","Period=FQ","BEST_FPERIOD_OVERRIDE=FQ","FILING_STATUS=MR","FA_ADJUSTED=GAAP","Sort=A","Dates=H","DateFormat=P","Fill=—","Direction=H","UseDPDF=Y")</f>
        <v>—</v>
      </c>
      <c r="AH25" s="21" t="str">
        <f>_xll.BDH("ADSK US Equity","SUSTAIN_GROWTH_RT","FQ1 2020","FQ1 2020","Currency=USD","Period=FQ","BEST_FPERIOD_OVERRIDE=FQ","FILING_STATUS=MR","FA_ADJUSTED=GAAP","Sort=A","Dates=H","DateFormat=P","Fill=—","Direction=H","UseDPDF=Y")</f>
        <v>—</v>
      </c>
      <c r="AI25" s="21" t="str">
        <f>_xll.BDH("ADSK US Equity","SUSTAIN_GROWTH_RT","FQ2 2020","FQ2 2020","Currency=USD","Period=FQ","BEST_FPERIOD_OVERRIDE=FQ","FILING_STATUS=MR","FA_ADJUSTED=GAAP","Sort=A","Dates=H","DateFormat=P","Fill=—","Direction=H","UseDPDF=Y")</f>
        <v>—</v>
      </c>
      <c r="AJ25" s="21" t="str">
        <f>_xll.BDH("ADSK US Equity","SUSTAIN_GROWTH_RT","FQ3 2020","FQ3 2020","Currency=USD","Period=FQ","BEST_FPERIOD_OVERRIDE=FQ","FILING_STATUS=MR","FA_ADJUSTED=GAAP","Sort=A","Dates=H","DateFormat=P","Fill=—","Direction=H","UseDPDF=Y")</f>
        <v>—</v>
      </c>
      <c r="AK25" s="21" t="str">
        <f>_xll.BDH("ADSK US Equity","SUSTAIN_GROWTH_RT","FQ4 2020","FQ4 2020","Currency=USD","Period=FQ","BEST_FPERIOD_OVERRIDE=FQ","FILING_STATUS=MR","FA_ADJUSTED=GAAP","Sort=A","Dates=H","DateFormat=P","Fill=—","Direction=H","UseDPDF=Y")</f>
        <v>—</v>
      </c>
      <c r="AL25" s="21" t="str">
        <f>_xll.BDH("ADSK US Equity","SUSTAIN_GROWTH_RT","FQ1 2021","FQ1 2021","Currency=USD","Period=FQ","BEST_FPERIOD_OVERRIDE=FQ","FILING_STATUS=MR","FA_ADJUSTED=GAAP","Sort=A","Dates=H","DateFormat=P","Fill=—","Direction=H","UseDPDF=Y")</f>
        <v>—</v>
      </c>
      <c r="AM25" s="21" t="str">
        <f>_xll.BDH("ADSK US Equity","SUSTAIN_GROWTH_RT","FQ2 2021","FQ2 2021","Currency=USD","Period=FQ","BEST_FPERIOD_OVERRIDE=FQ","FILING_STATUS=MR","FA_ADJUSTED=GAAP","Sort=A","Dates=H","DateFormat=P","Fill=—","Direction=H","UseDPDF=Y")</f>
        <v>—</v>
      </c>
      <c r="AN25" s="21" t="str">
        <f>_xll.BDH("ADSK US Equity","SUSTAIN_GROWTH_RT","FQ3 2021","FQ3 2021","Currency=USD","Period=FQ","BEST_FPERIOD_OVERRIDE=FQ","FILING_STATUS=MR","FA_ADJUSTED=GAAP","Sort=A","Dates=H","DateFormat=P","Fill=—","Direction=H","UseDPDF=Y")</f>
        <v>—</v>
      </c>
      <c r="AO25" s="21" t="str">
        <f>_xll.BDH("ADSK US Equity","SUSTAIN_GROWTH_RT","FQ4 2021","FQ4 2021","Currency=USD","Period=FQ","BEST_FPERIOD_OVERRIDE=FQ","FILING_STATUS=MR","FA_ADJUSTED=GAAP","Sort=A","Dates=H","DateFormat=P","Fill=—","Direction=H","UseDPDF=Y")</f>
        <v>—</v>
      </c>
      <c r="AP25" s="21" t="str">
        <f>_xll.BDH("ADSK US Equity","SUSTAIN_GROWTH_RT","FQ1 2022","FQ1 2022","Currency=USD","Period=FQ","BEST_FPERIOD_OVERRIDE=FQ","FILING_STATUS=MR","FA_ADJUSTED=GAAP","Sort=A","Dates=H","DateFormat=P","Fill=—","Direction=H","UseDPDF=Y")</f>
        <v>—</v>
      </c>
    </row>
    <row r="26" spans="1:42" x14ac:dyDescent="0.25">
      <c r="A26" s="15" t="s">
        <v>117</v>
      </c>
      <c r="B26" s="15"/>
      <c r="C26" s="15" t="s"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158</v>
      </c>
      <c r="D4" s="3" t="s">
        <v>157</v>
      </c>
      <c r="E4" s="3" t="s">
        <v>156</v>
      </c>
      <c r="F4" s="3" t="s">
        <v>155</v>
      </c>
      <c r="G4" s="3" t="s">
        <v>154</v>
      </c>
      <c r="H4" s="3" t="s">
        <v>153</v>
      </c>
      <c r="I4" s="3" t="s">
        <v>152</v>
      </c>
      <c r="J4" s="3" t="s">
        <v>151</v>
      </c>
      <c r="K4" s="3" t="s">
        <v>150</v>
      </c>
      <c r="L4" s="3" t="s">
        <v>149</v>
      </c>
      <c r="M4" s="3" t="s">
        <v>148</v>
      </c>
      <c r="N4" s="3" t="s">
        <v>147</v>
      </c>
      <c r="O4" s="3" t="s">
        <v>146</v>
      </c>
      <c r="P4" s="3" t="s">
        <v>145</v>
      </c>
      <c r="Q4" s="3" t="s">
        <v>144</v>
      </c>
      <c r="R4" s="3" t="s">
        <v>143</v>
      </c>
      <c r="S4" s="3" t="s">
        <v>142</v>
      </c>
      <c r="T4" s="3" t="s">
        <v>141</v>
      </c>
      <c r="U4" s="3" t="s">
        <v>140</v>
      </c>
      <c r="V4" s="3" t="s">
        <v>139</v>
      </c>
      <c r="W4" s="3" t="s">
        <v>138</v>
      </c>
      <c r="X4" s="3" t="s">
        <v>137</v>
      </c>
      <c r="Y4" s="3" t="s">
        <v>136</v>
      </c>
      <c r="Z4" s="3" t="s">
        <v>135</v>
      </c>
      <c r="AA4" s="3" t="s">
        <v>134</v>
      </c>
      <c r="AB4" s="3" t="s">
        <v>133</v>
      </c>
      <c r="AC4" s="3" t="s">
        <v>132</v>
      </c>
      <c r="AD4" s="3" t="s">
        <v>131</v>
      </c>
      <c r="AE4" s="3" t="s">
        <v>130</v>
      </c>
      <c r="AF4" s="3" t="s">
        <v>129</v>
      </c>
      <c r="AG4" s="3" t="s">
        <v>128</v>
      </c>
      <c r="AH4" s="3" t="s">
        <v>127</v>
      </c>
      <c r="AI4" s="3" t="s">
        <v>126</v>
      </c>
      <c r="AJ4" s="3" t="s">
        <v>125</v>
      </c>
      <c r="AK4" s="3" t="s">
        <v>124</v>
      </c>
      <c r="AL4" s="3" t="s">
        <v>123</v>
      </c>
      <c r="AM4" s="3" t="s">
        <v>122</v>
      </c>
      <c r="AN4" s="3" t="s">
        <v>121</v>
      </c>
      <c r="AO4" s="3" t="s">
        <v>120</v>
      </c>
      <c r="AP4" s="3" t="s">
        <v>119</v>
      </c>
    </row>
    <row r="5" spans="1:42" x14ac:dyDescent="0.25">
      <c r="A5" s="4" t="s">
        <v>118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7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" x14ac:dyDescent="0.25">
      <c r="A8" s="7" t="s">
        <v>91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x14ac:dyDescent="0.25">
      <c r="A9" s="8" t="s">
        <v>92</v>
      </c>
      <c r="B9" s="8" t="s">
        <v>93</v>
      </c>
      <c r="C9" s="21">
        <f>_xll.BDP("ADSK US Equity","GROSS_MARGIN","EQY_FUND_YEAR=2012","FUND_PER=C2","EQY_FUND_CRNCY=USD","FILING_STATUS=MR","FA_ADJUSTED=GAAP","Fill=—")</f>
        <v>89.57751721570817</v>
      </c>
      <c r="D9" s="21">
        <f>_xll.BDP("ADSK US Equity","GROSS_MARGIN","EQY_FUND_YEAR=2012","FUND_PER=C3","EQY_FUND_CRNCY=USD","FILING_STATUS=MR","FA_ADJUSTED=GAAP","Fill=—")</f>
        <v>89.42828979793002</v>
      </c>
      <c r="E9" s="21">
        <f>_xll.BDP("ADSK US Equity","GROSS_MARGIN","EQY_FUND_YEAR=2012","FUND_PER=C4","EQY_FUND_CRNCY=USD","FILING_STATUS=MR","FA_ADJUSTED=GAAP","Fill=—")</f>
        <v>89.659685863874344</v>
      </c>
      <c r="F9" s="21">
        <f>_xll.BDP("ADSK US Equity","GROSS_MARGIN","EQY_FUND_YEAR=2013","FUND_PER=C1","EQY_FUND_CRNCY=USD","FILING_STATUS=MR","FA_ADJUSTED=GAAP","Fill=—")</f>
        <v>90.010193679918444</v>
      </c>
      <c r="G9" s="21">
        <f>_xll.BDP("ADSK US Equity","GROSS_MARGIN","EQY_FUND_YEAR=2013","FUND_PER=C2","EQY_FUND_CRNCY=USD","FILING_STATUS=MR","FA_ADJUSTED=GAAP","Fill=—")</f>
        <v>89.752008986433935</v>
      </c>
      <c r="H9" s="21">
        <f>_xll.BDP("ADSK US Equity","GROSS_MARGIN","EQY_FUND_YEAR=2013","FUND_PER=C3","EQY_FUND_CRNCY=USD","FILING_STATUS=MR","FA_ADJUSTED=GAAP","Fill=—")</f>
        <v>89.649914970972858</v>
      </c>
      <c r="I9" s="21">
        <f>_xll.BDP("ADSK US Equity","GROSS_MARGIN","EQY_FUND_YEAR=2013","FUND_PER=C4","EQY_FUND_CRNCY=USD","FILING_STATUS=MR","FA_ADJUSTED=GAAP","Fill=—")</f>
        <v>89.685148343568898</v>
      </c>
      <c r="J9" s="21">
        <f>_xll.BDP("ADSK US Equity","GROSS_MARGIN","EQY_FUND_YEAR=2014","FUND_PER=C1","EQY_FUND_CRNCY=USD","FILING_STATUS=MR","FA_ADJUSTED=GAAP","Fill=—")</f>
        <v>88.16619915848527</v>
      </c>
      <c r="K9" s="21">
        <f>_xll.BDP("ADSK US Equity","GROSS_MARGIN","EQY_FUND_YEAR=2014","FUND_PER=C2","EQY_FUND_CRNCY=USD","FILING_STATUS=MR","FA_ADJUSTED=GAAP","Fill=—")</f>
        <v>88.048758943556209</v>
      </c>
      <c r="L9" s="21">
        <f>_xll.BDP("ADSK US Equity","GROSS_MARGIN","EQY_FUND_YEAR=2014","FUND_PER=C3","EQY_FUND_CRNCY=USD","FILING_STATUS=MR","FA_ADJUSTED=GAAP","Fill=—")</f>
        <v>88.004504237539265</v>
      </c>
      <c r="M9" s="21">
        <f>_xll.BDP("ADSK US Equity","GROSS_MARGIN","EQY_FUND_YEAR=2014","FUND_PER=C4","EQY_FUND_CRNCY=USD","FILING_STATUS=MR","FA_ADJUSTED=GAAP","Fill=—")</f>
        <v>87.93702449536039</v>
      </c>
      <c r="N9" s="21">
        <f>_xll.BDP("ADSK US Equity","GROSS_MARGIN","EQY_FUND_YEAR=2015","FUND_PER=C1","EQY_FUND_CRNCY=USD","FILING_STATUS=MR","FA_ADJUSTED=GAAP","Fill=—")</f>
        <v>86.71729957805907</v>
      </c>
      <c r="O9" s="21">
        <f>_xll.BDP("ADSK US Equity","GROSS_MARGIN","EQY_FUND_YEAR=2015","FUND_PER=C2","EQY_FUND_CRNCY=USD","FILING_STATUS=MR","FA_ADJUSTED=GAAP","Fill=—")</f>
        <v>86.450878334417695</v>
      </c>
      <c r="P9" s="21">
        <f>_xll.BDP("ADSK US Equity","GROSS_MARGIN","EQY_FUND_YEAR=2015","FUND_PER=C3","EQY_FUND_CRNCY=USD","FILING_STATUS=MR","FA_ADJUSTED=GAAP","Fill=—")</f>
        <v>86.328209569170824</v>
      </c>
      <c r="Q9" s="21">
        <f>_xll.BDP("ADSK US Equity","GROSS_MARGIN","EQY_FUND_YEAR=2015","FUND_PER=C4","EQY_FUND_CRNCY=USD","FILING_STATUS=MR","FA_ADJUSTED=GAAP","Fill=—")</f>
        <v>86.382453626303629</v>
      </c>
      <c r="R9" s="21">
        <f>_xll.BDP("ADSK US Equity","GROSS_MARGIN","EQY_FUND_YEAR=2016","FUND_PER=C1","EQY_FUND_CRNCY=USD","FILING_STATUS=MR","FA_ADJUSTED=GAAP","Fill=—")</f>
        <v>85.800464037122964</v>
      </c>
      <c r="S9" s="21">
        <f>_xll.BDP("ADSK US Equity","GROSS_MARGIN","EQY_FUND_YEAR=2016","FUND_PER=C2","EQY_FUND_CRNCY=USD","FILING_STATUS=MR","FA_ADJUSTED=GAAP","Fill=—")</f>
        <v>85.286624203821646</v>
      </c>
      <c r="T9" s="21">
        <f>_xll.BDP("ADSK US Equity","GROSS_MARGIN","EQY_FUND_YEAR=2016","FUND_PER=C3","EQY_FUND_CRNCY=USD","FILING_STATUS=MR","FA_ADJUSTED=GAAP","Fill=—")</f>
        <v>85.138484750511907</v>
      </c>
      <c r="U9" s="21">
        <f>_xll.BDP("ADSK US Equity","GROSS_MARGIN","EQY_FUND_YEAR=2016","FUND_PER=C4","EQY_FUND_CRNCY=USD","FILING_STATUS=MR","FA_ADJUSTED=GAAP","Fill=—")</f>
        <v>85.196278103909592</v>
      </c>
      <c r="V9" s="21">
        <f>_xll.BDP("ADSK US Equity","GROSS_MARGIN","EQY_FUND_YEAR=2017","FUND_PER=C1","EQY_FUND_CRNCY=USD","FILING_STATUS=MR","FA_ADJUSTED=GAAP","Fill=—")</f>
        <v>81.949599531158427</v>
      </c>
      <c r="W9" s="21">
        <f>_xll.BDP("ADSK US Equity","GROSS_MARGIN","EQY_FUND_YEAR=2017","FUND_PER=C2","EQY_FUND_CRNCY=USD","FILING_STATUS=MR","FA_ADJUSTED=GAAP","Fill=—")</f>
        <v>83.295689817428936</v>
      </c>
      <c r="X9" s="21">
        <f>_xll.BDP("ADSK US Equity","GROSS_MARGIN","EQY_FUND_YEAR=2017","FUND_PER=C3","EQY_FUND_CRNCY=USD","FILING_STATUS=MR","FA_ADJUSTED=GAAP","Fill=—")</f>
        <v>83.31400592707125</v>
      </c>
      <c r="Y9" s="21">
        <f>_xll.BDP("ADSK US Equity","GROSS_MARGIN","EQY_FUND_YEAR=2017","FUND_PER=C4","EQY_FUND_CRNCY=USD","FILING_STATUS=MR","FA_ADJUSTED=GAAP","Fill=—")</f>
        <v>83.165928114229445</v>
      </c>
      <c r="Z9" s="21">
        <f>_xll.BDP("ADSK US Equity","GROSS_MARGIN","EQY_FUND_YEAR=2018","FUND_PER=C1","EQY_FUND_CRNCY=USD","FILING_STATUS=MR","FA_ADJUSTED=GAAP","Fill=—")</f>
        <v>83.899526456660496</v>
      </c>
      <c r="AA9" s="21">
        <f>_xll.BDP("ADSK US Equity","GROSS_MARGIN","EQY_FUND_YEAR=2018","FUND_PER=C2","EQY_FUND_CRNCY=USD","FILING_STATUS=MR","FA_ADJUSTED=GAAP","Fill=—")</f>
        <v>84.526582278481015</v>
      </c>
      <c r="AB9" s="21">
        <f>_xll.BDP("ADSK US Equity","GROSS_MARGIN","EQY_FUND_YEAR=2018","FUND_PER=C3","EQY_FUND_CRNCY=USD","FILING_STATUS=MR","FA_ADJUSTED=GAAP","Fill=—")</f>
        <v>84.67527282406175</v>
      </c>
      <c r="AC9" s="21">
        <f>_xll.BDP("ADSK US Equity","GROSS_MARGIN","EQY_FUND_YEAR=2018","FUND_PER=C4","EQY_FUND_CRNCY=USD","FILING_STATUS=MR","FA_ADJUSTED=GAAP","Fill=—")</f>
        <v>85.247495866964897</v>
      </c>
      <c r="AD9" s="21">
        <f>_xll.BDP("ADSK US Equity","GROSS_MARGIN","EQY_FUND_YEAR=2019","FUND_PER=C1","EQY_FUND_CRNCY=USD","FILING_STATUS=MR","FA_ADJUSTED=GAAP","Fill=—")</f>
        <v>88.069298088944464</v>
      </c>
      <c r="AE9" s="21">
        <f>_xll.BDP("ADSK US Equity","GROSS_MARGIN","EQY_FUND_YEAR=2019","FUND_PER=C2","EQY_FUND_CRNCY=USD","FILING_STATUS=MR","FA_ADJUSTED=GAAP","Fill=—")</f>
        <v>88.340730624786616</v>
      </c>
      <c r="AF9" s="21">
        <f>_xll.BDP("ADSK US Equity","GROSS_MARGIN","EQY_FUND_YEAR=2019","FUND_PER=C3","EQY_FUND_CRNCY=USD","FILING_STATUS=MR","FA_ADJUSTED=GAAP","Fill=—")</f>
        <v>88.60027285129604</v>
      </c>
      <c r="AG9" s="21">
        <f>_xll.BDP("ADSK US Equity","GROSS_MARGIN","EQY_FUND_YEAR=2019","FUND_PER=C4","EQY_FUND_CRNCY=USD","FILING_STATUS=MR","FA_ADJUSTED=GAAP","Fill=—")</f>
        <v>88.874620593042266</v>
      </c>
      <c r="AH9" s="21">
        <f>_xll.BDP("ADSK US Equity","GROSS_MARGIN","EQY_FUND_YEAR=2020","FUND_PER=C1","EQY_FUND_CRNCY=USD","FILING_STATUS=MR","FA_ADJUSTED=GAAP","Fill=—")</f>
        <v>88.755948334466353</v>
      </c>
      <c r="AI9" s="21">
        <f>_xll.BDP("ADSK US Equity","GROSS_MARGIN","EQY_FUND_YEAR=2020","FUND_PER=C2","EQY_FUND_CRNCY=USD","FILING_STATUS=MR","FA_ADJUSTED=GAAP","Fill=—")</f>
        <v>89.414605495007507</v>
      </c>
      <c r="AJ9" s="21">
        <f>_xll.BDP("ADSK US Equity","GROSS_MARGIN","EQY_FUND_YEAR=2020","FUND_PER=C3","EQY_FUND_CRNCY=USD","FILING_STATUS=MR","FA_ADJUSTED=GAAP","Fill=—")</f>
        <v>89.823157894736838</v>
      </c>
      <c r="AK9" s="21">
        <f>_xll.BDP("ADSK US Equity","GROSS_MARGIN","EQY_FUND_YEAR=2020","FUND_PER=C4","EQY_FUND_CRNCY=USD","FILING_STATUS=MR","FA_ADJUSTED=GAAP","Fill=—")</f>
        <v>90.077268423785242</v>
      </c>
      <c r="AL9" s="21">
        <f>_xll.BDP("ADSK US Equity","GROSS_MARGIN","EQY_FUND_YEAR=2021","FUND_PER=C1","EQY_FUND_CRNCY=USD","FILING_STATUS=MR","FA_ADJUSTED=GAAP","Fill=—")</f>
        <v>90.753076662526809</v>
      </c>
      <c r="AM9" s="21">
        <f>_xll.BDP("ADSK US Equity","GROSS_MARGIN","EQY_FUND_YEAR=2021","FUND_PER=C2","EQY_FUND_CRNCY=USD","FILING_STATUS=MR","FA_ADJUSTED=GAAP","Fill=—")</f>
        <v>90.949521903491217</v>
      </c>
      <c r="AN9" s="21">
        <f>_xll.BDP("ADSK US Equity","GROSS_MARGIN","EQY_FUND_YEAR=2021","FUND_PER=C3","EQY_FUND_CRNCY=USD","FILING_STATUS=MR","FA_ADJUSTED=GAAP","Fill=—")</f>
        <v>91.040273335271877</v>
      </c>
      <c r="AO9" s="21">
        <f>_xll.BDP("ADSK US Equity","GROSS_MARGIN","EQY_FUND_YEAR=2021","FUND_PER=C4","EQY_FUND_CRNCY=USD","FILING_STATUS=MR","FA_ADJUSTED=GAAP","Fill=—")</f>
        <v>91.106479527226682</v>
      </c>
      <c r="AP9" s="21">
        <f>_xll.BDP("ADSK US Equity","GROSS_MARGIN","EQY_FUND_YEAR=2022","FUND_PER=C1","EQY_FUND_CRNCY=USD","FILING_STATUS=MR","FA_ADJUSTED=GAAP","Fill=—")</f>
        <v>90.619630041443443</v>
      </c>
    </row>
    <row r="10" spans="1:42" x14ac:dyDescent="0.25">
      <c r="A10" s="8" t="s">
        <v>94</v>
      </c>
      <c r="B10" s="8" t="s">
        <v>95</v>
      </c>
      <c r="C10" s="21">
        <f>_xll.BDP("ADSK US Equity","EBITDA_TO_REVENUE","EQY_FUND_YEAR=2012","FUND_PER=C2","EQY_FUND_CRNCY=USD","FILING_STATUS=MR","FA_ADJUSTED=GAAP","Fill=—")</f>
        <v>21.198585520193564</v>
      </c>
      <c r="D10" s="21">
        <f>_xll.BDP("ADSK US Equity","EBITDA_TO_REVENUE","EQY_FUND_YEAR=2012","FUND_PER=C3","EQY_FUND_CRNCY=USD","FILING_STATUS=MR","FA_ADJUSTED=GAAP","Fill=—")</f>
        <v>21.500739280433713</v>
      </c>
      <c r="E10" s="21">
        <f>_xll.BDP("ADSK US Equity","EBITDA_TO_REVENUE","EQY_FUND_YEAR=2012","FUND_PER=C4","EQY_FUND_CRNCY=USD","FILING_STATUS=MR","FA_ADJUSTED=GAAP","Fill=—")</f>
        <v>21.262863332731541</v>
      </c>
      <c r="F10" s="21">
        <f>_xll.BDP("ADSK US Equity","EBITDA_TO_REVENUE","EQY_FUND_YEAR=2013","FUND_PER=C1","EQY_FUND_CRNCY=USD","FILING_STATUS=MR","FA_ADJUSTED=GAAP","Fill=—")</f>
        <v>20.931022765885153</v>
      </c>
      <c r="G10" s="21">
        <f>_xll.BDP("ADSK US Equity","EBITDA_TO_REVENUE","EQY_FUND_YEAR=2013","FUND_PER=C2","EQY_FUND_CRNCY=USD","FILING_STATUS=MR","FA_ADJUSTED=GAAP","Fill=—")</f>
        <v>21.169964572712349</v>
      </c>
      <c r="H10" s="21">
        <f>_xll.BDP("ADSK US Equity","EBITDA_TO_REVENUE","EQY_FUND_YEAR=2013","FUND_PER=C3","EQY_FUND_CRNCY=USD","FILING_STATUS=MR","FA_ADJUSTED=GAAP","Fill=—")</f>
        <v>18.43663871459567</v>
      </c>
      <c r="I10" s="21">
        <f>_xll.BDP("ADSK US Equity","EBITDA_TO_REVENUE","EQY_FUND_YEAR=2013","FUND_PER=C4","EQY_FUND_CRNCY=USD","FILING_STATUS=MR","FA_ADJUSTED=GAAP","Fill=—")</f>
        <v>18.757027938759624</v>
      </c>
      <c r="J10" s="21">
        <f>_xll.BDP("ADSK US Equity","EBITDA_TO_REVENUE","EQY_FUND_YEAR=2014","FUND_PER=C1","EQY_FUND_CRNCY=USD","FILING_STATUS=MR","FA_ADJUSTED=GAAP","Fill=—")</f>
        <v>20.073632538569424</v>
      </c>
      <c r="K10" s="21">
        <f>_xll.BDP("ADSK US Equity","EBITDA_TO_REVENUE","EQY_FUND_YEAR=2014","FUND_PER=C2","EQY_FUND_CRNCY=USD","FILING_STATUS=MR","FA_ADJUSTED=GAAP","Fill=—")</f>
        <v>20.325059623708157</v>
      </c>
      <c r="L10" s="21">
        <f>_xll.BDP("ADSK US Equity","EBITDA_TO_REVENUE","EQY_FUND_YEAR=2014","FUND_PER=C3","EQY_FUND_CRNCY=USD","FILING_STATUS=MR","FA_ADJUSTED=GAAP","Fill=—")</f>
        <v>19.486753985657561</v>
      </c>
      <c r="M10" s="21">
        <f>_xll.BDP("ADSK US Equity","EBITDA_TO_REVENUE","EQY_FUND_YEAR=2014","FUND_PER=C4","EQY_FUND_CRNCY=USD","FILING_STATUS=MR","FA_ADJUSTED=GAAP","Fill=—")</f>
        <v>18.193412199305158</v>
      </c>
      <c r="N10" s="21">
        <f>_xll.BDP("ADSK US Equity","EBITDA_TO_REVENUE","EQY_FUND_YEAR=2015","FUND_PER=C1","EQY_FUND_CRNCY=USD","FILING_STATUS=MR","FA_ADJUSTED=GAAP","Fill=—")</f>
        <v>13.215189873417724</v>
      </c>
      <c r="O10" s="21">
        <f>_xll.BDP("ADSK US Equity","EBITDA_TO_REVENUE","EQY_FUND_YEAR=2015","FUND_PER=C2","EQY_FUND_CRNCY=USD","FILING_STATUS=MR","FA_ADJUSTED=GAAP","Fill=—")</f>
        <v>13.45152895250488</v>
      </c>
      <c r="P10" s="21">
        <f>_xll.BDP("ADSK US Equity","EBITDA_TO_REVENUE","EQY_FUND_YEAR=2015","FUND_PER=C3","EQY_FUND_CRNCY=USD","FILING_STATUS=MR","FA_ADJUSTED=GAAP","Fill=—")</f>
        <v>11.723316735224076</v>
      </c>
      <c r="Q10" s="21">
        <f>_xll.BDP("ADSK US Equity","EBITDA_TO_REVENUE","EQY_FUND_YEAR=2015","FUND_PER=C4","EQY_FUND_CRNCY=USD","FILING_STATUS=MR","FA_ADJUSTED=GAAP","Fill=—")</f>
        <v>10.612212403471064</v>
      </c>
      <c r="R10" s="21">
        <f>_xll.BDP("ADSK US Equity","EBITDA_TO_REVENUE","EQY_FUND_YEAR=2016","FUND_PER=C1","EQY_FUND_CRNCY=USD","FILING_STATUS=MR","FA_ADJUSTED=GAAP","Fill=—")</f>
        <v>9.1724671307037884</v>
      </c>
      <c r="S10" s="21">
        <f>_xll.BDP("ADSK US Equity","EBITDA_TO_REVENUE","EQY_FUND_YEAR=2016","FUND_PER=C2","EQY_FUND_CRNCY=USD","FILING_STATUS=MR","FA_ADJUSTED=GAAP","Fill=—")</f>
        <v>7.9458598726114644</v>
      </c>
      <c r="T10" s="21">
        <f>_xll.BDP("ADSK US Equity","EBITDA_TO_REVENUE","EQY_FUND_YEAR=2016","FUND_PER=C3","EQY_FUND_CRNCY=USD","FILING_STATUS=MR","FA_ADJUSTED=GAAP","Fill=—")</f>
        <v>6.503933613535942</v>
      </c>
      <c r="U10" s="21">
        <f>_xll.BDP("ADSK US Equity","EBITDA_TO_REVENUE","EQY_FUND_YEAR=2016","FUND_PER=C4","EQY_FUND_CRNCY=USD","FILING_STATUS=MR","FA_ADJUSTED=GAAP","Fill=—")</f>
        <v>5.8743660396949009</v>
      </c>
      <c r="V10" s="21">
        <f>_xll.BDP("ADSK US Equity","EBITDA_TO_REVENUE","EQY_FUND_YEAR=2017","FUND_PER=C1","EQY_FUND_CRNCY=USD","FILING_STATUS=MR","FA_ADJUSTED=GAAP","Fill=—")</f>
        <v>-21.937878491892945</v>
      </c>
      <c r="W10" s="21">
        <f>_xll.BDP("ADSK US Equity","EBITDA_TO_REVENUE","EQY_FUND_YEAR=2017","FUND_PER=C2","EQY_FUND_CRNCY=USD","FILING_STATUS=MR","FA_ADJUSTED=GAAP","Fill=—")</f>
        <v>-13.382269904009034</v>
      </c>
      <c r="X10" s="21">
        <f>_xll.BDP("ADSK US Equity","EBITDA_TO_REVENUE","EQY_FUND_YEAR=2017","FUND_PER=C3","EQY_FUND_CRNCY=USD","FILING_STATUS=MR","FA_ADJUSTED=GAAP","Fill=—")</f>
        <v>-14.688828759180517</v>
      </c>
      <c r="Y10" s="21">
        <f>_xll.BDP("ADSK US Equity","EBITDA_TO_REVENUE","EQY_FUND_YEAR=2017","FUND_PER=C4","EQY_FUND_CRNCY=USD","FILING_STATUS=MR","FA_ADJUSTED=GAAP","Fill=—")</f>
        <v>-17.74495322501231</v>
      </c>
      <c r="Z10" s="21">
        <f>_xll.BDP("ADSK US Equity","EBITDA_TO_REVENUE","EQY_FUND_YEAR=2018","FUND_PER=C1","EQY_FUND_CRNCY=USD","FILING_STATUS=MR","FA_ADJUSTED=GAAP","Fill=—")</f>
        <v>-18.777022853613339</v>
      </c>
      <c r="AA10" s="21">
        <f>_xll.BDP("ADSK US Equity","EBITDA_TO_REVENUE","EQY_FUND_YEAR=2018","FUND_PER=C2","EQY_FUND_CRNCY=USD","FILING_STATUS=MR","FA_ADJUSTED=GAAP","Fill=—")</f>
        <v>-17.255696202531642</v>
      </c>
      <c r="AB10" s="21">
        <f>_xll.BDP("ADSK US Equity","EBITDA_TO_REVENUE","EQY_FUND_YEAR=2018","FUND_PER=C3","EQY_FUND_CRNCY=USD","FILING_STATUS=MR","FA_ADJUSTED=GAAP","Fill=—")</f>
        <v>-16.349480968858131</v>
      </c>
      <c r="AC10" s="21">
        <f>_xll.BDP("ADSK US Equity","EBITDA_TO_REVENUE","EQY_FUND_YEAR=2018","FUND_PER=C4","EQY_FUND_CRNCY=USD","FILING_STATUS=MR","FA_ADJUSTED=GAAP","Fill=—")</f>
        <v>-19.483613731401345</v>
      </c>
      <c r="AD10" s="21">
        <f>_xll.BDP("ADSK US Equity","EBITDA_TO_REVENUE","EQY_FUND_YEAR=2019","FUND_PER=C1","EQY_FUND_CRNCY=USD","FILING_STATUS=MR","FA_ADJUSTED=GAAP","Fill=—")</f>
        <v>-5.5724236470798347</v>
      </c>
      <c r="AE10" s="21">
        <f>_xll.BDP("ADSK US Equity","EBITDA_TO_REVENUE","EQY_FUND_YEAR=2019","FUND_PER=C2","EQY_FUND_CRNCY=USD","FILING_STATUS=MR","FA_ADJUSTED=GAAP","Fill=—")</f>
        <v>-2.8764083304882218</v>
      </c>
      <c r="AF10" s="21">
        <f>_xll.BDP("ADSK US Equity","EBITDA_TO_REVENUE","EQY_FUND_YEAR=2019","FUND_PER=C3","EQY_FUND_CRNCY=USD","FILING_STATUS=MR","FA_ADJUSTED=GAAP","Fill=—")</f>
        <v>0.24556616643929058</v>
      </c>
      <c r="AG10" s="21">
        <f>_xll.BDP("ADSK US Equity","EBITDA_TO_REVENUE","EQY_FUND_YEAR=2019","FUND_PER=C4","EQY_FUND_CRNCY=USD","FILING_STATUS=MR","FA_ADJUSTED=GAAP","Fill=—")</f>
        <v>2.7317300957272939</v>
      </c>
      <c r="AH10" s="21">
        <f>_xll.BDP("ADSK US Equity","EBITDA_TO_REVENUE","EQY_FUND_YEAR=2020","FUND_PER=C1","EQY_FUND_CRNCY=USD","FILING_STATUS=MR","FA_ADJUSTED=GAAP","Fill=—")</f>
        <v>10.577838205302514</v>
      </c>
      <c r="AI10" s="21">
        <f>_xll.BDP("ADSK US Equity","EBITDA_TO_REVENUE","EQY_FUND_YEAR=2020","FUND_PER=C2","EQY_FUND_CRNCY=USD","FILING_STATUS=MR","FA_ADJUSTED=GAAP","Fill=—")</f>
        <v>13.404685766494811</v>
      </c>
      <c r="AJ10" s="21">
        <f>_xll.BDP("ADSK US Equity","EBITDA_TO_REVENUE","EQY_FUND_YEAR=2020","FUND_PER=C3","EQY_FUND_CRNCY=USD","FILING_STATUS=MR","FA_ADJUSTED=GAAP","Fill=—")</f>
        <v>15.549473684210527</v>
      </c>
      <c r="AK10" s="21">
        <f>_xll.BDP("ADSK US Equity","EBITDA_TO_REVENUE","EQY_FUND_YEAR=2020","FUND_PER=C4","EQY_FUND_CRNCY=USD","FILING_STATUS=MR","FA_ADJUSTED=GAAP","Fill=—")</f>
        <v>17.014323672235289</v>
      </c>
      <c r="AL10" s="21">
        <f>_xll.BDP("ADSK US Equity","EBITDA_TO_REVENUE","EQY_FUND_YEAR=2021","FUND_PER=C1","EQY_FUND_CRNCY=USD","FILING_STATUS=MR","FA_ADJUSTED=GAAP","Fill=—")</f>
        <v>21.011629219826126</v>
      </c>
      <c r="AM10" s="21">
        <f>_xll.BDP("ADSK US Equity","EBITDA_TO_REVENUE","EQY_FUND_YEAR=2021","FUND_PER=C2","EQY_FUND_CRNCY=USD","FILING_STATUS=MR","FA_ADJUSTED=GAAP","Fill=—")</f>
        <v>21.508783633533465</v>
      </c>
      <c r="AN10" s="21">
        <f>_xll.BDP("ADSK US Equity","EBITDA_TO_REVENUE","EQY_FUND_YEAR=2021","FUND_PER=C3","EQY_FUND_CRNCY=USD","FILING_STATUS=MR","FA_ADJUSTED=GAAP","Fill=—")</f>
        <v>22.281186391392851</v>
      </c>
      <c r="AO10" s="21">
        <f>_xll.BDP("ADSK US Equity","EBITDA_TO_REVENUE","EQY_FUND_YEAR=2021","FUND_PER=C4","EQY_FUND_CRNCY=USD","FILING_STATUS=MR","FA_ADJUSTED=GAAP","Fill=—")</f>
        <v>22.538518362178134</v>
      </c>
      <c r="AP10" s="21">
        <f>_xll.BDP("ADSK US Equity","EBITDA_TO_REVENUE","EQY_FUND_YEAR=2022","FUND_PER=C1","EQY_FUND_CRNCY=USD","FILING_STATUS=MR","FA_ADJUSTED=GAAP","Fill=—")</f>
        <v>19.377337511371678</v>
      </c>
    </row>
    <row r="11" spans="1:42" x14ac:dyDescent="0.25">
      <c r="A11" s="6" t="s">
        <v>96</v>
      </c>
      <c r="B11" s="6" t="s">
        <v>95</v>
      </c>
      <c r="C11" s="23">
        <v>9.3874749385350995</v>
      </c>
      <c r="D11" s="23">
        <v>9.5891267672741698</v>
      </c>
      <c r="E11" s="23">
        <v>10.1402742268595</v>
      </c>
      <c r="F11" s="23">
        <v>7.2537280378236204</v>
      </c>
      <c r="G11" s="23">
        <v>-0.135013722141645</v>
      </c>
      <c r="H11" s="23">
        <v>-14.2511380655335</v>
      </c>
      <c r="I11" s="23">
        <v>-11.7850310186356</v>
      </c>
      <c r="J11" s="23">
        <v>-4.096264191196</v>
      </c>
      <c r="K11" s="23">
        <v>-3.99105525209891</v>
      </c>
      <c r="L11" s="23">
        <v>5.6958049674889297</v>
      </c>
      <c r="M11" s="23">
        <v>-3.0048257111947598</v>
      </c>
      <c r="N11" s="23">
        <v>-34.166426177065198</v>
      </c>
      <c r="O11" s="23">
        <v>-33.818010869340597</v>
      </c>
      <c r="P11" s="23">
        <v>-39.8395597337556</v>
      </c>
      <c r="Q11" s="23">
        <v>-41.670028689505799</v>
      </c>
      <c r="R11" s="23">
        <v>-30.591486009660098</v>
      </c>
      <c r="S11" s="23">
        <v>-40.929689108204698</v>
      </c>
      <c r="T11" s="23">
        <v>-44.521384178215101</v>
      </c>
      <c r="U11" s="23">
        <v>-44.645225707892003</v>
      </c>
      <c r="V11" s="23" t="s">
        <v>97</v>
      </c>
      <c r="W11" s="23" t="s">
        <v>97</v>
      </c>
      <c r="X11" s="23" t="s">
        <v>97</v>
      </c>
      <c r="Y11" s="23" t="s">
        <v>97</v>
      </c>
      <c r="Z11" s="23">
        <v>14.4082075759561</v>
      </c>
      <c r="AA11" s="23">
        <v>-28.944461589849901</v>
      </c>
      <c r="AB11" s="23">
        <v>-11.305543825174899</v>
      </c>
      <c r="AC11" s="23">
        <v>-9.7980592002695097</v>
      </c>
      <c r="AD11" s="23">
        <v>70.323176362940998</v>
      </c>
      <c r="AE11" s="23">
        <v>83.330675273834203</v>
      </c>
      <c r="AF11" s="23" t="s">
        <v>97</v>
      </c>
      <c r="AG11" s="23" t="s">
        <v>97</v>
      </c>
      <c r="AH11" s="23" t="s">
        <v>97</v>
      </c>
      <c r="AI11" s="23" t="s">
        <v>97</v>
      </c>
      <c r="AJ11" s="23">
        <v>6232.0956484203798</v>
      </c>
      <c r="AK11" s="23">
        <v>522.84061748415797</v>
      </c>
      <c r="AL11" s="23">
        <v>98.638218887451302</v>
      </c>
      <c r="AM11" s="23">
        <v>60.4572013100493</v>
      </c>
      <c r="AN11" s="23">
        <v>43.292216829971203</v>
      </c>
      <c r="AO11" s="23">
        <v>32.467901751488903</v>
      </c>
      <c r="AP11" s="23">
        <v>-7.7780309180216198</v>
      </c>
    </row>
    <row r="12" spans="1:42" x14ac:dyDescent="0.25">
      <c r="A12" s="8" t="s">
        <v>98</v>
      </c>
      <c r="B12" s="8" t="s">
        <v>99</v>
      </c>
      <c r="C12" s="21">
        <f>_xll.BDP("ADSK US Equity","OPER_MARGIN","EQY_FUND_YEAR=2012","FUND_PER=C2","EQY_FUND_CRNCY=USD","FILING_STATUS=MR","FA_ADJUSTED=GAAP","Fill=—")</f>
        <v>16.154848315652337</v>
      </c>
      <c r="D12" s="21">
        <f>_xll.BDP("ADSK US Equity","OPER_MARGIN","EQY_FUND_YEAR=2012","FUND_PER=C3","EQY_FUND_CRNCY=USD","FILING_STATUS=MR","FA_ADJUSTED=GAAP","Fill=—")</f>
        <v>16.251848201084279</v>
      </c>
      <c r="E12" s="21">
        <f>_xll.BDP("ADSK US Equity","OPER_MARGIN","EQY_FUND_YEAR=2012","FUND_PER=C4","EQY_FUND_CRNCY=USD","FILING_STATUS=MR","FA_ADJUSTED=GAAP","Fill=—")</f>
        <v>16.049828488896914</v>
      </c>
      <c r="F12" s="21">
        <f>_xll.BDP("ADSK US Equity","OPER_MARGIN","EQY_FUND_YEAR=2013","FUND_PER=C1","EQY_FUND_CRNCY=USD","FILING_STATUS=MR","FA_ADJUSTED=GAAP","Fill=—")</f>
        <v>15.970098538905878</v>
      </c>
      <c r="G12" s="21">
        <f>_xll.BDP("ADSK US Equity","OPER_MARGIN","EQY_FUND_YEAR=2013","FUND_PER=C2","EQY_FUND_CRNCY=USD","FILING_STATUS=MR","FA_ADJUSTED=GAAP","Fill=—")</f>
        <v>16.149658688326276</v>
      </c>
      <c r="H12" s="21">
        <f>_xll.BDP("ADSK US Equity","OPER_MARGIN","EQY_FUND_YEAR=2013","FUND_PER=C3","EQY_FUND_CRNCY=USD","FILING_STATUS=MR","FA_ADJUSTED=GAAP","Fill=—")</f>
        <v>12.977188764440276</v>
      </c>
      <c r="I12" s="21">
        <f>_xll.BDP("ADSK US Equity","OPER_MARGIN","EQY_FUND_YEAR=2013","FUND_PER=C4","EQY_FUND_CRNCY=USD","FILING_STATUS=MR","FA_ADJUSTED=GAAP","Fill=—")</f>
        <v>13.229824409653142</v>
      </c>
      <c r="J12" s="21">
        <f>_xll.BDP("ADSK US Equity","OPER_MARGIN","EQY_FUND_YEAR=2014","FUND_PER=C1","EQY_FUND_CRNCY=USD","FILING_STATUS=MR","FA_ADJUSTED=GAAP","Fill=—")</f>
        <v>14.27068723702665</v>
      </c>
      <c r="K12" s="21">
        <f>_xll.BDP("ADSK US Equity","OPER_MARGIN","EQY_FUND_YEAR=2014","FUND_PER=C2","EQY_FUND_CRNCY=USD","FILING_STATUS=MR","FA_ADJUSTED=GAAP","Fill=—")</f>
        <v>14.57468421517534</v>
      </c>
      <c r="L12" s="21">
        <f>_xll.BDP("ADSK US Equity","OPER_MARGIN","EQY_FUND_YEAR=2014","FUND_PER=C3","EQY_FUND_CRNCY=USD","FILING_STATUS=MR","FA_ADJUSTED=GAAP","Fill=—")</f>
        <v>13.81497066318971</v>
      </c>
      <c r="M12" s="21">
        <f>_xll.BDP("ADSK US Equity","OPER_MARGIN","EQY_FUND_YEAR=2014","FUND_PER=C4","EQY_FUND_CRNCY=USD","FILING_STATUS=MR","FA_ADJUSTED=GAAP","Fill=—")</f>
        <v>12.524737235586436</v>
      </c>
      <c r="N12" s="21">
        <f>_xll.BDP("ADSK US Equity","OPER_MARGIN","EQY_FUND_YEAR=2015","FUND_PER=C1","EQY_FUND_CRNCY=USD","FILING_STATUS=MR","FA_ADJUSTED=GAAP","Fill=—")</f>
        <v>7.1223628691983123</v>
      </c>
      <c r="O12" s="21">
        <f>_xll.BDP("ADSK US Equity","OPER_MARGIN","EQY_FUND_YEAR=2015","FUND_PER=C2","EQY_FUND_CRNCY=USD","FILING_STATUS=MR","FA_ADJUSTED=GAAP","Fill=—")</f>
        <v>7.4902407286922577</v>
      </c>
      <c r="P12" s="21">
        <f>_xll.BDP("ADSK US Equity","OPER_MARGIN","EQY_FUND_YEAR=2015","FUND_PER=C3","EQY_FUND_CRNCY=USD","FILING_STATUS=MR","FA_ADJUSTED=GAAP","Fill=—")</f>
        <v>5.7750595366962552</v>
      </c>
      <c r="Q12" s="21">
        <f>_xll.BDP("ADSK US Equity","OPER_MARGIN","EQY_FUND_YEAR=2015","FUND_PER=C4","EQY_FUND_CRNCY=USD","FILING_STATUS=MR","FA_ADJUSTED=GAAP","Fill=—")</f>
        <v>4.8045537775654807</v>
      </c>
      <c r="R12" s="21">
        <f>_xll.BDP("ADSK US Equity","OPER_MARGIN","EQY_FUND_YEAR=2016","FUND_PER=C1","EQY_FUND_CRNCY=USD","FILING_STATUS=MR","FA_ADJUSTED=GAAP","Fill=—")</f>
        <v>3.3255993812838365</v>
      </c>
      <c r="S12" s="21">
        <f>_xll.BDP("ADSK US Equity","OPER_MARGIN","EQY_FUND_YEAR=2016","FUND_PER=C2","EQY_FUND_CRNCY=USD","FILING_STATUS=MR","FA_ADJUSTED=GAAP","Fill=—")</f>
        <v>2.0541401273885351</v>
      </c>
      <c r="T12" s="21">
        <f>_xll.BDP("ADSK US Equity","OPER_MARGIN","EQY_FUND_YEAR=2016","FUND_PER=C3","EQY_FUND_CRNCY=USD","FILING_STATUS=MR","FA_ADJUSTED=GAAP","Fill=—")</f>
        <v>0.59273628623774122</v>
      </c>
      <c r="U12" s="21">
        <f>_xll.BDP("ADSK US Equity","OPER_MARGIN","EQY_FUND_YEAR=2016","FUND_PER=C4","EQY_FUND_CRNCY=USD","FILING_STATUS=MR","FA_ADJUSTED=GAAP","Fill=—")</f>
        <v>5.1914859630206464E-2</v>
      </c>
      <c r="V12" s="21">
        <f>_xll.BDP("ADSK US Equity","OPER_MARGIN","EQY_FUND_YEAR=2017","FUND_PER=C1","EQY_FUND_CRNCY=USD","FILING_STATUS=MR","FA_ADJUSTED=GAAP","Fill=—")</f>
        <v>-29.243992967376442</v>
      </c>
      <c r="W12" s="21">
        <f>_xll.BDP("ADSK US Equity","OPER_MARGIN","EQY_FUND_YEAR=2017","FUND_PER=C2","EQY_FUND_CRNCY=USD","FILING_STATUS=MR","FA_ADJUSTED=GAAP","Fill=—")</f>
        <v>-20.007528703180881</v>
      </c>
      <c r="X12" s="21">
        <f>_xll.BDP("ADSK US Equity","OPER_MARGIN","EQY_FUND_YEAR=2017","FUND_PER=C3","EQY_FUND_CRNCY=USD","FILING_STATUS=MR","FA_ADJUSTED=GAAP","Fill=—")</f>
        <v>-21.421208607138254</v>
      </c>
      <c r="Y12" s="21">
        <f>_xll.BDP("ADSK US Equity","OPER_MARGIN","EQY_FUND_YEAR=2017","FUND_PER=C4","EQY_FUND_CRNCY=USD","FILING_STATUS=MR","FA_ADJUSTED=GAAP","Fill=—")</f>
        <v>-24.598719842442147</v>
      </c>
      <c r="Z12" s="21">
        <f>_xll.BDP("ADSK US Equity","OPER_MARGIN","EQY_FUND_YEAR=2018","FUND_PER=C1","EQY_FUND_CRNCY=USD","FILING_STATUS=MR","FA_ADJUSTED=GAAP","Fill=—")</f>
        <v>-24.624253654519247</v>
      </c>
      <c r="AA12" s="21">
        <f>_xll.BDP("ADSK US Equity","OPER_MARGIN","EQY_FUND_YEAR=2018","FUND_PER=C2","EQY_FUND_CRNCY=USD","FILING_STATUS=MR","FA_ADJUSTED=GAAP","Fill=—")</f>
        <v>-23.007594936708859</v>
      </c>
      <c r="AB12" s="21">
        <f>_xll.BDP("ADSK US Equity","OPER_MARGIN","EQY_FUND_YEAR=2018","FUND_PER=C3","EQY_FUND_CRNCY=USD","FILING_STATUS=MR","FA_ADJUSTED=GAAP","Fill=—")</f>
        <v>-21.772690976843226</v>
      </c>
      <c r="AC12" s="21">
        <f>_xll.BDP("ADSK US Equity","OPER_MARGIN","EQY_FUND_YEAR=2018","FUND_PER=C4","EQY_FUND_CRNCY=USD","FILING_STATUS=MR","FA_ADJUSTED=GAAP","Fill=—")</f>
        <v>-24.75444909073228</v>
      </c>
      <c r="AD12" s="21">
        <f>_xll.BDP("ADSK US Equity","OPER_MARGIN","EQY_FUND_YEAR=2019","FUND_PER=C1","EQY_FUND_CRNCY=USD","FILING_STATUS=MR","FA_ADJUSTED=GAAP","Fill=—")</f>
        <v>-9.8767637078049653</v>
      </c>
      <c r="AE12" s="21">
        <f>_xll.BDP("ADSK US Equity","OPER_MARGIN","EQY_FUND_YEAR=2019","FUND_PER=C2","EQY_FUND_CRNCY=USD","FILING_STATUS=MR","FA_ADJUSTED=GAAP","Fill=—")</f>
        <v>-6.8282690337999314</v>
      </c>
      <c r="AF12" s="21">
        <f>_xll.BDP("ADSK US Equity","OPER_MARGIN","EQY_FUND_YEAR=2019","FUND_PER=C3","EQY_FUND_CRNCY=USD","FILING_STATUS=MR","FA_ADJUSTED=GAAP","Fill=—")</f>
        <v>-3.5634379263301499</v>
      </c>
      <c r="AG12" s="21">
        <f>_xll.BDP("ADSK US Equity","OPER_MARGIN","EQY_FUND_YEAR=2019","FUND_PER=C4","EQY_FUND_CRNCY=USD","FILING_STATUS=MR","FA_ADJUSTED=GAAP","Fill=—")</f>
        <v>-0.97283835317923573</v>
      </c>
      <c r="AH12" s="21">
        <f>_xll.BDP("ADSK US Equity","OPER_MARGIN","EQY_FUND_YEAR=2020","FUND_PER=C1","EQY_FUND_CRNCY=USD","FILING_STATUS=MR","FA_ADJUSTED=GAAP","Fill=—")</f>
        <v>3.3718558803535013</v>
      </c>
      <c r="AI12" s="21">
        <f>_xll.BDP("ADSK US Equity","OPER_MARGIN","EQY_FUND_YEAR=2020","FUND_PER=C2","EQY_FUND_CRNCY=USD","FILING_STATUS=MR","FA_ADJUSTED=GAAP","Fill=—")</f>
        <v>6.4347712588918622</v>
      </c>
      <c r="AJ12" s="21">
        <f>_xll.BDP("ADSK US Equity","OPER_MARGIN","EQY_FUND_YEAR=2020","FUND_PER=C3","EQY_FUND_CRNCY=USD","FILING_STATUS=MR","FA_ADJUSTED=GAAP","Fill=—")</f>
        <v>8.8084210526315783</v>
      </c>
      <c r="AK12" s="21">
        <f>_xll.BDP("ADSK US Equity","OPER_MARGIN","EQY_FUND_YEAR=2020","FUND_PER=C4","EQY_FUND_CRNCY=USD","FILING_STATUS=MR","FA_ADJUSTED=GAAP","Fill=—")</f>
        <v>10.475521485508352</v>
      </c>
      <c r="AL12" s="21">
        <f>_xll.BDP("ADSK US Equity","OPER_MARGIN","EQY_FUND_YEAR=2021","FUND_PER=C1","EQY_FUND_CRNCY=USD","FILING_STATUS=MR","FA_ADJUSTED=GAAP","Fill=—")</f>
        <v>14.745399119340632</v>
      </c>
      <c r="AM12" s="21">
        <f>_xll.BDP("ADSK US Equity","OPER_MARGIN","EQY_FUND_YEAR=2021","FUND_PER=C2","EQY_FUND_CRNCY=USD","FILING_STATUS=MR","FA_ADJUSTED=GAAP","Fill=—")</f>
        <v>15.382477207026907</v>
      </c>
      <c r="AN12" s="21">
        <f>_xll.BDP("ADSK US Equity","OPER_MARGIN","EQY_FUND_YEAR=2021","FUND_PER=C3","EQY_FUND_CRNCY=USD","FILING_STATUS=MR","FA_ADJUSTED=GAAP","Fill=—")</f>
        <v>16.163855772026753</v>
      </c>
      <c r="AO12" s="21">
        <f>_xll.BDP("ADSK US Equity","OPER_MARGIN","EQY_FUND_YEAR=2021","FUND_PER=C4","EQY_FUND_CRNCY=USD","FILING_STATUS=MR","FA_ADJUSTED=GAAP","Fill=—")</f>
        <v>16.597192908400167</v>
      </c>
      <c r="AP12" s="21">
        <f>_xll.BDP("ADSK US Equity","OPER_MARGIN","EQY_FUND_YEAR=2022","FUND_PER=C1","EQY_FUND_CRNCY=USD","FILING_STATUS=MR","FA_ADJUSTED=GAAP","Fill=—")</f>
        <v>13.524714444556759</v>
      </c>
    </row>
    <row r="13" spans="1:42" x14ac:dyDescent="0.25">
      <c r="A13" s="8" t="s">
        <v>106</v>
      </c>
      <c r="B13" s="8" t="s">
        <v>107</v>
      </c>
      <c r="C13" s="21">
        <f>_xll.BDP("ADSK US Equity","PROF_MARGIN","EQY_FUND_YEAR=2012","FUND_PER=C2","EQY_FUND_CRNCY=USD","FILING_STATUS=MR","FA_ADJUSTED=GAAP","Fill=—")</f>
        <v>13.074632421366092</v>
      </c>
      <c r="D13" s="21">
        <f>_xll.BDP("ADSK US Equity","PROF_MARGIN","EQY_FUND_YEAR=2012","FUND_PER=C3","EQY_FUND_CRNCY=USD","FILING_STATUS=MR","FA_ADJUSTED=GAAP","Fill=—")</f>
        <v>13.140709709216363</v>
      </c>
      <c r="E13" s="21">
        <f>_xll.BDP("ADSK US Equity","PROF_MARGIN","EQY_FUND_YEAR=2012","FUND_PER=C4","EQY_FUND_CRNCY=USD","FILING_STATUS=MR","FA_ADJUSTED=GAAP","Fill=—")</f>
        <v>12.876873081783716</v>
      </c>
      <c r="F13" s="21">
        <f>_xll.BDP("ADSK US Equity","PROF_MARGIN","EQY_FUND_YEAR=2013","FUND_PER=C1","EQY_FUND_CRNCY=USD","FILING_STATUS=MR","FA_ADJUSTED=GAAP","Fill=—")</f>
        <v>13.404689092762487</v>
      </c>
      <c r="G13" s="21">
        <f>_xll.BDP("ADSK US Equity","PROF_MARGIN","EQY_FUND_YEAR=2013","FUND_PER=C2","EQY_FUND_CRNCY=USD","FILING_STATUS=MR","FA_ADJUSTED=GAAP","Fill=—")</f>
        <v>12.399550678302946</v>
      </c>
      <c r="H13" s="21">
        <f>_xll.BDP("ADSK US Equity","PROF_MARGIN","EQY_FUND_YEAR=2013","FUND_PER=C3","EQY_FUND_CRNCY=USD","FILING_STATUS=MR","FA_ADJUSTED=GAAP","Fill=—")</f>
        <v>10.138978478860025</v>
      </c>
      <c r="I13" s="21">
        <f>_xll.BDP("ADSK US Equity","PROF_MARGIN","EQY_FUND_YEAR=2013","FUND_PER=C4","EQY_FUND_CRNCY=USD","FILING_STATUS=MR","FA_ADJUSTED=GAAP","Fill=—")</f>
        <v>10.699766456188913</v>
      </c>
      <c r="J13" s="21">
        <f>_xll.BDP("ADSK US Equity","PROF_MARGIN","EQY_FUND_YEAR=2014","FUND_PER=C1","EQY_FUND_CRNCY=USD","FILING_STATUS=MR","FA_ADJUSTED=GAAP","Fill=—")</f>
        <v>9.7475455820476871</v>
      </c>
      <c r="K13" s="21">
        <f>_xll.BDP("ADSK US Equity","PROF_MARGIN","EQY_FUND_YEAR=2014","FUND_PER=C2","EQY_FUND_CRNCY=USD","FILING_STATUS=MR","FA_ADJUSTED=GAAP","Fill=—")</f>
        <v>10.361275505697378</v>
      </c>
      <c r="L13" s="21">
        <f>_xll.BDP("ADSK US Equity","PROF_MARGIN","EQY_FUND_YEAR=2014","FUND_PER=C3","EQY_FUND_CRNCY=USD","FILING_STATUS=MR","FA_ADJUSTED=GAAP","Fill=—")</f>
        <v>10.365672968648136</v>
      </c>
      <c r="M13" s="21">
        <f>_xll.BDP("ADSK US Equity","PROF_MARGIN","EQY_FUND_YEAR=2014","FUND_PER=C4","EQY_FUND_CRNCY=USD","FILING_STATUS=MR","FA_ADJUSTED=GAAP","Fill=—")</f>
        <v>10.062008003870003</v>
      </c>
      <c r="N13" s="21">
        <f>_xll.BDP("ADSK US Equity","PROF_MARGIN","EQY_FUND_YEAR=2015","FUND_PER=C1","EQY_FUND_CRNCY=USD","FILING_STATUS=MR","FA_ADJUSTED=GAAP","Fill=—")</f>
        <v>4.7763713080168779</v>
      </c>
      <c r="O13" s="21">
        <f>_xll.BDP("ADSK US Equity","PROF_MARGIN","EQY_FUND_YEAR=2015","FUND_PER=C2","EQY_FUND_CRNCY=USD","FILING_STATUS=MR","FA_ADJUSTED=GAAP","Fill=—")</f>
        <v>4.8471047495120372</v>
      </c>
      <c r="P13" s="21">
        <f>_xll.BDP("ADSK US Equity","PROF_MARGIN","EQY_FUND_YEAR=2015","FUND_PER=C3","EQY_FUND_CRNCY=USD","FILING_STATUS=MR","FA_ADJUSTED=GAAP","Fill=—")</f>
        <v>3.8049361333621996</v>
      </c>
      <c r="Q13" s="21">
        <f>_xll.BDP("ADSK US Equity","PROF_MARGIN","EQY_FUND_YEAR=2015","FUND_PER=C4","EQY_FUND_CRNCY=USD","FILING_STATUS=MR","FA_ADJUSTED=GAAP","Fill=—")</f>
        <v>3.2561101823103256</v>
      </c>
      <c r="R13" s="21">
        <f>_xll.BDP("ADSK US Equity","PROF_MARGIN","EQY_FUND_YEAR=2016","FUND_PER=C1","EQY_FUND_CRNCY=USD","FILING_STATUS=MR","FA_ADJUSTED=GAAP","Fill=—")</f>
        <v>2.954369682907966</v>
      </c>
      <c r="S13" s="21">
        <f>_xll.BDP("ADSK US Equity","PROF_MARGIN","EQY_FUND_YEAR=2016","FUND_PER=C2","EQY_FUND_CRNCY=USD","FILING_STATUS=MR","FA_ADJUSTED=GAAP","Fill=—")</f>
        <v>-19.864649681528661</v>
      </c>
      <c r="T13" s="21">
        <f>_xll.BDP("ADSK US Equity","PROF_MARGIN","EQY_FUND_YEAR=2016","FUND_PER=C3","EQY_FUND_CRNCY=USD","FILING_STATUS=MR","FA_ADJUSTED=GAAP","Fill=—")</f>
        <v>-15.804504795775406</v>
      </c>
      <c r="U13" s="21">
        <f>_xll.BDP("ADSK US Equity","PROF_MARGIN","EQY_FUND_YEAR=2016","FUND_PER=C4","EQY_FUND_CRNCY=USD","FILING_STATUS=MR","FA_ADJUSTED=GAAP","Fill=—")</f>
        <v>-13.198354698294798</v>
      </c>
      <c r="V13" s="21">
        <f>_xll.BDP("ADSK US Equity","PROF_MARGIN","EQY_FUND_YEAR=2017","FUND_PER=C1","EQY_FUND_CRNCY=USD","FILING_STATUS=MR","FA_ADJUSTED=GAAP","Fill=—")</f>
        <v>-32.760304747020903</v>
      </c>
      <c r="W13" s="21">
        <f>_xll.BDP("ADSK US Equity","PROF_MARGIN","EQY_FUND_YEAR=2017","FUND_PER=C2","EQY_FUND_CRNCY=USD","FILING_STATUS=MR","FA_ADJUSTED=GAAP","Fill=—")</f>
        <v>-25.023527197440242</v>
      </c>
      <c r="X13" s="21">
        <f>_xll.BDP("ADSK US Equity","PROF_MARGIN","EQY_FUND_YEAR=2017","FUND_PER=C3","EQY_FUND_CRNCY=USD","FILING_STATUS=MR","FA_ADJUSTED=GAAP","Fill=—")</f>
        <v>-26.330369797706481</v>
      </c>
      <c r="Y13" s="21">
        <f>_xll.BDP("ADSK US Equity","PROF_MARGIN","EQY_FUND_YEAR=2017","FUND_PER=C4","EQY_FUND_CRNCY=USD","FILING_STATUS=MR","FA_ADJUSTED=GAAP","Fill=—")</f>
        <v>-28.660758247168882</v>
      </c>
      <c r="Z13" s="21">
        <f>_xll.BDP("ADSK US Equity","PROF_MARGIN","EQY_FUND_YEAR=2018","FUND_PER=C1","EQY_FUND_CRNCY=USD","FILING_STATUS=MR","FA_ADJUSTED=GAAP","Fill=—")</f>
        <v>-26.683137739345277</v>
      </c>
      <c r="AA13" s="21">
        <f>_xll.BDP("ADSK US Equity","PROF_MARGIN","EQY_FUND_YEAR=2018","FUND_PER=C2","EQY_FUND_CRNCY=USD","FILING_STATUS=MR","FA_ADJUSTED=GAAP","Fill=—")</f>
        <v>-27.706329113924056</v>
      </c>
      <c r="AB13" s="21">
        <f>_xll.BDP("ADSK US Equity","PROF_MARGIN","EQY_FUND_YEAR=2018","FUND_PER=C3","EQY_FUND_CRNCY=USD","FILING_STATUS=MR","FA_ADJUSTED=GAAP","Fill=—")</f>
        <v>-26.177801437317004</v>
      </c>
      <c r="AC13" s="21">
        <f>_xll.BDP("ADSK US Equity","PROF_MARGIN","EQY_FUND_YEAR=2018","FUND_PER=C4","EQY_FUND_CRNCY=USD","FILING_STATUS=MR","FA_ADJUSTED=GAAP","Fill=—")</f>
        <v>-27.564912963143051</v>
      </c>
      <c r="AD13" s="21">
        <f>_xll.BDP("ADSK US Equity","PROF_MARGIN","EQY_FUND_YEAR=2019","FUND_PER=C1","EQY_FUND_CRNCY=USD","FILING_STATUS=MR","FA_ADJUSTED=GAAP","Fill=—")</f>
        <v>-14.716913734595465</v>
      </c>
      <c r="AE13" s="21">
        <f>_xll.BDP("ADSK US Equity","PROF_MARGIN","EQY_FUND_YEAR=2019","FUND_PER=C2","EQY_FUND_CRNCY=USD","FILING_STATUS=MR","FA_ADJUSTED=GAAP","Fill=—")</f>
        <v>-10.396039603960396</v>
      </c>
      <c r="AF13" s="21">
        <f>_xll.BDP("ADSK US Equity","PROF_MARGIN","EQY_FUND_YEAR=2019","FUND_PER=C3","EQY_FUND_CRNCY=USD","FILING_STATUS=MR","FA_ADJUSTED=GAAP","Fill=—")</f>
        <v>-7.9399727148703958</v>
      </c>
      <c r="AG13" s="21">
        <f>_xll.BDP("ADSK US Equity","PROF_MARGIN","EQY_FUND_YEAR=2019","FUND_PER=C4","EQY_FUND_CRNCY=USD","FILING_STATUS=MR","FA_ADJUSTED=GAAP","Fill=—")</f>
        <v>-3.1442135574752896</v>
      </c>
      <c r="AH13" s="21">
        <f>_xll.BDP("ADSK US Equity","PROF_MARGIN","EQY_FUND_YEAR=2020","FUND_PER=C1","EQY_FUND_CRNCY=USD","FILING_STATUS=MR","FA_ADJUSTED=GAAP","Fill=—")</f>
        <v>-3.290278721957852</v>
      </c>
      <c r="AI13" s="21">
        <f>_xll.BDP("ADSK US Equity","PROF_MARGIN","EQY_FUND_YEAR=2020","FUND_PER=C2","EQY_FUND_CRNCY=USD","FILING_STATUS=MR","FA_ADJUSTED=GAAP","Fill=—")</f>
        <v>1.0441819487045618</v>
      </c>
      <c r="AJ13" s="21">
        <f>_xll.BDP("ADSK US Equity","PROF_MARGIN","EQY_FUND_YEAR=2020","FUND_PER=C3","EQY_FUND_CRNCY=USD","FILING_STATUS=MR","FA_ADJUSTED=GAAP","Fill=—")</f>
        <v>3.4821052631578948</v>
      </c>
      <c r="AK13" s="21">
        <f>_xll.BDP("ADSK US Equity","PROF_MARGIN","EQY_FUND_YEAR=2020","FUND_PER=C4","EQY_FUND_CRNCY=USD","FILING_STATUS=MR","FA_ADJUSTED=GAAP","Fill=—")</f>
        <v>6.5510185383135324</v>
      </c>
      <c r="AL13" s="21">
        <f>_xll.BDP("ADSK US Equity","PROF_MARGIN","EQY_FUND_YEAR=2021","FUND_PER=C1","EQY_FUND_CRNCY=USD","FILING_STATUS=MR","FA_ADJUSTED=GAAP","Fill=—")</f>
        <v>7.5081856158970295</v>
      </c>
      <c r="AM13" s="21">
        <f>_xll.BDP("ADSK US Equity","PROF_MARGIN","EQY_FUND_YEAR=2021","FUND_PER=C2","EQY_FUND_CRNCY=USD","FILING_STATUS=MR","FA_ADJUSTED=GAAP","Fill=—")</f>
        <v>9.1561040693795857</v>
      </c>
      <c r="AN13" s="21">
        <f>_xll.BDP("ADSK US Equity","PROF_MARGIN","EQY_FUND_YEAR=2021","FUND_PER=C3","EQY_FUND_CRNCY=USD","FILING_STATUS=MR","FA_ADJUSTED=GAAP","Fill=—")</f>
        <v>10.791654550741494</v>
      </c>
      <c r="AO13" s="21">
        <f>_xll.BDP("ADSK US Equity","PROF_MARGIN","EQY_FUND_YEAR=2021","FUND_PER=C4","EQY_FUND_CRNCY=USD","FILING_STATUS=MR","FA_ADJUSTED=GAAP","Fill=—")</f>
        <v>31.87526382439848</v>
      </c>
      <c r="AP13" s="21">
        <f>_xll.BDP("ADSK US Equity","PROF_MARGIN","EQY_FUND_YEAR=2022","FUND_PER=C1","EQY_FUND_CRNCY=USD","FILING_STATUS=MR","FA_ADJUSTED=GAAP","Fill=—")</f>
        <v>15.728292732234914</v>
      </c>
    </row>
    <row r="14" spans="1:42" x14ac:dyDescent="0.25">
      <c r="A14" s="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</row>
    <row r="15" spans="1:42" x14ac:dyDescent="0.25">
      <c r="A15" s="7" t="s">
        <v>110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x14ac:dyDescent="0.25">
      <c r="A16" s="8" t="s">
        <v>111</v>
      </c>
      <c r="B16" s="8" t="s">
        <v>112</v>
      </c>
      <c r="C16" s="21">
        <f>_xll.BDP("ADSK US Equity","EFF_TAX_RATE","EQY_FUND_YEAR=2012","FUND_PER=C2","EQY_FUND_CRNCY=USD","FILING_STATUS=MR","FA_ADJUSTED=GAAP","Fill=—")</f>
        <v>21.376608841634027</v>
      </c>
      <c r="D16" s="21">
        <f>_xll.BDP("ADSK US Equity","EFF_TAX_RATE","EQY_FUND_YEAR=2012","FUND_PER=C3","EQY_FUND_CRNCY=USD","FILING_STATUS=MR","FA_ADJUSTED=GAAP","Fill=—")</f>
        <v>21.000000000000004</v>
      </c>
      <c r="E16" s="21">
        <f>_xll.BDP("ADSK US Equity","EFF_TAX_RATE","EQY_FUND_YEAR=2012","FUND_PER=C4","EQY_FUND_CRNCY=USD","FILING_STATUS=MR","FA_ADJUSTED=GAAP","Fill=—")</f>
        <v>21.38330118489942</v>
      </c>
      <c r="F16" s="21">
        <f>_xll.BDP("ADSK US Equity","EFF_TAX_RATE","EQY_FUND_YEAR=2013","FUND_PER=C1","EQY_FUND_CRNCY=USD","FILING_STATUS=MR","FA_ADJUSTED=GAAP","Fill=—")</f>
        <v>19.076923076923077</v>
      </c>
      <c r="G16" s="21">
        <f>_xll.BDP("ADSK US Equity","EFF_TAX_RATE","EQY_FUND_YEAR=2013","FUND_PER=C2","EQY_FUND_CRNCY=USD","FILING_STATUS=MR","FA_ADJUSTED=GAAP","Fill=—")</f>
        <v>24.314345991561183</v>
      </c>
      <c r="H16" s="21">
        <f>_xll.BDP("ADSK US Equity","EFF_TAX_RATE","EQY_FUND_YEAR=2013","FUND_PER=C3","EQY_FUND_CRNCY=USD","FILING_STATUS=MR","FA_ADJUSTED=GAAP","Fill=—")</f>
        <v>22.778025904421618</v>
      </c>
      <c r="I16" s="21">
        <f>_xll.BDP("ADSK US Equity","EFF_TAX_RATE","EQY_FUND_YEAR=2013","FUND_PER=C4","EQY_FUND_CRNCY=USD","FILING_STATUS=MR","FA_ADJUSTED=GAAP","Fill=—")</f>
        <v>20.193548387096776</v>
      </c>
      <c r="J16" s="21">
        <f>_xll.BDP("ADSK US Equity","EFF_TAX_RATE","EQY_FUND_YEAR=2014","FUND_PER=C1","EQY_FUND_CRNCY=USD","FILING_STATUS=MR","FA_ADJUSTED=GAAP","Fill=—")</f>
        <v>23.415977961432507</v>
      </c>
      <c r="K16" s="21">
        <f>_xll.BDP("ADSK US Equity","EFF_TAX_RATE","EQY_FUND_YEAR=2014","FUND_PER=C2","EQY_FUND_CRNCY=USD","FILING_STATUS=MR","FA_ADJUSTED=GAAP","Fill=—")</f>
        <v>24.028497409326423</v>
      </c>
      <c r="L16" s="21">
        <f>_xll.BDP("ADSK US Equity","EFF_TAX_RATE","EQY_FUND_YEAR=2014","FUND_PER=C3","EQY_FUND_CRNCY=USD","FILING_STATUS=MR","FA_ADJUSTED=GAAP","Fill=—")</f>
        <v>21.779964221824688</v>
      </c>
      <c r="M16" s="21">
        <f>_xll.BDP("ADSK US Equity","EFF_TAX_RATE","EQY_FUND_YEAR=2014","FUND_PER=C4","EQY_FUND_CRNCY=USD","FILING_STATUS=MR","FA_ADJUSTED=GAAP","Fill=—")</f>
        <v>18.256520185780641</v>
      </c>
      <c r="N16" s="21">
        <f>_xll.BDP("ADSK US Equity","EFF_TAX_RATE","EQY_FUND_YEAR=2015","FUND_PER=C1","EQY_FUND_CRNCY=USD","FILING_STATUS=MR","FA_ADJUSTED=GAAP","Fill=—")</f>
        <v>20.505617977528086</v>
      </c>
      <c r="O16" s="21">
        <f>_xll.BDP("ADSK US Equity","EFF_TAX_RATE","EQY_FUND_YEAR=2015","FUND_PER=C2","EQY_FUND_CRNCY=USD","FILING_STATUS=MR","FA_ADJUSTED=GAAP","Fill=—")</f>
        <v>24.076433121019107</v>
      </c>
      <c r="P16" s="21">
        <f>_xll.BDP("ADSK US Equity","EFF_TAX_RATE","EQY_FUND_YEAR=2015","FUND_PER=C3","EQY_FUND_CRNCY=USD","FILING_STATUS=MR","FA_ADJUSTED=GAAP","Fill=—")</f>
        <v>21.975582685904552</v>
      </c>
      <c r="Q16" s="21">
        <f>_xll.BDP("ADSK US Equity","EFF_TAX_RATE","EQY_FUND_YEAR=2015","FUND_PER=C4","EQY_FUND_CRNCY=USD","FILING_STATUS=MR","FA_ADJUSTED=GAAP","Fill=—")</f>
        <v>1.4457831325301203</v>
      </c>
      <c r="R16" s="21">
        <f>_xll.BDP("ADSK US Equity","EFF_TAX_RATE","EQY_FUND_YEAR=2016","FUND_PER=C1","EQY_FUND_CRNCY=USD","FILING_STATUS=MR","FA_ADJUSTED=GAAP","Fill=—")</f>
        <v>12.385321100917432</v>
      </c>
      <c r="S16" s="21">
        <f>_xll.BDP("ADSK US Equity","EFF_TAX_RATE","EQY_FUND_YEAR=2016","FUND_PER=C2","EQY_FUND_CRNCY=USD","FILING_STATUS=MR","FA_ADJUSTED=GAAP","Fill=—")</f>
        <v>1199.1189427312775</v>
      </c>
      <c r="T16" s="21">
        <f>_xll.BDP("ADSK US Equity","EFF_TAX_RATE","EQY_FUND_YEAR=2016","FUND_PER=C3","EQY_FUND_CRNCY=USD","FILING_STATUS=MR","FA_ADJUSTED=GAAP","Fill=—")</f>
        <v>146750</v>
      </c>
      <c r="U16" s="21" t="str">
        <f>_xll.BDP("ADSK US Equity","EFF_TAX_RATE","EQY_FUND_YEAR=2016","FUND_PER=C4","EQY_FUND_CRNCY=USD","FILING_STATUS=MR","FA_ADJUSTED=GAAP","Fill=—")</f>
        <v>—</v>
      </c>
      <c r="V16" s="21" t="str">
        <f>_xll.BDP("ADSK US Equity","EFF_TAX_RATE","EQY_FUND_YEAR=2017","FUND_PER=C1","EQY_FUND_CRNCY=USD","FILING_STATUS=MR","FA_ADJUSTED=GAAP","Fill=—")</f>
        <v>—</v>
      </c>
      <c r="W16" s="21" t="str">
        <f>_xll.BDP("ADSK US Equity","EFF_TAX_RATE","EQY_FUND_YEAR=2017","FUND_PER=C2","EQY_FUND_CRNCY=USD","FILING_STATUS=MR","FA_ADJUSTED=GAAP","Fill=—")</f>
        <v>—</v>
      </c>
      <c r="X16" s="21" t="str">
        <f>_xll.BDP("ADSK US Equity","EFF_TAX_RATE","EQY_FUND_YEAR=2017","FUND_PER=C3","EQY_FUND_CRNCY=USD","FILING_STATUS=MR","FA_ADJUSTED=GAAP","Fill=—")</f>
        <v>—</v>
      </c>
      <c r="Y16" s="21" t="str">
        <f>_xll.BDP("ADSK US Equity","EFF_TAX_RATE","EQY_FUND_YEAR=2017","FUND_PER=C4","EQY_FUND_CRNCY=USD","FILING_STATUS=MR","FA_ADJUSTED=GAAP","Fill=—")</f>
        <v>—</v>
      </c>
      <c r="Z16" s="21" t="str">
        <f>_xll.BDP("ADSK US Equity","EFF_TAX_RATE","EQY_FUND_YEAR=2018","FUND_PER=C1","EQY_FUND_CRNCY=USD","FILING_STATUS=MR","FA_ADJUSTED=GAAP","Fill=—")</f>
        <v>—</v>
      </c>
      <c r="AA16" s="21" t="str">
        <f>_xll.BDP("ADSK US Equity","EFF_TAX_RATE","EQY_FUND_YEAR=2018","FUND_PER=C2","EQY_FUND_CRNCY=USD","FILING_STATUS=MR","FA_ADJUSTED=GAAP","Fill=—")</f>
        <v>—</v>
      </c>
      <c r="AB16" s="21" t="str">
        <f>_xll.BDP("ADSK US Equity","EFF_TAX_RATE","EQY_FUND_YEAR=2018","FUND_PER=C3","EQY_FUND_CRNCY=USD","FILING_STATUS=MR","FA_ADJUSTED=GAAP","Fill=—")</f>
        <v>—</v>
      </c>
      <c r="AC16" s="21" t="str">
        <f>_xll.BDP("ADSK US Equity","EFF_TAX_RATE","EQY_FUND_YEAR=2018","FUND_PER=C4","EQY_FUND_CRNCY=USD","FILING_STATUS=MR","FA_ADJUSTED=GAAP","Fill=—")</f>
        <v>—</v>
      </c>
      <c r="AD16" s="21" t="str">
        <f>_xll.BDP("ADSK US Equity","EFF_TAX_RATE","EQY_FUND_YEAR=2019","FUND_PER=C1","EQY_FUND_CRNCY=USD","FILING_STATUS=MR","FA_ADJUSTED=GAAP","Fill=—")</f>
        <v>—</v>
      </c>
      <c r="AE16" s="21" t="str">
        <f>_xll.BDP("ADSK US Equity","EFF_TAX_RATE","EQY_FUND_YEAR=2019","FUND_PER=C2","EQY_FUND_CRNCY=USD","FILING_STATUS=MR","FA_ADJUSTED=GAAP","Fill=—")</f>
        <v>—</v>
      </c>
      <c r="AF16" s="21" t="str">
        <f>_xll.BDP("ADSK US Equity","EFF_TAX_RATE","EQY_FUND_YEAR=2019","FUND_PER=C3","EQY_FUND_CRNCY=USD","FILING_STATUS=MR","FA_ADJUSTED=GAAP","Fill=—")</f>
        <v>—</v>
      </c>
      <c r="AG16" s="21" t="str">
        <f>_xll.BDP("ADSK US Equity","EFF_TAX_RATE","EQY_FUND_YEAR=2019","FUND_PER=C4","EQY_FUND_CRNCY=USD","FILING_STATUS=MR","FA_ADJUSTED=GAAP","Fill=—")</f>
        <v>—</v>
      </c>
      <c r="AH16" s="21">
        <f>_xll.BDP("ADSK US Equity","EFF_TAX_RATE","EQY_FUND_YEAR=2020","FUND_PER=C1","EQY_FUND_CRNCY=USD","FILING_STATUS=MR","FA_ADJUSTED=GAAP","Fill=—")</f>
        <v>381.39534883720927</v>
      </c>
      <c r="AI16" s="21">
        <f>_xll.BDP("ADSK US Equity","EFF_TAX_RATE","EQY_FUND_YEAR=2020","FUND_PER=C2","EQY_FUND_CRNCY=USD","FILING_STATUS=MR","FA_ADJUSTED=GAAP","Fill=—")</f>
        <v>78.695073235685769</v>
      </c>
      <c r="AJ16" s="21">
        <f>_xll.BDP("ADSK US Equity","EFF_TAX_RATE","EQY_FUND_YEAR=2020","FUND_PER=C3","EQY_FUND_CRNCY=USD","FILING_STATUS=MR","FA_ADJUSTED=GAAP","Fill=—")</f>
        <v>51.778425655976676</v>
      </c>
      <c r="AK16" s="21">
        <f>_xll.BDP("ADSK US Equity","EFF_TAX_RATE","EQY_FUND_YEAR=2020","FUND_PER=C4","EQY_FUND_CRNCY=USD","FILING_STATUS=MR","FA_ADJUSTED=GAAP","Fill=—")</f>
        <v>27.238805970149251</v>
      </c>
      <c r="AL16" s="21">
        <f>_xll.BDP("ADSK US Equity","EFF_TAX_RATE","EQY_FUND_YEAR=2021","FUND_PER=C1","EQY_FUND_CRNCY=USD","FILING_STATUS=MR","FA_ADJUSTED=GAAP","Fill=—")</f>
        <v>26.519337016574585</v>
      </c>
      <c r="AM16" s="21">
        <f>_xll.BDP("ADSK US Equity","EFF_TAX_RATE","EQY_FUND_YEAR=2021","FUND_PER=C2","EQY_FUND_CRNCY=USD","FILING_STATUS=MR","FA_ADJUSTED=GAAP","Fill=—")</f>
        <v>24.965831435079725</v>
      </c>
      <c r="AN16" s="21">
        <f>_xll.BDP("ADSK US Equity","EFF_TAX_RATE","EQY_FUND_YEAR=2021","FUND_PER=C3","EQY_FUND_CRNCY=USD","FILING_STATUS=MR","FA_ADJUSTED=GAAP","Fill=—")</f>
        <v>20.953141640042595</v>
      </c>
      <c r="AO16" s="21" t="str">
        <f>_xll.BDP("ADSK US Equity","EFF_TAX_RATE","EQY_FUND_YEAR=2021","FUND_PER=C4","EQY_FUND_CRNCY=USD","FILING_STATUS=MR","FA_ADJUSTED=GAAP","Fill=—")</f>
        <v>—</v>
      </c>
      <c r="AP16" s="21" t="str">
        <f>_xll.BDP("ADSK US Equity","EFF_TAX_RATE","EQY_FUND_YEAR=2022","FUND_PER=C1","EQY_FUND_CRNCY=USD","FILING_STATUS=MR","FA_ADJUSTED=GAAP","Fill=—")</f>
        <v>—</v>
      </c>
    </row>
    <row r="17" spans="1:42" x14ac:dyDescent="0.25">
      <c r="A17" s="8" t="s">
        <v>113</v>
      </c>
      <c r="B17" s="8" t="s">
        <v>114</v>
      </c>
      <c r="C17" s="21">
        <f>_xll.BDP("ADSK US Equity","DVD_PAYOUT_RATIO","EQY_FUND_YEAR=2012","FUND_PER=C2","EQY_FUND_CRNCY=USD","FILING_STATUS=MR","FA_ADJUSTED=GAAP","Fill=—")</f>
        <v>0</v>
      </c>
      <c r="D17" s="21">
        <f>_xll.BDP("ADSK US Equity","DVD_PAYOUT_RATIO","EQY_FUND_YEAR=2012","FUND_PER=C3","EQY_FUND_CRNCY=USD","FILING_STATUS=MR","FA_ADJUSTED=GAAP","Fill=—")</f>
        <v>0</v>
      </c>
      <c r="E17" s="21">
        <f>_xll.BDP("ADSK US Equity","DVD_PAYOUT_RATIO","EQY_FUND_YEAR=2012","FUND_PER=C4","EQY_FUND_CRNCY=USD","FILING_STATUS=MR","FA_ADJUSTED=GAAP","Fill=—")</f>
        <v>0</v>
      </c>
      <c r="F17" s="21">
        <f>_xll.BDP("ADSK US Equity","DVD_PAYOUT_RATIO","EQY_FUND_YEAR=2013","FUND_PER=C1","EQY_FUND_CRNCY=USD","FILING_STATUS=MR","FA_ADJUSTED=GAAP","Fill=—")</f>
        <v>0</v>
      </c>
      <c r="G17" s="21">
        <f>_xll.BDP("ADSK US Equity","DVD_PAYOUT_RATIO","EQY_FUND_YEAR=2013","FUND_PER=C2","EQY_FUND_CRNCY=USD","FILING_STATUS=MR","FA_ADJUSTED=GAAP","Fill=—")</f>
        <v>0</v>
      </c>
      <c r="H17" s="21">
        <f>_xll.BDP("ADSK US Equity","DVD_PAYOUT_RATIO","EQY_FUND_YEAR=2013","FUND_PER=C3","EQY_FUND_CRNCY=USD","FILING_STATUS=MR","FA_ADJUSTED=GAAP","Fill=—")</f>
        <v>0</v>
      </c>
      <c r="I17" s="21">
        <f>_xll.BDP("ADSK US Equity","DVD_PAYOUT_RATIO","EQY_FUND_YEAR=2013","FUND_PER=C4","EQY_FUND_CRNCY=USD","FILING_STATUS=MR","FA_ADJUSTED=GAAP","Fill=—")</f>
        <v>0</v>
      </c>
      <c r="J17" s="21">
        <f>_xll.BDP("ADSK US Equity","DVD_PAYOUT_RATIO","EQY_FUND_YEAR=2014","FUND_PER=C1","EQY_FUND_CRNCY=USD","FILING_STATUS=MR","FA_ADJUSTED=GAAP","Fill=—")</f>
        <v>0</v>
      </c>
      <c r="K17" s="21">
        <f>_xll.BDP("ADSK US Equity","DVD_PAYOUT_RATIO","EQY_FUND_YEAR=2014","FUND_PER=C2","EQY_FUND_CRNCY=USD","FILING_STATUS=MR","FA_ADJUSTED=GAAP","Fill=—")</f>
        <v>0</v>
      </c>
      <c r="L17" s="21">
        <f>_xll.BDP("ADSK US Equity","DVD_PAYOUT_RATIO","EQY_FUND_YEAR=2014","FUND_PER=C3","EQY_FUND_CRNCY=USD","FILING_STATUS=MR","FA_ADJUSTED=GAAP","Fill=—")</f>
        <v>0</v>
      </c>
      <c r="M17" s="21">
        <f>_xll.BDP("ADSK US Equity","DVD_PAYOUT_RATIO","EQY_FUND_YEAR=2014","FUND_PER=C4","EQY_FUND_CRNCY=USD","FILING_STATUS=MR","FA_ADJUSTED=GAAP","Fill=—")</f>
        <v>0</v>
      </c>
      <c r="N17" s="21">
        <f>_xll.BDP("ADSK US Equity","DVD_PAYOUT_RATIO","EQY_FUND_YEAR=2015","FUND_PER=C1","EQY_FUND_CRNCY=USD","FILING_STATUS=MR","FA_ADJUSTED=GAAP","Fill=—")</f>
        <v>0</v>
      </c>
      <c r="O17" s="21">
        <f>_xll.BDP("ADSK US Equity","DVD_PAYOUT_RATIO","EQY_FUND_YEAR=2015","FUND_PER=C2","EQY_FUND_CRNCY=USD","FILING_STATUS=MR","FA_ADJUSTED=GAAP","Fill=—")</f>
        <v>0</v>
      </c>
      <c r="P17" s="21">
        <f>_xll.BDP("ADSK US Equity","DVD_PAYOUT_RATIO","EQY_FUND_YEAR=2015","FUND_PER=C3","EQY_FUND_CRNCY=USD","FILING_STATUS=MR","FA_ADJUSTED=GAAP","Fill=—")</f>
        <v>0</v>
      </c>
      <c r="Q17" s="21">
        <f>_xll.BDP("ADSK US Equity","DVD_PAYOUT_RATIO","EQY_FUND_YEAR=2015","FUND_PER=C4","EQY_FUND_CRNCY=USD","FILING_STATUS=MR","FA_ADJUSTED=GAAP","Fill=—")</f>
        <v>0</v>
      </c>
      <c r="R17" s="21">
        <f>_xll.BDP("ADSK US Equity","DVD_PAYOUT_RATIO","EQY_FUND_YEAR=2016","FUND_PER=C1","EQY_FUND_CRNCY=USD","FILING_STATUS=MR","FA_ADJUSTED=GAAP","Fill=—")</f>
        <v>0</v>
      </c>
      <c r="S17" s="21" t="str">
        <f>_xll.BDP("ADSK US Equity","DVD_PAYOUT_RATIO","EQY_FUND_YEAR=2016","FUND_PER=C2","EQY_FUND_CRNCY=USD","FILING_STATUS=MR","FA_ADJUSTED=GAAP","Fill=—")</f>
        <v>—</v>
      </c>
      <c r="T17" s="21" t="str">
        <f>_xll.BDP("ADSK US Equity","DVD_PAYOUT_RATIO","EQY_FUND_YEAR=2016","FUND_PER=C3","EQY_FUND_CRNCY=USD","FILING_STATUS=MR","FA_ADJUSTED=GAAP","Fill=—")</f>
        <v>—</v>
      </c>
      <c r="U17" s="21" t="str">
        <f>_xll.BDP("ADSK US Equity","DVD_PAYOUT_RATIO","EQY_FUND_YEAR=2016","FUND_PER=C4","EQY_FUND_CRNCY=USD","FILING_STATUS=MR","FA_ADJUSTED=GAAP","Fill=—")</f>
        <v>—</v>
      </c>
      <c r="V17" s="21" t="str">
        <f>_xll.BDP("ADSK US Equity","DVD_PAYOUT_RATIO","EQY_FUND_YEAR=2017","FUND_PER=C1","EQY_FUND_CRNCY=USD","FILING_STATUS=MR","FA_ADJUSTED=GAAP","Fill=—")</f>
        <v>—</v>
      </c>
      <c r="W17" s="21" t="str">
        <f>_xll.BDP("ADSK US Equity","DVD_PAYOUT_RATIO","EQY_FUND_YEAR=2017","FUND_PER=C2","EQY_FUND_CRNCY=USD","FILING_STATUS=MR","FA_ADJUSTED=GAAP","Fill=—")</f>
        <v>—</v>
      </c>
      <c r="X17" s="21" t="str">
        <f>_xll.BDP("ADSK US Equity","DVD_PAYOUT_RATIO","EQY_FUND_YEAR=2017","FUND_PER=C3","EQY_FUND_CRNCY=USD","FILING_STATUS=MR","FA_ADJUSTED=GAAP","Fill=—")</f>
        <v>—</v>
      </c>
      <c r="Y17" s="21" t="str">
        <f>_xll.BDP("ADSK US Equity","DVD_PAYOUT_RATIO","EQY_FUND_YEAR=2017","FUND_PER=C4","EQY_FUND_CRNCY=USD","FILING_STATUS=MR","FA_ADJUSTED=GAAP","Fill=—")</f>
        <v>—</v>
      </c>
      <c r="Z17" s="21" t="str">
        <f>_xll.BDP("ADSK US Equity","DVD_PAYOUT_RATIO","EQY_FUND_YEAR=2018","FUND_PER=C1","EQY_FUND_CRNCY=USD","FILING_STATUS=MR","FA_ADJUSTED=GAAP","Fill=—")</f>
        <v>—</v>
      </c>
      <c r="AA17" s="21" t="str">
        <f>_xll.BDP("ADSK US Equity","DVD_PAYOUT_RATIO","EQY_FUND_YEAR=2018","FUND_PER=C2","EQY_FUND_CRNCY=USD","FILING_STATUS=MR","FA_ADJUSTED=GAAP","Fill=—")</f>
        <v>—</v>
      </c>
      <c r="AB17" s="21" t="str">
        <f>_xll.BDP("ADSK US Equity","DVD_PAYOUT_RATIO","EQY_FUND_YEAR=2018","FUND_PER=C3","EQY_FUND_CRNCY=USD","FILING_STATUS=MR","FA_ADJUSTED=GAAP","Fill=—")</f>
        <v>—</v>
      </c>
      <c r="AC17" s="21" t="str">
        <f>_xll.BDP("ADSK US Equity","DVD_PAYOUT_RATIO","EQY_FUND_YEAR=2018","FUND_PER=C4","EQY_FUND_CRNCY=USD","FILING_STATUS=MR","FA_ADJUSTED=GAAP","Fill=—")</f>
        <v>—</v>
      </c>
      <c r="AD17" s="21" t="str">
        <f>_xll.BDP("ADSK US Equity","DVD_PAYOUT_RATIO","EQY_FUND_YEAR=2019","FUND_PER=C1","EQY_FUND_CRNCY=USD","FILING_STATUS=MR","FA_ADJUSTED=GAAP","Fill=—")</f>
        <v>—</v>
      </c>
      <c r="AE17" s="21" t="str">
        <f>_xll.BDP("ADSK US Equity","DVD_PAYOUT_RATIO","EQY_FUND_YEAR=2019","FUND_PER=C2","EQY_FUND_CRNCY=USD","FILING_STATUS=MR","FA_ADJUSTED=GAAP","Fill=—")</f>
        <v>—</v>
      </c>
      <c r="AF17" s="21" t="str">
        <f>_xll.BDP("ADSK US Equity","DVD_PAYOUT_RATIO","EQY_FUND_YEAR=2019","FUND_PER=C3","EQY_FUND_CRNCY=USD","FILING_STATUS=MR","FA_ADJUSTED=GAAP","Fill=—")</f>
        <v>—</v>
      </c>
      <c r="AG17" s="21" t="str">
        <f>_xll.BDP("ADSK US Equity","DVD_PAYOUT_RATIO","EQY_FUND_YEAR=2019","FUND_PER=C4","EQY_FUND_CRNCY=USD","FILING_STATUS=MR","FA_ADJUSTED=GAAP","Fill=—")</f>
        <v>—</v>
      </c>
      <c r="AH17" s="21" t="str">
        <f>_xll.BDP("ADSK US Equity","DVD_PAYOUT_RATIO","EQY_FUND_YEAR=2020","FUND_PER=C1","EQY_FUND_CRNCY=USD","FILING_STATUS=MR","FA_ADJUSTED=GAAP","Fill=—")</f>
        <v>—</v>
      </c>
      <c r="AI17" s="21">
        <f>_xll.BDP("ADSK US Equity","DVD_PAYOUT_RATIO","EQY_FUND_YEAR=2020","FUND_PER=C2","EQY_FUND_CRNCY=USD","FILING_STATUS=MR","FA_ADJUSTED=GAAP","Fill=—")</f>
        <v>0</v>
      </c>
      <c r="AJ17" s="21">
        <f>_xll.BDP("ADSK US Equity","DVD_PAYOUT_RATIO","EQY_FUND_YEAR=2020","FUND_PER=C3","EQY_FUND_CRNCY=USD","FILING_STATUS=MR","FA_ADJUSTED=GAAP","Fill=—")</f>
        <v>0</v>
      </c>
      <c r="AK17" s="21">
        <f>_xll.BDP("ADSK US Equity","DVD_PAYOUT_RATIO","EQY_FUND_YEAR=2020","FUND_PER=C4","EQY_FUND_CRNCY=USD","FILING_STATUS=MR","FA_ADJUSTED=GAAP","Fill=—")</f>
        <v>0</v>
      </c>
      <c r="AL17" s="21">
        <f>_xll.BDP("ADSK US Equity","DVD_PAYOUT_RATIO","EQY_FUND_YEAR=2021","FUND_PER=C1","EQY_FUND_CRNCY=USD","FILING_STATUS=MR","FA_ADJUSTED=GAAP","Fill=—")</f>
        <v>0</v>
      </c>
      <c r="AM17" s="21">
        <f>_xll.BDP("ADSK US Equity","DVD_PAYOUT_RATIO","EQY_FUND_YEAR=2021","FUND_PER=C2","EQY_FUND_CRNCY=USD","FILING_STATUS=MR","FA_ADJUSTED=GAAP","Fill=—")</f>
        <v>0</v>
      </c>
      <c r="AN17" s="21">
        <f>_xll.BDP("ADSK US Equity","DVD_PAYOUT_RATIO","EQY_FUND_YEAR=2021","FUND_PER=C3","EQY_FUND_CRNCY=USD","FILING_STATUS=MR","FA_ADJUSTED=GAAP","Fill=—")</f>
        <v>0</v>
      </c>
      <c r="AO17" s="21">
        <f>_xll.BDP("ADSK US Equity","DVD_PAYOUT_RATIO","EQY_FUND_YEAR=2021","FUND_PER=C4","EQY_FUND_CRNCY=USD","FILING_STATUS=MR","FA_ADJUSTED=GAAP","Fill=—")</f>
        <v>0</v>
      </c>
      <c r="AP17" s="21">
        <f>_xll.BDP("ADSK US Equity","DVD_PAYOUT_RATIO","EQY_FUND_YEAR=2022","FUND_PER=C1","EQY_FUND_CRNCY=USD","FILING_STATUS=MR","FA_ADJUSTED=GAAP","Fill=—")</f>
        <v>0</v>
      </c>
    </row>
    <row r="18" spans="1:42" x14ac:dyDescent="0.25">
      <c r="A18" s="15" t="s">
        <v>117</v>
      </c>
      <c r="B18" s="15"/>
      <c r="C18" s="15" t="s"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workbookViewId="0">
      <selection activeCell="C7" sqref="C7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193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192</v>
      </c>
      <c r="B6" s="8" t="s">
        <v>191</v>
      </c>
      <c r="C6" s="21">
        <f>_xll.BDH("ADSK US Equity","CASH_RATIO","FQ2 2012","FQ2 2012","Currency=USD","Period=FQ","BEST_FPERIOD_OVERRIDE=FQ","FILING_STATUS=MR","Sort=A","Dates=H","DateFormat=P","Fill=—","Direction=H","UseDPDF=Y")</f>
        <v>1.6604000000000001</v>
      </c>
      <c r="D6" s="21">
        <f>_xll.BDH("ADSK US Equity","CASH_RATIO","FQ3 2012","FQ3 2012","Currency=USD","Period=FQ","BEST_FPERIOD_OVERRIDE=FQ","FILING_STATUS=MR","Sort=A","Dates=H","DateFormat=P","Fill=—","Direction=H","UseDPDF=Y")</f>
        <v>1.6514</v>
      </c>
      <c r="E6" s="21">
        <f>_xll.BDH("ADSK US Equity","CASH_RATIO","FQ4 2012","FQ4 2012","Currency=USD","Period=FQ","BEST_FPERIOD_OVERRIDE=FQ","FILING_STATUS=MR","Sort=A","Dates=H","DateFormat=P","Fill=—","Direction=H","UseDPDF=Y")</f>
        <v>1.4792000000000001</v>
      </c>
      <c r="F6" s="21">
        <f>_xll.BDH("ADSK US Equity","CASH_RATIO","FQ1 2013","FQ1 2013","Currency=USD","Period=FQ","BEST_FPERIOD_OVERRIDE=FQ","FILING_STATUS=MR","Sort=A","Dates=H","DateFormat=P","Fill=—","Direction=H","UseDPDF=Y")</f>
        <v>1.7269999999999999</v>
      </c>
      <c r="G6" s="21" t="str">
        <f>_xll.BDH("ADSK US Equity","CASH_RATIO","FQ2 2013","FQ2 2013","Currency=USD","Period=FQ","BEST_FPERIOD_OVERRIDE=FQ","FILING_STATUS=MR","Sort=A","Dates=H","DateFormat=P","Fill=—","Direction=H","UseDPDF=Y")</f>
        <v>#N/A Requesting Data...</v>
      </c>
      <c r="H6" s="21">
        <f>_xll.BDH("ADSK US Equity","CASH_RATIO","FQ3 2013","FQ3 2013","Currency=USD","Period=FQ","BEST_FPERIOD_OVERRIDE=FQ","FILING_STATUS=MR","Sort=A","Dates=H","DateFormat=P","Fill=—","Direction=H","UseDPDF=Y")</f>
        <v>1.3489</v>
      </c>
      <c r="I6" s="21">
        <f>_xll.BDH("ADSK US Equity","CASH_RATIO","FQ4 2013","FQ4 2013","Currency=USD","Period=FQ","BEST_FPERIOD_OVERRIDE=FQ","FILING_STATUS=MR","Sort=A","Dates=H","DateFormat=P","Fill=—","Direction=H","UseDPDF=Y")</f>
        <v>1.8725000000000001</v>
      </c>
      <c r="J6" s="21" t="str">
        <f>_xll.BDH("ADSK US Equity","CASH_RATIO","FQ1 2014","FQ1 2014","Currency=USD","Period=FQ","BEST_FPERIOD_OVERRIDE=FQ","FILING_STATUS=MR","Sort=A","Dates=H","DateFormat=P","Fill=—","Direction=H","UseDPDF=Y")</f>
        <v>#N/A Requesting Data...</v>
      </c>
      <c r="K6" s="21" t="str">
        <f>_xll.BDH("ADSK US Equity","CASH_RATIO","FQ2 2014","FQ2 2014","Currency=USD","Period=FQ","BEST_FPERIOD_OVERRIDE=FQ","FILING_STATUS=MR","Sort=A","Dates=H","DateFormat=P","Fill=—","Direction=H","UseDPDF=Y")</f>
        <v>#N/A Requesting Data...</v>
      </c>
      <c r="L6" s="21" t="str">
        <f>_xll.BDH("ADSK US Equity","CASH_RATIO","FQ3 2014","FQ3 2014","Currency=USD","Period=FQ","BEST_FPERIOD_OVERRIDE=FQ","FILING_STATUS=MR","Sort=A","Dates=H","DateFormat=P","Fill=—","Direction=H","UseDPDF=Y")</f>
        <v>#N/A Requesting Data...</v>
      </c>
      <c r="M6" s="21" t="str">
        <f>_xll.BDH("ADSK US Equity","CASH_RATIO","FQ4 2014","FQ4 2014","Currency=USD","Period=FQ","BEST_FPERIOD_OVERRIDE=FQ","FILING_STATUS=MR","Sort=A","Dates=H","DateFormat=P","Fill=—","Direction=H","UseDPDF=Y")</f>
        <v>#N/A Requesting Data...</v>
      </c>
      <c r="N6" s="21" t="str">
        <f>_xll.BDH("ADSK US Equity","CASH_RATIO","FQ1 2015","FQ1 2015","Currency=USD","Period=FQ","BEST_FPERIOD_OVERRIDE=FQ","FILING_STATUS=MR","Sort=A","Dates=H","DateFormat=P","Fill=—","Direction=H","UseDPDF=Y")</f>
        <v>#N/A Requesting Data...</v>
      </c>
      <c r="O6" s="21" t="str">
        <f>_xll.BDH("ADSK US Equity","CASH_RATIO","FQ2 2015","FQ2 2015","Currency=USD","Period=FQ","BEST_FPERIOD_OVERRIDE=FQ","FILING_STATUS=MR","Sort=A","Dates=H","DateFormat=P","Fill=—","Direction=H","UseDPDF=Y")</f>
        <v>#N/A Requesting Data...</v>
      </c>
      <c r="P6" s="21" t="str">
        <f>_xll.BDH("ADSK US Equity","CASH_RATIO","FQ3 2015","FQ3 2015","Currency=USD","Period=FQ","BEST_FPERIOD_OVERRIDE=FQ","FILING_STATUS=MR","Sort=A","Dates=H","DateFormat=P","Fill=—","Direction=H","UseDPDF=Y")</f>
        <v>#N/A Requesting Data...</v>
      </c>
      <c r="Q6" s="21">
        <f>_xll.BDH("ADSK US Equity","CASH_RATIO","FQ4 2015","FQ4 2015","Currency=USD","Period=FQ","BEST_FPERIOD_OVERRIDE=FQ","FILING_STATUS=MR","Sort=A","Dates=H","DateFormat=P","Fill=—","Direction=H","UseDPDF=Y")</f>
        <v>1.4473</v>
      </c>
      <c r="R6" s="21" t="str">
        <f>_xll.BDH("ADSK US Equity","CASH_RATIO","FQ1 2016","FQ1 2016","Currency=USD","Period=FQ","BEST_FPERIOD_OVERRIDE=FQ","FILING_STATUS=MR","Sort=A","Dates=H","DateFormat=P","Fill=—","Direction=H","UseDPDF=Y")</f>
        <v>#N/A Requesting Data...</v>
      </c>
      <c r="S6" s="21" t="str">
        <f>_xll.BDH("ADSK US Equity","CASH_RATIO","FQ2 2016","FQ2 2016","Currency=USD","Period=FQ","BEST_FPERIOD_OVERRIDE=FQ","FILING_STATUS=MR","Sort=A","Dates=H","DateFormat=P","Fill=—","Direction=H","UseDPDF=Y")</f>
        <v>#N/A Requesting Data...</v>
      </c>
      <c r="T6" s="21">
        <f>_xll.BDH("ADSK US Equity","CASH_RATIO","FQ3 2016","FQ3 2016","Currency=USD","Period=FQ","BEST_FPERIOD_OVERRIDE=FQ","FILING_STATUS=MR","Sort=A","Dates=H","DateFormat=P","Fill=—","Direction=H","UseDPDF=Y")</f>
        <v>1.7421</v>
      </c>
      <c r="U6" s="21" t="str">
        <f>_xll.BDH("ADSK US Equity","CASH_RATIO","FQ4 2016","FQ4 2016","Currency=USD","Period=FQ","BEST_FPERIOD_OVERRIDE=FQ","FILING_STATUS=MR","Sort=A","Dates=H","DateFormat=P","Fill=—","Direction=H","UseDPDF=Y")</f>
        <v>#N/A Requesting Data...</v>
      </c>
      <c r="V6" s="21" t="str">
        <f>_xll.BDH("ADSK US Equity","CASH_RATIO","FQ1 2017","FQ1 2017","Currency=USD","Period=FQ","BEST_FPERIOD_OVERRIDE=FQ","FILING_STATUS=MR","Sort=A","Dates=H","DateFormat=P","Fill=—","Direction=H","UseDPDF=Y")</f>
        <v>#N/A Requesting Data...</v>
      </c>
      <c r="W6" s="21">
        <f>_xll.BDH("ADSK US Equity","CASH_RATIO","FQ2 2017","FQ2 2017","Currency=USD","Period=FQ","BEST_FPERIOD_OVERRIDE=FQ","FILING_STATUS=MR","Sort=A","Dates=H","DateFormat=P","Fill=—","Direction=H","UseDPDF=Y")</f>
        <v>1.3240000000000001</v>
      </c>
      <c r="X6" s="21" t="str">
        <f>_xll.BDH("ADSK US Equity","CASH_RATIO","FQ3 2017","FQ3 2017","Currency=USD","Period=FQ","BEST_FPERIOD_OVERRIDE=FQ","FILING_STATUS=MR","Sort=A","Dates=H","DateFormat=P","Fill=—","Direction=H","UseDPDF=Y")</f>
        <v>#N/A Requesting Data...</v>
      </c>
      <c r="Y6" s="21" t="str">
        <f>_xll.BDH("ADSK US Equity","CASH_RATIO","FQ4 2017","FQ4 2017","Currency=USD","Period=FQ","BEST_FPERIOD_OVERRIDE=FQ","FILING_STATUS=MR","Sort=A","Dates=H","DateFormat=P","Fill=—","Direction=H","UseDPDF=Y")</f>
        <v>#N/A Requesting Data...</v>
      </c>
      <c r="Z6" s="21" t="str">
        <f>_xll.BDH("ADSK US Equity","CASH_RATIO","FQ1 2018","FQ1 2018","Currency=USD","Period=FQ","BEST_FPERIOD_OVERRIDE=FQ","FILING_STATUS=MR","Sort=A","Dates=H","DateFormat=P","Fill=—","Direction=H","UseDPDF=Y")</f>
        <v>#N/A Requesting Data...</v>
      </c>
      <c r="AA6" s="21">
        <f>_xll.BDH("ADSK US Equity","CASH_RATIO","FQ2 2018","FQ2 2018","Currency=USD","Period=FQ","BEST_FPERIOD_OVERRIDE=FQ","FILING_STATUS=MR","Sort=A","Dates=H","DateFormat=P","Fill=—","Direction=H","UseDPDF=Y")</f>
        <v>1.0035000000000001</v>
      </c>
      <c r="AB6" s="21">
        <f>_xll.BDH("ADSK US Equity","CASH_RATIO","FQ3 2018","FQ3 2018","Currency=USD","Period=FQ","BEST_FPERIOD_OVERRIDE=FQ","FILING_STATUS=MR","Sort=A","Dates=H","DateFormat=P","Fill=—","Direction=H","UseDPDF=Y")</f>
        <v>0.83079999999999998</v>
      </c>
      <c r="AC6" s="21" t="str">
        <f>_xll.BDH("ADSK US Equity","CASH_RATIO","FQ4 2018","FQ4 2018","Currency=USD","Period=FQ","BEST_FPERIOD_OVERRIDE=FQ","FILING_STATUS=MR","Sort=A","Dates=H","DateFormat=P","Fill=—","Direction=H","UseDPDF=Y")</f>
        <v>#N/A Requesting Data...</v>
      </c>
      <c r="AD6" s="21" t="str">
        <f>_xll.BDH("ADSK US Equity","CASH_RATIO","FQ1 2019","FQ1 2019","Currency=USD","Period=FQ","BEST_FPERIOD_OVERRIDE=FQ","FILING_STATUS=MR","Sort=A","Dates=H","DateFormat=P","Fill=—","Direction=H","UseDPDF=Y")</f>
        <v>#N/A Requesting Data...</v>
      </c>
      <c r="AE6" s="21">
        <f>_xll.BDH("ADSK US Equity","CASH_RATIO","FQ2 2019","FQ2 2019","Currency=USD","Period=FQ","BEST_FPERIOD_OVERRIDE=FQ","FILING_STATUS=MR","Sort=A","Dates=H","DateFormat=P","Fill=—","Direction=H","UseDPDF=Y")</f>
        <v>0.61080000000000001</v>
      </c>
      <c r="AF6" s="21">
        <f>_xll.BDH("ADSK US Equity","CASH_RATIO","FQ3 2019","FQ3 2019","Currency=USD","Period=FQ","BEST_FPERIOD_OVERRIDE=FQ","FILING_STATUS=MR","Sort=A","Dates=H","DateFormat=P","Fill=—","Direction=H","UseDPDF=Y")</f>
        <v>0.54300000000000004</v>
      </c>
      <c r="AG6" s="21">
        <f>_xll.BDH("ADSK US Equity","CASH_RATIO","FQ4 2019","FQ4 2019","Currency=USD","Period=FQ","BEST_FPERIOD_OVERRIDE=FQ","FILING_STATUS=MR","Sort=A","Dates=H","DateFormat=P","Fill=—","Direction=H","UseDPDF=Y")</f>
        <v>0.41439999999999999</v>
      </c>
      <c r="AH6" s="21">
        <f>_xll.BDH("ADSK US Equity","CASH_RATIO","FQ1 2020","FQ1 2020","Currency=USD","Period=FQ","BEST_FPERIOD_OVERRIDE=FQ","FILING_STATUS=MR","Sort=A","Dates=H","DateFormat=P","Fill=—","Direction=H","UseDPDF=Y")</f>
        <v>0.43769999999999998</v>
      </c>
      <c r="AI6" s="21" t="str">
        <f>_xll.BDH("ADSK US Equity","CASH_RATIO","FQ2 2020","FQ2 2020","Currency=USD","Period=FQ","BEST_FPERIOD_OVERRIDE=FQ","FILING_STATUS=MR","Sort=A","Dates=H","DateFormat=P","Fill=—","Direction=H","UseDPDF=Y")</f>
        <v>#N/A Requesting Data...</v>
      </c>
      <c r="AJ6" s="21" t="str">
        <f>_xll.BDH("ADSK US Equity","CASH_RATIO","FQ3 2020","FQ3 2020","Currency=USD","Period=FQ","BEST_FPERIOD_OVERRIDE=FQ","FILING_STATUS=MR","Sort=A","Dates=H","DateFormat=P","Fill=—","Direction=H","UseDPDF=Y")</f>
        <v>#N/A Requesting Data...</v>
      </c>
      <c r="AK6" s="21" t="str">
        <f>_xll.BDH("ADSK US Equity","CASH_RATIO","FQ4 2020","FQ4 2020","Currency=USD","Period=FQ","BEST_FPERIOD_OVERRIDE=FQ","FILING_STATUS=MR","Sort=A","Dates=H","DateFormat=P","Fill=—","Direction=H","UseDPDF=Y")</f>
        <v>#N/A Requesting Data...</v>
      </c>
      <c r="AL6" s="21">
        <f>_xll.BDH("ADSK US Equity","CASH_RATIO","FQ1 2021","FQ1 2021","Currency=USD","Period=FQ","BEST_FPERIOD_OVERRIDE=FQ","FILING_STATUS=MR","Sort=A","Dates=H","DateFormat=P","Fill=—","Direction=H","UseDPDF=Y")</f>
        <v>0.56889999999999996</v>
      </c>
      <c r="AM6" s="21" t="str">
        <f>_xll.BDH("ADSK US Equity","CASH_RATIO","FQ2 2021","FQ2 2021","Currency=USD","Period=FQ","BEST_FPERIOD_OVERRIDE=FQ","FILING_STATUS=MR","Sort=A","Dates=H","DateFormat=P","Fill=—","Direction=H","UseDPDF=Y")</f>
        <v>#N/A Requesting Data...</v>
      </c>
      <c r="AN6" s="21" t="str">
        <f>_xll.BDH("ADSK US Equity","CASH_RATIO","FQ3 2021","FQ3 2021","Currency=USD","Period=FQ","BEST_FPERIOD_OVERRIDE=FQ","FILING_STATUS=MR","Sort=A","Dates=H","DateFormat=P","Fill=—","Direction=H","UseDPDF=Y")</f>
        <v>#N/A Requesting Data...</v>
      </c>
      <c r="AO6" s="21" t="str">
        <f>_xll.BDH("ADSK US Equity","CASH_RATIO","FQ4 2021","FQ4 2021","Currency=USD","Period=FQ","BEST_FPERIOD_OVERRIDE=FQ","FILING_STATUS=MR","Sort=A","Dates=H","DateFormat=P","Fill=—","Direction=H","UseDPDF=Y")</f>
        <v>#N/A Requesting Data...</v>
      </c>
      <c r="AP6" s="21" t="str">
        <f>_xll.BDH("ADSK US Equity","CASH_RATIO","FQ1 2022","FQ1 2022","Currency=USD","Period=FQ","BEST_FPERIOD_OVERRIDE=FQ","FILING_STATUS=MR","Sort=A","Dates=H","DateFormat=P","Fill=—","Direction=H","UseDPDF=Y")</f>
        <v>#N/A Requesting Data...</v>
      </c>
    </row>
    <row r="7" spans="1:42" x14ac:dyDescent="0.25">
      <c r="A7" s="8" t="s">
        <v>190</v>
      </c>
      <c r="B7" s="8" t="s">
        <v>189</v>
      </c>
      <c r="C7" s="21" t="str">
        <f>_xll.BDH("ADSK US Equity","CUR_RATIO","FQ2 2012","FQ2 2012","Currency=USD","Period=FQ","BEST_FPERIOD_OVERRIDE=FQ","FILING_STATUS=MR","Sort=A","Dates=H","DateFormat=P","Fill=—","Direction=H","UseDPDF=Y")</f>
        <v>#N/A Requesting Data...</v>
      </c>
      <c r="D7" s="21">
        <f>_xll.BDH("ADSK US Equity","CUR_RATIO","FQ3 2012","FQ3 2012","Currency=USD","Period=FQ","BEST_FPERIOD_OVERRIDE=FQ","FILING_STATUS=MR","Sort=A","Dates=H","DateFormat=P","Fill=—","Direction=H","UseDPDF=Y")</f>
        <v>2.0878000000000001</v>
      </c>
      <c r="E7" s="21">
        <f>_xll.BDH("ADSK US Equity","CUR_RATIO","FQ4 2012","FQ4 2012","Currency=USD","Period=FQ","BEST_FPERIOD_OVERRIDE=FQ","FILING_STATUS=MR","Sort=A","Dates=H","DateFormat=P","Fill=—","Direction=H","UseDPDF=Y")</f>
        <v>1.9870999999999999</v>
      </c>
      <c r="F7" s="21" t="str">
        <f>_xll.BDH("ADSK US Equity","CUR_RATIO","FQ1 2013","FQ1 2013","Currency=USD","Period=FQ","BEST_FPERIOD_OVERRIDE=FQ","FILING_STATUS=MR","Sort=A","Dates=H","DateFormat=P","Fill=—","Direction=H","UseDPDF=Y")</f>
        <v>#N/A Requesting Data...</v>
      </c>
      <c r="G7" s="21" t="str">
        <f>_xll.BDH("ADSK US Equity","CUR_RATIO","FQ2 2013","FQ2 2013","Currency=USD","Period=FQ","BEST_FPERIOD_OVERRIDE=FQ","FILING_STATUS=MR","Sort=A","Dates=H","DateFormat=P","Fill=—","Direction=H","UseDPDF=Y")</f>
        <v>#N/A Requesting Data...</v>
      </c>
      <c r="H7" s="21" t="str">
        <f>_xll.BDH("ADSK US Equity","CUR_RATIO","FQ3 2013","FQ3 2013","Currency=USD","Period=FQ","BEST_FPERIOD_OVERRIDE=FQ","FILING_STATUS=MR","Sort=A","Dates=H","DateFormat=P","Fill=—","Direction=H","UseDPDF=Y")</f>
        <v>#N/A Requesting Data...</v>
      </c>
      <c r="I7" s="21" t="str">
        <f>_xll.BDH("ADSK US Equity","CUR_RATIO","FQ4 2013","FQ4 2013","Currency=USD","Period=FQ","BEST_FPERIOD_OVERRIDE=FQ","FILING_STATUS=MR","Sort=A","Dates=H","DateFormat=P","Fill=—","Direction=H","UseDPDF=Y")</f>
        <v>#N/A Requesting Data...</v>
      </c>
      <c r="J7" s="21" t="str">
        <f>_xll.BDH("ADSK US Equity","CUR_RATIO","FQ1 2014","FQ1 2014","Currency=USD","Period=FQ","BEST_FPERIOD_OVERRIDE=FQ","FILING_STATUS=MR","Sort=A","Dates=H","DateFormat=P","Fill=—","Direction=H","UseDPDF=Y")</f>
        <v>#N/A Requesting Data...</v>
      </c>
      <c r="K7" s="21" t="str">
        <f>_xll.BDH("ADSK US Equity","CUR_RATIO","FQ2 2014","FQ2 2014","Currency=USD","Period=FQ","BEST_FPERIOD_OVERRIDE=FQ","FILING_STATUS=MR","Sort=A","Dates=H","DateFormat=P","Fill=—","Direction=H","UseDPDF=Y")</f>
        <v>#N/A Requesting Data...</v>
      </c>
      <c r="L7" s="21">
        <f>_xll.BDH("ADSK US Equity","CUR_RATIO","FQ3 2014","FQ3 2014","Currency=USD","Period=FQ","BEST_FPERIOD_OVERRIDE=FQ","FILING_STATUS=MR","Sort=A","Dates=H","DateFormat=P","Fill=—","Direction=H","UseDPDF=Y")</f>
        <v>2.6556999999999999</v>
      </c>
      <c r="M7" s="21" t="str">
        <f>_xll.BDH("ADSK US Equity","CUR_RATIO","FQ4 2014","FQ4 2014","Currency=USD","Period=FQ","BEST_FPERIOD_OVERRIDE=FQ","FILING_STATUS=MR","Sort=A","Dates=H","DateFormat=P","Fill=—","Direction=H","UseDPDF=Y")</f>
        <v>#N/A Requesting Data...</v>
      </c>
      <c r="N7" s="21" t="str">
        <f>_xll.BDH("ADSK US Equity","CUR_RATIO","FQ1 2015","FQ1 2015","Currency=USD","Period=FQ","BEST_FPERIOD_OVERRIDE=FQ","FILING_STATUS=MR","Sort=A","Dates=H","DateFormat=P","Fill=—","Direction=H","UseDPDF=Y")</f>
        <v>#N/A Requesting Data...</v>
      </c>
      <c r="O7" s="21" t="str">
        <f>_xll.BDH("ADSK US Equity","CUR_RATIO","FQ2 2015","FQ2 2015","Currency=USD","Period=FQ","BEST_FPERIOD_OVERRIDE=FQ","FILING_STATUS=MR","Sort=A","Dates=H","DateFormat=P","Fill=—","Direction=H","UseDPDF=Y")</f>
        <v>#N/A Requesting Data...</v>
      </c>
      <c r="P7" s="21">
        <f>_xll.BDH("ADSK US Equity","CUR_RATIO","FQ3 2015","FQ3 2015","Currency=USD","Period=FQ","BEST_FPERIOD_OVERRIDE=FQ","FILING_STATUS=MR","Sort=A","Dates=H","DateFormat=P","Fill=—","Direction=H","UseDPDF=Y")</f>
        <v>2.0604</v>
      </c>
      <c r="Q7" s="21">
        <f>_xll.BDH("ADSK US Equity","CUR_RATIO","FQ4 2015","FQ4 2015","Currency=USD","Period=FQ","BEST_FPERIOD_OVERRIDE=FQ","FILING_STATUS=MR","Sort=A","Dates=H","DateFormat=P","Fill=—","Direction=H","UseDPDF=Y")</f>
        <v>1.9079000000000002</v>
      </c>
      <c r="R7" s="21">
        <f>_xll.BDH("ADSK US Equity","CUR_RATIO","FQ1 2016","FQ1 2016","Currency=USD","Period=FQ","BEST_FPERIOD_OVERRIDE=FQ","FILING_STATUS=MR","Sort=A","Dates=H","DateFormat=P","Fill=—","Direction=H","UseDPDF=Y")</f>
        <v>1.8429</v>
      </c>
      <c r="S7" s="21">
        <f>_xll.BDH("ADSK US Equity","CUR_RATIO","FQ2 2016","FQ2 2016","Currency=USD","Period=FQ","BEST_FPERIOD_OVERRIDE=FQ","FILING_STATUS=MR","Sort=A","Dates=H","DateFormat=P","Fill=—","Direction=H","UseDPDF=Y")</f>
        <v>2.2071999999999998</v>
      </c>
      <c r="T7" s="21" t="str">
        <f>_xll.BDH("ADSK US Equity","CUR_RATIO","FQ3 2016","FQ3 2016","Currency=USD","Period=FQ","BEST_FPERIOD_OVERRIDE=FQ","FILING_STATUS=MR","Sort=A","Dates=H","DateFormat=P","Fill=—","Direction=H","UseDPDF=Y")</f>
        <v>#N/A Requesting Data...</v>
      </c>
      <c r="U7" s="21">
        <f>_xll.BDH("ADSK US Equity","CUR_RATIO","FQ4 2016","FQ4 2016","Currency=USD","Period=FQ","BEST_FPERIOD_OVERRIDE=FQ","FILING_STATUS=MR","Sort=A","Dates=H","DateFormat=P","Fill=—","Direction=H","UseDPDF=Y")</f>
        <v>1.8813</v>
      </c>
      <c r="V7" s="21" t="str">
        <f>_xll.BDH("ADSK US Equity","CUR_RATIO","FQ1 2017","FQ1 2017","Currency=USD","Period=FQ","BEST_FPERIOD_OVERRIDE=FQ","FILING_STATUS=MR","Sort=A","Dates=H","DateFormat=P","Fill=—","Direction=H","UseDPDF=Y")</f>
        <v>#N/A Requesting Data...</v>
      </c>
      <c r="W7" s="21" t="str">
        <f>_xll.BDH("ADSK US Equity","CUR_RATIO","FQ2 2017","FQ2 2017","Currency=USD","Period=FQ","BEST_FPERIOD_OVERRIDE=FQ","FILING_STATUS=MR","Sort=A","Dates=H","DateFormat=P","Fill=—","Direction=H","UseDPDF=Y")</f>
        <v>#N/A Requesting Data...</v>
      </c>
      <c r="X7" s="21" t="str">
        <f>_xll.BDH("ADSK US Equity","CUR_RATIO","FQ3 2017","FQ3 2017","Currency=USD","Period=FQ","BEST_FPERIOD_OVERRIDE=FQ","FILING_STATUS=MR","Sort=A","Dates=H","DateFormat=P","Fill=—","Direction=H","UseDPDF=Y")</f>
        <v>#N/A Requesting Data...</v>
      </c>
      <c r="Y7" s="21">
        <f>_xll.BDH("ADSK US Equity","CUR_RATIO","FQ4 2017","FQ4 2017","Currency=USD","Period=FQ","BEST_FPERIOD_OVERRIDE=FQ","FILING_STATUS=MR","Sort=A","Dates=H","DateFormat=P","Fill=—","Direction=H","UseDPDF=Y")</f>
        <v>1.1259000000000001</v>
      </c>
      <c r="Z7" s="21" t="str">
        <f>_xll.BDH("ADSK US Equity","CUR_RATIO","FQ1 2018","FQ1 2018","Currency=USD","Period=FQ","BEST_FPERIOD_OVERRIDE=FQ","FILING_STATUS=MR","Sort=A","Dates=H","DateFormat=P","Fill=—","Direction=H","UseDPDF=Y")</f>
        <v>#N/A Requesting Data...</v>
      </c>
      <c r="AA7" s="21" t="str">
        <f>_xll.BDH("ADSK US Equity","CUR_RATIO","FQ2 2018","FQ2 2018","Currency=USD","Period=FQ","BEST_FPERIOD_OVERRIDE=FQ","FILING_STATUS=MR","Sort=A","Dates=H","DateFormat=P","Fill=—","Direction=H","UseDPDF=Y")</f>
        <v>#N/A Requesting Data...</v>
      </c>
      <c r="AB7" s="21" t="str">
        <f>_xll.BDH("ADSK US Equity","CUR_RATIO","FQ3 2018","FQ3 2018","Currency=USD","Period=FQ","BEST_FPERIOD_OVERRIDE=FQ","FILING_STATUS=MR","Sort=A","Dates=H","DateFormat=P","Fill=—","Direction=H","UseDPDF=Y")</f>
        <v>#N/A Requesting Data...</v>
      </c>
      <c r="AC7" s="21">
        <f>_xll.BDH("ADSK US Equity","CUR_RATIO","FQ4 2018","FQ4 2018","Currency=USD","Period=FQ","BEST_FPERIOD_OVERRIDE=FQ","FILING_STATUS=MR","Sort=A","Dates=H","DateFormat=P","Fill=—","Direction=H","UseDPDF=Y")</f>
        <v>0.88449999999999995</v>
      </c>
      <c r="AD7" s="21" t="str">
        <f>_xll.BDH("ADSK US Equity","CUR_RATIO","FQ1 2019","FQ1 2019","Currency=USD","Period=FQ","BEST_FPERIOD_OVERRIDE=FQ","FILING_STATUS=MR","Sort=A","Dates=H","DateFormat=P","Fill=—","Direction=H","UseDPDF=Y")</f>
        <v>#N/A Requesting Data...</v>
      </c>
      <c r="AE7" s="21" t="str">
        <f>_xll.BDH("ADSK US Equity","CUR_RATIO","FQ2 2019","FQ2 2019","Currency=USD","Period=FQ","BEST_FPERIOD_OVERRIDE=FQ","FILING_STATUS=MR","Sort=A","Dates=H","DateFormat=P","Fill=—","Direction=H","UseDPDF=Y")</f>
        <v>#N/A Requesting Data...</v>
      </c>
      <c r="AF7" s="21" t="str">
        <f>_xll.BDH("ADSK US Equity","CUR_RATIO","FQ3 2019","FQ3 2019","Currency=USD","Period=FQ","BEST_FPERIOD_OVERRIDE=FQ","FILING_STATUS=MR","Sort=A","Dates=H","DateFormat=P","Fill=—","Direction=H","UseDPDF=Y")</f>
        <v>#N/A Requesting Data...</v>
      </c>
      <c r="AG7" s="21" t="str">
        <f>_xll.BDH("ADSK US Equity","CUR_RATIO","FQ4 2019","FQ4 2019","Currency=USD","Period=FQ","BEST_FPERIOD_OVERRIDE=FQ","FILING_STATUS=MR","Sort=A","Dates=H","DateFormat=P","Fill=—","Direction=H","UseDPDF=Y")</f>
        <v>#N/A Requesting Data...</v>
      </c>
      <c r="AH7" s="21" t="str">
        <f>_xll.BDH("ADSK US Equity","CUR_RATIO","FQ1 2020","FQ1 2020","Currency=USD","Period=FQ","BEST_FPERIOD_OVERRIDE=FQ","FILING_STATUS=MR","Sort=A","Dates=H","DateFormat=P","Fill=—","Direction=H","UseDPDF=Y")</f>
        <v>#N/A Requesting Data...</v>
      </c>
      <c r="AI7" s="21" t="str">
        <f>_xll.BDH("ADSK US Equity","CUR_RATIO","FQ2 2020","FQ2 2020","Currency=USD","Period=FQ","BEST_FPERIOD_OVERRIDE=FQ","FILING_STATUS=MR","Sort=A","Dates=H","DateFormat=P","Fill=—","Direction=H","UseDPDF=Y")</f>
        <v>#N/A Requesting Data...</v>
      </c>
      <c r="AJ7" s="21" t="str">
        <f>_xll.BDH("ADSK US Equity","CUR_RATIO","FQ3 2020","FQ3 2020","Currency=USD","Period=FQ","BEST_FPERIOD_OVERRIDE=FQ","FILING_STATUS=MR","Sort=A","Dates=H","DateFormat=P","Fill=—","Direction=H","UseDPDF=Y")</f>
        <v>#N/A Requesting Data...</v>
      </c>
      <c r="AK7" s="21" t="str">
        <f>_xll.BDH("ADSK US Equity","CUR_RATIO","FQ4 2020","FQ4 2020","Currency=USD","Period=FQ","BEST_FPERIOD_OVERRIDE=FQ","FILING_STATUS=MR","Sort=A","Dates=H","DateFormat=P","Fill=—","Direction=H","UseDPDF=Y")</f>
        <v>#N/A Requesting Data...</v>
      </c>
      <c r="AL7" s="21" t="str">
        <f>_xll.BDH("ADSK US Equity","CUR_RATIO","FQ1 2021","FQ1 2021","Currency=USD","Period=FQ","BEST_FPERIOD_OVERRIDE=FQ","FILING_STATUS=MR","Sort=A","Dates=H","DateFormat=P","Fill=—","Direction=H","UseDPDF=Y")</f>
        <v>#N/A Requesting Data...</v>
      </c>
      <c r="AM7" s="21">
        <f>_xll.BDH("ADSK US Equity","CUR_RATIO","FQ2 2021","FQ2 2021","Currency=USD","Period=FQ","BEST_FPERIOD_OVERRIDE=FQ","FILING_STATUS=MR","Sort=A","Dates=H","DateFormat=P","Fill=—","Direction=H","UseDPDF=Y")</f>
        <v>0.84130000000000005</v>
      </c>
      <c r="AN7" s="21" t="str">
        <f>_xll.BDH("ADSK US Equity","CUR_RATIO","FQ3 2021","FQ3 2021","Currency=USD","Period=FQ","BEST_FPERIOD_OVERRIDE=FQ","FILING_STATUS=MR","Sort=A","Dates=H","DateFormat=P","Fill=—","Direction=H","UseDPDF=Y")</f>
        <v>#N/A Requesting Data...</v>
      </c>
      <c r="AO7" s="21" t="str">
        <f>_xll.BDH("ADSK US Equity","CUR_RATIO","FQ4 2021","FQ4 2021","Currency=USD","Period=FQ","BEST_FPERIOD_OVERRIDE=FQ","FILING_STATUS=MR","Sort=A","Dates=H","DateFormat=P","Fill=—","Direction=H","UseDPDF=Y")</f>
        <v>#N/A Requesting Data...</v>
      </c>
      <c r="AP7" s="21">
        <f>_xll.BDH("ADSK US Equity","CUR_RATIO","FQ1 2022","FQ1 2022","Currency=USD","Period=FQ","BEST_FPERIOD_OVERRIDE=FQ","FILING_STATUS=MR","Sort=A","Dates=H","DateFormat=P","Fill=—","Direction=H","UseDPDF=Y")</f>
        <v>0.48089999999999999</v>
      </c>
    </row>
    <row r="8" spans="1:42" x14ac:dyDescent="0.25">
      <c r="A8" s="8" t="s">
        <v>188</v>
      </c>
      <c r="B8" s="8" t="s">
        <v>187</v>
      </c>
      <c r="C8" s="21" t="str">
        <f>_xll.BDH("ADSK US Equity","QUICK_RATIO","FQ2 2012","FQ2 2012","Currency=USD","Period=FQ","BEST_FPERIOD_OVERRIDE=FQ","FILING_STATUS=MR","Sort=A","Dates=H","DateFormat=P","Fill=—","Direction=H","UseDPDF=Y")</f>
        <v>#N/A Requesting Data...</v>
      </c>
      <c r="D8" s="21" t="str">
        <f>_xll.BDH("ADSK US Equity","QUICK_RATIO","FQ3 2012","FQ3 2012","Currency=USD","Period=FQ","BEST_FPERIOD_OVERRIDE=FQ","FILING_STATUS=MR","Sort=A","Dates=H","DateFormat=P","Fill=—","Direction=H","UseDPDF=Y")</f>
        <v>#N/A Requesting Data...</v>
      </c>
      <c r="E8" s="21">
        <f>_xll.BDH("ADSK US Equity","QUICK_RATIO","FQ4 2012","FQ4 2012","Currency=USD","Period=FQ","BEST_FPERIOD_OVERRIDE=FQ","FILING_STATUS=MR","Sort=A","Dates=H","DateFormat=P","Fill=—","Direction=H","UseDPDF=Y")</f>
        <v>1.8933</v>
      </c>
      <c r="F8" s="21" t="str">
        <f>_xll.BDH("ADSK US Equity","QUICK_RATIO","FQ1 2013","FQ1 2013","Currency=USD","Period=FQ","BEST_FPERIOD_OVERRIDE=FQ","FILING_STATUS=MR","Sort=A","Dates=H","DateFormat=P","Fill=—","Direction=H","UseDPDF=Y")</f>
        <v>#N/A Requesting Data...</v>
      </c>
      <c r="G8" s="21" t="str">
        <f>_xll.BDH("ADSK US Equity","QUICK_RATIO","FQ2 2013","FQ2 2013","Currency=USD","Period=FQ","BEST_FPERIOD_OVERRIDE=FQ","FILING_STATUS=MR","Sort=A","Dates=H","DateFormat=P","Fill=—","Direction=H","UseDPDF=Y")</f>
        <v>#N/A Requesting Data...</v>
      </c>
      <c r="H8" s="21">
        <f>_xll.BDH("ADSK US Equity","QUICK_RATIO","FQ3 2013","FQ3 2013","Currency=USD","Period=FQ","BEST_FPERIOD_OVERRIDE=FQ","FILING_STATUS=MR","Sort=A","Dates=H","DateFormat=P","Fill=—","Direction=H","UseDPDF=Y")</f>
        <v>1.6465999999999998</v>
      </c>
      <c r="I8" s="21" t="str">
        <f>_xll.BDH("ADSK US Equity","QUICK_RATIO","FQ4 2013","FQ4 2013","Currency=USD","Period=FQ","BEST_FPERIOD_OVERRIDE=FQ","FILING_STATUS=MR","Sort=A","Dates=H","DateFormat=P","Fill=—","Direction=H","UseDPDF=Y")</f>
        <v>#N/A Requesting Data...</v>
      </c>
      <c r="J8" s="21" t="str">
        <f>_xll.BDH("ADSK US Equity","QUICK_RATIO","FQ1 2014","FQ1 2014","Currency=USD","Period=FQ","BEST_FPERIOD_OVERRIDE=FQ","FILING_STATUS=MR","Sort=A","Dates=H","DateFormat=P","Fill=—","Direction=H","UseDPDF=Y")</f>
        <v>#N/A Requesting Data...</v>
      </c>
      <c r="K8" s="21" t="str">
        <f>_xll.BDH("ADSK US Equity","QUICK_RATIO","FQ2 2014","FQ2 2014","Currency=USD","Period=FQ","BEST_FPERIOD_OVERRIDE=FQ","FILING_STATUS=MR","Sort=A","Dates=H","DateFormat=P","Fill=—","Direction=H","UseDPDF=Y")</f>
        <v>#N/A Requesting Data...</v>
      </c>
      <c r="L8" s="21" t="str">
        <f>_xll.BDH("ADSK US Equity","QUICK_RATIO","FQ3 2014","FQ3 2014","Currency=USD","Period=FQ","BEST_FPERIOD_OVERRIDE=FQ","FILING_STATUS=MR","Sort=A","Dates=H","DateFormat=P","Fill=—","Direction=H","UseDPDF=Y")</f>
        <v>#N/A Requesting Data...</v>
      </c>
      <c r="M8" s="21">
        <f>_xll.BDH("ADSK US Equity","QUICK_RATIO","FQ4 2014","FQ4 2014","Currency=USD","Period=FQ","BEST_FPERIOD_OVERRIDE=FQ","FILING_STATUS=MR","Sort=A","Dates=H","DateFormat=P","Fill=—","Direction=H","UseDPDF=Y")</f>
        <v>2.5112000000000001</v>
      </c>
      <c r="N8" s="21" t="str">
        <f>_xll.BDH("ADSK US Equity","QUICK_RATIO","FQ1 2015","FQ1 2015","Currency=USD","Period=FQ","BEST_FPERIOD_OVERRIDE=FQ","FILING_STATUS=MR","Sort=A","Dates=H","DateFormat=P","Fill=—","Direction=H","UseDPDF=Y")</f>
        <v>#N/A Requesting Data...</v>
      </c>
      <c r="O8" s="21" t="str">
        <f>_xll.BDH("ADSK US Equity","QUICK_RATIO","FQ2 2015","FQ2 2015","Currency=USD","Period=FQ","BEST_FPERIOD_OVERRIDE=FQ","FILING_STATUS=MR","Sort=A","Dates=H","DateFormat=P","Fill=—","Direction=H","UseDPDF=Y")</f>
        <v>#N/A Requesting Data...</v>
      </c>
      <c r="P8" s="21" t="str">
        <f>_xll.BDH("ADSK US Equity","QUICK_RATIO","FQ3 2015","FQ3 2015","Currency=USD","Period=FQ","BEST_FPERIOD_OVERRIDE=FQ","FILING_STATUS=MR","Sort=A","Dates=H","DateFormat=P","Fill=—","Direction=H","UseDPDF=Y")</f>
        <v>#N/A Requesting Data...</v>
      </c>
      <c r="Q8" s="21" t="str">
        <f>_xll.BDH("ADSK US Equity","QUICK_RATIO","FQ4 2015","FQ4 2015","Currency=USD","Period=FQ","BEST_FPERIOD_OVERRIDE=FQ","FILING_STATUS=MR","Sort=A","Dates=H","DateFormat=P","Fill=—","Direction=H","UseDPDF=Y")</f>
        <v>#N/A Requesting Data...</v>
      </c>
      <c r="R8" s="21" t="str">
        <f>_xll.BDH("ADSK US Equity","QUICK_RATIO","FQ1 2016","FQ1 2016","Currency=USD","Period=FQ","BEST_FPERIOD_OVERRIDE=FQ","FILING_STATUS=MR","Sort=A","Dates=H","DateFormat=P","Fill=—","Direction=H","UseDPDF=Y")</f>
        <v>#N/A Requesting Data...</v>
      </c>
      <c r="S8" s="21">
        <f>_xll.BDH("ADSK US Equity","QUICK_RATIO","FQ2 2016","FQ2 2016","Currency=USD","Period=FQ","BEST_FPERIOD_OVERRIDE=FQ","FILING_STATUS=MR","Sort=A","Dates=H","DateFormat=P","Fill=—","Direction=H","UseDPDF=Y")</f>
        <v>2.1189999999999998</v>
      </c>
      <c r="T8" s="21">
        <f>_xll.BDH("ADSK US Equity","QUICK_RATIO","FQ3 2016","FQ3 2016","Currency=USD","Period=FQ","BEST_FPERIOD_OVERRIDE=FQ","FILING_STATUS=MR","Sort=A","Dates=H","DateFormat=P","Fill=—","Direction=H","UseDPDF=Y")</f>
        <v>2.0185</v>
      </c>
      <c r="U8" s="21" t="str">
        <f>_xll.BDH("ADSK US Equity","QUICK_RATIO","FQ4 2016","FQ4 2016","Currency=USD","Period=FQ","BEST_FPERIOD_OVERRIDE=FQ","FILING_STATUS=MR","Sort=A","Dates=H","DateFormat=P","Fill=—","Direction=H","UseDPDF=Y")</f>
        <v>#N/A Requesting Data...</v>
      </c>
      <c r="V8" s="21" t="str">
        <f>_xll.BDH("ADSK US Equity","QUICK_RATIO","FQ1 2017","FQ1 2017","Currency=USD","Period=FQ","BEST_FPERIOD_OVERRIDE=FQ","FILING_STATUS=MR","Sort=A","Dates=H","DateFormat=P","Fill=—","Direction=H","UseDPDF=Y")</f>
        <v>#N/A Requesting Data...</v>
      </c>
      <c r="W8" s="21">
        <f>_xll.BDH("ADSK US Equity","QUICK_RATIO","FQ2 2017","FQ2 2017","Currency=USD","Period=FQ","BEST_FPERIOD_OVERRIDE=FQ","FILING_STATUS=MR","Sort=A","Dates=H","DateFormat=P","Fill=—","Direction=H","UseDPDF=Y")</f>
        <v>1.5207999999999999</v>
      </c>
      <c r="X8" s="21">
        <f>_xll.BDH("ADSK US Equity","QUICK_RATIO","FQ3 2017","FQ3 2017","Currency=USD","Period=FQ","BEST_FPERIOD_OVERRIDE=FQ","FILING_STATUS=MR","Sort=A","Dates=H","DateFormat=P","Fill=—","Direction=H","UseDPDF=Y")</f>
        <v>1.395</v>
      </c>
      <c r="Y8" s="21">
        <f>_xll.BDH("ADSK US Equity","QUICK_RATIO","FQ4 2017","FQ4 2017","Currency=USD","Period=FQ","BEST_FPERIOD_OVERRIDE=FQ","FILING_STATUS=MR","Sort=A","Dates=H","DateFormat=P","Fill=—","Direction=H","UseDPDF=Y")</f>
        <v>1.0763</v>
      </c>
      <c r="Z8" s="21">
        <f>_xll.BDH("ADSK US Equity","QUICK_RATIO","FQ1 2018","FQ1 2018","Currency=USD","Period=FQ","BEST_FPERIOD_OVERRIDE=FQ","FILING_STATUS=MR","Sort=A","Dates=H","DateFormat=P","Fill=—","Direction=H","UseDPDF=Y")</f>
        <v>0.99670000000000003</v>
      </c>
      <c r="AA8" s="21">
        <f>_xll.BDH("ADSK US Equity","QUICK_RATIO","FQ2 2018","FQ2 2018","Currency=USD","Period=FQ","BEST_FPERIOD_OVERRIDE=FQ","FILING_STATUS=MR","Sort=A","Dates=H","DateFormat=P","Fill=—","Direction=H","UseDPDF=Y")</f>
        <v>1.1596</v>
      </c>
      <c r="AB8" s="21" t="str">
        <f>_xll.BDH("ADSK US Equity","QUICK_RATIO","FQ3 2018","FQ3 2018","Currency=USD","Period=FQ","BEST_FPERIOD_OVERRIDE=FQ","FILING_STATUS=MR","Sort=A","Dates=H","DateFormat=P","Fill=—","Direction=H","UseDPDF=Y")</f>
        <v>#N/A Requesting Data...</v>
      </c>
      <c r="AC8" s="21" t="str">
        <f>_xll.BDH("ADSK US Equity","QUICK_RATIO","FQ4 2018","FQ4 2018","Currency=USD","Period=FQ","BEST_FPERIOD_OVERRIDE=FQ","FILING_STATUS=MR","Sort=A","Dates=H","DateFormat=P","Fill=—","Direction=H","UseDPDF=Y")</f>
        <v>#N/A Requesting Data...</v>
      </c>
      <c r="AD8" s="21" t="str">
        <f>_xll.BDH("ADSK US Equity","QUICK_RATIO","FQ1 2019","FQ1 2019","Currency=USD","Period=FQ","BEST_FPERIOD_OVERRIDE=FQ","FILING_STATUS=MR","Sort=A","Dates=H","DateFormat=P","Fill=—","Direction=H","UseDPDF=Y")</f>
        <v>#N/A Requesting Data...</v>
      </c>
      <c r="AE8" s="21" t="str">
        <f>_xll.BDH("ADSK US Equity","QUICK_RATIO","FQ2 2019","FQ2 2019","Currency=USD","Period=FQ","BEST_FPERIOD_OVERRIDE=FQ","FILING_STATUS=MR","Sort=A","Dates=H","DateFormat=P","Fill=—","Direction=H","UseDPDF=Y")</f>
        <v>#N/A Requesting Data...</v>
      </c>
      <c r="AF8" s="21" t="str">
        <f>_xll.BDH("ADSK US Equity","QUICK_RATIO","FQ3 2019","FQ3 2019","Currency=USD","Period=FQ","BEST_FPERIOD_OVERRIDE=FQ","FILING_STATUS=MR","Sort=A","Dates=H","DateFormat=P","Fill=—","Direction=H","UseDPDF=Y")</f>
        <v>#N/A Requesting Data...</v>
      </c>
      <c r="AG8" s="21">
        <f>_xll.BDH("ADSK US Equity","QUICK_RATIO","FQ4 2019","FQ4 2019","Currency=USD","Period=FQ","BEST_FPERIOD_OVERRIDE=FQ","FILING_STATUS=MR","Sort=A","Dates=H","DateFormat=P","Fill=—","Direction=H","UseDPDF=Y")</f>
        <v>0.62050000000000005</v>
      </c>
      <c r="AH8" s="21" t="str">
        <f>_xll.BDH("ADSK US Equity","QUICK_RATIO","FQ1 2020","FQ1 2020","Currency=USD","Period=FQ","BEST_FPERIOD_OVERRIDE=FQ","FILING_STATUS=MR","Sort=A","Dates=H","DateFormat=P","Fill=—","Direction=H","UseDPDF=Y")</f>
        <v>#N/A Requesting Data...</v>
      </c>
      <c r="AI8" s="21" t="str">
        <f>_xll.BDH("ADSK US Equity","QUICK_RATIO","FQ2 2020","FQ2 2020","Currency=USD","Period=FQ","BEST_FPERIOD_OVERRIDE=FQ","FILING_STATUS=MR","Sort=A","Dates=H","DateFormat=P","Fill=—","Direction=H","UseDPDF=Y")</f>
        <v>#N/A Requesting Data...</v>
      </c>
      <c r="AJ8" s="21" t="str">
        <f>_xll.BDH("ADSK US Equity","QUICK_RATIO","FQ3 2020","FQ3 2020","Currency=USD","Period=FQ","BEST_FPERIOD_OVERRIDE=FQ","FILING_STATUS=MR","Sort=A","Dates=H","DateFormat=P","Fill=—","Direction=H","UseDPDF=Y")</f>
        <v>#N/A Requesting Data...</v>
      </c>
      <c r="AK8" s="21" t="str">
        <f>_xll.BDH("ADSK US Equity","QUICK_RATIO","FQ4 2020","FQ4 2020","Currency=USD","Period=FQ","BEST_FPERIOD_OVERRIDE=FQ","FILING_STATUS=MR","Sort=A","Dates=H","DateFormat=P","Fill=—","Direction=H","UseDPDF=Y")</f>
        <v>#N/A Requesting Data...</v>
      </c>
      <c r="AL8" s="21">
        <f>_xll.BDH("ADSK US Equity","QUICK_RATIO","FQ1 2021","FQ1 2021","Currency=USD","Period=FQ","BEST_FPERIOD_OVERRIDE=FQ","FILING_STATUS=MR","Sort=A","Dates=H","DateFormat=P","Fill=—","Direction=H","UseDPDF=Y")</f>
        <v>0.70720000000000005</v>
      </c>
      <c r="AM8" s="21" t="str">
        <f>_xll.BDH("ADSK US Equity","QUICK_RATIO","FQ2 2021","FQ2 2021","Currency=USD","Period=FQ","BEST_FPERIOD_OVERRIDE=FQ","FILING_STATUS=MR","Sort=A","Dates=H","DateFormat=P","Fill=—","Direction=H","UseDPDF=Y")</f>
        <v>#N/A Requesting Data...</v>
      </c>
      <c r="AN8" s="21" t="str">
        <f>_xll.BDH("ADSK US Equity","QUICK_RATIO","FQ3 2021","FQ3 2021","Currency=USD","Period=FQ","BEST_FPERIOD_OVERRIDE=FQ","FILING_STATUS=MR","Sort=A","Dates=H","DateFormat=P","Fill=—","Direction=H","UseDPDF=Y")</f>
        <v>#N/A Requesting Data...</v>
      </c>
      <c r="AO8" s="21" t="str">
        <f>_xll.BDH("ADSK US Equity","QUICK_RATIO","FQ4 2021","FQ4 2021","Currency=USD","Period=FQ","BEST_FPERIOD_OVERRIDE=FQ","FILING_STATUS=MR","Sort=A","Dates=H","DateFormat=P","Fill=—","Direction=H","UseDPDF=Y")</f>
        <v>#N/A Requesting Data...</v>
      </c>
      <c r="AP8" s="21" t="str">
        <f>_xll.BDH("ADSK US Equity","QUICK_RATIO","FQ1 2022","FQ1 2022","Currency=USD","Period=FQ","BEST_FPERIOD_OVERRIDE=FQ","FILING_STATUS=MR","Sort=A","Dates=H","DateFormat=P","Fill=—","Direction=H","UseDPDF=Y")</f>
        <v>#N/A Requesting Data...</v>
      </c>
    </row>
    <row r="9" spans="1:42" x14ac:dyDescent="0.25">
      <c r="A9" s="8" t="s">
        <v>186</v>
      </c>
      <c r="B9" s="8" t="s">
        <v>185</v>
      </c>
      <c r="C9" s="21">
        <f>_xll.BDH("ADSK US Equity","CFO_TO_AVG_CURRENT_LIABILITIES","FQ2 2012","FQ2 2012","Currency=USD","Period=FQ","BEST_FPERIOD_OVERRIDE=FQ","FILING_STATUS=MR","Sort=A","Dates=H","DateFormat=P","Fill=—","Direction=H","UseDPDF=Y")</f>
        <v>0.71060000000000001</v>
      </c>
      <c r="D9" s="21" t="str">
        <f>_xll.BDH("ADSK US Equity","CFO_TO_AVG_CURRENT_LIABILITIES","FQ3 2012","FQ3 2012","Currency=USD","Period=FQ","BEST_FPERIOD_OVERRIDE=FQ","FILING_STATUS=MR","Sort=A","Dates=H","DateFormat=P","Fill=—","Direction=H","UseDPDF=Y")</f>
        <v>#N/A Requesting Data...</v>
      </c>
      <c r="E9" s="21" t="str">
        <f>_xll.BDH("ADSK US Equity","CFO_TO_AVG_CURRENT_LIABILITIES","FQ4 2012","FQ4 2012","Currency=USD","Period=FQ","BEST_FPERIOD_OVERRIDE=FQ","FILING_STATUS=MR","Sort=A","Dates=H","DateFormat=P","Fill=—","Direction=H","UseDPDF=Y")</f>
        <v>#N/A Requesting Data...</v>
      </c>
      <c r="F9" s="21" t="str">
        <f>_xll.BDH("ADSK US Equity","CFO_TO_AVG_CURRENT_LIABILITIES","FQ1 2013","FQ1 2013","Currency=USD","Period=FQ","BEST_FPERIOD_OVERRIDE=FQ","FILING_STATUS=MR","Sort=A","Dates=H","DateFormat=P","Fill=—","Direction=H","UseDPDF=Y")</f>
        <v>#N/A Requesting Data...</v>
      </c>
      <c r="G9" s="21" t="str">
        <f>_xll.BDH("ADSK US Equity","CFO_TO_AVG_CURRENT_LIABILITIES","FQ2 2013","FQ2 2013","Currency=USD","Period=FQ","BEST_FPERIOD_OVERRIDE=FQ","FILING_STATUS=MR","Sort=A","Dates=H","DateFormat=P","Fill=—","Direction=H","UseDPDF=Y")</f>
        <v>#N/A Requesting Data...</v>
      </c>
      <c r="H9" s="21">
        <f>_xll.BDH("ADSK US Equity","CFO_TO_AVG_CURRENT_LIABILITIES","FQ3 2013","FQ3 2013","Currency=USD","Period=FQ","BEST_FPERIOD_OVERRIDE=FQ","FILING_STATUS=MR","Sort=A","Dates=H","DateFormat=P","Fill=—","Direction=H","UseDPDF=Y")</f>
        <v>0.64339999999999997</v>
      </c>
      <c r="I9" s="21" t="str">
        <f>_xll.BDH("ADSK US Equity","CFO_TO_AVG_CURRENT_LIABILITIES","FQ4 2013","FQ4 2013","Currency=USD","Period=FQ","BEST_FPERIOD_OVERRIDE=FQ","FILING_STATUS=MR","Sort=A","Dates=H","DateFormat=P","Fill=—","Direction=H","UseDPDF=Y")</f>
        <v>#N/A Requesting Data...</v>
      </c>
      <c r="J9" s="21">
        <f>_xll.BDH("ADSK US Equity","CFO_TO_AVG_CURRENT_LIABILITIES","FQ1 2014","FQ1 2014","Currency=USD","Period=FQ","BEST_FPERIOD_OVERRIDE=FQ","FILING_STATUS=MR","Sort=A","Dates=H","DateFormat=P","Fill=—","Direction=H","UseDPDF=Y")</f>
        <v>0.69410000000000005</v>
      </c>
      <c r="K9" s="21" t="str">
        <f>_xll.BDH("ADSK US Equity","CFO_TO_AVG_CURRENT_LIABILITIES","FQ2 2014","FQ2 2014","Currency=USD","Period=FQ","BEST_FPERIOD_OVERRIDE=FQ","FILING_STATUS=MR","Sort=A","Dates=H","DateFormat=P","Fill=—","Direction=H","UseDPDF=Y")</f>
        <v>#N/A Requesting Data...</v>
      </c>
      <c r="L9" s="21" t="str">
        <f>_xll.BDH("ADSK US Equity","CFO_TO_AVG_CURRENT_LIABILITIES","FQ3 2014","FQ3 2014","Currency=USD","Period=FQ","BEST_FPERIOD_OVERRIDE=FQ","FILING_STATUS=MR","Sort=A","Dates=H","DateFormat=P","Fill=—","Direction=H","UseDPDF=Y")</f>
        <v>#N/A Requesting Data...</v>
      </c>
      <c r="M9" s="21">
        <f>_xll.BDH("ADSK US Equity","CFO_TO_AVG_CURRENT_LIABILITIES","FQ4 2014","FQ4 2014","Currency=USD","Period=FQ","BEST_FPERIOD_OVERRIDE=FQ","FILING_STATUS=MR","Sort=A","Dates=H","DateFormat=P","Fill=—","Direction=H","UseDPDF=Y")</f>
        <v>0.53280000000000005</v>
      </c>
      <c r="N9" s="21" t="str">
        <f>_xll.BDH("ADSK US Equity","CFO_TO_AVG_CURRENT_LIABILITIES","FQ1 2015","FQ1 2015","Currency=USD","Period=FQ","BEST_FPERIOD_OVERRIDE=FQ","FILING_STATUS=MR","Sort=A","Dates=H","DateFormat=P","Fill=—","Direction=H","UseDPDF=Y")</f>
        <v>#N/A Requesting Data...</v>
      </c>
      <c r="O9" s="21" t="str">
        <f>_xll.BDH("ADSK US Equity","CFO_TO_AVG_CURRENT_LIABILITIES","FQ2 2015","FQ2 2015","Currency=USD","Period=FQ","BEST_FPERIOD_OVERRIDE=FQ","FILING_STATUS=MR","Sort=A","Dates=H","DateFormat=P","Fill=—","Direction=H","UseDPDF=Y")</f>
        <v>#N/A Requesting Data...</v>
      </c>
      <c r="P9" s="21">
        <f>_xll.BDH("ADSK US Equity","CFO_TO_AVG_CURRENT_LIABILITIES","FQ3 2015","FQ3 2015","Currency=USD","Period=FQ","BEST_FPERIOD_OVERRIDE=FQ","FILING_STATUS=MR","Sort=A","Dates=H","DateFormat=P","Fill=—","Direction=H","UseDPDF=Y")</f>
        <v>0.59250000000000003</v>
      </c>
      <c r="Q9" s="21" t="str">
        <f>_xll.BDH("ADSK US Equity","CFO_TO_AVG_CURRENT_LIABILITIES","FQ4 2015","FQ4 2015","Currency=USD","Period=FQ","BEST_FPERIOD_OVERRIDE=FQ","FILING_STATUS=MR","Sort=A","Dates=H","DateFormat=P","Fill=—","Direction=H","UseDPDF=Y")</f>
        <v>#N/A Requesting Data...</v>
      </c>
      <c r="R9" s="21" t="str">
        <f>_xll.BDH("ADSK US Equity","CFO_TO_AVG_CURRENT_LIABILITIES","FQ1 2016","FQ1 2016","Currency=USD","Period=FQ","BEST_FPERIOD_OVERRIDE=FQ","FILING_STATUS=MR","Sort=A","Dates=H","DateFormat=P","Fill=—","Direction=H","UseDPDF=Y")</f>
        <v>#N/A Requesting Data...</v>
      </c>
      <c r="S9" s="21" t="str">
        <f>_xll.BDH("ADSK US Equity","CFO_TO_AVG_CURRENT_LIABILITIES","FQ2 2016","FQ2 2016","Currency=USD","Period=FQ","BEST_FPERIOD_OVERRIDE=FQ","FILING_STATUS=MR","Sort=A","Dates=H","DateFormat=P","Fill=—","Direction=H","UseDPDF=Y")</f>
        <v>#N/A Requesting Data...</v>
      </c>
      <c r="T9" s="21">
        <f>_xll.BDH("ADSK US Equity","CFO_TO_AVG_CURRENT_LIABILITIES","FQ3 2016","FQ3 2016","Currency=USD","Period=FQ","BEST_FPERIOD_OVERRIDE=FQ","FILING_STATUS=MR","Sort=A","Dates=H","DateFormat=P","Fill=—","Direction=H","UseDPDF=Y")</f>
        <v>0.40029999999999999</v>
      </c>
      <c r="U9" s="21">
        <f>_xll.BDH("ADSK US Equity","CFO_TO_AVG_CURRENT_LIABILITIES","FQ4 2016","FQ4 2016","Currency=USD","Period=FQ","BEST_FPERIOD_OVERRIDE=FQ","FILING_STATUS=MR","Sort=A","Dates=H","DateFormat=P","Fill=—","Direction=H","UseDPDF=Y")</f>
        <v>0.27679999999999999</v>
      </c>
      <c r="V9" s="21">
        <f>_xll.BDH("ADSK US Equity","CFO_TO_AVG_CURRENT_LIABILITIES","FQ1 2017","FQ1 2017","Currency=USD","Period=FQ","BEST_FPERIOD_OVERRIDE=FQ","FILING_STATUS=MR","Sort=A","Dates=H","DateFormat=P","Fill=—","Direction=H","UseDPDF=Y")</f>
        <v>0.3584</v>
      </c>
      <c r="W9" s="21">
        <f>_xll.BDH("ADSK US Equity","CFO_TO_AVG_CURRENT_LIABILITIES","FQ2 2017","FQ2 2017","Currency=USD","Period=FQ","BEST_FPERIOD_OVERRIDE=FQ","FILING_STATUS=MR","Sort=A","Dates=H","DateFormat=P","Fill=—","Direction=H","UseDPDF=Y")</f>
        <v>0.27610000000000001</v>
      </c>
      <c r="X9" s="21" t="str">
        <f>_xll.BDH("ADSK US Equity","CFO_TO_AVG_CURRENT_LIABILITIES","FQ3 2017","FQ3 2017","Currency=USD","Period=FQ","BEST_FPERIOD_OVERRIDE=FQ","FILING_STATUS=MR","Sort=A","Dates=H","DateFormat=P","Fill=—","Direction=H","UseDPDF=Y")</f>
        <v>#N/A Requesting Data...</v>
      </c>
      <c r="Y9" s="21">
        <f>_xll.BDH("ADSK US Equity","CFO_TO_AVG_CURRENT_LIABILITIES","FQ4 2017","FQ4 2017","Currency=USD","Period=FQ","BEST_FPERIOD_OVERRIDE=FQ","FILING_STATUS=MR","Sort=A","Dates=H","DateFormat=P","Fill=—","Direction=H","UseDPDF=Y")</f>
        <v>8.9899999999999994E-2</v>
      </c>
      <c r="Z9" s="21" t="str">
        <f>_xll.BDH("ADSK US Equity","CFO_TO_AVG_CURRENT_LIABILITIES","FQ1 2018","FQ1 2018","Currency=USD","Period=FQ","BEST_FPERIOD_OVERRIDE=FQ","FILING_STATUS=MR","Sort=A","Dates=H","DateFormat=P","Fill=—","Direction=H","UseDPDF=Y")</f>
        <v>#N/A Requesting Data...</v>
      </c>
      <c r="AA9" s="21">
        <f>_xll.BDH("ADSK US Equity","CFO_TO_AVG_CURRENT_LIABILITIES","FQ2 2018","FQ2 2018","Currency=USD","Period=FQ","BEST_FPERIOD_OVERRIDE=FQ","FILING_STATUS=MR","Sort=A","Dates=H","DateFormat=P","Fill=—","Direction=H","UseDPDF=Y")</f>
        <v>-2.5000000000000001E-3</v>
      </c>
      <c r="AB9" s="21" t="str">
        <f>_xll.BDH("ADSK US Equity","CFO_TO_AVG_CURRENT_LIABILITIES","FQ3 2018","FQ3 2018","Currency=USD","Period=FQ","BEST_FPERIOD_OVERRIDE=FQ","FILING_STATUS=MR","Sort=A","Dates=H","DateFormat=P","Fill=—","Direction=H","UseDPDF=Y")</f>
        <v>#N/A Requesting Data...</v>
      </c>
      <c r="AC9" s="21">
        <f>_xll.BDH("ADSK US Equity","CFO_TO_AVG_CURRENT_LIABILITIES","FQ4 2018","FQ4 2018","Currency=USD","Period=FQ","BEST_FPERIOD_OVERRIDE=FQ","FILING_STATUS=MR","Sort=A","Dates=H","DateFormat=P","Fill=—","Direction=H","UseDPDF=Y")</f>
        <v>4.0000000000000002E-4</v>
      </c>
      <c r="AD9" s="21">
        <f>_xll.BDH("ADSK US Equity","CFO_TO_AVG_CURRENT_LIABILITIES","FQ1 2019","FQ1 2019","Currency=USD","Period=FQ","BEST_FPERIOD_OVERRIDE=FQ","FILING_STATUS=MR","Sort=A","Dates=H","DateFormat=P","Fill=—","Direction=H","UseDPDF=Y")</f>
        <v>-3.1399999999999997E-2</v>
      </c>
      <c r="AE9" s="21" t="str">
        <f>_xll.BDH("ADSK US Equity","CFO_TO_AVG_CURRENT_LIABILITIES","FQ2 2019","FQ2 2019","Currency=USD","Period=FQ","BEST_FPERIOD_OVERRIDE=FQ","FILING_STATUS=MR","Sort=A","Dates=H","DateFormat=P","Fill=—","Direction=H","UseDPDF=Y")</f>
        <v>#N/A Requesting Data...</v>
      </c>
      <c r="AF9" s="21">
        <f>_xll.BDH("ADSK US Equity","CFO_TO_AVG_CURRENT_LIABILITIES","FQ3 2019","FQ3 2019","Currency=USD","Period=FQ","BEST_FPERIOD_OVERRIDE=FQ","FILING_STATUS=MR","Sort=A","Dates=H","DateFormat=P","Fill=—","Direction=H","UseDPDF=Y")</f>
        <v>7.7600000000000002E-2</v>
      </c>
      <c r="AG9" s="21">
        <f>_xll.BDH("ADSK US Equity","CFO_TO_AVG_CURRENT_LIABILITIES","FQ4 2019","FQ4 2019","Currency=USD","Period=FQ","BEST_FPERIOD_OVERRIDE=FQ","FILING_STATUS=MR","Sort=A","Dates=H","DateFormat=P","Fill=—","Direction=H","UseDPDF=Y")</f>
        <v>0.17050000000000001</v>
      </c>
      <c r="AH9" s="21">
        <f>_xll.BDH("ADSK US Equity","CFO_TO_AVG_CURRENT_LIABILITIES","FQ1 2020","FQ1 2020","Currency=USD","Period=FQ","BEST_FPERIOD_OVERRIDE=FQ","FILING_STATUS=MR","Sort=A","Dates=H","DateFormat=P","Fill=—","Direction=H","UseDPDF=Y")</f>
        <v>0.30209999999999998</v>
      </c>
      <c r="AI9" s="21" t="str">
        <f>_xll.BDH("ADSK US Equity","CFO_TO_AVG_CURRENT_LIABILITIES","FQ2 2020","FQ2 2020","Currency=USD","Period=FQ","BEST_FPERIOD_OVERRIDE=FQ","FILING_STATUS=MR","Sort=A","Dates=H","DateFormat=P","Fill=—","Direction=H","UseDPDF=Y")</f>
        <v>#N/A Requesting Data...</v>
      </c>
      <c r="AJ9" s="21">
        <f>_xll.BDH("ADSK US Equity","CFO_TO_AVG_CURRENT_LIABILITIES","FQ3 2020","FQ3 2020","Currency=USD","Period=FQ","BEST_FPERIOD_OVERRIDE=FQ","FILING_STATUS=MR","Sort=A","Dates=H","DateFormat=P","Fill=—","Direction=H","UseDPDF=Y")</f>
        <v>0.42620000000000002</v>
      </c>
      <c r="AK9" s="21" t="str">
        <f>_xll.BDH("ADSK US Equity","CFO_TO_AVG_CURRENT_LIABILITIES","FQ4 2020","FQ4 2020","Currency=USD","Period=FQ","BEST_FPERIOD_OVERRIDE=FQ","FILING_STATUS=MR","Sort=A","Dates=H","DateFormat=P","Fill=—","Direction=H","UseDPDF=Y")</f>
        <v>#N/A Requesting Data...</v>
      </c>
      <c r="AL9" s="21">
        <f>_xll.BDH("ADSK US Equity","CFO_TO_AVG_CURRENT_LIABILITIES","FQ1 2021","FQ1 2021","Currency=USD","Period=FQ","BEST_FPERIOD_OVERRIDE=FQ","FILING_STATUS=MR","Sort=A","Dates=H","DateFormat=P","Fill=—","Direction=H","UseDPDF=Y")</f>
        <v>0.63400000000000001</v>
      </c>
      <c r="AM9" s="21">
        <f>_xll.BDH("ADSK US Equity","CFO_TO_AVG_CURRENT_LIABILITIES","FQ2 2021","FQ2 2021","Currency=USD","Period=FQ","BEST_FPERIOD_OVERRIDE=FQ","FILING_STATUS=MR","Sort=A","Dates=H","DateFormat=P","Fill=—","Direction=H","UseDPDF=Y")</f>
        <v>0.52300000000000002</v>
      </c>
      <c r="AN9" s="21" t="str">
        <f>_xll.BDH("ADSK US Equity","CFO_TO_AVG_CURRENT_LIABILITIES","FQ3 2021","FQ3 2021","Currency=USD","Period=FQ","BEST_FPERIOD_OVERRIDE=FQ","FILING_STATUS=MR","Sort=A","Dates=H","DateFormat=P","Fill=—","Direction=H","UseDPDF=Y")</f>
        <v>#N/A Requesting Data...</v>
      </c>
      <c r="AO9" s="21" t="str">
        <f>_xll.BDH("ADSK US Equity","CFO_TO_AVG_CURRENT_LIABILITIES","FQ4 2021","FQ4 2021","Currency=USD","Period=FQ","BEST_FPERIOD_OVERRIDE=FQ","FILING_STATUS=MR","Sort=A","Dates=H","DateFormat=P","Fill=—","Direction=H","UseDPDF=Y")</f>
        <v>#N/A Requesting Data...</v>
      </c>
      <c r="AP9" s="21">
        <f>_xll.BDH("ADSK US Equity","CFO_TO_AVG_CURRENT_LIABILITIES","FQ1 2022","FQ1 2022","Currency=USD","Period=FQ","BEST_FPERIOD_OVERRIDE=FQ","FILING_STATUS=MR","Sort=A","Dates=H","DateFormat=P","Fill=—","Direction=H","UseDPDF=Y")</f>
        <v>0.50660000000000005</v>
      </c>
    </row>
    <row r="10" spans="1:42" x14ac:dyDescent="0.25">
      <c r="A10" s="8" t="s">
        <v>184</v>
      </c>
      <c r="B10" s="8" t="s">
        <v>183</v>
      </c>
      <c r="C10" s="21">
        <f>_xll.BDH("ADSK US Equity","COM_EQY_TO_TOT_ASSET","FQ2 2012","FQ2 2012","Currency=USD","Period=FQ","BEST_FPERIOD_OVERRIDE=FQ","FILING_STATUS=MR","Sort=A","Dates=H","DateFormat=P","Fill=—","Direction=H","UseDPDF=Y")</f>
        <v>60.164099999999998</v>
      </c>
      <c r="D10" s="21">
        <f>_xll.BDH("ADSK US Equity","COM_EQY_TO_TOT_ASSET","FQ3 2012","FQ3 2012","Currency=USD","Period=FQ","BEST_FPERIOD_OVERRIDE=FQ","FILING_STATUS=MR","Sort=A","Dates=H","DateFormat=P","Fill=—","Direction=H","UseDPDF=Y")</f>
        <v>60.815300000000001</v>
      </c>
      <c r="E10" s="21" t="str">
        <f>_xll.BDH("ADSK US Equity","COM_EQY_TO_TOT_ASSET","FQ4 2012","FQ4 2012","Currency=USD","Period=FQ","BEST_FPERIOD_OVERRIDE=FQ","FILING_STATUS=MR","Sort=A","Dates=H","DateFormat=P","Fill=—","Direction=H","UseDPDF=Y")</f>
        <v>#N/A Requesting Data...</v>
      </c>
      <c r="F10" s="21" t="str">
        <f>_xll.BDH("ADSK US Equity","COM_EQY_TO_TOT_ASSET","FQ1 2013","FQ1 2013","Currency=USD","Period=FQ","BEST_FPERIOD_OVERRIDE=FQ","FILING_STATUS=MR","Sort=A","Dates=H","DateFormat=P","Fill=—","Direction=H","UseDPDF=Y")</f>
        <v>#N/A Requesting Data...</v>
      </c>
      <c r="G10" s="21" t="str">
        <f>_xll.BDH("ADSK US Equity","COM_EQY_TO_TOT_ASSET","FQ2 2013","FQ2 2013","Currency=USD","Period=FQ","BEST_FPERIOD_OVERRIDE=FQ","FILING_STATUS=MR","Sort=A","Dates=H","DateFormat=P","Fill=—","Direction=H","UseDPDF=Y")</f>
        <v>#N/A Requesting Data...</v>
      </c>
      <c r="H10" s="21">
        <f>_xll.BDH("ADSK US Equity","COM_EQY_TO_TOT_ASSET","FQ3 2013","FQ3 2013","Currency=USD","Period=FQ","BEST_FPERIOD_OVERRIDE=FQ","FILING_STATUS=MR","Sort=A","Dates=H","DateFormat=P","Fill=—","Direction=H","UseDPDF=Y")</f>
        <v>58.8446</v>
      </c>
      <c r="I10" s="21">
        <f>_xll.BDH("ADSK US Equity","COM_EQY_TO_TOT_ASSET","FQ4 2013","FQ4 2013","Currency=USD","Period=FQ","BEST_FPERIOD_OVERRIDE=FQ","FILING_STATUS=MR","Sort=A","Dates=H","DateFormat=P","Fill=—","Direction=H","UseDPDF=Y")</f>
        <v>47.4236</v>
      </c>
      <c r="J10" s="21" t="str">
        <f>_xll.BDH("ADSK US Equity","COM_EQY_TO_TOT_ASSET","FQ1 2014","FQ1 2014","Currency=USD","Period=FQ","BEST_FPERIOD_OVERRIDE=FQ","FILING_STATUS=MR","Sort=A","Dates=H","DateFormat=P","Fill=—","Direction=H","UseDPDF=Y")</f>
        <v>#N/A Requesting Data...</v>
      </c>
      <c r="K10" s="21" t="str">
        <f>_xll.BDH("ADSK US Equity","COM_EQY_TO_TOT_ASSET","FQ2 2014","FQ2 2014","Currency=USD","Period=FQ","BEST_FPERIOD_OVERRIDE=FQ","FILING_STATUS=MR","Sort=A","Dates=H","DateFormat=P","Fill=—","Direction=H","UseDPDF=Y")</f>
        <v>#N/A Requesting Data...</v>
      </c>
      <c r="L10" s="21">
        <f>_xll.BDH("ADSK US Equity","COM_EQY_TO_TOT_ASSET","FQ3 2014","FQ3 2014","Currency=USD","Period=FQ","BEST_FPERIOD_OVERRIDE=FQ","FILING_STATUS=MR","Sort=A","Dates=H","DateFormat=P","Fill=—","Direction=H","UseDPDF=Y")</f>
        <v>50.026600000000002</v>
      </c>
      <c r="M10" s="21" t="str">
        <f>_xll.BDH("ADSK US Equity","COM_EQY_TO_TOT_ASSET","FQ4 2014","FQ4 2014","Currency=USD","Period=FQ","BEST_FPERIOD_OVERRIDE=FQ","FILING_STATUS=MR","Sort=A","Dates=H","DateFormat=P","Fill=—","Direction=H","UseDPDF=Y")</f>
        <v>#N/A Requesting Data...</v>
      </c>
      <c r="N10" s="21" t="str">
        <f>_xll.BDH("ADSK US Equity","COM_EQY_TO_TOT_ASSET","FQ1 2015","FQ1 2015","Currency=USD","Period=FQ","BEST_FPERIOD_OVERRIDE=FQ","FILING_STATUS=MR","Sort=A","Dates=H","DateFormat=P","Fill=—","Direction=H","UseDPDF=Y")</f>
        <v>#N/A Requesting Data...</v>
      </c>
      <c r="O10" s="21" t="str">
        <f>_xll.BDH("ADSK US Equity","COM_EQY_TO_TOT_ASSET","FQ2 2015","FQ2 2015","Currency=USD","Period=FQ","BEST_FPERIOD_OVERRIDE=FQ","FILING_STATUS=MR","Sort=A","Dates=H","DateFormat=P","Fill=—","Direction=H","UseDPDF=Y")</f>
        <v>#N/A Requesting Data...</v>
      </c>
      <c r="P10" s="21">
        <f>_xll.BDH("ADSK US Equity","COM_EQY_TO_TOT_ASSET","FQ3 2015","FQ3 2015","Currency=USD","Period=FQ","BEST_FPERIOD_OVERRIDE=FQ","FILING_STATUS=MR","Sort=A","Dates=H","DateFormat=P","Fill=—","Direction=H","UseDPDF=Y")</f>
        <v>47.890999999999998</v>
      </c>
      <c r="Q10" s="21">
        <f>_xll.BDH("ADSK US Equity","COM_EQY_TO_TOT_ASSET","FQ4 2015","FQ4 2015","Currency=USD","Period=FQ","BEST_FPERIOD_OVERRIDE=FQ","FILING_STATUS=MR","Sort=A","Dates=H","DateFormat=P","Fill=—","Direction=H","UseDPDF=Y")</f>
        <v>45.200299999999999</v>
      </c>
      <c r="R10" s="21">
        <f>_xll.BDH("ADSK US Equity","COM_EQY_TO_TOT_ASSET","FQ1 2016","FQ1 2016","Currency=USD","Period=FQ","BEST_FPERIOD_OVERRIDE=FQ","FILING_STATUS=MR","Sort=A","Dates=H","DateFormat=P","Fill=—","Direction=H","UseDPDF=Y")</f>
        <v>46.575499999999998</v>
      </c>
      <c r="S10" s="21">
        <f>_xll.BDH("ADSK US Equity","COM_EQY_TO_TOT_ASSET","FQ2 2016","FQ2 2016","Currency=USD","Period=FQ","BEST_FPERIOD_OVERRIDE=FQ","FILING_STATUS=MR","Sort=A","Dates=H","DateFormat=P","Fill=—","Direction=H","UseDPDF=Y")</f>
        <v>35.607799999999997</v>
      </c>
      <c r="T10" s="21" t="str">
        <f>_xll.BDH("ADSK US Equity","COM_EQY_TO_TOT_ASSET","FQ3 2016","FQ3 2016","Currency=USD","Period=FQ","BEST_FPERIOD_OVERRIDE=FQ","FILING_STATUS=MR","Sort=A","Dates=H","DateFormat=P","Fill=—","Direction=H","UseDPDF=Y")</f>
        <v>#N/A Requesting Data...</v>
      </c>
      <c r="U10" s="21" t="str">
        <f>_xll.BDH("ADSK US Equity","COM_EQY_TO_TOT_ASSET","FQ4 2016","FQ4 2016","Currency=USD","Period=FQ","BEST_FPERIOD_OVERRIDE=FQ","FILING_STATUS=MR","Sort=A","Dates=H","DateFormat=P","Fill=—","Direction=H","UseDPDF=Y")</f>
        <v>#N/A Requesting Data...</v>
      </c>
      <c r="V10" s="21" t="str">
        <f>_xll.BDH("ADSK US Equity","COM_EQY_TO_TOT_ASSET","FQ1 2017","FQ1 2017","Currency=USD","Period=FQ","BEST_FPERIOD_OVERRIDE=FQ","FILING_STATUS=MR","Sort=A","Dates=H","DateFormat=P","Fill=—","Direction=H","UseDPDF=Y")</f>
        <v>#N/A Requesting Data...</v>
      </c>
      <c r="W10" s="21">
        <f>_xll.BDH("ADSK US Equity","COM_EQY_TO_TOT_ASSET","FQ2 2017","FQ2 2017","Currency=USD","Period=FQ","BEST_FPERIOD_OVERRIDE=FQ","FILING_STATUS=MR","Sort=A","Dates=H","DateFormat=P","Fill=—","Direction=H","UseDPDF=Y")</f>
        <v>26.383900000000001</v>
      </c>
      <c r="X10" s="21" t="str">
        <f>_xll.BDH("ADSK US Equity","COM_EQY_TO_TOT_ASSET","FQ3 2017","FQ3 2017","Currency=USD","Period=FQ","BEST_FPERIOD_OVERRIDE=FQ","FILING_STATUS=MR","Sort=A","Dates=H","DateFormat=P","Fill=—","Direction=H","UseDPDF=Y")</f>
        <v>#N/A Requesting Data...</v>
      </c>
      <c r="Y10" s="21" t="str">
        <f>_xll.BDH("ADSK US Equity","COM_EQY_TO_TOT_ASSET","FQ4 2017","FQ4 2017","Currency=USD","Period=FQ","BEST_FPERIOD_OVERRIDE=FQ","FILING_STATUS=MR","Sort=A","Dates=H","DateFormat=P","Fill=—","Direction=H","UseDPDF=Y")</f>
        <v>#N/A Requesting Data...</v>
      </c>
      <c r="Z10" s="21" t="str">
        <f>_xll.BDH("ADSK US Equity","COM_EQY_TO_TOT_ASSET","FQ1 2018","FQ1 2018","Currency=USD","Period=FQ","BEST_FPERIOD_OVERRIDE=FQ","FILING_STATUS=MR","Sort=A","Dates=H","DateFormat=P","Fill=—","Direction=H","UseDPDF=Y")</f>
        <v>#N/A Requesting Data...</v>
      </c>
      <c r="AA10" s="21" t="str">
        <f>_xll.BDH("ADSK US Equity","COM_EQY_TO_TOT_ASSET","FQ2 2018","FQ2 2018","Currency=USD","Period=FQ","BEST_FPERIOD_OVERRIDE=FQ","FILING_STATUS=MR","Sort=A","Dates=H","DateFormat=P","Fill=—","Direction=H","UseDPDF=Y")</f>
        <v>#N/A Requesting Data...</v>
      </c>
      <c r="AB10" s="21">
        <f>_xll.BDH("ADSK US Equity","COM_EQY_TO_TOT_ASSET","FQ3 2018","FQ3 2018","Currency=USD","Period=FQ","BEST_FPERIOD_OVERRIDE=FQ","FILING_STATUS=MR","Sort=A","Dates=H","DateFormat=P","Fill=—","Direction=H","UseDPDF=Y")</f>
        <v>2.5842999999999998</v>
      </c>
      <c r="AC10" s="21">
        <f>_xll.BDH("ADSK US Equity","COM_EQY_TO_TOT_ASSET","FQ4 2018","FQ4 2018","Currency=USD","Period=FQ","BEST_FPERIOD_OVERRIDE=FQ","FILING_STATUS=MR","Sort=A","Dates=H","DateFormat=P","Fill=—","Direction=H","UseDPDF=Y")</f>
        <v>-6.2233000000000001</v>
      </c>
      <c r="AD10" s="21" t="str">
        <f>_xll.BDH("ADSK US Equity","COM_EQY_TO_TOT_ASSET","FQ1 2019","FQ1 2019","Currency=USD","Period=FQ","BEST_FPERIOD_OVERRIDE=FQ","FILING_STATUS=MR","Sort=A","Dates=H","DateFormat=P","Fill=—","Direction=H","UseDPDF=Y")</f>
        <v>#N/A Requesting Data...</v>
      </c>
      <c r="AE10" s="21" t="str">
        <f>_xll.BDH("ADSK US Equity","COM_EQY_TO_TOT_ASSET","FQ2 2019","FQ2 2019","Currency=USD","Period=FQ","BEST_FPERIOD_OVERRIDE=FQ","FILING_STATUS=MR","Sort=A","Dates=H","DateFormat=P","Fill=—","Direction=H","UseDPDF=Y")</f>
        <v>#N/A Requesting Data...</v>
      </c>
      <c r="AF10" s="21" t="str">
        <f>_xll.BDH("ADSK US Equity","COM_EQY_TO_TOT_ASSET","FQ3 2019","FQ3 2019","Currency=USD","Period=FQ","BEST_FPERIOD_OVERRIDE=FQ","FILING_STATUS=MR","Sort=A","Dates=H","DateFormat=P","Fill=—","Direction=H","UseDPDF=Y")</f>
        <v>#N/A Requesting Data...</v>
      </c>
      <c r="AG10" s="21">
        <f>_xll.BDH("ADSK US Equity","COM_EQY_TO_TOT_ASSET","FQ4 2019","FQ4 2019","Currency=USD","Period=FQ","BEST_FPERIOD_OVERRIDE=FQ","FILING_STATUS=MR","Sort=A","Dates=H","DateFormat=P","Fill=—","Direction=H","UseDPDF=Y")</f>
        <v>-4.4595000000000002</v>
      </c>
      <c r="AH10" s="21" t="str">
        <f>_xll.BDH("ADSK US Equity","COM_EQY_TO_TOT_ASSET","FQ1 2020","FQ1 2020","Currency=USD","Period=FQ","BEST_FPERIOD_OVERRIDE=FQ","FILING_STATUS=MR","Sort=A","Dates=H","DateFormat=P","Fill=—","Direction=H","UseDPDF=Y")</f>
        <v>#N/A Requesting Data...</v>
      </c>
      <c r="AI10" s="21" t="str">
        <f>_xll.BDH("ADSK US Equity","COM_EQY_TO_TOT_ASSET","FQ2 2020","FQ2 2020","Currency=USD","Period=FQ","BEST_FPERIOD_OVERRIDE=FQ","FILING_STATUS=MR","Sort=A","Dates=H","DateFormat=P","Fill=—","Direction=H","UseDPDF=Y")</f>
        <v>#N/A Requesting Data...</v>
      </c>
      <c r="AJ10" s="21" t="str">
        <f>_xll.BDH("ADSK US Equity","COM_EQY_TO_TOT_ASSET","FQ3 2020","FQ3 2020","Currency=USD","Period=FQ","BEST_FPERIOD_OVERRIDE=FQ","FILING_STATUS=MR","Sort=A","Dates=H","DateFormat=P","Fill=—","Direction=H","UseDPDF=Y")</f>
        <v>#N/A Requesting Data...</v>
      </c>
      <c r="AK10" s="21" t="str">
        <f>_xll.BDH("ADSK US Equity","COM_EQY_TO_TOT_ASSET","FQ4 2020","FQ4 2020","Currency=USD","Period=FQ","BEST_FPERIOD_OVERRIDE=FQ","FILING_STATUS=MR","Sort=A","Dates=H","DateFormat=P","Fill=—","Direction=H","UseDPDF=Y")</f>
        <v>#N/A Requesting Data...</v>
      </c>
      <c r="AL10" s="21">
        <f>_xll.BDH("ADSK US Equity","COM_EQY_TO_TOT_ASSET","FQ1 2021","FQ1 2021","Currency=USD","Period=FQ","BEST_FPERIOD_OVERRIDE=FQ","FILING_STATUS=MR","Sort=A","Dates=H","DateFormat=P","Fill=—","Direction=H","UseDPDF=Y")</f>
        <v>-2.5091000000000001</v>
      </c>
      <c r="AM10" s="21" t="str">
        <f>_xll.BDH("ADSK US Equity","COM_EQY_TO_TOT_ASSET","FQ2 2021","FQ2 2021","Currency=USD","Period=FQ","BEST_FPERIOD_OVERRIDE=FQ","FILING_STATUS=MR","Sort=A","Dates=H","DateFormat=P","Fill=—","Direction=H","UseDPDF=Y")</f>
        <v>#N/A Requesting Data...</v>
      </c>
      <c r="AN10" s="21">
        <f>_xll.BDH("ADSK US Equity","COM_EQY_TO_TOT_ASSET","FQ3 2021","FQ3 2021","Currency=USD","Period=FQ","BEST_FPERIOD_OVERRIDE=FQ","FILING_STATUS=MR","Sort=A","Dates=H","DateFormat=P","Fill=—","Direction=H","UseDPDF=Y")</f>
        <v>1.1657999999999999</v>
      </c>
      <c r="AO10" s="21">
        <f>_xll.BDH("ADSK US Equity","COM_EQY_TO_TOT_ASSET","FQ4 2021","FQ4 2021","Currency=USD","Period=FQ","BEST_FPERIOD_OVERRIDE=FQ","FILING_STATUS=MR","Sort=A","Dates=H","DateFormat=P","Fill=—","Direction=H","UseDPDF=Y")</f>
        <v>13.262700000000001</v>
      </c>
      <c r="AP10" s="21">
        <f>_xll.BDH("ADSK US Equity","COM_EQY_TO_TOT_ASSET","FQ1 2022","FQ1 2022","Currency=USD","Period=FQ","BEST_FPERIOD_OVERRIDE=FQ","FILING_STATUS=MR","Sort=A","Dates=H","DateFormat=P","Fill=—","Direction=H","UseDPDF=Y")</f>
        <v>15.4611</v>
      </c>
    </row>
    <row r="11" spans="1:42" x14ac:dyDescent="0.25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8" t="s">
        <v>182</v>
      </c>
      <c r="B12" s="8" t="s">
        <v>181</v>
      </c>
      <c r="C12" s="21" t="str">
        <f>_xll.BDH("ADSK US Equity","LT_DEBT_TO_TOT_EQY","FQ2 2012","FQ2 2012","Currency=USD","Period=FQ","BEST_FPERIOD_OVERRIDE=FQ","FILING_STATUS=MR","Sort=A","Dates=H","DateFormat=P","Fill=—","Direction=H","UseDPDF=Y")</f>
        <v>#N/A Requesting Data...</v>
      </c>
      <c r="D12" s="21">
        <f>_xll.BDH("ADSK US Equity","LT_DEBT_TO_TOT_EQY","FQ3 2012","FQ3 2012","Currency=USD","Period=FQ","BEST_FPERIOD_OVERRIDE=FQ","FILING_STATUS=MR","Sort=A","Dates=H","DateFormat=P","Fill=—","Direction=H","UseDPDF=Y")</f>
        <v>0</v>
      </c>
      <c r="E12" s="21" t="str">
        <f>_xll.BDH("ADSK US Equity","LT_DEBT_TO_TOT_EQY","FQ4 2012","FQ4 2012","Currency=USD","Period=FQ","BEST_FPERIOD_OVERRIDE=FQ","FILING_STATUS=MR","Sort=A","Dates=H","DateFormat=P","Fill=—","Direction=H","UseDPDF=Y")</f>
        <v>#N/A Requesting Data...</v>
      </c>
      <c r="F12" s="21" t="str">
        <f>_xll.BDH("ADSK US Equity","LT_DEBT_TO_TOT_EQY","FQ1 2013","FQ1 2013","Currency=USD","Period=FQ","BEST_FPERIOD_OVERRIDE=FQ","FILING_STATUS=MR","Sort=A","Dates=H","DateFormat=P","Fill=—","Direction=H","UseDPDF=Y")</f>
        <v>#N/A Requesting Data...</v>
      </c>
      <c r="G12" s="21" t="str">
        <f>_xll.BDH("ADSK US Equity","LT_DEBT_TO_TOT_EQY","FQ2 2013","FQ2 2013","Currency=USD","Period=FQ","BEST_FPERIOD_OVERRIDE=FQ","FILING_STATUS=MR","Sort=A","Dates=H","DateFormat=P","Fill=—","Direction=H","UseDPDF=Y")</f>
        <v>#N/A Requesting Data...</v>
      </c>
      <c r="H12" s="21">
        <f>_xll.BDH("ADSK US Equity","LT_DEBT_TO_TOT_EQY","FQ3 2013","FQ3 2013","Currency=USD","Period=FQ","BEST_FPERIOD_OVERRIDE=FQ","FILING_STATUS=MR","Sort=A","Dates=H","DateFormat=P","Fill=—","Direction=H","UseDPDF=Y")</f>
        <v>0</v>
      </c>
      <c r="I12" s="21">
        <f>_xll.BDH("ADSK US Equity","LT_DEBT_TO_TOT_EQY","FQ4 2013","FQ4 2013","Currency=USD","Period=FQ","BEST_FPERIOD_OVERRIDE=FQ","FILING_STATUS=MR","Sort=A","Dates=H","DateFormat=P","Fill=—","Direction=H","UseDPDF=Y")</f>
        <v>36.491799999999998</v>
      </c>
      <c r="J12" s="21">
        <f>_xll.BDH("ADSK US Equity","LT_DEBT_TO_TOT_EQY","FQ1 2014","FQ1 2014","Currency=USD","Period=FQ","BEST_FPERIOD_OVERRIDE=FQ","FILING_STATUS=MR","Sort=A","Dates=H","DateFormat=P","Fill=—","Direction=H","UseDPDF=Y")</f>
        <v>35.778399999999998</v>
      </c>
      <c r="K12" s="21">
        <f>_xll.BDH("ADSK US Equity","LT_DEBT_TO_TOT_EQY","FQ2 2014","FQ2 2014","Currency=USD","Period=FQ","BEST_FPERIOD_OVERRIDE=FQ","FILING_STATUS=MR","Sort=A","Dates=H","DateFormat=P","Fill=—","Direction=H","UseDPDF=Y")</f>
        <v>36.370699999999999</v>
      </c>
      <c r="L12" s="21">
        <f>_xll.BDH("ADSK US Equity","LT_DEBT_TO_TOT_EQY","FQ3 2014","FQ3 2014","Currency=USD","Period=FQ","BEST_FPERIOD_OVERRIDE=FQ","FILING_STATUS=MR","Sort=A","Dates=H","DateFormat=P","Fill=—","Direction=H","UseDPDF=Y")</f>
        <v>34.515900000000002</v>
      </c>
      <c r="M12" s="21">
        <f>_xll.BDH("ADSK US Equity","LT_DEBT_TO_TOT_EQY","FQ4 2014","FQ4 2014","Currency=USD","Period=FQ","BEST_FPERIOD_OVERRIDE=FQ","FILING_STATUS=MR","Sort=A","Dates=H","DateFormat=P","Fill=—","Direction=H","UseDPDF=Y")</f>
        <v>33.004600000000003</v>
      </c>
      <c r="N12" s="21" t="str">
        <f>_xll.BDH("ADSK US Equity","LT_DEBT_TO_TOT_EQY","FQ1 2015","FQ1 2015","Currency=USD","Period=FQ","BEST_FPERIOD_OVERRIDE=FQ","FILING_STATUS=MR","Sort=A","Dates=H","DateFormat=P","Fill=—","Direction=H","UseDPDF=Y")</f>
        <v>#N/A Requesting Data...</v>
      </c>
      <c r="O12" s="21">
        <f>_xll.BDH("ADSK US Equity","LT_DEBT_TO_TOT_EQY","FQ2 2015","FQ2 2015","Currency=USD","Period=FQ","BEST_FPERIOD_OVERRIDE=FQ","FILING_STATUS=MR","Sort=A","Dates=H","DateFormat=P","Fill=—","Direction=H","UseDPDF=Y")</f>
        <v>32.705599999999997</v>
      </c>
      <c r="P12" s="21">
        <f>_xll.BDH("ADSK US Equity","LT_DEBT_TO_TOT_EQY","FQ3 2015","FQ3 2015","Currency=USD","Period=FQ","BEST_FPERIOD_OVERRIDE=FQ","FILING_STATUS=MR","Sort=A","Dates=H","DateFormat=P","Fill=—","Direction=H","UseDPDF=Y")</f>
        <v>32.929200000000002</v>
      </c>
      <c r="Q12" s="21" t="str">
        <f>_xll.BDH("ADSK US Equity","LT_DEBT_TO_TOT_EQY","FQ4 2015","FQ4 2015","Currency=USD","Period=FQ","BEST_FPERIOD_OVERRIDE=FQ","FILING_STATUS=MR","Sort=A","Dates=H","DateFormat=P","Fill=—","Direction=H","UseDPDF=Y")</f>
        <v>#N/A Requesting Data...</v>
      </c>
      <c r="R12" s="21" t="str">
        <f>_xll.BDH("ADSK US Equity","LT_DEBT_TO_TOT_EQY","FQ1 2016","FQ1 2016","Currency=USD","Period=FQ","BEST_FPERIOD_OVERRIDE=FQ","FILING_STATUS=MR","Sort=A","Dates=H","DateFormat=P","Fill=—","Direction=H","UseDPDF=Y")</f>
        <v>#N/A Requesting Data...</v>
      </c>
      <c r="S12" s="21" t="str">
        <f>_xll.BDH("ADSK US Equity","LT_DEBT_TO_TOT_EQY","FQ2 2016","FQ2 2016","Currency=USD","Period=FQ","BEST_FPERIOD_OVERRIDE=FQ","FILING_STATUS=MR","Sort=A","Dates=H","DateFormat=P","Fill=—","Direction=H","UseDPDF=Y")</f>
        <v>#N/A Requesting Data...</v>
      </c>
      <c r="T12" s="21" t="str">
        <f>_xll.BDH("ADSK US Equity","LT_DEBT_TO_TOT_EQY","FQ3 2016","FQ3 2016","Currency=USD","Period=FQ","BEST_FPERIOD_OVERRIDE=FQ","FILING_STATUS=MR","Sort=A","Dates=H","DateFormat=P","Fill=—","Direction=H","UseDPDF=Y")</f>
        <v>#N/A Requesting Data...</v>
      </c>
      <c r="U12" s="21" t="str">
        <f>_xll.BDH("ADSK US Equity","LT_DEBT_TO_TOT_EQY","FQ4 2016","FQ4 2016","Currency=USD","Period=FQ","BEST_FPERIOD_OVERRIDE=FQ","FILING_STATUS=MR","Sort=A","Dates=H","DateFormat=P","Fill=—","Direction=H","UseDPDF=Y")</f>
        <v>#N/A Requesting Data...</v>
      </c>
      <c r="V12" s="21" t="str">
        <f>_xll.BDH("ADSK US Equity","LT_DEBT_TO_TOT_EQY","FQ1 2017","FQ1 2017","Currency=USD","Period=FQ","BEST_FPERIOD_OVERRIDE=FQ","FILING_STATUS=MR","Sort=A","Dates=H","DateFormat=P","Fill=—","Direction=H","UseDPDF=Y")</f>
        <v>#N/A Requesting Data...</v>
      </c>
      <c r="W12" s="21" t="str">
        <f>_xll.BDH("ADSK US Equity","LT_DEBT_TO_TOT_EQY","FQ2 2017","FQ2 2017","Currency=USD","Period=FQ","BEST_FPERIOD_OVERRIDE=FQ","FILING_STATUS=MR","Sort=A","Dates=H","DateFormat=P","Fill=—","Direction=H","UseDPDF=Y")</f>
        <v>#N/A Requesting Data...</v>
      </c>
      <c r="X12" s="21">
        <f>_xll.BDH("ADSK US Equity","LT_DEBT_TO_TOT_EQY","FQ3 2017","FQ3 2017","Currency=USD","Period=FQ","BEST_FPERIOD_OVERRIDE=FQ","FILING_STATUS=MR","Sort=A","Dates=H","DateFormat=P","Fill=—","Direction=H","UseDPDF=Y")</f>
        <v>140.47710000000001</v>
      </c>
      <c r="Y12" s="21">
        <f>_xll.BDH("ADSK US Equity","LT_DEBT_TO_TOT_EQY","FQ4 2017","FQ4 2017","Currency=USD","Period=FQ","BEST_FPERIOD_OVERRIDE=FQ","FILING_STATUS=MR","Sort=A","Dates=H","DateFormat=P","Fill=—","Direction=H","UseDPDF=Y")</f>
        <v>148.85499999999999</v>
      </c>
      <c r="Z12" s="21">
        <f>_xll.BDH("ADSK US Equity","LT_DEBT_TO_TOT_EQY","FQ1 2018","FQ1 2018","Currency=USD","Period=FQ","BEST_FPERIOD_OVERRIDE=FQ","FILING_STATUS=MR","Sort=A","Dates=H","DateFormat=P","Fill=—","Direction=H","UseDPDF=Y")</f>
        <v>214.99700000000001</v>
      </c>
      <c r="AA12" s="21" t="str">
        <f>_xll.BDH("ADSK US Equity","LT_DEBT_TO_TOT_EQY","FQ2 2018","FQ2 2018","Currency=USD","Period=FQ","BEST_FPERIOD_OVERRIDE=FQ","FILING_STATUS=MR","Sort=A","Dates=H","DateFormat=P","Fill=—","Direction=H","UseDPDF=Y")</f>
        <v>#N/A Requesting Data...</v>
      </c>
      <c r="AB12" s="21" t="str">
        <f>_xll.BDH("ADSK US Equity","LT_DEBT_TO_TOT_EQY","FQ3 2018","FQ3 2018","Currency=USD","Period=FQ","BEST_FPERIOD_OVERRIDE=FQ","FILING_STATUS=MR","Sort=A","Dates=H","DateFormat=P","Fill=—","Direction=H","UseDPDF=Y")</f>
        <v>#N/A Requesting Data...</v>
      </c>
      <c r="AC12" s="21" t="str">
        <f>_xll.BDH("ADSK US Equity","LT_DEBT_TO_TOT_EQY","FQ4 2018","FQ4 2018","Currency=USD","Period=FQ","BEST_FPERIOD_OVERRIDE=FQ","FILING_STATUS=MR","Sort=A","Dates=H","DateFormat=P","Fill=—","Direction=H","UseDPDF=Y")</f>
        <v>#N/A Requesting Data...</v>
      </c>
      <c r="AD12" s="21" t="str">
        <f>_xll.BDH("ADSK US Equity","LT_DEBT_TO_TOT_EQY","FQ1 2019","FQ1 2019","Currency=USD","Period=FQ","BEST_FPERIOD_OVERRIDE=FQ","FILING_STATUS=MR","Sort=A","Dates=H","DateFormat=P","Fill=—","Direction=H","UseDPDF=Y")</f>
        <v>—</v>
      </c>
      <c r="AE12" s="21" t="str">
        <f>_xll.BDH("ADSK US Equity","LT_DEBT_TO_TOT_EQY","FQ2 2019","FQ2 2019","Currency=USD","Period=FQ","BEST_FPERIOD_OVERRIDE=FQ","FILING_STATUS=MR","Sort=A","Dates=H","DateFormat=P","Fill=—","Direction=H","UseDPDF=Y")</f>
        <v>#N/A Requesting Data...</v>
      </c>
      <c r="AF12" s="21" t="str">
        <f>_xll.BDH("ADSK US Equity","LT_DEBT_TO_TOT_EQY","FQ3 2019","FQ3 2019","Currency=USD","Period=FQ","BEST_FPERIOD_OVERRIDE=FQ","FILING_STATUS=MR","Sort=A","Dates=H","DateFormat=P","Fill=—","Direction=H","UseDPDF=Y")</f>
        <v>#N/A Requesting Data...</v>
      </c>
      <c r="AG12" s="21" t="str">
        <f>_xll.BDH("ADSK US Equity","LT_DEBT_TO_TOT_EQY","FQ4 2019","FQ4 2019","Currency=USD","Period=FQ","BEST_FPERIOD_OVERRIDE=FQ","FILING_STATUS=MR","Sort=A","Dates=H","DateFormat=P","Fill=—","Direction=H","UseDPDF=Y")</f>
        <v>—</v>
      </c>
      <c r="AH12" s="21" t="str">
        <f>_xll.BDH("ADSK US Equity","LT_DEBT_TO_TOT_EQY","FQ1 2020","FQ1 2020","Currency=USD","Period=FQ","BEST_FPERIOD_OVERRIDE=FQ","FILING_STATUS=MR","Sort=A","Dates=H","DateFormat=P","Fill=—","Direction=H","UseDPDF=Y")</f>
        <v>#N/A Requesting Data...</v>
      </c>
      <c r="AI12" s="21" t="str">
        <f>_xll.BDH("ADSK US Equity","LT_DEBT_TO_TOT_EQY","FQ2 2020","FQ2 2020","Currency=USD","Period=FQ","BEST_FPERIOD_OVERRIDE=FQ","FILING_STATUS=MR","Sort=A","Dates=H","DateFormat=P","Fill=—","Direction=H","UseDPDF=Y")</f>
        <v>#N/A Requesting Data...</v>
      </c>
      <c r="AJ12" s="21" t="str">
        <f>_xll.BDH("ADSK US Equity","LT_DEBT_TO_TOT_EQY","FQ3 2020","FQ3 2020","Currency=USD","Period=FQ","BEST_FPERIOD_OVERRIDE=FQ","FILING_STATUS=MR","Sort=A","Dates=H","DateFormat=P","Fill=—","Direction=H","UseDPDF=Y")</f>
        <v>—</v>
      </c>
      <c r="AK12" s="21" t="str">
        <f>_xll.BDH("ADSK US Equity","LT_DEBT_TO_TOT_EQY","FQ4 2020","FQ4 2020","Currency=USD","Period=FQ","BEST_FPERIOD_OVERRIDE=FQ","FILING_STATUS=MR","Sort=A","Dates=H","DateFormat=P","Fill=—","Direction=H","UseDPDF=Y")</f>
        <v>—</v>
      </c>
      <c r="AL12" s="21" t="str">
        <f>_xll.BDH("ADSK US Equity","LT_DEBT_TO_TOT_EQY","FQ1 2021","FQ1 2021","Currency=USD","Period=FQ","BEST_FPERIOD_OVERRIDE=FQ","FILING_STATUS=MR","Sort=A","Dates=H","DateFormat=P","Fill=—","Direction=H","UseDPDF=Y")</f>
        <v>#N/A Requesting Data...</v>
      </c>
      <c r="AM12" s="21" t="str">
        <f>_xll.BDH("ADSK US Equity","LT_DEBT_TO_TOT_EQY","FQ2 2021","FQ2 2021","Currency=USD","Period=FQ","BEST_FPERIOD_OVERRIDE=FQ","FILING_STATUS=MR","Sort=A","Dates=H","DateFormat=P","Fill=—","Direction=H","UseDPDF=Y")</f>
        <v>#N/A Requesting Data...</v>
      </c>
      <c r="AN12" s="21" t="str">
        <f>_xll.BDH("ADSK US Equity","LT_DEBT_TO_TOT_EQY","FQ3 2021","FQ3 2021","Currency=USD","Period=FQ","BEST_FPERIOD_OVERRIDE=FQ","FILING_STATUS=MR","Sort=A","Dates=H","DateFormat=P","Fill=—","Direction=H","UseDPDF=Y")</f>
        <v>#N/A Requesting Data...</v>
      </c>
      <c r="AO12" s="21" t="str">
        <f>_xll.BDH("ADSK US Equity","LT_DEBT_TO_TOT_EQY","FQ4 2021","FQ4 2021","Currency=USD","Period=FQ","BEST_FPERIOD_OVERRIDE=FQ","FILING_STATUS=MR","Sort=A","Dates=H","DateFormat=P","Fill=—","Direction=H","UseDPDF=Y")</f>
        <v>#N/A Requesting Data...</v>
      </c>
      <c r="AP12" s="21" t="str">
        <f>_xll.BDH("ADSK US Equity","LT_DEBT_TO_TOT_EQY","FQ1 2022","FQ1 2022","Currency=USD","Period=FQ","BEST_FPERIOD_OVERRIDE=FQ","FILING_STATUS=MR","Sort=A","Dates=H","DateFormat=P","Fill=—","Direction=H","UseDPDF=Y")</f>
        <v>#N/A Requesting Data...</v>
      </c>
    </row>
    <row r="13" spans="1:42" x14ac:dyDescent="0.25">
      <c r="A13" s="8" t="s">
        <v>180</v>
      </c>
      <c r="B13" s="8" t="s">
        <v>179</v>
      </c>
      <c r="C13" s="21">
        <f>_xll.BDH("ADSK US Equity","LT_DEBT_TO_TOT_CAP","FQ2 2012","FQ2 2012","Currency=USD","Period=FQ","BEST_FPERIOD_OVERRIDE=FQ","FILING_STATUS=MR","Sort=A","Dates=H","DateFormat=P","Fill=—","Direction=H","UseDPDF=Y")</f>
        <v>0</v>
      </c>
      <c r="D13" s="21">
        <f>_xll.BDH("ADSK US Equity","LT_DEBT_TO_TOT_CAP","FQ3 2012","FQ3 2012","Currency=USD","Period=FQ","BEST_FPERIOD_OVERRIDE=FQ","FILING_STATUS=MR","Sort=A","Dates=H","DateFormat=P","Fill=—","Direction=H","UseDPDF=Y")</f>
        <v>0</v>
      </c>
      <c r="E13" s="21" t="str">
        <f>_xll.BDH("ADSK US Equity","LT_DEBT_TO_TOT_CAP","FQ4 2012","FQ4 2012","Currency=USD","Period=FQ","BEST_FPERIOD_OVERRIDE=FQ","FILING_STATUS=MR","Sort=A","Dates=H","DateFormat=P","Fill=—","Direction=H","UseDPDF=Y")</f>
        <v>#N/A Requesting Data...</v>
      </c>
      <c r="F13" s="21" t="str">
        <f>_xll.BDH("ADSK US Equity","LT_DEBT_TO_TOT_CAP","FQ1 2013","FQ1 2013","Currency=USD","Period=FQ","BEST_FPERIOD_OVERRIDE=FQ","FILING_STATUS=MR","Sort=A","Dates=H","DateFormat=P","Fill=—","Direction=H","UseDPDF=Y")</f>
        <v>#N/A Requesting Data...</v>
      </c>
      <c r="G13" s="21" t="str">
        <f>_xll.BDH("ADSK US Equity","LT_DEBT_TO_TOT_CAP","FQ2 2013","FQ2 2013","Currency=USD","Period=FQ","BEST_FPERIOD_OVERRIDE=FQ","FILING_STATUS=MR","Sort=A","Dates=H","DateFormat=P","Fill=—","Direction=H","UseDPDF=Y")</f>
        <v>#N/A Requesting Data...</v>
      </c>
      <c r="H13" s="21">
        <f>_xll.BDH("ADSK US Equity","LT_DEBT_TO_TOT_CAP","FQ3 2013","FQ3 2013","Currency=USD","Period=FQ","BEST_FPERIOD_OVERRIDE=FQ","FILING_STATUS=MR","Sort=A","Dates=H","DateFormat=P","Fill=—","Direction=H","UseDPDF=Y")</f>
        <v>0</v>
      </c>
      <c r="I13" s="21">
        <f>_xll.BDH("ADSK US Equity","LT_DEBT_TO_TOT_CAP","FQ4 2013","FQ4 2013","Currency=USD","Period=FQ","BEST_FPERIOD_OVERRIDE=FQ","FILING_STATUS=MR","Sort=A","Dates=H","DateFormat=P","Fill=—","Direction=H","UseDPDF=Y")</f>
        <v>26.735500000000002</v>
      </c>
      <c r="J13" s="21">
        <f>_xll.BDH("ADSK US Equity","LT_DEBT_TO_TOT_CAP","FQ1 2014","FQ1 2014","Currency=USD","Period=FQ","BEST_FPERIOD_OVERRIDE=FQ","FILING_STATUS=MR","Sort=A","Dates=H","DateFormat=P","Fill=—","Direction=H","UseDPDF=Y")</f>
        <v>26.3506</v>
      </c>
      <c r="K13" s="21">
        <f>_xll.BDH("ADSK US Equity","LT_DEBT_TO_TOT_CAP","FQ2 2014","FQ2 2014","Currency=USD","Period=FQ","BEST_FPERIOD_OVERRIDE=FQ","FILING_STATUS=MR","Sort=A","Dates=H","DateFormat=P","Fill=—","Direction=H","UseDPDF=Y")</f>
        <v>26.670500000000001</v>
      </c>
      <c r="L13" s="21">
        <f>_xll.BDH("ADSK US Equity","LT_DEBT_TO_TOT_CAP","FQ3 2014","FQ3 2014","Currency=USD","Period=FQ","BEST_FPERIOD_OVERRIDE=FQ","FILING_STATUS=MR","Sort=A","Dates=H","DateFormat=P","Fill=—","Direction=H","UseDPDF=Y")</f>
        <v>25.659400000000002</v>
      </c>
      <c r="M13" s="21" t="str">
        <f>_xll.BDH("ADSK US Equity","LT_DEBT_TO_TOT_CAP","FQ4 2014","FQ4 2014","Currency=USD","Period=FQ","BEST_FPERIOD_OVERRIDE=FQ","FILING_STATUS=MR","Sort=A","Dates=H","DateFormat=P","Fill=—","Direction=H","UseDPDF=Y")</f>
        <v>#N/A Requesting Data...</v>
      </c>
      <c r="N13" s="21" t="str">
        <f>_xll.BDH("ADSK US Equity","LT_DEBT_TO_TOT_CAP","FQ1 2015","FQ1 2015","Currency=USD","Period=FQ","BEST_FPERIOD_OVERRIDE=FQ","FILING_STATUS=MR","Sort=A","Dates=H","DateFormat=P","Fill=—","Direction=H","UseDPDF=Y")</f>
        <v>#N/A Requesting Data...</v>
      </c>
      <c r="O13" s="21" t="str">
        <f>_xll.BDH("ADSK US Equity","LT_DEBT_TO_TOT_CAP","FQ2 2015","FQ2 2015","Currency=USD","Period=FQ","BEST_FPERIOD_OVERRIDE=FQ","FILING_STATUS=MR","Sort=A","Dates=H","DateFormat=P","Fill=—","Direction=H","UseDPDF=Y")</f>
        <v>#N/A Requesting Data...</v>
      </c>
      <c r="P13" s="21" t="str">
        <f>_xll.BDH("ADSK US Equity","LT_DEBT_TO_TOT_CAP","FQ3 2015","FQ3 2015","Currency=USD","Period=FQ","BEST_FPERIOD_OVERRIDE=FQ","FILING_STATUS=MR","Sort=A","Dates=H","DateFormat=P","Fill=—","Direction=H","UseDPDF=Y")</f>
        <v>#N/A Requesting Data...</v>
      </c>
      <c r="Q13" s="21" t="str">
        <f>_xll.BDH("ADSK US Equity","LT_DEBT_TO_TOT_CAP","FQ4 2015","FQ4 2015","Currency=USD","Period=FQ","BEST_FPERIOD_OVERRIDE=FQ","FILING_STATUS=MR","Sort=A","Dates=H","DateFormat=P","Fill=—","Direction=H","UseDPDF=Y")</f>
        <v>#N/A Requesting Data...</v>
      </c>
      <c r="R13" s="21" t="str">
        <f>_xll.BDH("ADSK US Equity","LT_DEBT_TO_TOT_CAP","FQ1 2016","FQ1 2016","Currency=USD","Period=FQ","BEST_FPERIOD_OVERRIDE=FQ","FILING_STATUS=MR","Sort=A","Dates=H","DateFormat=P","Fill=—","Direction=H","UseDPDF=Y")</f>
        <v>#N/A Requesting Data...</v>
      </c>
      <c r="S13" s="21" t="str">
        <f>_xll.BDH("ADSK US Equity","LT_DEBT_TO_TOT_CAP","FQ2 2016","FQ2 2016","Currency=USD","Period=FQ","BEST_FPERIOD_OVERRIDE=FQ","FILING_STATUS=MR","Sort=A","Dates=H","DateFormat=P","Fill=—","Direction=H","UseDPDF=Y")</f>
        <v>#N/A Requesting Data...</v>
      </c>
      <c r="T13" s="21">
        <f>_xll.BDH("ADSK US Equity","LT_DEBT_TO_TOT_CAP","FQ3 2016","FQ3 2016","Currency=USD","Period=FQ","BEST_FPERIOD_OVERRIDE=FQ","FILING_STATUS=MR","Sort=A","Dates=H","DateFormat=P","Fill=—","Direction=H","UseDPDF=Y")</f>
        <v>46.177</v>
      </c>
      <c r="U13" s="21">
        <f>_xll.BDH("ADSK US Equity","LT_DEBT_TO_TOT_CAP","FQ4 2016","FQ4 2016","Currency=USD","Period=FQ","BEST_FPERIOD_OVERRIDE=FQ","FILING_STATUS=MR","Sort=A","Dates=H","DateFormat=P","Fill=—","Direction=H","UseDPDF=Y")</f>
        <v>47.877600000000001</v>
      </c>
      <c r="V13" s="21">
        <f>_xll.BDH("ADSK US Equity","LT_DEBT_TO_TOT_CAP","FQ1 2017","FQ1 2017","Currency=USD","Period=FQ","BEST_FPERIOD_OVERRIDE=FQ","FILING_STATUS=MR","Sort=A","Dates=H","DateFormat=P","Fill=—","Direction=H","UseDPDF=Y")</f>
        <v>50.8977</v>
      </c>
      <c r="W13" s="21" t="str">
        <f>_xll.BDH("ADSK US Equity","LT_DEBT_TO_TOT_CAP","FQ2 2017","FQ2 2017","Currency=USD","Period=FQ","BEST_FPERIOD_OVERRIDE=FQ","FILING_STATUS=MR","Sort=A","Dates=H","DateFormat=P","Fill=—","Direction=H","UseDPDF=Y")</f>
        <v>#N/A Requesting Data...</v>
      </c>
      <c r="X13" s="21">
        <f>_xll.BDH("ADSK US Equity","LT_DEBT_TO_TOT_CAP","FQ3 2017","FQ3 2017","Currency=USD","Period=FQ","BEST_FPERIOD_OVERRIDE=FQ","FILING_STATUS=MR","Sort=A","Dates=H","DateFormat=P","Fill=—","Direction=H","UseDPDF=Y")</f>
        <v>58.415999999999997</v>
      </c>
      <c r="Y13" s="21" t="str">
        <f>_xll.BDH("ADSK US Equity","LT_DEBT_TO_TOT_CAP","FQ4 2017","FQ4 2017","Currency=USD","Period=FQ","BEST_FPERIOD_OVERRIDE=FQ","FILING_STATUS=MR","Sort=A","Dates=H","DateFormat=P","Fill=—","Direction=H","UseDPDF=Y")</f>
        <v>#N/A Requesting Data...</v>
      </c>
      <c r="Z13" s="21" t="str">
        <f>_xll.BDH("ADSK US Equity","LT_DEBT_TO_TOT_CAP","FQ1 2018","FQ1 2018","Currency=USD","Period=FQ","BEST_FPERIOD_OVERRIDE=FQ","FILING_STATUS=MR","Sort=A","Dates=H","DateFormat=P","Fill=—","Direction=H","UseDPDF=Y")</f>
        <v>#N/A Requesting Data...</v>
      </c>
      <c r="AA13" s="21">
        <f>_xll.BDH("ADSK US Equity","LT_DEBT_TO_TOT_CAP","FQ2 2018","FQ2 2018","Currency=USD","Period=FQ","BEST_FPERIOD_OVERRIDE=FQ","FILING_STATUS=MR","Sort=A","Dates=H","DateFormat=P","Fill=—","Direction=H","UseDPDF=Y")</f>
        <v>83.398200000000003</v>
      </c>
      <c r="AB13" s="21">
        <f>_xll.BDH("ADSK US Equity","LT_DEBT_TO_TOT_CAP","FQ3 2018","FQ3 2018","Currency=USD","Period=FQ","BEST_FPERIOD_OVERRIDE=FQ","FILING_STATUS=MR","Sort=A","Dates=H","DateFormat=P","Fill=—","Direction=H","UseDPDF=Y")</f>
        <v>93.661000000000001</v>
      </c>
      <c r="AC13" s="21" t="str">
        <f>_xll.BDH("ADSK US Equity","LT_DEBT_TO_TOT_CAP","FQ4 2018","FQ4 2018","Currency=USD","Period=FQ","BEST_FPERIOD_OVERRIDE=FQ","FILING_STATUS=MR","Sort=A","Dates=H","DateFormat=P","Fill=—","Direction=H","UseDPDF=Y")</f>
        <v>#N/A Requesting Data...</v>
      </c>
      <c r="AD13" s="21" t="str">
        <f>_xll.BDH("ADSK US Equity","LT_DEBT_TO_TOT_CAP","FQ1 2019","FQ1 2019","Currency=USD","Period=FQ","BEST_FPERIOD_OVERRIDE=FQ","FILING_STATUS=MR","Sort=A","Dates=H","DateFormat=P","Fill=—","Direction=H","UseDPDF=Y")</f>
        <v>#N/A Requesting Data...</v>
      </c>
      <c r="AE13" s="21" t="str">
        <f>_xll.BDH("ADSK US Equity","LT_DEBT_TO_TOT_CAP","FQ2 2019","FQ2 2019","Currency=USD","Period=FQ","BEST_FPERIOD_OVERRIDE=FQ","FILING_STATUS=MR","Sort=A","Dates=H","DateFormat=P","Fill=—","Direction=H","UseDPDF=Y")</f>
        <v>#N/A Requesting Data...</v>
      </c>
      <c r="AF13" s="21">
        <f>_xll.BDH("ADSK US Equity","LT_DEBT_TO_TOT_CAP","FQ3 2019","FQ3 2019","Currency=USD","Period=FQ","BEST_FPERIOD_OVERRIDE=FQ","FILING_STATUS=MR","Sort=A","Dates=H","DateFormat=P","Fill=—","Direction=H","UseDPDF=Y")</f>
        <v>127.0748</v>
      </c>
      <c r="AG13" s="21">
        <f>_xll.BDH("ADSK US Equity","LT_DEBT_TO_TOT_CAP","FQ4 2019","FQ4 2019","Currency=USD","Period=FQ","BEST_FPERIOD_OVERRIDE=FQ","FILING_STATUS=MR","Sort=A","Dates=H","DateFormat=P","Fill=—","Direction=H","UseDPDF=Y")</f>
        <v>111.2372</v>
      </c>
      <c r="AH13" s="21" t="str">
        <f>_xll.BDH("ADSK US Equity","LT_DEBT_TO_TOT_CAP","FQ1 2020","FQ1 2020","Currency=USD","Period=FQ","BEST_FPERIOD_OVERRIDE=FQ","FILING_STATUS=MR","Sort=A","Dates=H","DateFormat=P","Fill=—","Direction=H","UseDPDF=Y")</f>
        <v>#N/A Requesting Data...</v>
      </c>
      <c r="AI13" s="21" t="str">
        <f>_xll.BDH("ADSK US Equity","LT_DEBT_TO_TOT_CAP","FQ2 2020","FQ2 2020","Currency=USD","Period=FQ","BEST_FPERIOD_OVERRIDE=FQ","FILING_STATUS=MR","Sort=A","Dates=H","DateFormat=P","Fill=—","Direction=H","UseDPDF=Y")</f>
        <v>#N/A Requesting Data...</v>
      </c>
      <c r="AJ13" s="21" t="str">
        <f>_xll.BDH("ADSK US Equity","LT_DEBT_TO_TOT_CAP","FQ3 2020","FQ3 2020","Currency=USD","Period=FQ","BEST_FPERIOD_OVERRIDE=FQ","FILING_STATUS=MR","Sort=A","Dates=H","DateFormat=P","Fill=—","Direction=H","UseDPDF=Y")</f>
        <v>#N/A Requesting Data...</v>
      </c>
      <c r="AK13" s="21" t="str">
        <f>_xll.BDH("ADSK US Equity","LT_DEBT_TO_TOT_CAP","FQ4 2020","FQ4 2020","Currency=USD","Period=FQ","BEST_FPERIOD_OVERRIDE=FQ","FILING_STATUS=MR","Sort=A","Dates=H","DateFormat=P","Fill=—","Direction=H","UseDPDF=Y")</f>
        <v>#N/A Requesting Data...</v>
      </c>
      <c r="AL13" s="21" t="str">
        <f>_xll.BDH("ADSK US Equity","LT_DEBT_TO_TOT_CAP","FQ1 2021","FQ1 2021","Currency=USD","Period=FQ","BEST_FPERIOD_OVERRIDE=FQ","FILING_STATUS=MR","Sort=A","Dates=H","DateFormat=P","Fill=—","Direction=H","UseDPDF=Y")</f>
        <v>#N/A Requesting Data...</v>
      </c>
      <c r="AM13" s="21">
        <f>_xll.BDH("ADSK US Equity","LT_DEBT_TO_TOT_CAP","FQ2 2021","FQ2 2021","Currency=USD","Period=FQ","BEST_FPERIOD_OVERRIDE=FQ","FILING_STATUS=MR","Sort=A","Dates=H","DateFormat=P","Fill=—","Direction=H","UseDPDF=Y")</f>
        <v>94.368799999999993</v>
      </c>
      <c r="AN13" s="21" t="str">
        <f>_xll.BDH("ADSK US Equity","LT_DEBT_TO_TOT_CAP","FQ3 2021","FQ3 2021","Currency=USD","Period=FQ","BEST_FPERIOD_OVERRIDE=FQ","FILING_STATUS=MR","Sort=A","Dates=H","DateFormat=P","Fill=—","Direction=H","UseDPDF=Y")</f>
        <v>#N/A Requesting Data...</v>
      </c>
      <c r="AO13" s="21" t="str">
        <f>_xll.BDH("ADSK US Equity","LT_DEBT_TO_TOT_CAP","FQ4 2021","FQ4 2021","Currency=USD","Period=FQ","BEST_FPERIOD_OVERRIDE=FQ","FILING_STATUS=MR","Sort=A","Dates=H","DateFormat=P","Fill=—","Direction=H","UseDPDF=Y")</f>
        <v>#N/A Requesting Data...</v>
      </c>
      <c r="AP13" s="21" t="str">
        <f>_xll.BDH("ADSK US Equity","LT_DEBT_TO_TOT_CAP","FQ1 2022","FQ1 2022","Currency=USD","Period=FQ","BEST_FPERIOD_OVERRIDE=FQ","FILING_STATUS=MR","Sort=A","Dates=H","DateFormat=P","Fill=—","Direction=H","UseDPDF=Y")</f>
        <v>#N/A Requesting Data...</v>
      </c>
    </row>
    <row r="14" spans="1:42" x14ac:dyDescent="0.25">
      <c r="A14" s="8" t="s">
        <v>178</v>
      </c>
      <c r="B14" s="8" t="s">
        <v>177</v>
      </c>
      <c r="C14" s="21" t="str">
        <f>_xll.BDH("ADSK US Equity","LT_DEBT_TO_TOT_ASSET","FQ2 2012","FQ2 2012","Currency=USD","Period=FQ","BEST_FPERIOD_OVERRIDE=FQ","FILING_STATUS=MR","Sort=A","Dates=H","DateFormat=P","Fill=—","Direction=H","UseDPDF=Y")</f>
        <v>#N/A Requesting Data...</v>
      </c>
      <c r="D14" s="21">
        <f>_xll.BDH("ADSK US Equity","LT_DEBT_TO_TOT_ASSET","FQ3 2012","FQ3 2012","Currency=USD","Period=FQ","BEST_FPERIOD_OVERRIDE=FQ","FILING_STATUS=MR","Sort=A","Dates=H","DateFormat=P","Fill=—","Direction=H","UseDPDF=Y")</f>
        <v>0</v>
      </c>
      <c r="E14" s="21">
        <f>_xll.BDH("ADSK US Equity","LT_DEBT_TO_TOT_ASSET","FQ4 2012","FQ4 2012","Currency=USD","Period=FQ","BEST_FPERIOD_OVERRIDE=FQ","FILING_STATUS=MR","Sort=A","Dates=H","DateFormat=P","Fill=—","Direction=H","UseDPDF=Y")</f>
        <v>0</v>
      </c>
      <c r="F14" s="21">
        <f>_xll.BDH("ADSK US Equity","LT_DEBT_TO_TOT_ASSET","FQ1 2013","FQ1 2013","Currency=USD","Period=FQ","BEST_FPERIOD_OVERRIDE=FQ","FILING_STATUS=MR","Sort=A","Dates=H","DateFormat=P","Fill=—","Direction=H","UseDPDF=Y")</f>
        <v>0</v>
      </c>
      <c r="G14" s="21" t="str">
        <f>_xll.BDH("ADSK US Equity","LT_DEBT_TO_TOT_ASSET","FQ2 2013","FQ2 2013","Currency=USD","Period=FQ","BEST_FPERIOD_OVERRIDE=FQ","FILING_STATUS=MR","Sort=A","Dates=H","DateFormat=P","Fill=—","Direction=H","UseDPDF=Y")</f>
        <v>#N/A Requesting Data...</v>
      </c>
      <c r="H14" s="21">
        <f>_xll.BDH("ADSK US Equity","LT_DEBT_TO_TOT_ASSET","FQ3 2013","FQ3 2013","Currency=USD","Period=FQ","BEST_FPERIOD_OVERRIDE=FQ","FILING_STATUS=MR","Sort=A","Dates=H","DateFormat=P","Fill=—","Direction=H","UseDPDF=Y")</f>
        <v>0</v>
      </c>
      <c r="I14" s="21" t="str">
        <f>_xll.BDH("ADSK US Equity","LT_DEBT_TO_TOT_ASSET","FQ4 2013","FQ4 2013","Currency=USD","Period=FQ","BEST_FPERIOD_OVERRIDE=FQ","FILING_STATUS=MR","Sort=A","Dates=H","DateFormat=P","Fill=—","Direction=H","UseDPDF=Y")</f>
        <v>#N/A Requesting Data...</v>
      </c>
      <c r="J14" s="21">
        <f>_xll.BDH("ADSK US Equity","LT_DEBT_TO_TOT_ASSET","FQ1 2014","FQ1 2014","Currency=USD","Period=FQ","BEST_FPERIOD_OVERRIDE=FQ","FILING_STATUS=MR","Sort=A","Dates=H","DateFormat=P","Fill=—","Direction=H","UseDPDF=Y")</f>
        <v>17.3858</v>
      </c>
      <c r="K14" s="21" t="str">
        <f>_xll.BDH("ADSK US Equity","LT_DEBT_TO_TOT_ASSET","FQ2 2014","FQ2 2014","Currency=USD","Period=FQ","BEST_FPERIOD_OVERRIDE=FQ","FILING_STATUS=MR","Sort=A","Dates=H","DateFormat=P","Fill=—","Direction=H","UseDPDF=Y")</f>
        <v>#N/A Requesting Data...</v>
      </c>
      <c r="L14" s="21" t="str">
        <f>_xll.BDH("ADSK US Equity","LT_DEBT_TO_TOT_ASSET","FQ3 2014","FQ3 2014","Currency=USD","Period=FQ","BEST_FPERIOD_OVERRIDE=FQ","FILING_STATUS=MR","Sort=A","Dates=H","DateFormat=P","Fill=—","Direction=H","UseDPDF=Y")</f>
        <v>#N/A Requesting Data...</v>
      </c>
      <c r="M14" s="21">
        <f>_xll.BDH("ADSK US Equity","LT_DEBT_TO_TOT_ASSET","FQ4 2014","FQ4 2014","Currency=USD","Period=FQ","BEST_FPERIOD_OVERRIDE=FQ","FILING_STATUS=MR","Sort=A","Dates=H","DateFormat=P","Fill=—","Direction=H","UseDPDF=Y")</f>
        <v>16.2437</v>
      </c>
      <c r="N14" s="21">
        <f>_xll.BDH("ADSK US Equity","LT_DEBT_TO_TOT_ASSET","FQ1 2015","FQ1 2015","Currency=USD","Period=FQ","BEST_FPERIOD_OVERRIDE=FQ","FILING_STATUS=MR","Sort=A","Dates=H","DateFormat=P","Fill=—","Direction=H","UseDPDF=Y")</f>
        <v>16.060700000000001</v>
      </c>
      <c r="O14" s="21">
        <f>_xll.BDH("ADSK US Equity","LT_DEBT_TO_TOT_ASSET","FQ2 2015","FQ2 2015","Currency=USD","Period=FQ","BEST_FPERIOD_OVERRIDE=FQ","FILING_STATUS=MR","Sort=A","Dates=H","DateFormat=P","Fill=—","Direction=H","UseDPDF=Y")</f>
        <v>15.8779</v>
      </c>
      <c r="P14" s="21">
        <f>_xll.BDH("ADSK US Equity","LT_DEBT_TO_TOT_ASSET","FQ3 2015","FQ3 2015","Currency=USD","Period=FQ","BEST_FPERIOD_OVERRIDE=FQ","FILING_STATUS=MR","Sort=A","Dates=H","DateFormat=P","Fill=—","Direction=H","UseDPDF=Y")</f>
        <v>15.770099999999999</v>
      </c>
      <c r="Q14" s="21">
        <f>_xll.BDH("ADSK US Equity","LT_DEBT_TO_TOT_ASSET","FQ4 2015","FQ4 2015","Currency=USD","Period=FQ","BEST_FPERIOD_OVERRIDE=FQ","FILING_STATUS=MR","Sort=A","Dates=H","DateFormat=P","Fill=—","Direction=H","UseDPDF=Y")</f>
        <v>15.135300000000001</v>
      </c>
      <c r="R14" s="21">
        <f>_xll.BDH("ADSK US Equity","LT_DEBT_TO_TOT_ASSET","FQ1 2016","FQ1 2016","Currency=USD","Period=FQ","BEST_FPERIOD_OVERRIDE=FQ","FILING_STATUS=MR","Sort=A","Dates=H","DateFormat=P","Fill=—","Direction=H","UseDPDF=Y")</f>
        <v>15.6494</v>
      </c>
      <c r="S14" s="21" t="str">
        <f>_xll.BDH("ADSK US Equity","LT_DEBT_TO_TOT_ASSET","FQ2 2016","FQ2 2016","Currency=USD","Period=FQ","BEST_FPERIOD_OVERRIDE=FQ","FILING_STATUS=MR","Sort=A","Dates=H","DateFormat=P","Fill=—","Direction=H","UseDPDF=Y")</f>
        <v>#N/A Requesting Data...</v>
      </c>
      <c r="T14" s="21" t="str">
        <f>_xll.BDH("ADSK US Equity","LT_DEBT_TO_TOT_ASSET","FQ3 2016","FQ3 2016","Currency=USD","Period=FQ","BEST_FPERIOD_OVERRIDE=FQ","FILING_STATUS=MR","Sort=A","Dates=H","DateFormat=P","Fill=—","Direction=H","UseDPDF=Y")</f>
        <v>#N/A Requesting Data...</v>
      </c>
      <c r="U14" s="21" t="str">
        <f>_xll.BDH("ADSK US Equity","LT_DEBT_TO_TOT_ASSET","FQ4 2016","FQ4 2016","Currency=USD","Period=FQ","BEST_FPERIOD_OVERRIDE=FQ","FILING_STATUS=MR","Sort=A","Dates=H","DateFormat=P","Fill=—","Direction=H","UseDPDF=Y")</f>
        <v>#N/A Requesting Data...</v>
      </c>
      <c r="V14" s="21" t="str">
        <f>_xll.BDH("ADSK US Equity","LT_DEBT_TO_TOT_ASSET","FQ1 2017","FQ1 2017","Currency=USD","Period=FQ","BEST_FPERIOD_OVERRIDE=FQ","FILING_STATUS=MR","Sort=A","Dates=H","DateFormat=P","Fill=—","Direction=H","UseDPDF=Y")</f>
        <v>#N/A Requesting Data...</v>
      </c>
      <c r="W14" s="21">
        <f>_xll.BDH("ADSK US Equity","LT_DEBT_TO_TOT_ASSET","FQ2 2017","FQ2 2017","Currency=USD","Period=FQ","BEST_FPERIOD_OVERRIDE=FQ","FILING_STATUS=MR","Sort=A","Dates=H","DateFormat=P","Fill=—","Direction=H","UseDPDF=Y")</f>
        <v>29.504300000000001</v>
      </c>
      <c r="X14" s="21">
        <f>_xll.BDH("ADSK US Equity","LT_DEBT_TO_TOT_ASSET","FQ3 2017","FQ3 2017","Currency=USD","Period=FQ","BEST_FPERIOD_OVERRIDE=FQ","FILING_STATUS=MR","Sort=A","Dates=H","DateFormat=P","Fill=—","Direction=H","UseDPDF=Y")</f>
        <v>30.851900000000001</v>
      </c>
      <c r="Y14" s="21">
        <f>_xll.BDH("ADSK US Equity","LT_DEBT_TO_TOT_ASSET","FQ4 2017","FQ4 2017","Currency=USD","Period=FQ","BEST_FPERIOD_OVERRIDE=FQ","FILING_STATUS=MR","Sort=A","Dates=H","DateFormat=P","Fill=—","Direction=H","UseDPDF=Y")</f>
        <v>22.759</v>
      </c>
      <c r="Z14" s="21" t="str">
        <f>_xll.BDH("ADSK US Equity","LT_DEBT_TO_TOT_ASSET","FQ1 2018","FQ1 2018","Currency=USD","Period=FQ","BEST_FPERIOD_OVERRIDE=FQ","FILING_STATUS=MR","Sort=A","Dates=H","DateFormat=P","Fill=—","Direction=H","UseDPDF=Y")</f>
        <v>#N/A Requesting Data...</v>
      </c>
      <c r="AA14" s="21">
        <f>_xll.BDH("ADSK US Equity","LT_DEBT_TO_TOT_ASSET","FQ2 2018","FQ2 2018","Currency=USD","Period=FQ","BEST_FPERIOD_OVERRIDE=FQ","FILING_STATUS=MR","Sort=A","Dates=H","DateFormat=P","Fill=—","Direction=H","UseDPDF=Y")</f>
        <v>36.401000000000003</v>
      </c>
      <c r="AB14" s="21">
        <f>_xll.BDH("ADSK US Equity","LT_DEBT_TO_TOT_ASSET","FQ3 2018","FQ3 2018","Currency=USD","Period=FQ","BEST_FPERIOD_OVERRIDE=FQ","FILING_STATUS=MR","Sort=A","Dates=H","DateFormat=P","Fill=—","Direction=H","UseDPDF=Y")</f>
        <v>38.183999999999997</v>
      </c>
      <c r="AC14" s="21">
        <f>_xll.BDH("ADSK US Equity","LT_DEBT_TO_TOT_ASSET","FQ4 2018","FQ4 2018","Currency=USD","Period=FQ","BEST_FPERIOD_OVERRIDE=FQ","FILING_STATUS=MR","Sort=A","Dates=H","DateFormat=P","Fill=—","Direction=H","UseDPDF=Y")</f>
        <v>38.555</v>
      </c>
      <c r="AD14" s="21">
        <f>_xll.BDH("ADSK US Equity","LT_DEBT_TO_TOT_ASSET","FQ1 2019","FQ1 2019","Currency=USD","Period=FQ","BEST_FPERIOD_OVERRIDE=FQ","FILING_STATUS=MR","Sort=A","Dates=H","DateFormat=P","Fill=—","Direction=H","UseDPDF=Y")</f>
        <v>40.563499999999998</v>
      </c>
      <c r="AE14" s="21">
        <f>_xll.BDH("ADSK US Equity","LT_DEBT_TO_TOT_ASSET","FQ2 2019","FQ2 2019","Currency=USD","Period=FQ","BEST_FPERIOD_OVERRIDE=FQ","FILING_STATUS=MR","Sort=A","Dates=H","DateFormat=P","Fill=—","Direction=H","UseDPDF=Y")</f>
        <v>41.408799999999999</v>
      </c>
      <c r="AF14" s="21" t="str">
        <f>_xll.BDH("ADSK US Equity","LT_DEBT_TO_TOT_ASSET","FQ3 2019","FQ3 2019","Currency=USD","Period=FQ","BEST_FPERIOD_OVERRIDE=FQ","FILING_STATUS=MR","Sort=A","Dates=H","DateFormat=P","Fill=—","Direction=H","UseDPDF=Y")</f>
        <v>#N/A Requesting Data...</v>
      </c>
      <c r="AG14" s="21">
        <f>_xll.BDH("ADSK US Equity","LT_DEBT_TO_TOT_ASSET","FQ4 2019","FQ4 2019","Currency=USD","Period=FQ","BEST_FPERIOD_OVERRIDE=FQ","FILING_STATUS=MR","Sort=A","Dates=H","DateFormat=P","Fill=—","Direction=H","UseDPDF=Y")</f>
        <v>44.1449</v>
      </c>
      <c r="AH14" s="21">
        <f>_xll.BDH("ADSK US Equity","LT_DEBT_TO_TOT_ASSET","FQ1 2020","FQ1 2020","Currency=USD","Period=FQ","BEST_FPERIOD_OVERRIDE=FQ","FILING_STATUS=MR","Sort=A","Dates=H","DateFormat=P","Fill=—","Direction=H","UseDPDF=Y")</f>
        <v>46.353299999999997</v>
      </c>
      <c r="AI14" s="21">
        <f>_xll.BDH("ADSK US Equity","LT_DEBT_TO_TOT_ASSET","FQ2 2020","FQ2 2020","Currency=USD","Period=FQ","BEST_FPERIOD_OVERRIDE=FQ","FILING_STATUS=MR","Sort=A","Dates=H","DateFormat=P","Fill=—","Direction=H","UseDPDF=Y")</f>
        <v>33.819000000000003</v>
      </c>
      <c r="AJ14" s="21" t="str">
        <f>_xll.BDH("ADSK US Equity","LT_DEBT_TO_TOT_ASSET","FQ3 2020","FQ3 2020","Currency=USD","Period=FQ","BEST_FPERIOD_OVERRIDE=FQ","FILING_STATUS=MR","Sort=A","Dates=H","DateFormat=P","Fill=—","Direction=H","UseDPDF=Y")</f>
        <v>#N/A Requesting Data...</v>
      </c>
      <c r="AK14" s="21" t="str">
        <f>_xll.BDH("ADSK US Equity","LT_DEBT_TO_TOT_ASSET","FQ4 2020","FQ4 2020","Currency=USD","Period=FQ","BEST_FPERIOD_OVERRIDE=FQ","FILING_STATUS=MR","Sort=A","Dates=H","DateFormat=P","Fill=—","Direction=H","UseDPDF=Y")</f>
        <v>#N/A Requesting Data...</v>
      </c>
      <c r="AL14" s="21">
        <f>_xll.BDH("ADSK US Equity","LT_DEBT_TO_TOT_ASSET","FQ1 2021","FQ1 2021","Currency=USD","Period=FQ","BEST_FPERIOD_OVERRIDE=FQ","FILING_STATUS=MR","Sort=A","Dates=H","DateFormat=P","Fill=—","Direction=H","UseDPDF=Y")</f>
        <v>36.753900000000002</v>
      </c>
      <c r="AM14" s="21" t="str">
        <f>_xll.BDH("ADSK US Equity","LT_DEBT_TO_TOT_ASSET","FQ2 2021","FQ2 2021","Currency=USD","Period=FQ","BEST_FPERIOD_OVERRIDE=FQ","FILING_STATUS=MR","Sort=A","Dates=H","DateFormat=P","Fill=—","Direction=H","UseDPDF=Y")</f>
        <v>#N/A Requesting Data...</v>
      </c>
      <c r="AN14" s="21">
        <f>_xll.BDH("ADSK US Equity","LT_DEBT_TO_TOT_ASSET","FQ3 2021","FQ3 2021","Currency=USD","Period=FQ","BEST_FPERIOD_OVERRIDE=FQ","FILING_STATUS=MR","Sort=A","Dates=H","DateFormat=P","Fill=—","Direction=H","UseDPDF=Y")</f>
        <v>34.229999999999997</v>
      </c>
      <c r="AO14" s="21">
        <f>_xll.BDH("ADSK US Equity","LT_DEBT_TO_TOT_ASSET","FQ4 2021","FQ4 2021","Currency=USD","Period=FQ","BEST_FPERIOD_OVERRIDE=FQ","FILING_STATUS=MR","Sort=A","Dates=H","DateFormat=P","Fill=—","Direction=H","UseDPDF=Y")</f>
        <v>27.929300000000001</v>
      </c>
      <c r="AP14" s="21" t="str">
        <f>_xll.BDH("ADSK US Equity","LT_DEBT_TO_TOT_ASSET","FQ1 2022","FQ1 2022","Currency=USD","Period=FQ","BEST_FPERIOD_OVERRIDE=FQ","FILING_STATUS=MR","Sort=A","Dates=H","DateFormat=P","Fill=—","Direction=H","UseDPDF=Y")</f>
        <v>#N/A Requesting Data...</v>
      </c>
    </row>
    <row r="15" spans="1:42" x14ac:dyDescent="0.25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8" t="s">
        <v>176</v>
      </c>
      <c r="B16" s="8" t="s">
        <v>175</v>
      </c>
      <c r="C16" s="21" t="str">
        <f>_xll.BDH("ADSK US Equity","TOT_DEBT_TO_TOT_EQY","FQ2 2012","FQ2 2012","Currency=USD","Period=FQ","BEST_FPERIOD_OVERRIDE=FQ","FILING_STATUS=MR","Sort=A","Dates=H","DateFormat=P","Fill=—","Direction=H","UseDPDF=Y")</f>
        <v>#N/A Requesting Data...</v>
      </c>
      <c r="D16" s="21" t="str">
        <f>_xll.BDH("ADSK US Equity","TOT_DEBT_TO_TOT_EQY","FQ3 2012","FQ3 2012","Currency=USD","Period=FQ","BEST_FPERIOD_OVERRIDE=FQ","FILING_STATUS=MR","Sort=A","Dates=H","DateFormat=P","Fill=—","Direction=H","UseDPDF=Y")</f>
        <v>#N/A Requesting Data...</v>
      </c>
      <c r="E16" s="21">
        <f>_xll.BDH("ADSK US Equity","TOT_DEBT_TO_TOT_EQY","FQ4 2012","FQ4 2012","Currency=USD","Period=FQ","BEST_FPERIOD_OVERRIDE=FQ","FILING_STATUS=MR","Sort=A","Dates=H","DateFormat=P","Fill=—","Direction=H","UseDPDF=Y")</f>
        <v>0</v>
      </c>
      <c r="F16" s="21">
        <f>_xll.BDH("ADSK US Equity","TOT_DEBT_TO_TOT_EQY","FQ1 2013","FQ1 2013","Currency=USD","Period=FQ","BEST_FPERIOD_OVERRIDE=FQ","FILING_STATUS=MR","Sort=A","Dates=H","DateFormat=P","Fill=—","Direction=H","UseDPDF=Y")</f>
        <v>0</v>
      </c>
      <c r="G16" s="21" t="str">
        <f>_xll.BDH("ADSK US Equity","TOT_DEBT_TO_TOT_EQY","FQ2 2013","FQ2 2013","Currency=USD","Period=FQ","BEST_FPERIOD_OVERRIDE=FQ","FILING_STATUS=MR","Sort=A","Dates=H","DateFormat=P","Fill=—","Direction=H","UseDPDF=Y")</f>
        <v>#N/A Requesting Data...</v>
      </c>
      <c r="H16" s="21" t="str">
        <f>_xll.BDH("ADSK US Equity","TOT_DEBT_TO_TOT_EQY","FQ3 2013","FQ3 2013","Currency=USD","Period=FQ","BEST_FPERIOD_OVERRIDE=FQ","FILING_STATUS=MR","Sort=A","Dates=H","DateFormat=P","Fill=—","Direction=H","UseDPDF=Y")</f>
        <v>#N/A Requesting Data...</v>
      </c>
      <c r="I16" s="21" t="str">
        <f>_xll.BDH("ADSK US Equity","TOT_DEBT_TO_TOT_EQY","FQ4 2013","FQ4 2013","Currency=USD","Period=FQ","BEST_FPERIOD_OVERRIDE=FQ","FILING_STATUS=MR","Sort=A","Dates=H","DateFormat=P","Fill=—","Direction=H","UseDPDF=Y")</f>
        <v>#N/A Requesting Data...</v>
      </c>
      <c r="J16" s="21" t="str">
        <f>_xll.BDH("ADSK US Equity","TOT_DEBT_TO_TOT_EQY","FQ1 2014","FQ1 2014","Currency=USD","Period=FQ","BEST_FPERIOD_OVERRIDE=FQ","FILING_STATUS=MR","Sort=A","Dates=H","DateFormat=P","Fill=—","Direction=H","UseDPDF=Y")</f>
        <v>#N/A Requesting Data...</v>
      </c>
      <c r="K16" s="21" t="str">
        <f>_xll.BDH("ADSK US Equity","TOT_DEBT_TO_TOT_EQY","FQ2 2014","FQ2 2014","Currency=USD","Period=FQ","BEST_FPERIOD_OVERRIDE=FQ","FILING_STATUS=MR","Sort=A","Dates=H","DateFormat=P","Fill=—","Direction=H","UseDPDF=Y")</f>
        <v>#N/A Requesting Data...</v>
      </c>
      <c r="L16" s="21">
        <f>_xll.BDH("ADSK US Equity","TOT_DEBT_TO_TOT_EQY","FQ3 2014","FQ3 2014","Currency=USD","Period=FQ","BEST_FPERIOD_OVERRIDE=FQ","FILING_STATUS=MR","Sort=A","Dates=H","DateFormat=P","Fill=—","Direction=H","UseDPDF=Y")</f>
        <v>34.515900000000002</v>
      </c>
      <c r="M16" s="21">
        <f>_xll.BDH("ADSK US Equity","TOT_DEBT_TO_TOT_EQY","FQ4 2014","FQ4 2014","Currency=USD","Period=FQ","BEST_FPERIOD_OVERRIDE=FQ","FILING_STATUS=MR","Sort=A","Dates=H","DateFormat=P","Fill=—","Direction=H","UseDPDF=Y")</f>
        <v>33.004600000000003</v>
      </c>
      <c r="N16" s="21">
        <f>_xll.BDH("ADSK US Equity","TOT_DEBT_TO_TOT_EQY","FQ1 2015","FQ1 2015","Currency=USD","Period=FQ","BEST_FPERIOD_OVERRIDE=FQ","FILING_STATUS=MR","Sort=A","Dates=H","DateFormat=P","Fill=—","Direction=H","UseDPDF=Y")</f>
        <v>32.621099999999998</v>
      </c>
      <c r="O16" s="21">
        <f>_xll.BDH("ADSK US Equity","TOT_DEBT_TO_TOT_EQY","FQ2 2015","FQ2 2015","Currency=USD","Period=FQ","BEST_FPERIOD_OVERRIDE=FQ","FILING_STATUS=MR","Sort=A","Dates=H","DateFormat=P","Fill=—","Direction=H","UseDPDF=Y")</f>
        <v>32.705599999999997</v>
      </c>
      <c r="P16" s="21" t="str">
        <f>_xll.BDH("ADSK US Equity","TOT_DEBT_TO_TOT_EQY","FQ3 2015","FQ3 2015","Currency=USD","Period=FQ","BEST_FPERIOD_OVERRIDE=FQ","FILING_STATUS=MR","Sort=A","Dates=H","DateFormat=P","Fill=—","Direction=H","UseDPDF=Y")</f>
        <v>#N/A Requesting Data...</v>
      </c>
      <c r="Q16" s="21" t="str">
        <f>_xll.BDH("ADSK US Equity","TOT_DEBT_TO_TOT_EQY","FQ4 2015","FQ4 2015","Currency=USD","Period=FQ","BEST_FPERIOD_OVERRIDE=FQ","FILING_STATUS=MR","Sort=A","Dates=H","DateFormat=P","Fill=—","Direction=H","UseDPDF=Y")</f>
        <v>#N/A Requesting Data...</v>
      </c>
      <c r="R16" s="21" t="str">
        <f>_xll.BDH("ADSK US Equity","TOT_DEBT_TO_TOT_EQY","FQ1 2016","FQ1 2016","Currency=USD","Period=FQ","BEST_FPERIOD_OVERRIDE=FQ","FILING_STATUS=MR","Sort=A","Dates=H","DateFormat=P","Fill=—","Direction=H","UseDPDF=Y")</f>
        <v>#N/A Requesting Data...</v>
      </c>
      <c r="S16" s="21" t="str">
        <f>_xll.BDH("ADSK US Equity","TOT_DEBT_TO_TOT_EQY","FQ2 2016","FQ2 2016","Currency=USD","Period=FQ","BEST_FPERIOD_OVERRIDE=FQ","FILING_STATUS=MR","Sort=A","Dates=H","DateFormat=P","Fill=—","Direction=H","UseDPDF=Y")</f>
        <v>#N/A Requesting Data...</v>
      </c>
      <c r="T16" s="21">
        <f>_xll.BDH("ADSK US Equity","TOT_DEBT_TO_TOT_EQY","FQ3 2016","FQ3 2016","Currency=USD","Period=FQ","BEST_FPERIOD_OVERRIDE=FQ","FILING_STATUS=MR","Sort=A","Dates=H","DateFormat=P","Fill=—","Direction=H","UseDPDF=Y")</f>
        <v>85.794200000000004</v>
      </c>
      <c r="U16" s="21" t="str">
        <f>_xll.BDH("ADSK US Equity","TOT_DEBT_TO_TOT_EQY","FQ4 2016","FQ4 2016","Currency=USD","Period=FQ","BEST_FPERIOD_OVERRIDE=FQ","FILING_STATUS=MR","Sort=A","Dates=H","DateFormat=P","Fill=—","Direction=H","UseDPDF=Y")</f>
        <v>#N/A Requesting Data...</v>
      </c>
      <c r="V16" s="21" t="str">
        <f>_xll.BDH("ADSK US Equity","TOT_DEBT_TO_TOT_EQY","FQ1 2017","FQ1 2017","Currency=USD","Period=FQ","BEST_FPERIOD_OVERRIDE=FQ","FILING_STATUS=MR","Sort=A","Dates=H","DateFormat=P","Fill=—","Direction=H","UseDPDF=Y")</f>
        <v>#N/A Requesting Data...</v>
      </c>
      <c r="W16" s="21" t="str">
        <f>_xll.BDH("ADSK US Equity","TOT_DEBT_TO_TOT_EQY","FQ2 2017","FQ2 2017","Currency=USD","Period=FQ","BEST_FPERIOD_OVERRIDE=FQ","FILING_STATUS=MR","Sort=A","Dates=H","DateFormat=P","Fill=—","Direction=H","UseDPDF=Y")</f>
        <v>#N/A Requesting Data...</v>
      </c>
      <c r="X16" s="21">
        <f>_xll.BDH("ADSK US Equity","TOT_DEBT_TO_TOT_EQY","FQ3 2017","FQ3 2017","Currency=USD","Period=FQ","BEST_FPERIOD_OVERRIDE=FQ","FILING_STATUS=MR","Sort=A","Dates=H","DateFormat=P","Fill=—","Direction=H","UseDPDF=Y")</f>
        <v>140.47710000000001</v>
      </c>
      <c r="Y16" s="21">
        <f>_xll.BDH("ADSK US Equity","TOT_DEBT_TO_TOT_EQY","FQ4 2017","FQ4 2017","Currency=USD","Period=FQ","BEST_FPERIOD_OVERRIDE=FQ","FILING_STATUS=MR","Sort=A","Dates=H","DateFormat=P","Fill=—","Direction=H","UseDPDF=Y")</f>
        <v>203.20339999999999</v>
      </c>
      <c r="Z16" s="21">
        <f>_xll.BDH("ADSK US Equity","TOT_DEBT_TO_TOT_EQY","FQ1 2018","FQ1 2018","Currency=USD","Period=FQ","BEST_FPERIOD_OVERRIDE=FQ","FILING_STATUS=MR","Sort=A","Dates=H","DateFormat=P","Fill=—","Direction=H","UseDPDF=Y")</f>
        <v>293.5446</v>
      </c>
      <c r="AA16" s="21" t="str">
        <f>_xll.BDH("ADSK US Equity","TOT_DEBT_TO_TOT_EQY","FQ2 2018","FQ2 2018","Currency=USD","Period=FQ","BEST_FPERIOD_OVERRIDE=FQ","FILING_STATUS=MR","Sort=A","Dates=H","DateFormat=P","Fill=—","Direction=H","UseDPDF=Y")</f>
        <v>#N/A Requesting Data...</v>
      </c>
      <c r="AB16" s="21">
        <f>_xll.BDH("ADSK US Equity","TOT_DEBT_TO_TOT_EQY","FQ3 2018","FQ3 2018","Currency=USD","Period=FQ","BEST_FPERIOD_OVERRIDE=FQ","FILING_STATUS=MR","Sort=A","Dates=H","DateFormat=P","Fill=—","Direction=H","UseDPDF=Y")</f>
        <v>1477.5396000000001</v>
      </c>
      <c r="AC16" s="21" t="str">
        <f>_xll.BDH("ADSK US Equity","TOT_DEBT_TO_TOT_EQY","FQ4 2018","FQ4 2018","Currency=USD","Period=FQ","BEST_FPERIOD_OVERRIDE=FQ","FILING_STATUS=MR","Sort=A","Dates=H","DateFormat=P","Fill=—","Direction=H","UseDPDF=Y")</f>
        <v>—</v>
      </c>
      <c r="AD16" s="21" t="str">
        <f>_xll.BDH("ADSK US Equity","TOT_DEBT_TO_TOT_EQY","FQ1 2019","FQ1 2019","Currency=USD","Period=FQ","BEST_FPERIOD_OVERRIDE=FQ","FILING_STATUS=MR","Sort=A","Dates=H","DateFormat=P","Fill=—","Direction=H","UseDPDF=Y")</f>
        <v>#N/A Requesting Data...</v>
      </c>
      <c r="AE16" s="21" t="str">
        <f>_xll.BDH("ADSK US Equity","TOT_DEBT_TO_TOT_EQY","FQ2 2019","FQ2 2019","Currency=USD","Period=FQ","BEST_FPERIOD_OVERRIDE=FQ","FILING_STATUS=MR","Sort=A","Dates=H","DateFormat=P","Fill=—","Direction=H","UseDPDF=Y")</f>
        <v>#N/A Requesting Data...</v>
      </c>
      <c r="AF16" s="21" t="str">
        <f>_xll.BDH("ADSK US Equity","TOT_DEBT_TO_TOT_EQY","FQ3 2019","FQ3 2019","Currency=USD","Period=FQ","BEST_FPERIOD_OVERRIDE=FQ","FILING_STATUS=MR","Sort=A","Dates=H","DateFormat=P","Fill=—","Direction=H","UseDPDF=Y")</f>
        <v>#N/A Requesting Data...</v>
      </c>
      <c r="AG16" s="21" t="str">
        <f>_xll.BDH("ADSK US Equity","TOT_DEBT_TO_TOT_EQY","FQ4 2019","FQ4 2019","Currency=USD","Period=FQ","BEST_FPERIOD_OVERRIDE=FQ","FILING_STATUS=MR","Sort=A","Dates=H","DateFormat=P","Fill=—","Direction=H","UseDPDF=Y")</f>
        <v>#N/A Requesting Data...</v>
      </c>
      <c r="AH16" s="21" t="str">
        <f>_xll.BDH("ADSK US Equity","TOT_DEBT_TO_TOT_EQY","FQ1 2020","FQ1 2020","Currency=USD","Period=FQ","BEST_FPERIOD_OVERRIDE=FQ","FILING_STATUS=MR","Sort=A","Dates=H","DateFormat=P","Fill=—","Direction=H","UseDPDF=Y")</f>
        <v>#N/A Requesting Data...</v>
      </c>
      <c r="AI16" s="21" t="str">
        <f>_xll.BDH("ADSK US Equity","TOT_DEBT_TO_TOT_EQY","FQ2 2020","FQ2 2020","Currency=USD","Period=FQ","BEST_FPERIOD_OVERRIDE=FQ","FILING_STATUS=MR","Sort=A","Dates=H","DateFormat=P","Fill=—","Direction=H","UseDPDF=Y")</f>
        <v>#N/A Requesting Data...</v>
      </c>
      <c r="AJ16" s="21" t="str">
        <f>_xll.BDH("ADSK US Equity","TOT_DEBT_TO_TOT_EQY","FQ3 2020","FQ3 2020","Currency=USD","Period=FQ","BEST_FPERIOD_OVERRIDE=FQ","FILING_STATUS=MR","Sort=A","Dates=H","DateFormat=P","Fill=—","Direction=H","UseDPDF=Y")</f>
        <v>—</v>
      </c>
      <c r="AK16" s="21" t="str">
        <f>_xll.BDH("ADSK US Equity","TOT_DEBT_TO_TOT_EQY","FQ4 2020","FQ4 2020","Currency=USD","Period=FQ","BEST_FPERIOD_OVERRIDE=FQ","FILING_STATUS=MR","Sort=A","Dates=H","DateFormat=P","Fill=—","Direction=H","UseDPDF=Y")</f>
        <v>—</v>
      </c>
      <c r="AL16" s="21" t="str">
        <f>_xll.BDH("ADSK US Equity","TOT_DEBT_TO_TOT_EQY","FQ1 2021","FQ1 2021","Currency=USD","Period=FQ","BEST_FPERIOD_OVERRIDE=FQ","FILING_STATUS=MR","Sort=A","Dates=H","DateFormat=P","Fill=—","Direction=H","UseDPDF=Y")</f>
        <v>#N/A Requesting Data...</v>
      </c>
      <c r="AM16" s="21" t="str">
        <f>_xll.BDH("ADSK US Equity","TOT_DEBT_TO_TOT_EQY","FQ2 2021","FQ2 2021","Currency=USD","Period=FQ","BEST_FPERIOD_OVERRIDE=FQ","FILING_STATUS=MR","Sort=A","Dates=H","DateFormat=P","Fill=—","Direction=H","UseDPDF=Y")</f>
        <v>#N/A Requesting Data...</v>
      </c>
      <c r="AN16" s="21" t="str">
        <f>_xll.BDH("ADSK US Equity","TOT_DEBT_TO_TOT_EQY","FQ3 2021","FQ3 2021","Currency=USD","Period=FQ","BEST_FPERIOD_OVERRIDE=FQ","FILING_STATUS=MR","Sort=A","Dates=H","DateFormat=P","Fill=—","Direction=H","UseDPDF=Y")</f>
        <v>#N/A Requesting Data...</v>
      </c>
      <c r="AO16" s="21" t="str">
        <f>_xll.BDH("ADSK US Equity","TOT_DEBT_TO_TOT_EQY","FQ4 2021","FQ4 2021","Currency=USD","Period=FQ","BEST_FPERIOD_OVERRIDE=FQ","FILING_STATUS=MR","Sort=A","Dates=H","DateFormat=P","Fill=—","Direction=H","UseDPDF=Y")</f>
        <v>#N/A Requesting Data...</v>
      </c>
      <c r="AP16" s="21" t="str">
        <f>_xll.BDH("ADSK US Equity","TOT_DEBT_TO_TOT_EQY","FQ1 2022","FQ1 2022","Currency=USD","Period=FQ","BEST_FPERIOD_OVERRIDE=FQ","FILING_STATUS=MR","Sort=A","Dates=H","DateFormat=P","Fill=—","Direction=H","UseDPDF=Y")</f>
        <v>#N/A Requesting Data...</v>
      </c>
    </row>
    <row r="17" spans="1:42" x14ac:dyDescent="0.25">
      <c r="A17" s="8" t="s">
        <v>174</v>
      </c>
      <c r="B17" s="8" t="s">
        <v>173</v>
      </c>
      <c r="C17" s="21" t="str">
        <f>_xll.BDH("ADSK US Equity","TOT_DEBT_TO_TOT_CAP","FQ2 2012","FQ2 2012","Currency=USD","Period=FQ","BEST_FPERIOD_OVERRIDE=FQ","FILING_STATUS=MR","Sort=A","Dates=H","DateFormat=P","Fill=—","Direction=H","UseDPDF=Y")</f>
        <v>#N/A Requesting Data...</v>
      </c>
      <c r="D17" s="21">
        <f>_xll.BDH("ADSK US Equity","TOT_DEBT_TO_TOT_CAP","FQ3 2012","FQ3 2012","Currency=USD","Period=FQ","BEST_FPERIOD_OVERRIDE=FQ","FILING_STATUS=MR","Sort=A","Dates=H","DateFormat=P","Fill=—","Direction=H","UseDPDF=Y")</f>
        <v>0</v>
      </c>
      <c r="E17" s="21" t="str">
        <f>_xll.BDH("ADSK US Equity","TOT_DEBT_TO_TOT_CAP","FQ4 2012","FQ4 2012","Currency=USD","Period=FQ","BEST_FPERIOD_OVERRIDE=FQ","FILING_STATUS=MR","Sort=A","Dates=H","DateFormat=P","Fill=—","Direction=H","UseDPDF=Y")</f>
        <v>#N/A Requesting Data...</v>
      </c>
      <c r="F17" s="21" t="str">
        <f>_xll.BDH("ADSK US Equity","TOT_DEBT_TO_TOT_CAP","FQ1 2013","FQ1 2013","Currency=USD","Period=FQ","BEST_FPERIOD_OVERRIDE=FQ","FILING_STATUS=MR","Sort=A","Dates=H","DateFormat=P","Fill=—","Direction=H","UseDPDF=Y")</f>
        <v>#N/A Requesting Data...</v>
      </c>
      <c r="G17" s="21" t="str">
        <f>_xll.BDH("ADSK US Equity","TOT_DEBT_TO_TOT_CAP","FQ2 2013","FQ2 2013","Currency=USD","Period=FQ","BEST_FPERIOD_OVERRIDE=FQ","FILING_STATUS=MR","Sort=A","Dates=H","DateFormat=P","Fill=—","Direction=H","UseDPDF=Y")</f>
        <v>#N/A Requesting Data...</v>
      </c>
      <c r="H17" s="21">
        <f>_xll.BDH("ADSK US Equity","TOT_DEBT_TO_TOT_CAP","FQ3 2013","FQ3 2013","Currency=USD","Period=FQ","BEST_FPERIOD_OVERRIDE=FQ","FILING_STATUS=MR","Sort=A","Dates=H","DateFormat=P","Fill=—","Direction=H","UseDPDF=Y")</f>
        <v>5.1693999999999996</v>
      </c>
      <c r="I17" s="21">
        <f>_xll.BDH("ADSK US Equity","TOT_DEBT_TO_TOT_CAP","FQ4 2013","FQ4 2013","Currency=USD","Period=FQ","BEST_FPERIOD_OVERRIDE=FQ","FILING_STATUS=MR","Sort=A","Dates=H","DateFormat=P","Fill=—","Direction=H","UseDPDF=Y")</f>
        <v>26.735500000000002</v>
      </c>
      <c r="J17" s="21">
        <f>_xll.BDH("ADSK US Equity","TOT_DEBT_TO_TOT_CAP","FQ1 2014","FQ1 2014","Currency=USD","Period=FQ","BEST_FPERIOD_OVERRIDE=FQ","FILING_STATUS=MR","Sort=A","Dates=H","DateFormat=P","Fill=—","Direction=H","UseDPDF=Y")</f>
        <v>26.3506</v>
      </c>
      <c r="K17" s="21" t="str">
        <f>_xll.BDH("ADSK US Equity","TOT_DEBT_TO_TOT_CAP","FQ2 2014","FQ2 2014","Currency=USD","Period=FQ","BEST_FPERIOD_OVERRIDE=FQ","FILING_STATUS=MR","Sort=A","Dates=H","DateFormat=P","Fill=—","Direction=H","UseDPDF=Y")</f>
        <v>#N/A Requesting Data...</v>
      </c>
      <c r="L17" s="21">
        <f>_xll.BDH("ADSK US Equity","TOT_DEBT_TO_TOT_CAP","FQ3 2014","FQ3 2014","Currency=USD","Period=FQ","BEST_FPERIOD_OVERRIDE=FQ","FILING_STATUS=MR","Sort=A","Dates=H","DateFormat=P","Fill=—","Direction=H","UseDPDF=Y")</f>
        <v>25.659400000000002</v>
      </c>
      <c r="M17" s="21">
        <f>_xll.BDH("ADSK US Equity","TOT_DEBT_TO_TOT_CAP","FQ4 2014","FQ4 2014","Currency=USD","Period=FQ","BEST_FPERIOD_OVERRIDE=FQ","FILING_STATUS=MR","Sort=A","Dates=H","DateFormat=P","Fill=—","Direction=H","UseDPDF=Y")</f>
        <v>24.814699999999998</v>
      </c>
      <c r="N17" s="21">
        <f>_xll.BDH("ADSK US Equity","TOT_DEBT_TO_TOT_CAP","FQ1 2015","FQ1 2015","Currency=USD","Period=FQ","BEST_FPERIOD_OVERRIDE=FQ","FILING_STATUS=MR","Sort=A","Dates=H","DateFormat=P","Fill=—","Direction=H","UseDPDF=Y")</f>
        <v>24.597200000000001</v>
      </c>
      <c r="O17" s="21">
        <f>_xll.BDH("ADSK US Equity","TOT_DEBT_TO_TOT_CAP","FQ2 2015","FQ2 2015","Currency=USD","Period=FQ","BEST_FPERIOD_OVERRIDE=FQ","FILING_STATUS=MR","Sort=A","Dates=H","DateFormat=P","Fill=—","Direction=H","UseDPDF=Y")</f>
        <v>24.645199999999999</v>
      </c>
      <c r="P17" s="21" t="str">
        <f>_xll.BDH("ADSK US Equity","TOT_DEBT_TO_TOT_CAP","FQ3 2015","FQ3 2015","Currency=USD","Period=FQ","BEST_FPERIOD_OVERRIDE=FQ","FILING_STATUS=MR","Sort=A","Dates=H","DateFormat=P","Fill=—","Direction=H","UseDPDF=Y")</f>
        <v>#N/A Requesting Data...</v>
      </c>
      <c r="Q17" s="21" t="str">
        <f>_xll.BDH("ADSK US Equity","TOT_DEBT_TO_TOT_CAP","FQ4 2015","FQ4 2015","Currency=USD","Period=FQ","BEST_FPERIOD_OVERRIDE=FQ","FILING_STATUS=MR","Sort=A","Dates=H","DateFormat=P","Fill=—","Direction=H","UseDPDF=Y")</f>
        <v>#N/A Requesting Data...</v>
      </c>
      <c r="R17" s="21">
        <f>_xll.BDH("ADSK US Equity","TOT_DEBT_TO_TOT_CAP","FQ1 2016","FQ1 2016","Currency=USD","Period=FQ","BEST_FPERIOD_OVERRIDE=FQ","FILING_STATUS=MR","Sort=A","Dates=H","DateFormat=P","Fill=—","Direction=H","UseDPDF=Y")</f>
        <v>25.149699999999999</v>
      </c>
      <c r="S17" s="21">
        <f>_xll.BDH("ADSK US Equity","TOT_DEBT_TO_TOT_CAP","FQ2 2016","FQ2 2016","Currency=USD","Period=FQ","BEST_FPERIOD_OVERRIDE=FQ","FILING_STATUS=MR","Sort=A","Dates=H","DateFormat=P","Fill=—","Direction=H","UseDPDF=Y")</f>
        <v>43.862699999999997</v>
      </c>
      <c r="T17" s="21">
        <f>_xll.BDH("ADSK US Equity","TOT_DEBT_TO_TOT_CAP","FQ3 2016","FQ3 2016","Currency=USD","Period=FQ","BEST_FPERIOD_OVERRIDE=FQ","FILING_STATUS=MR","Sort=A","Dates=H","DateFormat=P","Fill=—","Direction=H","UseDPDF=Y")</f>
        <v>46.177</v>
      </c>
      <c r="U17" s="21">
        <f>_xll.BDH("ADSK US Equity","TOT_DEBT_TO_TOT_CAP","FQ4 2016","FQ4 2016","Currency=USD","Period=FQ","BEST_FPERIOD_OVERRIDE=FQ","FILING_STATUS=MR","Sort=A","Dates=H","DateFormat=P","Fill=—","Direction=H","UseDPDF=Y")</f>
        <v>47.877600000000001</v>
      </c>
      <c r="V17" s="21" t="str">
        <f>_xll.BDH("ADSK US Equity","TOT_DEBT_TO_TOT_CAP","FQ1 2017","FQ1 2017","Currency=USD","Period=FQ","BEST_FPERIOD_OVERRIDE=FQ","FILING_STATUS=MR","Sort=A","Dates=H","DateFormat=P","Fill=—","Direction=H","UseDPDF=Y")</f>
        <v>#N/A Requesting Data...</v>
      </c>
      <c r="W17" s="21">
        <f>_xll.BDH("ADSK US Equity","TOT_DEBT_TO_TOT_CAP","FQ2 2017","FQ2 2017","Currency=USD","Period=FQ","BEST_FPERIOD_OVERRIDE=FQ","FILING_STATUS=MR","Sort=A","Dates=H","DateFormat=P","Fill=—","Direction=H","UseDPDF=Y")</f>
        <v>52.791699999999999</v>
      </c>
      <c r="X17" s="21">
        <f>_xll.BDH("ADSK US Equity","TOT_DEBT_TO_TOT_CAP","FQ3 2017","FQ3 2017","Currency=USD","Period=FQ","BEST_FPERIOD_OVERRIDE=FQ","FILING_STATUS=MR","Sort=A","Dates=H","DateFormat=P","Fill=—","Direction=H","UseDPDF=Y")</f>
        <v>58.415999999999997</v>
      </c>
      <c r="Y17" s="21" t="str">
        <f>_xll.BDH("ADSK US Equity","TOT_DEBT_TO_TOT_CAP","FQ4 2017","FQ4 2017","Currency=USD","Period=FQ","BEST_FPERIOD_OVERRIDE=FQ","FILING_STATUS=MR","Sort=A","Dates=H","DateFormat=P","Fill=—","Direction=H","UseDPDF=Y")</f>
        <v>#N/A Requesting Data...</v>
      </c>
      <c r="Z17" s="21" t="str">
        <f>_xll.BDH("ADSK US Equity","TOT_DEBT_TO_TOT_CAP","FQ1 2018","FQ1 2018","Currency=USD","Period=FQ","BEST_FPERIOD_OVERRIDE=FQ","FILING_STATUS=MR","Sort=A","Dates=H","DateFormat=P","Fill=—","Direction=H","UseDPDF=Y")</f>
        <v>#N/A Requesting Data...</v>
      </c>
      <c r="AA17" s="21" t="str">
        <f>_xll.BDH("ADSK US Equity","TOT_DEBT_TO_TOT_CAP","FQ2 2018","FQ2 2018","Currency=USD","Period=FQ","BEST_FPERIOD_OVERRIDE=FQ","FILING_STATUS=MR","Sort=A","Dates=H","DateFormat=P","Fill=—","Direction=H","UseDPDF=Y")</f>
        <v>#N/A Requesting Data...</v>
      </c>
      <c r="AB17" s="21" t="str">
        <f>_xll.BDH("ADSK US Equity","TOT_DEBT_TO_TOT_CAP","FQ3 2018","FQ3 2018","Currency=USD","Period=FQ","BEST_FPERIOD_OVERRIDE=FQ","FILING_STATUS=MR","Sort=A","Dates=H","DateFormat=P","Fill=—","Direction=H","UseDPDF=Y")</f>
        <v>#N/A Requesting Data...</v>
      </c>
      <c r="AC17" s="21">
        <f>_xll.BDH("ADSK US Equity","TOT_DEBT_TO_TOT_CAP","FQ4 2018","FQ4 2018","Currency=USD","Period=FQ","BEST_FPERIOD_OVERRIDE=FQ","FILING_STATUS=MR","Sort=A","Dates=H","DateFormat=P","Fill=—","Direction=H","UseDPDF=Y")</f>
        <v>119.24809999999999</v>
      </c>
      <c r="AD17" s="21" t="str">
        <f>_xll.BDH("ADSK US Equity","TOT_DEBT_TO_TOT_CAP","FQ1 2019","FQ1 2019","Currency=USD","Period=FQ","BEST_FPERIOD_OVERRIDE=FQ","FILING_STATUS=MR","Sort=A","Dates=H","DateFormat=P","Fill=—","Direction=H","UseDPDF=Y")</f>
        <v>#N/A Requesting Data...</v>
      </c>
      <c r="AE17" s="21" t="str">
        <f>_xll.BDH("ADSK US Equity","TOT_DEBT_TO_TOT_CAP","FQ2 2019","FQ2 2019","Currency=USD","Period=FQ","BEST_FPERIOD_OVERRIDE=FQ","FILING_STATUS=MR","Sort=A","Dates=H","DateFormat=P","Fill=—","Direction=H","UseDPDF=Y")</f>
        <v>#N/A Requesting Data...</v>
      </c>
      <c r="AF17" s="21">
        <f>_xll.BDH("ADSK US Equity","TOT_DEBT_TO_TOT_CAP","FQ3 2019","FQ3 2019","Currency=USD","Period=FQ","BEST_FPERIOD_OVERRIDE=FQ","FILING_STATUS=MR","Sort=A","Dates=H","DateFormat=P","Fill=—","Direction=H","UseDPDF=Y")</f>
        <v>127.0748</v>
      </c>
      <c r="AG17" s="21">
        <f>_xll.BDH("ADSK US Equity","TOT_DEBT_TO_TOT_CAP","FQ4 2019","FQ4 2019","Currency=USD","Period=FQ","BEST_FPERIOD_OVERRIDE=FQ","FILING_STATUS=MR","Sort=A","Dates=H","DateFormat=P","Fill=—","Direction=H","UseDPDF=Y")</f>
        <v>111.2372</v>
      </c>
      <c r="AH17" s="21">
        <f>_xll.BDH("ADSK US Equity","TOT_DEBT_TO_TOT_CAP","FQ1 2020","FQ1 2020","Currency=USD","Period=FQ","BEST_FPERIOD_OVERRIDE=FQ","FILING_STATUS=MR","Sort=A","Dates=H","DateFormat=P","Fill=—","Direction=H","UseDPDF=Y")</f>
        <v>112.008</v>
      </c>
      <c r="AI17" s="21" t="str">
        <f>_xll.BDH("ADSK US Equity","TOT_DEBT_TO_TOT_CAP","FQ2 2020","FQ2 2020","Currency=USD","Period=FQ","BEST_FPERIOD_OVERRIDE=FQ","FILING_STATUS=MR","Sort=A","Dates=H","DateFormat=P","Fill=—","Direction=H","UseDPDF=Y")</f>
        <v>#N/A Requesting Data...</v>
      </c>
      <c r="AJ17" s="21" t="str">
        <f>_xll.BDH("ADSK US Equity","TOT_DEBT_TO_TOT_CAP","FQ3 2020","FQ3 2020","Currency=USD","Period=FQ","BEST_FPERIOD_OVERRIDE=FQ","FILING_STATUS=MR","Sort=A","Dates=H","DateFormat=P","Fill=—","Direction=H","UseDPDF=Y")</f>
        <v>#N/A Requesting Data...</v>
      </c>
      <c r="AK17" s="21">
        <f>_xll.BDH("ADSK US Equity","TOT_DEBT_TO_TOT_CAP","FQ4 2020","FQ4 2020","Currency=USD","Period=FQ","BEST_FPERIOD_OVERRIDE=FQ","FILING_STATUS=MR","Sort=A","Dates=H","DateFormat=P","Fill=—","Direction=H","UseDPDF=Y")</f>
        <v>105.7826</v>
      </c>
      <c r="AL17" s="21">
        <f>_xll.BDH("ADSK US Equity","TOT_DEBT_TO_TOT_CAP","FQ1 2021","FQ1 2021","Currency=USD","Period=FQ","BEST_FPERIOD_OVERRIDE=FQ","FILING_STATUS=MR","Sort=A","Dates=H","DateFormat=P","Fill=—","Direction=H","UseDPDF=Y")</f>
        <v>107.15349999999999</v>
      </c>
      <c r="AM17" s="21" t="str">
        <f>_xll.BDH("ADSK US Equity","TOT_DEBT_TO_TOT_CAP","FQ2 2021","FQ2 2021","Currency=USD","Period=FQ","BEST_FPERIOD_OVERRIDE=FQ","FILING_STATUS=MR","Sort=A","Dates=H","DateFormat=P","Fill=—","Direction=H","UseDPDF=Y")</f>
        <v>#N/A Requesting Data...</v>
      </c>
      <c r="AN17" s="21" t="str">
        <f>_xll.BDH("ADSK US Equity","TOT_DEBT_TO_TOT_CAP","FQ3 2021","FQ3 2021","Currency=USD","Period=FQ","BEST_FPERIOD_OVERRIDE=FQ","FILING_STATUS=MR","Sort=A","Dates=H","DateFormat=P","Fill=—","Direction=H","UseDPDF=Y")</f>
        <v>#N/A Requesting Data...</v>
      </c>
      <c r="AO17" s="21">
        <f>_xll.BDH("ADSK US Equity","TOT_DEBT_TO_TOT_CAP","FQ4 2021","FQ4 2021","Currency=USD","Period=FQ","BEST_FPERIOD_OVERRIDE=FQ","FILING_STATUS=MR","Sort=A","Dates=H","DateFormat=P","Fill=—","Direction=H","UseDPDF=Y")</f>
        <v>68.551500000000004</v>
      </c>
      <c r="AP17" s="21">
        <f>_xll.BDH("ADSK US Equity","TOT_DEBT_TO_TOT_CAP","FQ1 2022","FQ1 2022","Currency=USD","Period=FQ","BEST_FPERIOD_OVERRIDE=FQ","FILING_STATUS=MR","Sort=A","Dates=H","DateFormat=P","Fill=—","Direction=H","UseDPDF=Y")</f>
        <v>64.952200000000005</v>
      </c>
    </row>
    <row r="18" spans="1:42" x14ac:dyDescent="0.25">
      <c r="A18" s="8" t="s">
        <v>172</v>
      </c>
      <c r="B18" s="8" t="s">
        <v>171</v>
      </c>
      <c r="C18" s="21">
        <f>_xll.BDH("ADSK US Equity","TOT_DEBT_TO_TOT_ASSET","FQ2 2012","FQ2 2012","Currency=USD","Period=FQ","BEST_FPERIOD_OVERRIDE=FQ","FILING_STATUS=MR","Sort=A","Dates=H","DateFormat=P","Fill=—","Direction=H","UseDPDF=Y")</f>
        <v>0</v>
      </c>
      <c r="D18" s="21">
        <f>_xll.BDH("ADSK US Equity","TOT_DEBT_TO_TOT_ASSET","FQ3 2012","FQ3 2012","Currency=USD","Period=FQ","BEST_FPERIOD_OVERRIDE=FQ","FILING_STATUS=MR","Sort=A","Dates=H","DateFormat=P","Fill=—","Direction=H","UseDPDF=Y")</f>
        <v>0</v>
      </c>
      <c r="E18" s="21">
        <f>_xll.BDH("ADSK US Equity","TOT_DEBT_TO_TOT_ASSET","FQ4 2012","FQ4 2012","Currency=USD","Period=FQ","BEST_FPERIOD_OVERRIDE=FQ","FILING_STATUS=MR","Sort=A","Dates=H","DateFormat=P","Fill=—","Direction=H","UseDPDF=Y")</f>
        <v>0</v>
      </c>
      <c r="F18" s="21">
        <f>_xll.BDH("ADSK US Equity","TOT_DEBT_TO_TOT_ASSET","FQ1 2013","FQ1 2013","Currency=USD","Period=FQ","BEST_FPERIOD_OVERRIDE=FQ","FILING_STATUS=MR","Sort=A","Dates=H","DateFormat=P","Fill=—","Direction=H","UseDPDF=Y")</f>
        <v>0</v>
      </c>
      <c r="G18" s="21" t="str">
        <f>_xll.BDH("ADSK US Equity","TOT_DEBT_TO_TOT_ASSET","FQ2 2013","FQ2 2013","Currency=USD","Period=FQ","BEST_FPERIOD_OVERRIDE=FQ","FILING_STATUS=MR","Sort=A","Dates=H","DateFormat=P","Fill=—","Direction=H","UseDPDF=Y")</f>
        <v>#N/A Requesting Data...</v>
      </c>
      <c r="H18" s="21" t="str">
        <f>_xll.BDH("ADSK US Equity","TOT_DEBT_TO_TOT_ASSET","FQ3 2013","FQ3 2013","Currency=USD","Period=FQ","BEST_FPERIOD_OVERRIDE=FQ","FILING_STATUS=MR","Sort=A","Dates=H","DateFormat=P","Fill=—","Direction=H","UseDPDF=Y")</f>
        <v>#N/A Requesting Data...</v>
      </c>
      <c r="I18" s="21" t="str">
        <f>_xll.BDH("ADSK US Equity","TOT_DEBT_TO_TOT_ASSET","FQ4 2013","FQ4 2013","Currency=USD","Period=FQ","BEST_FPERIOD_OVERRIDE=FQ","FILING_STATUS=MR","Sort=A","Dates=H","DateFormat=P","Fill=—","Direction=H","UseDPDF=Y")</f>
        <v>#N/A Requesting Data...</v>
      </c>
      <c r="J18" s="21" t="str">
        <f>_xll.BDH("ADSK US Equity","TOT_DEBT_TO_TOT_ASSET","FQ1 2014","FQ1 2014","Currency=USD","Period=FQ","BEST_FPERIOD_OVERRIDE=FQ","FILING_STATUS=MR","Sort=A","Dates=H","DateFormat=P","Fill=—","Direction=H","UseDPDF=Y")</f>
        <v>#N/A Requesting Data...</v>
      </c>
      <c r="K18" s="21">
        <f>_xll.BDH("ADSK US Equity","TOT_DEBT_TO_TOT_ASSET","FQ2 2014","FQ2 2014","Currency=USD","Period=FQ","BEST_FPERIOD_OVERRIDE=FQ","FILING_STATUS=MR","Sort=A","Dates=H","DateFormat=P","Fill=—","Direction=H","UseDPDF=Y")</f>
        <v>17.663900000000002</v>
      </c>
      <c r="L18" s="21">
        <f>_xll.BDH("ADSK US Equity","TOT_DEBT_TO_TOT_ASSET","FQ3 2014","FQ3 2014","Currency=USD","Period=FQ","BEST_FPERIOD_OVERRIDE=FQ","FILING_STATUS=MR","Sort=A","Dates=H","DateFormat=P","Fill=—","Direction=H","UseDPDF=Y")</f>
        <v>17.267199999999999</v>
      </c>
      <c r="M18" s="21" t="str">
        <f>_xll.BDH("ADSK US Equity","TOT_DEBT_TO_TOT_ASSET","FQ4 2014","FQ4 2014","Currency=USD","Period=FQ","BEST_FPERIOD_OVERRIDE=FQ","FILING_STATUS=MR","Sort=A","Dates=H","DateFormat=P","Fill=—","Direction=H","UseDPDF=Y")</f>
        <v>#N/A Requesting Data...</v>
      </c>
      <c r="N18" s="21" t="str">
        <f>_xll.BDH("ADSK US Equity","TOT_DEBT_TO_TOT_ASSET","FQ1 2015","FQ1 2015","Currency=USD","Period=FQ","BEST_FPERIOD_OVERRIDE=FQ","FILING_STATUS=MR","Sort=A","Dates=H","DateFormat=P","Fill=—","Direction=H","UseDPDF=Y")</f>
        <v>#N/A Requesting Data...</v>
      </c>
      <c r="O18" s="21" t="str">
        <f>_xll.BDH("ADSK US Equity","TOT_DEBT_TO_TOT_ASSET","FQ2 2015","FQ2 2015","Currency=USD","Period=FQ","BEST_FPERIOD_OVERRIDE=FQ","FILING_STATUS=MR","Sort=A","Dates=H","DateFormat=P","Fill=—","Direction=H","UseDPDF=Y")</f>
        <v>#N/A Requesting Data...</v>
      </c>
      <c r="P18" s="21">
        <f>_xll.BDH("ADSK US Equity","TOT_DEBT_TO_TOT_ASSET","FQ3 2015","FQ3 2015","Currency=USD","Period=FQ","BEST_FPERIOD_OVERRIDE=FQ","FILING_STATUS=MR","Sort=A","Dates=H","DateFormat=P","Fill=—","Direction=H","UseDPDF=Y")</f>
        <v>15.770099999999999</v>
      </c>
      <c r="Q18" s="21">
        <f>_xll.BDH("ADSK US Equity","TOT_DEBT_TO_TOT_ASSET","FQ4 2015","FQ4 2015","Currency=USD","Period=FQ","BEST_FPERIOD_OVERRIDE=FQ","FILING_STATUS=MR","Sort=A","Dates=H","DateFormat=P","Fill=—","Direction=H","UseDPDF=Y")</f>
        <v>15.135300000000001</v>
      </c>
      <c r="R18" s="21" t="str">
        <f>_xll.BDH("ADSK US Equity","TOT_DEBT_TO_TOT_ASSET","FQ1 2016","FQ1 2016","Currency=USD","Period=FQ","BEST_FPERIOD_OVERRIDE=FQ","FILING_STATUS=MR","Sort=A","Dates=H","DateFormat=P","Fill=—","Direction=H","UseDPDF=Y")</f>
        <v>#N/A Requesting Data...</v>
      </c>
      <c r="S18" s="21" t="str">
        <f>_xll.BDH("ADSK US Equity","TOT_DEBT_TO_TOT_ASSET","FQ2 2016","FQ2 2016","Currency=USD","Period=FQ","BEST_FPERIOD_OVERRIDE=FQ","FILING_STATUS=MR","Sort=A","Dates=H","DateFormat=P","Fill=—","Direction=H","UseDPDF=Y")</f>
        <v>#N/A Requesting Data...</v>
      </c>
      <c r="T18" s="21" t="str">
        <f>_xll.BDH("ADSK US Equity","TOT_DEBT_TO_TOT_ASSET","FQ3 2016","FQ3 2016","Currency=USD","Period=FQ","BEST_FPERIOD_OVERRIDE=FQ","FILING_STATUS=MR","Sort=A","Dates=H","DateFormat=P","Fill=—","Direction=H","UseDPDF=Y")</f>
        <v>#N/A Requesting Data...</v>
      </c>
      <c r="U18" s="21">
        <f>_xll.BDH("ADSK US Equity","TOT_DEBT_TO_TOT_ASSET","FQ4 2016","FQ4 2016","Currency=USD","Period=FQ","BEST_FPERIOD_OVERRIDE=FQ","FILING_STATUS=MR","Sort=A","Dates=H","DateFormat=P","Fill=—","Direction=H","UseDPDF=Y")</f>
        <v>26.9741</v>
      </c>
      <c r="V18" s="21">
        <f>_xll.BDH("ADSK US Equity","TOT_DEBT_TO_TOT_ASSET","FQ1 2017","FQ1 2017","Currency=USD","Period=FQ","BEST_FPERIOD_OVERRIDE=FQ","FILING_STATUS=MR","Sort=A","Dates=H","DateFormat=P","Fill=—","Direction=H","UseDPDF=Y")</f>
        <v>28.592300000000002</v>
      </c>
      <c r="W18" s="21">
        <f>_xll.BDH("ADSK US Equity","TOT_DEBT_TO_TOT_ASSET","FQ2 2017","FQ2 2017","Currency=USD","Period=FQ","BEST_FPERIOD_OVERRIDE=FQ","FILING_STATUS=MR","Sort=A","Dates=H","DateFormat=P","Fill=—","Direction=H","UseDPDF=Y")</f>
        <v>29.504300000000001</v>
      </c>
      <c r="X18" s="21" t="str">
        <f>_xll.BDH("ADSK US Equity","TOT_DEBT_TO_TOT_ASSET","FQ3 2017","FQ3 2017","Currency=USD","Period=FQ","BEST_FPERIOD_OVERRIDE=FQ","FILING_STATUS=MR","Sort=A","Dates=H","DateFormat=P","Fill=—","Direction=H","UseDPDF=Y")</f>
        <v>#N/A Requesting Data...</v>
      </c>
      <c r="Y18" s="21" t="str">
        <f>_xll.BDH("ADSK US Equity","TOT_DEBT_TO_TOT_ASSET","FQ4 2017","FQ4 2017","Currency=USD","Period=FQ","BEST_FPERIOD_OVERRIDE=FQ","FILING_STATUS=MR","Sort=A","Dates=H","DateFormat=P","Fill=—","Direction=H","UseDPDF=Y")</f>
        <v>#N/A Requesting Data...</v>
      </c>
      <c r="Z18" s="21" t="str">
        <f>_xll.BDH("ADSK US Equity","TOT_DEBT_TO_TOT_ASSET","FQ1 2018","FQ1 2018","Currency=USD","Period=FQ","BEST_FPERIOD_OVERRIDE=FQ","FILING_STATUS=MR","Sort=A","Dates=H","DateFormat=P","Fill=—","Direction=H","UseDPDF=Y")</f>
        <v>#N/A Requesting Data...</v>
      </c>
      <c r="AA18" s="21" t="str">
        <f>_xll.BDH("ADSK US Equity","TOT_DEBT_TO_TOT_ASSET","FQ2 2018","FQ2 2018","Currency=USD","Period=FQ","BEST_FPERIOD_OVERRIDE=FQ","FILING_STATUS=MR","Sort=A","Dates=H","DateFormat=P","Fill=—","Direction=H","UseDPDF=Y")</f>
        <v>#N/A Requesting Data...</v>
      </c>
      <c r="AB18" s="21">
        <f>_xll.BDH("ADSK US Equity","TOT_DEBT_TO_TOT_ASSET","FQ3 2018","FQ3 2018","Currency=USD","Period=FQ","BEST_FPERIOD_OVERRIDE=FQ","FILING_STATUS=MR","Sort=A","Dates=H","DateFormat=P","Fill=—","Direction=H","UseDPDF=Y")</f>
        <v>38.183999999999997</v>
      </c>
      <c r="AC18" s="21">
        <f>_xll.BDH("ADSK US Equity","TOT_DEBT_TO_TOT_ASSET","FQ4 2018","FQ4 2018","Currency=USD","Period=FQ","BEST_FPERIOD_OVERRIDE=FQ","FILING_STATUS=MR","Sort=A","Dates=H","DateFormat=P","Fill=—","Direction=H","UseDPDF=Y")</f>
        <v>38.555</v>
      </c>
      <c r="AD18" s="21" t="str">
        <f>_xll.BDH("ADSK US Equity","TOT_DEBT_TO_TOT_ASSET","FQ1 2019","FQ1 2019","Currency=USD","Period=FQ","BEST_FPERIOD_OVERRIDE=FQ","FILING_STATUS=MR","Sort=A","Dates=H","DateFormat=P","Fill=—","Direction=H","UseDPDF=Y")</f>
        <v>#N/A Requesting Data...</v>
      </c>
      <c r="AE18" s="21">
        <f>_xll.BDH("ADSK US Equity","TOT_DEBT_TO_TOT_ASSET","FQ2 2019","FQ2 2019","Currency=USD","Period=FQ","BEST_FPERIOD_OVERRIDE=FQ","FILING_STATUS=MR","Sort=A","Dates=H","DateFormat=P","Fill=—","Direction=H","UseDPDF=Y")</f>
        <v>41.408799999999999</v>
      </c>
      <c r="AF18" s="21" t="str">
        <f>_xll.BDH("ADSK US Equity","TOT_DEBT_TO_TOT_ASSET","FQ3 2019","FQ3 2019","Currency=USD","Period=FQ","BEST_FPERIOD_OVERRIDE=FQ","FILING_STATUS=MR","Sort=A","Dates=H","DateFormat=P","Fill=—","Direction=H","UseDPDF=Y")</f>
        <v>#N/A Requesting Data...</v>
      </c>
      <c r="AG18" s="21">
        <f>_xll.BDH("ADSK US Equity","TOT_DEBT_TO_TOT_ASSET","FQ4 2019","FQ4 2019","Currency=USD","Period=FQ","BEST_FPERIOD_OVERRIDE=FQ","FILING_STATUS=MR","Sort=A","Dates=H","DateFormat=P","Fill=—","Direction=H","UseDPDF=Y")</f>
        <v>44.1449</v>
      </c>
      <c r="AH18" s="21">
        <f>_xll.BDH("ADSK US Equity","TOT_DEBT_TO_TOT_ASSET","FQ1 2020","FQ1 2020","Currency=USD","Period=FQ","BEST_FPERIOD_OVERRIDE=FQ","FILING_STATUS=MR","Sort=A","Dates=H","DateFormat=P","Fill=—","Direction=H","UseDPDF=Y")</f>
        <v>47.584499999999998</v>
      </c>
      <c r="AI18" s="21" t="str">
        <f>_xll.BDH("ADSK US Equity","TOT_DEBT_TO_TOT_ASSET","FQ2 2020","FQ2 2020","Currency=USD","Period=FQ","BEST_FPERIOD_OVERRIDE=FQ","FILING_STATUS=MR","Sort=A","Dates=H","DateFormat=P","Fill=—","Direction=H","UseDPDF=Y")</f>
        <v>#N/A Requesting Data...</v>
      </c>
      <c r="AJ18" s="21" t="str">
        <f>_xll.BDH("ADSK US Equity","TOT_DEBT_TO_TOT_ASSET","FQ3 2020","FQ3 2020","Currency=USD","Period=FQ","BEST_FPERIOD_OVERRIDE=FQ","FILING_STATUS=MR","Sort=A","Dates=H","DateFormat=P","Fill=—","Direction=H","UseDPDF=Y")</f>
        <v>#N/A Requesting Data...</v>
      </c>
      <c r="AK18" s="21" t="str">
        <f>_xll.BDH("ADSK US Equity","TOT_DEBT_TO_TOT_ASSET","FQ4 2020","FQ4 2020","Currency=USD","Period=FQ","BEST_FPERIOD_OVERRIDE=FQ","FILING_STATUS=MR","Sort=A","Dates=H","DateFormat=P","Fill=—","Direction=H","UseDPDF=Y")</f>
        <v>#N/A Requesting Data...</v>
      </c>
      <c r="AL18" s="21" t="str">
        <f>_xll.BDH("ADSK US Equity","TOT_DEBT_TO_TOT_ASSET","FQ1 2021","FQ1 2021","Currency=USD","Period=FQ","BEST_FPERIOD_OVERRIDE=FQ","FILING_STATUS=MR","Sort=A","Dates=H","DateFormat=P","Fill=—","Direction=H","UseDPDF=Y")</f>
        <v>#N/A Requesting Data...</v>
      </c>
      <c r="AM18" s="21" t="str">
        <f>_xll.BDH("ADSK US Equity","TOT_DEBT_TO_TOT_ASSET","FQ2 2021","FQ2 2021","Currency=USD","Period=FQ","BEST_FPERIOD_OVERRIDE=FQ","FILING_STATUS=MR","Sort=A","Dates=H","DateFormat=P","Fill=—","Direction=H","UseDPDF=Y")</f>
        <v>#N/A Requesting Data...</v>
      </c>
      <c r="AN18" s="21">
        <f>_xll.BDH("ADSK US Equity","TOT_DEBT_TO_TOT_ASSET","FQ3 2021","FQ3 2021","Currency=USD","Period=FQ","BEST_FPERIOD_OVERRIDE=FQ","FILING_STATUS=MR","Sort=A","Dates=H","DateFormat=P","Fill=—","Direction=H","UseDPDF=Y")</f>
        <v>35.308300000000003</v>
      </c>
      <c r="AO18" s="21">
        <f>_xll.BDH("ADSK US Equity","TOT_DEBT_TO_TOT_ASSET","FQ4 2021","FQ4 2021","Currency=USD","Period=FQ","BEST_FPERIOD_OVERRIDE=FQ","FILING_STATUS=MR","Sort=A","Dates=H","DateFormat=P","Fill=—","Direction=H","UseDPDF=Y")</f>
        <v>28.9101</v>
      </c>
      <c r="AP18" s="21">
        <f>_xll.BDH("ADSK US Equity","TOT_DEBT_TO_TOT_ASSET","FQ1 2022","FQ1 2022","Currency=USD","Period=FQ","BEST_FPERIOD_OVERRIDE=FQ","FILING_STATUS=MR","Sort=A","Dates=H","DateFormat=P","Fill=—","Direction=H","UseDPDF=Y")</f>
        <v>28.653199999999998</v>
      </c>
    </row>
    <row r="19" spans="1:42" x14ac:dyDescent="0.25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8" t="s">
        <v>170</v>
      </c>
      <c r="B20" s="8" t="s">
        <v>169</v>
      </c>
      <c r="C20" s="21">
        <f>_xll.BDH("ADSK US Equity","CASH_FLOW_TO_TOT_LIAB","FQ2 2012","FQ2 2012","Currency=USD","Period=FQ","BEST_FPERIOD_OVERRIDE=FQ","FILING_STATUS=MR","Sort=A","Dates=H","DateFormat=P","Fill=—","Direction=H","UseDPDF=Y")</f>
        <v>46.496699999999997</v>
      </c>
      <c r="D20" s="21" t="str">
        <f>_xll.BDH("ADSK US Equity","CASH_FLOW_TO_TOT_LIAB","FQ3 2012","FQ3 2012","Currency=USD","Period=FQ","BEST_FPERIOD_OVERRIDE=FQ","FILING_STATUS=MR","Sort=A","Dates=H","DateFormat=P","Fill=—","Direction=H","UseDPDF=Y")</f>
        <v>#N/A Requesting Data...</v>
      </c>
      <c r="E20" s="21" t="str">
        <f>_xll.BDH("ADSK US Equity","CASH_FLOW_TO_TOT_LIAB","FQ4 2012","FQ4 2012","Currency=USD","Period=FQ","BEST_FPERIOD_OVERRIDE=FQ","FILING_STATUS=MR","Sort=A","Dates=H","DateFormat=P","Fill=—","Direction=H","UseDPDF=Y")</f>
        <v>#N/A Requesting Data...</v>
      </c>
      <c r="F20" s="21" t="str">
        <f>_xll.BDH("ADSK US Equity","CASH_FLOW_TO_TOT_LIAB","FQ1 2013","FQ1 2013","Currency=USD","Period=FQ","BEST_FPERIOD_OVERRIDE=FQ","FILING_STATUS=MR","Sort=A","Dates=H","DateFormat=P","Fill=—","Direction=H","UseDPDF=Y")</f>
        <v>#N/A Requesting Data...</v>
      </c>
      <c r="G20" s="21">
        <f>_xll.BDH("ADSK US Equity","CASH_FLOW_TO_TOT_LIAB","FQ2 2013","FQ2 2013","Currency=USD","Period=FQ","BEST_FPERIOD_OVERRIDE=FQ","FILING_STATUS=MR","Sort=A","Dates=H","DateFormat=P","Fill=—","Direction=H","UseDPDF=Y")</f>
        <v>42.2241</v>
      </c>
      <c r="H20" s="21">
        <f>_xll.BDH("ADSK US Equity","CASH_FLOW_TO_TOT_LIAB","FQ3 2013","FQ3 2013","Currency=USD","Period=FQ","BEST_FPERIOD_OVERRIDE=FQ","FILING_STATUS=MR","Sort=A","Dates=H","DateFormat=P","Fill=—","Direction=H","UseDPDF=Y")</f>
        <v>41.0047</v>
      </c>
      <c r="I20" s="21" t="str">
        <f>_xll.BDH("ADSK US Equity","CASH_FLOW_TO_TOT_LIAB","FQ4 2013","FQ4 2013","Currency=USD","Period=FQ","BEST_FPERIOD_OVERRIDE=FQ","FILING_STATUS=MR","Sort=A","Dates=H","DateFormat=P","Fill=—","Direction=H","UseDPDF=Y")</f>
        <v>#N/A Requesting Data...</v>
      </c>
      <c r="J20" s="21">
        <f>_xll.BDH("ADSK US Equity","CASH_FLOW_TO_TOT_LIAB","FQ1 2014","FQ1 2014","Currency=USD","Period=FQ","BEST_FPERIOD_OVERRIDE=FQ","FILING_STATUS=MR","Sort=A","Dates=H","DateFormat=P","Fill=—","Direction=H","UseDPDF=Y")</f>
        <v>29.199200000000001</v>
      </c>
      <c r="K20" s="21" t="str">
        <f>_xll.BDH("ADSK US Equity","CASH_FLOW_TO_TOT_LIAB","FQ2 2014","FQ2 2014","Currency=USD","Period=FQ","BEST_FPERIOD_OVERRIDE=FQ","FILING_STATUS=MR","Sort=A","Dates=H","DateFormat=P","Fill=—","Direction=H","UseDPDF=Y")</f>
        <v>#N/A Requesting Data...</v>
      </c>
      <c r="L20" s="21">
        <f>_xll.BDH("ADSK US Equity","CASH_FLOW_TO_TOT_LIAB","FQ3 2014","FQ3 2014","Currency=USD","Period=FQ","BEST_FPERIOD_OVERRIDE=FQ","FILING_STATUS=MR","Sort=A","Dates=H","DateFormat=P","Fill=—","Direction=H","UseDPDF=Y")</f>
        <v>24.800899999999999</v>
      </c>
      <c r="M20" s="21">
        <f>_xll.BDH("ADSK US Equity","CASH_FLOW_TO_TOT_LIAB","FQ4 2014","FQ4 2014","Currency=USD","Period=FQ","BEST_FPERIOD_OVERRIDE=FQ","FILING_STATUS=MR","Sort=A","Dates=H","DateFormat=P","Fill=—","Direction=H","UseDPDF=Y")</f>
        <v>24.148299999999999</v>
      </c>
      <c r="N20" s="21">
        <f>_xll.BDH("ADSK US Equity","CASH_FLOW_TO_TOT_LIAB","FQ1 2015","FQ1 2015","Currency=USD","Period=FQ","BEST_FPERIOD_OVERRIDE=FQ","FILING_STATUS=MR","Sort=A","Dates=H","DateFormat=P","Fill=—","Direction=H","UseDPDF=Y")</f>
        <v>23.6493</v>
      </c>
      <c r="O20" s="21" t="str">
        <f>_xll.BDH("ADSK US Equity","CASH_FLOW_TO_TOT_LIAB","FQ2 2015","FQ2 2015","Currency=USD","Period=FQ","BEST_FPERIOD_OVERRIDE=FQ","FILING_STATUS=MR","Sort=A","Dates=H","DateFormat=P","Fill=—","Direction=H","UseDPDF=Y")</f>
        <v>#N/A Requesting Data...</v>
      </c>
      <c r="P20" s="21">
        <f>_xll.BDH("ADSK US Equity","CASH_FLOW_TO_TOT_LIAB","FQ3 2015","FQ3 2015","Currency=USD","Period=FQ","BEST_FPERIOD_OVERRIDE=FQ","FILING_STATUS=MR","Sort=A","Dates=H","DateFormat=P","Fill=—","Direction=H","UseDPDF=Y")</f>
        <v>25.701899999999998</v>
      </c>
      <c r="Q20" s="21" t="str">
        <f>_xll.BDH("ADSK US Equity","CASH_FLOW_TO_TOT_LIAB","FQ4 2015","FQ4 2015","Currency=USD","Period=FQ","BEST_FPERIOD_OVERRIDE=FQ","FILING_STATUS=MR","Sort=A","Dates=H","DateFormat=P","Fill=—","Direction=H","UseDPDF=Y")</f>
        <v>#N/A Requesting Data...</v>
      </c>
      <c r="R20" s="21" t="str">
        <f>_xll.BDH("ADSK US Equity","CASH_FLOW_TO_TOT_LIAB","FQ1 2016","FQ1 2016","Currency=USD","Period=FQ","BEST_FPERIOD_OVERRIDE=FQ","FILING_STATUS=MR","Sort=A","Dates=H","DateFormat=P","Fill=—","Direction=H","UseDPDF=Y")</f>
        <v>#N/A Requesting Data...</v>
      </c>
      <c r="S20" s="21" t="str">
        <f>_xll.BDH("ADSK US Equity","CASH_FLOW_TO_TOT_LIAB","FQ2 2016","FQ2 2016","Currency=USD","Period=FQ","BEST_FPERIOD_OVERRIDE=FQ","FILING_STATUS=MR","Sort=A","Dates=H","DateFormat=P","Fill=—","Direction=H","UseDPDF=Y")</f>
        <v>#N/A Requesting Data...</v>
      </c>
      <c r="T20" s="21" t="str">
        <f>_xll.BDH("ADSK US Equity","CASH_FLOW_TO_TOT_LIAB","FQ3 2016","FQ3 2016","Currency=USD","Period=FQ","BEST_FPERIOD_OVERRIDE=FQ","FILING_STATUS=MR","Sort=A","Dates=H","DateFormat=P","Fill=—","Direction=H","UseDPDF=Y")</f>
        <v>#N/A Requesting Data...</v>
      </c>
      <c r="U20" s="21" t="str">
        <f>_xll.BDH("ADSK US Equity","CASH_FLOW_TO_TOT_LIAB","FQ4 2016","FQ4 2016","Currency=USD","Period=FQ","BEST_FPERIOD_OVERRIDE=FQ","FILING_STATUS=MR","Sort=A","Dates=H","DateFormat=P","Fill=—","Direction=H","UseDPDF=Y")</f>
        <v>#N/A Requesting Data...</v>
      </c>
      <c r="V20" s="21">
        <f>_xll.BDH("ADSK US Equity","CASH_FLOW_TO_TOT_LIAB","FQ1 2017","FQ1 2017","Currency=USD","Period=FQ","BEST_FPERIOD_OVERRIDE=FQ","FILING_STATUS=MR","Sort=A","Dates=H","DateFormat=P","Fill=—","Direction=H","UseDPDF=Y")</f>
        <v>13.0488</v>
      </c>
      <c r="W20" s="21" t="str">
        <f>_xll.BDH("ADSK US Equity","CASH_FLOW_TO_TOT_LIAB","FQ2 2017","FQ2 2017","Currency=USD","Period=FQ","BEST_FPERIOD_OVERRIDE=FQ","FILING_STATUS=MR","Sort=A","Dates=H","DateFormat=P","Fill=—","Direction=H","UseDPDF=Y")</f>
        <v>#N/A Requesting Data...</v>
      </c>
      <c r="X20" s="21">
        <f>_xll.BDH("ADSK US Equity","CASH_FLOW_TO_TOT_LIAB","FQ3 2017","FQ3 2017","Currency=USD","Period=FQ","BEST_FPERIOD_OVERRIDE=FQ","FILING_STATUS=MR","Sort=A","Dates=H","DateFormat=P","Fill=—","Direction=H","UseDPDF=Y")</f>
        <v>8.5974000000000004</v>
      </c>
      <c r="Y20" s="21">
        <f>_xll.BDH("ADSK US Equity","CASH_FLOW_TO_TOT_LIAB","FQ4 2017","FQ4 2017","Currency=USD","Period=FQ","BEST_FPERIOD_OVERRIDE=FQ","FILING_STATUS=MR","Sort=A","Dates=H","DateFormat=P","Fill=—","Direction=H","UseDPDF=Y")</f>
        <v>4.1752000000000002</v>
      </c>
      <c r="Z20" s="21" t="str">
        <f>_xll.BDH("ADSK US Equity","CASH_FLOW_TO_TOT_LIAB","FQ1 2018","FQ1 2018","Currency=USD","Period=FQ","BEST_FPERIOD_OVERRIDE=FQ","FILING_STATUS=MR","Sort=A","Dates=H","DateFormat=P","Fill=—","Direction=H","UseDPDF=Y")</f>
        <v>#N/A Requesting Data...</v>
      </c>
      <c r="AA20" s="21" t="str">
        <f>_xll.BDH("ADSK US Equity","CASH_FLOW_TO_TOT_LIAB","FQ2 2018","FQ2 2018","Currency=USD","Period=FQ","BEST_FPERIOD_OVERRIDE=FQ","FILING_STATUS=MR","Sort=A","Dates=H","DateFormat=P","Fill=—","Direction=H","UseDPDF=Y")</f>
        <v>#N/A Requesting Data...</v>
      </c>
      <c r="AB20" s="21">
        <f>_xll.BDH("ADSK US Equity","CASH_FLOW_TO_TOT_LIAB","FQ3 2018","FQ3 2018","Currency=USD","Period=FQ","BEST_FPERIOD_OVERRIDE=FQ","FILING_STATUS=MR","Sort=A","Dates=H","DateFormat=P","Fill=—","Direction=H","UseDPDF=Y")</f>
        <v>-1.5526</v>
      </c>
      <c r="AC20" s="21">
        <f>_xll.BDH("ADSK US Equity","CASH_FLOW_TO_TOT_LIAB","FQ4 2018","FQ4 2018","Currency=USD","Period=FQ","BEST_FPERIOD_OVERRIDE=FQ","FILING_STATUS=MR","Sort=A","Dates=H","DateFormat=P","Fill=—","Direction=H","UseDPDF=Y")</f>
        <v>2.06E-2</v>
      </c>
      <c r="AD20" s="21" t="str">
        <f>_xll.BDH("ADSK US Equity","CASH_FLOW_TO_TOT_LIAB","FQ1 2019","FQ1 2019","Currency=USD","Period=FQ","BEST_FPERIOD_OVERRIDE=FQ","FILING_STATUS=MR","Sort=A","Dates=H","DateFormat=P","Fill=—","Direction=H","UseDPDF=Y")</f>
        <v>#N/A Requesting Data...</v>
      </c>
      <c r="AE20" s="21" t="str">
        <f>_xll.BDH("ADSK US Equity","CASH_FLOW_TO_TOT_LIAB","FQ2 2019","FQ2 2019","Currency=USD","Period=FQ","BEST_FPERIOD_OVERRIDE=FQ","FILING_STATUS=MR","Sort=A","Dates=H","DateFormat=P","Fill=—","Direction=H","UseDPDF=Y")</f>
        <v>#N/A Requesting Data...</v>
      </c>
      <c r="AF20" s="21">
        <f>_xll.BDH("ADSK US Equity","CASH_FLOW_TO_TOT_LIAB","FQ3 2019","FQ3 2019","Currency=USD","Period=FQ","BEST_FPERIOD_OVERRIDE=FQ","FILING_STATUS=MR","Sort=A","Dates=H","DateFormat=P","Fill=—","Direction=H","UseDPDF=Y")</f>
        <v>3.5232000000000001</v>
      </c>
      <c r="AG20" s="21" t="str">
        <f>_xll.BDH("ADSK US Equity","CASH_FLOW_TO_TOT_LIAB","FQ4 2019","FQ4 2019","Currency=USD","Period=FQ","BEST_FPERIOD_OVERRIDE=FQ","FILING_STATUS=MR","Sort=A","Dates=H","DateFormat=P","Fill=—","Direction=H","UseDPDF=Y")</f>
        <v>#N/A Requesting Data...</v>
      </c>
      <c r="AH20" s="21" t="str">
        <f>_xll.BDH("ADSK US Equity","CASH_FLOW_TO_TOT_LIAB","FQ1 2020","FQ1 2020","Currency=USD","Period=FQ","BEST_FPERIOD_OVERRIDE=FQ","FILING_STATUS=MR","Sort=A","Dates=H","DateFormat=P","Fill=—","Direction=H","UseDPDF=Y")</f>
        <v>#N/A Requesting Data...</v>
      </c>
      <c r="AI20" s="21" t="str">
        <f>_xll.BDH("ADSK US Equity","CASH_FLOW_TO_TOT_LIAB","FQ2 2020","FQ2 2020","Currency=USD","Period=FQ","BEST_FPERIOD_OVERRIDE=FQ","FILING_STATUS=MR","Sort=A","Dates=H","DateFormat=P","Fill=—","Direction=H","UseDPDF=Y")</f>
        <v>#N/A Requesting Data...</v>
      </c>
      <c r="AJ20" s="21">
        <f>_xll.BDH("ADSK US Equity","CASH_FLOW_TO_TOT_LIAB","FQ3 2020","FQ3 2020","Currency=USD","Period=FQ","BEST_FPERIOD_OVERRIDE=FQ","FILING_STATUS=MR","Sort=A","Dates=H","DateFormat=P","Fill=—","Direction=H","UseDPDF=Y")</f>
        <v>19.746200000000002</v>
      </c>
      <c r="AK20" s="21" t="str">
        <f>_xll.BDH("ADSK US Equity","CASH_FLOW_TO_TOT_LIAB","FQ4 2020","FQ4 2020","Currency=USD","Period=FQ","BEST_FPERIOD_OVERRIDE=FQ","FILING_STATUS=MR","Sort=A","Dates=H","DateFormat=P","Fill=—","Direction=H","UseDPDF=Y")</f>
        <v>#N/A Requesting Data...</v>
      </c>
      <c r="AL20" s="21">
        <f>_xll.BDH("ADSK US Equity","CASH_FLOW_TO_TOT_LIAB","FQ1 2021","FQ1 2021","Currency=USD","Period=FQ","BEST_FPERIOD_OVERRIDE=FQ","FILING_STATUS=MR","Sort=A","Dates=H","DateFormat=P","Fill=—","Direction=H","UseDPDF=Y")</f>
        <v>26.767600000000002</v>
      </c>
      <c r="AM20" s="21" t="str">
        <f>_xll.BDH("ADSK US Equity","CASH_FLOW_TO_TOT_LIAB","FQ2 2021","FQ2 2021","Currency=USD","Period=FQ","BEST_FPERIOD_OVERRIDE=FQ","FILING_STATUS=MR","Sort=A","Dates=H","DateFormat=P","Fill=—","Direction=H","UseDPDF=Y")</f>
        <v>#N/A Requesting Data...</v>
      </c>
      <c r="AN20" s="21" t="str">
        <f>_xll.BDH("ADSK US Equity","CASH_FLOW_TO_TOT_LIAB","FQ3 2021","FQ3 2021","Currency=USD","Period=FQ","BEST_FPERIOD_OVERRIDE=FQ","FILING_STATUS=MR","Sort=A","Dates=H","DateFormat=P","Fill=—","Direction=H","UseDPDF=Y")</f>
        <v>#N/A Requesting Data...</v>
      </c>
      <c r="AO20" s="21">
        <f>_xll.BDH("ADSK US Equity","CASH_FLOW_TO_TOT_LIAB","FQ4 2021","FQ4 2021","Currency=USD","Period=FQ","BEST_FPERIOD_OVERRIDE=FQ","FILING_STATUS=MR","Sort=A","Dates=H","DateFormat=P","Fill=—","Direction=H","UseDPDF=Y")</f>
        <v>22.760999999999999</v>
      </c>
      <c r="AP20" s="21">
        <f>_xll.BDH("ADSK US Equity","CASH_FLOW_TO_TOT_LIAB","FQ1 2022","FQ1 2022","Currency=USD","Period=FQ","BEST_FPERIOD_OVERRIDE=FQ","FILING_STATUS=MR","Sort=A","Dates=H","DateFormat=P","Fill=—","Direction=H","UseDPDF=Y")</f>
        <v>23.436399999999999</v>
      </c>
    </row>
    <row r="21" spans="1:42" x14ac:dyDescent="0.25">
      <c r="A21" s="8" t="s">
        <v>168</v>
      </c>
      <c r="B21" s="8" t="s">
        <v>167</v>
      </c>
      <c r="C21" s="21">
        <f>_xll.BDH("ADSK US Equity","CAP_EXPEND_RATIO","FQ2 2012","FQ2 2012","Currency=USD","Period=FQ","BEST_FPERIOD_OVERRIDE=FQ","FILING_STATUS=MR","Sort=A","Dates=H","DateFormat=P","Fill=—","Direction=H","UseDPDF=Y")</f>
        <v>7.9638999999999998</v>
      </c>
      <c r="D21" s="21">
        <f>_xll.BDH("ADSK US Equity","CAP_EXPEND_RATIO","FQ3 2012","FQ3 2012","Currency=USD","Period=FQ","BEST_FPERIOD_OVERRIDE=FQ","FILING_STATUS=MR","Sort=A","Dates=H","DateFormat=P","Fill=—","Direction=H","UseDPDF=Y")</f>
        <v>3.8464</v>
      </c>
      <c r="E21" s="21" t="str">
        <f>_xll.BDH("ADSK US Equity","CAP_EXPEND_RATIO","FQ4 2012","FQ4 2012","Currency=USD","Period=FQ","BEST_FPERIOD_OVERRIDE=FQ","FILING_STATUS=MR","Sort=A","Dates=H","DateFormat=P","Fill=—","Direction=H","UseDPDF=Y")</f>
        <v>—</v>
      </c>
      <c r="F21" s="21">
        <f>_xll.BDH("ADSK US Equity","CAP_EXPEND_RATIO","FQ1 2013","FQ1 2013","Currency=USD","Period=FQ","BEST_FPERIOD_OVERRIDE=FQ","FILING_STATUS=MR","Sort=A","Dates=H","DateFormat=P","Fill=—","Direction=H","UseDPDF=Y")</f>
        <v>12.113</v>
      </c>
      <c r="G21" s="21" t="str">
        <f>_xll.BDH("ADSK US Equity","CAP_EXPEND_RATIO","FQ2 2013","FQ2 2013","Currency=USD","Period=FQ","BEST_FPERIOD_OVERRIDE=FQ","FILING_STATUS=MR","Sort=A","Dates=H","DateFormat=P","Fill=—","Direction=H","UseDPDF=Y")</f>
        <v>#N/A Requesting Data...</v>
      </c>
      <c r="H21" s="21">
        <f>_xll.BDH("ADSK US Equity","CAP_EXPEND_RATIO","FQ3 2013","FQ3 2013","Currency=USD","Period=FQ","BEST_FPERIOD_OVERRIDE=FQ","FILING_STATUS=MR","Sort=A","Dates=H","DateFormat=P","Fill=—","Direction=H","UseDPDF=Y")</f>
        <v>9.5212000000000003</v>
      </c>
      <c r="I21" s="21">
        <f>_xll.BDH("ADSK US Equity","CAP_EXPEND_RATIO","FQ4 2013","FQ4 2013","Currency=USD","Period=FQ","BEST_FPERIOD_OVERRIDE=FQ","FILING_STATUS=MR","Sort=A","Dates=H","DateFormat=P","Fill=—","Direction=H","UseDPDF=Y")</f>
        <v>13.299099999999999</v>
      </c>
      <c r="J21" s="21" t="str">
        <f>_xll.BDH("ADSK US Equity","CAP_EXPEND_RATIO","FQ1 2014","FQ1 2014","Currency=USD","Period=FQ","BEST_FPERIOD_OVERRIDE=FQ","FILING_STATUS=MR","Sort=A","Dates=H","DateFormat=P","Fill=—","Direction=H","UseDPDF=Y")</f>
        <v>#N/A Requesting Data...</v>
      </c>
      <c r="K21" s="21">
        <f>_xll.BDH("ADSK US Equity","CAP_EXPEND_RATIO","FQ2 2014","FQ2 2014","Currency=USD","Period=FQ","BEST_FPERIOD_OVERRIDE=FQ","FILING_STATUS=MR","Sort=A","Dates=H","DateFormat=P","Fill=—","Direction=H","UseDPDF=Y")</f>
        <v>3.8868999999999998</v>
      </c>
      <c r="L21" s="21" t="str">
        <f>_xll.BDH("ADSK US Equity","CAP_EXPEND_RATIO","FQ3 2014","FQ3 2014","Currency=USD","Period=FQ","BEST_FPERIOD_OVERRIDE=FQ","FILING_STATUS=MR","Sort=A","Dates=H","DateFormat=P","Fill=—","Direction=H","UseDPDF=Y")</f>
        <v>#N/A Requesting Data...</v>
      </c>
      <c r="M21" s="21" t="str">
        <f>_xll.BDH("ADSK US Equity","CAP_EXPEND_RATIO","FQ4 2014","FQ4 2014","Currency=USD","Period=FQ","BEST_FPERIOD_OVERRIDE=FQ","FILING_STATUS=MR","Sort=A","Dates=H","DateFormat=P","Fill=—","Direction=H","UseDPDF=Y")</f>
        <v>#N/A Requesting Data...</v>
      </c>
      <c r="N21" s="21" t="str">
        <f>_xll.BDH("ADSK US Equity","CAP_EXPEND_RATIO","FQ1 2015","FQ1 2015","Currency=USD","Period=FQ","BEST_FPERIOD_OVERRIDE=FQ","FILING_STATUS=MR","Sort=A","Dates=H","DateFormat=P","Fill=—","Direction=H","UseDPDF=Y")</f>
        <v>#N/A Requesting Data...</v>
      </c>
      <c r="O21" s="21" t="str">
        <f>_xll.BDH("ADSK US Equity","CAP_EXPEND_RATIO","FQ2 2015","FQ2 2015","Currency=USD","Period=FQ","BEST_FPERIOD_OVERRIDE=FQ","FILING_STATUS=MR","Sort=A","Dates=H","DateFormat=P","Fill=—","Direction=H","UseDPDF=Y")</f>
        <v>#N/A Requesting Data...</v>
      </c>
      <c r="P21" s="21" t="str">
        <f>_xll.BDH("ADSK US Equity","CAP_EXPEND_RATIO","FQ3 2015","FQ3 2015","Currency=USD","Period=FQ","BEST_FPERIOD_OVERRIDE=FQ","FILING_STATUS=MR","Sort=A","Dates=H","DateFormat=P","Fill=—","Direction=H","UseDPDF=Y")</f>
        <v>#N/A Requesting Data...</v>
      </c>
      <c r="Q21" s="21">
        <f>_xll.BDH("ADSK US Equity","CAP_EXPEND_RATIO","FQ4 2015","FQ4 2015","Currency=USD","Period=FQ","BEST_FPERIOD_OVERRIDE=FQ","FILING_STATUS=MR","Sort=A","Dates=H","DateFormat=P","Fill=—","Direction=H","UseDPDF=Y")</f>
        <v>16.593499999999999</v>
      </c>
      <c r="R21" s="21" t="str">
        <f>_xll.BDH("ADSK US Equity","CAP_EXPEND_RATIO","FQ1 2016","FQ1 2016","Currency=USD","Period=FQ","BEST_FPERIOD_OVERRIDE=FQ","FILING_STATUS=MR","Sort=A","Dates=H","DateFormat=P","Fill=—","Direction=H","UseDPDF=Y")</f>
        <v>#N/A Requesting Data...</v>
      </c>
      <c r="S21" s="21">
        <f>_xll.BDH("ADSK US Equity","CAP_EXPEND_RATIO","FQ2 2016","FQ2 2016","Currency=USD","Period=FQ","BEST_FPERIOD_OVERRIDE=FQ","FILING_STATUS=MR","Sort=A","Dates=H","DateFormat=P","Fill=—","Direction=H","UseDPDF=Y")</f>
        <v>4.4623999999999997</v>
      </c>
      <c r="T21" s="21">
        <f>_xll.BDH("ADSK US Equity","CAP_EXPEND_RATIO","FQ3 2016","FQ3 2016","Currency=USD","Period=FQ","BEST_FPERIOD_OVERRIDE=FQ","FILING_STATUS=MR","Sort=A","Dates=H","DateFormat=P","Fill=—","Direction=H","UseDPDF=Y")</f>
        <v>6.7</v>
      </c>
      <c r="U21" s="21">
        <f>_xll.BDH("ADSK US Equity","CAP_EXPEND_RATIO","FQ4 2016","FQ4 2016","Currency=USD","Period=FQ","BEST_FPERIOD_OVERRIDE=FQ","FILING_STATUS=MR","Sort=A","Dates=H","DateFormat=P","Fill=—","Direction=H","UseDPDF=Y")</f>
        <v>5.5522999999999998</v>
      </c>
      <c r="V21" s="21">
        <f>_xll.BDH("ADSK US Equity","CAP_EXPEND_RATIO","FQ1 2017","FQ1 2017","Currency=USD","Period=FQ","BEST_FPERIOD_OVERRIDE=FQ","FILING_STATUS=MR","Sort=A","Dates=H","DateFormat=P","Fill=—","Direction=H","UseDPDF=Y")</f>
        <v>7.3722000000000003</v>
      </c>
      <c r="W21" s="21" t="str">
        <f>_xll.BDH("ADSK US Equity","CAP_EXPEND_RATIO","FQ2 2017","FQ2 2017","Currency=USD","Period=FQ","BEST_FPERIOD_OVERRIDE=FQ","FILING_STATUS=MR","Sort=A","Dates=H","DateFormat=P","Fill=—","Direction=H","UseDPDF=Y")</f>
        <v>#N/A Requesting Data...</v>
      </c>
      <c r="X21" s="21" t="str">
        <f>_xll.BDH("ADSK US Equity","CAP_EXPEND_RATIO","FQ3 2017","FQ3 2017","Currency=USD","Period=FQ","BEST_FPERIOD_OVERRIDE=FQ","FILING_STATUS=MR","Sort=A","Dates=H","DateFormat=P","Fill=—","Direction=H","UseDPDF=Y")</f>
        <v>#N/A Requesting Data...</v>
      </c>
      <c r="Y21" s="21">
        <f>_xll.BDH("ADSK US Equity","CAP_EXPEND_RATIO","FQ4 2017","FQ4 2017","Currency=USD","Period=FQ","BEST_FPERIOD_OVERRIDE=FQ","FILING_STATUS=MR","Sort=A","Dates=H","DateFormat=P","Fill=—","Direction=H","UseDPDF=Y")</f>
        <v>1.4312</v>
      </c>
      <c r="Z21" s="21">
        <f>_xll.BDH("ADSK US Equity","CAP_EXPEND_RATIO","FQ1 2018","FQ1 2018","Currency=USD","Period=FQ","BEST_FPERIOD_OVERRIDE=FQ","FILING_STATUS=MR","Sort=A","Dates=H","DateFormat=P","Fill=—","Direction=H","UseDPDF=Y")</f>
        <v>5.2557999999999998</v>
      </c>
      <c r="AA21" s="21" t="str">
        <f>_xll.BDH("ADSK US Equity","CAP_EXPEND_RATIO","FQ2 2018","FQ2 2018","Currency=USD","Period=FQ","BEST_FPERIOD_OVERRIDE=FQ","FILING_STATUS=MR","Sort=A","Dates=H","DateFormat=P","Fill=—","Direction=H","UseDPDF=Y")</f>
        <v>#N/A Requesting Data...</v>
      </c>
      <c r="AB21" s="21" t="str">
        <f>_xll.BDH("ADSK US Equity","CAP_EXPEND_RATIO","FQ3 2018","FQ3 2018","Currency=USD","Period=FQ","BEST_FPERIOD_OVERRIDE=FQ","FILING_STATUS=MR","Sort=A","Dates=H","DateFormat=P","Fill=—","Direction=H","UseDPDF=Y")</f>
        <v>#N/A Requesting Data...</v>
      </c>
      <c r="AC21" s="21" t="str">
        <f>_xll.BDH("ADSK US Equity","CAP_EXPEND_RATIO","FQ4 2018","FQ4 2018","Currency=USD","Period=FQ","BEST_FPERIOD_OVERRIDE=FQ","FILING_STATUS=MR","Sort=A","Dates=H","DateFormat=P","Fill=—","Direction=H","UseDPDF=Y")</f>
        <v>#N/A Requesting Data...</v>
      </c>
      <c r="AD21" s="21" t="str">
        <f>_xll.BDH("ADSK US Equity","CAP_EXPEND_RATIO","FQ1 2019","FQ1 2019","Currency=USD","Period=FQ","BEST_FPERIOD_OVERRIDE=FQ","FILING_STATUS=MR","Sort=A","Dates=H","DateFormat=P","Fill=—","Direction=H","UseDPDF=Y")</f>
        <v>#N/A Requesting Data...</v>
      </c>
      <c r="AE21" s="21">
        <f>_xll.BDH("ADSK US Equity","CAP_EXPEND_RATIO","FQ2 2019","FQ2 2019","Currency=USD","Period=FQ","BEST_FPERIOD_OVERRIDE=FQ","FILING_STATUS=MR","Sort=A","Dates=H","DateFormat=P","Fill=—","Direction=H","UseDPDF=Y")</f>
        <v>2.165</v>
      </c>
      <c r="AF21" s="21">
        <f>_xll.BDH("ADSK US Equity","CAP_EXPEND_RATIO","FQ3 2019","FQ3 2019","Currency=USD","Period=FQ","BEST_FPERIOD_OVERRIDE=FQ","FILING_STATUS=MR","Sort=A","Dates=H","DateFormat=P","Fill=—","Direction=H","UseDPDF=Y")</f>
        <v>3.0865999999999998</v>
      </c>
      <c r="AG21" s="21">
        <f>_xll.BDH("ADSK US Equity","CAP_EXPEND_RATIO","FQ4 2019","FQ4 2019","Currency=USD","Period=FQ","BEST_FPERIOD_OVERRIDE=FQ","FILING_STATUS=MR","Sort=A","Dates=H","DateFormat=P","Fill=—","Direction=H","UseDPDF=Y")</f>
        <v>17.698899999999998</v>
      </c>
      <c r="AH21" s="21">
        <f>_xll.BDH("ADSK US Equity","CAP_EXPEND_RATIO","FQ1 2020","FQ1 2020","Currency=USD","Period=FQ","BEST_FPERIOD_OVERRIDE=FQ","FILING_STATUS=MR","Sort=A","Dates=H","DateFormat=P","Fill=—","Direction=H","UseDPDF=Y")</f>
        <v>15.047599999999999</v>
      </c>
      <c r="AI21" s="21" t="str">
        <f>_xll.BDH("ADSK US Equity","CAP_EXPEND_RATIO","FQ2 2020","FQ2 2020","Currency=USD","Period=FQ","BEST_FPERIOD_OVERRIDE=FQ","FILING_STATUS=MR","Sort=A","Dates=H","DateFormat=P","Fill=—","Direction=H","UseDPDF=Y")</f>
        <v>#N/A Requesting Data...</v>
      </c>
      <c r="AJ21" s="21" t="str">
        <f>_xll.BDH("ADSK US Equity","CAP_EXPEND_RATIO","FQ3 2020","FQ3 2020","Currency=USD","Period=FQ","BEST_FPERIOD_OVERRIDE=FQ","FILING_STATUS=MR","Sort=A","Dates=H","DateFormat=P","Fill=—","Direction=H","UseDPDF=Y")</f>
        <v>#N/A Requesting Data...</v>
      </c>
      <c r="AK21" s="21" t="str">
        <f>_xll.BDH("ADSK US Equity","CAP_EXPEND_RATIO","FQ4 2020","FQ4 2020","Currency=USD","Period=FQ","BEST_FPERIOD_OVERRIDE=FQ","FILING_STATUS=MR","Sort=A","Dates=H","DateFormat=P","Fill=—","Direction=H","UseDPDF=Y")</f>
        <v>#N/A Requesting Data...</v>
      </c>
      <c r="AL21" s="21" t="str">
        <f>_xll.BDH("ADSK US Equity","CAP_EXPEND_RATIO","FQ1 2021","FQ1 2021","Currency=USD","Period=FQ","BEST_FPERIOD_OVERRIDE=FQ","FILING_STATUS=MR","Sort=A","Dates=H","DateFormat=P","Fill=—","Direction=H","UseDPDF=Y")</f>
        <v>#N/A Requesting Data...</v>
      </c>
      <c r="AM21" s="21" t="str">
        <f>_xll.BDH("ADSK US Equity","CAP_EXPEND_RATIO","FQ2 2021","FQ2 2021","Currency=USD","Period=FQ","BEST_FPERIOD_OVERRIDE=FQ","FILING_STATUS=MR","Sort=A","Dates=H","DateFormat=P","Fill=—","Direction=H","UseDPDF=Y")</f>
        <v>#N/A Requesting Data...</v>
      </c>
      <c r="AN21" s="21" t="str">
        <f>_xll.BDH("ADSK US Equity","CAP_EXPEND_RATIO","FQ3 2021","FQ3 2021","Currency=USD","Period=FQ","BEST_FPERIOD_OVERRIDE=FQ","FILING_STATUS=MR","Sort=A","Dates=H","DateFormat=P","Fill=—","Direction=H","UseDPDF=Y")</f>
        <v>#N/A Requesting Data...</v>
      </c>
      <c r="AO21" s="21" t="str">
        <f>_xll.BDH("ADSK US Equity","CAP_EXPEND_RATIO","FQ4 2021","FQ4 2021","Currency=USD","Period=FQ","BEST_FPERIOD_OVERRIDE=FQ","FILING_STATUS=MR","Sort=A","Dates=H","DateFormat=P","Fill=—","Direction=H","UseDPDF=Y")</f>
        <v>#N/A Requesting Data...</v>
      </c>
      <c r="AP21" s="21" t="str">
        <f>_xll.BDH("ADSK US Equity","CAP_EXPEND_RATIO","FQ1 2022","FQ1 2022","Currency=USD","Period=FQ","BEST_FPERIOD_OVERRIDE=FQ","FILING_STATUS=MR","Sort=A","Dates=H","DateFormat=P","Fill=—","Direction=H","UseDPDF=Y")</f>
        <v>#N/A Requesting Data...</v>
      </c>
    </row>
    <row r="22" spans="1:42" x14ac:dyDescent="0.25">
      <c r="A22" s="8" t="s">
        <v>166</v>
      </c>
      <c r="B22" s="8" t="s">
        <v>165</v>
      </c>
      <c r="C22" s="21" t="str">
        <f>_xll.BDH("ADSK US Equity","ALTMAN_Z_SCORE","FQ2 2012","FQ2 2012","Currency=USD","Period=FQ","BEST_FPERIOD_OVERRIDE=FQ","FILING_STATUS=MR","Sort=A","Dates=H","DateFormat=P","Fill=—","Direction=H","UseDPDF=Y")</f>
        <v>#N/A Requesting Data...</v>
      </c>
      <c r="D22" s="21">
        <f>_xll.BDH("ADSK US Equity","ALTMAN_Z_SCORE","FQ3 2012","FQ3 2012","Currency=USD","Period=FQ","BEST_FPERIOD_OVERRIDE=FQ","FILING_STATUS=MR","Sort=A","Dates=H","DateFormat=P","Fill=—","Direction=H","UseDPDF=Y")</f>
        <v>6.2325999999999997</v>
      </c>
      <c r="E22" s="21">
        <f>_xll.BDH("ADSK US Equity","ALTMAN_Z_SCORE","FQ4 2012","FQ4 2012","Currency=USD","Period=FQ","BEST_FPERIOD_OVERRIDE=FQ","FILING_STATUS=MR","Sort=A","Dates=H","DateFormat=P","Fill=—","Direction=H","UseDPDF=Y")</f>
        <v>5.7701000000000002</v>
      </c>
      <c r="F22" s="21">
        <f>_xll.BDH("ADSK US Equity","ALTMAN_Z_SCORE","FQ1 2013","FQ1 2013","Currency=USD","Period=FQ","BEST_FPERIOD_OVERRIDE=FQ","FILING_STATUS=MR","Sort=A","Dates=H","DateFormat=P","Fill=—","Direction=H","UseDPDF=Y")</f>
        <v>6.3742000000000001</v>
      </c>
      <c r="G22" s="21">
        <f>_xll.BDH("ADSK US Equity","ALTMAN_Z_SCORE","FQ2 2013","FQ2 2013","Currency=USD","Period=FQ","BEST_FPERIOD_OVERRIDE=FQ","FILING_STATUS=MR","Sort=A","Dates=H","DateFormat=P","Fill=—","Direction=H","UseDPDF=Y")</f>
        <v>5.6935000000000002</v>
      </c>
      <c r="H22" s="21">
        <f>_xll.BDH("ADSK US Equity","ALTMAN_Z_SCORE","FQ3 2013","FQ3 2013","Currency=USD","Period=FQ","BEST_FPERIOD_OVERRIDE=FQ","FILING_STATUS=MR","Sort=A","Dates=H","DateFormat=P","Fill=—","Direction=H","UseDPDF=Y")</f>
        <v>5.0648</v>
      </c>
      <c r="I22" s="21">
        <f>_xll.BDH("ADSK US Equity","ALTMAN_Z_SCORE","FQ4 2013","FQ4 2013","Currency=USD","Period=FQ","BEST_FPERIOD_OVERRIDE=FQ","FILING_STATUS=MR","Sort=A","Dates=H","DateFormat=P","Fill=—","Direction=H","UseDPDF=Y")</f>
        <v>4.0906000000000002</v>
      </c>
      <c r="J22" s="21" t="str">
        <f>_xll.BDH("ADSK US Equity","ALTMAN_Z_SCORE","FQ1 2014","FQ1 2014","Currency=USD","Period=FQ","BEST_FPERIOD_OVERRIDE=FQ","FILING_STATUS=MR","Sort=A","Dates=H","DateFormat=P","Fill=—","Direction=H","UseDPDF=Y")</f>
        <v>#N/A Requesting Data...</v>
      </c>
      <c r="K22" s="21">
        <f>_xll.BDH("ADSK US Equity","ALTMAN_Z_SCORE","FQ2 2014","FQ2 2014","Currency=USD","Period=FQ","BEST_FPERIOD_OVERRIDE=FQ","FILING_STATUS=MR","Sort=A","Dates=H","DateFormat=P","Fill=—","Direction=H","UseDPDF=Y")</f>
        <v>3.992</v>
      </c>
      <c r="L22" s="21">
        <f>_xll.BDH("ADSK US Equity","ALTMAN_Z_SCORE","FQ3 2014","FQ3 2014","Currency=USD","Period=FQ","BEST_FPERIOD_OVERRIDE=FQ","FILING_STATUS=MR","Sort=A","Dates=H","DateFormat=P","Fill=—","Direction=H","UseDPDF=Y")</f>
        <v>4.2930000000000001</v>
      </c>
      <c r="M22" s="21" t="str">
        <f>_xll.BDH("ADSK US Equity","ALTMAN_Z_SCORE","FQ4 2014","FQ4 2014","Currency=USD","Period=FQ","BEST_FPERIOD_OVERRIDE=FQ","FILING_STATUS=MR","Sort=A","Dates=H","DateFormat=P","Fill=—","Direction=H","UseDPDF=Y")</f>
        <v>#N/A Requesting Data...</v>
      </c>
      <c r="N22" s="21" t="str">
        <f>_xll.BDH("ADSK US Equity","ALTMAN_Z_SCORE","FQ1 2015","FQ1 2015","Currency=USD","Period=FQ","BEST_FPERIOD_OVERRIDE=FQ","FILING_STATUS=MR","Sort=A","Dates=H","DateFormat=P","Fill=—","Direction=H","UseDPDF=Y")</f>
        <v>#N/A Requesting Data...</v>
      </c>
      <c r="O22" s="21" t="str">
        <f>_xll.BDH("ADSK US Equity","ALTMAN_Z_SCORE","FQ2 2015","FQ2 2015","Currency=USD","Period=FQ","BEST_FPERIOD_OVERRIDE=FQ","FILING_STATUS=MR","Sort=A","Dates=H","DateFormat=P","Fill=—","Direction=H","UseDPDF=Y")</f>
        <v>#N/A Requesting Data...</v>
      </c>
      <c r="P22" s="21">
        <f>_xll.BDH("ADSK US Equity","ALTMAN_Z_SCORE","FQ3 2015","FQ3 2015","Currency=USD","Period=FQ","BEST_FPERIOD_OVERRIDE=FQ","FILING_STATUS=MR","Sort=A","Dates=H","DateFormat=P","Fill=—","Direction=H","UseDPDF=Y")</f>
        <v>4.8823999999999996</v>
      </c>
      <c r="Q22" s="21">
        <f>_xll.BDH("ADSK US Equity","ALTMAN_Z_SCORE","FQ4 2015","FQ4 2015","Currency=USD","Period=FQ","BEST_FPERIOD_OVERRIDE=FQ","FILING_STATUS=MR","Sort=A","Dates=H","DateFormat=P","Fill=—","Direction=H","UseDPDF=Y")</f>
        <v>4.2652999999999999</v>
      </c>
      <c r="R22" s="21" t="str">
        <f>_xll.BDH("ADSK US Equity","ALTMAN_Z_SCORE","FQ1 2016","FQ1 2016","Currency=USD","Period=FQ","BEST_FPERIOD_OVERRIDE=FQ","FILING_STATUS=MR","Sort=A","Dates=H","DateFormat=P","Fill=—","Direction=H","UseDPDF=Y")</f>
        <v>#N/A Requesting Data...</v>
      </c>
      <c r="S22" s="21" t="str">
        <f>_xll.BDH("ADSK US Equity","ALTMAN_Z_SCORE","FQ2 2016","FQ2 2016","Currency=USD","Period=FQ","BEST_FPERIOD_OVERRIDE=FQ","FILING_STATUS=MR","Sort=A","Dates=H","DateFormat=P","Fill=—","Direction=H","UseDPDF=Y")</f>
        <v>#N/A Requesting Data...</v>
      </c>
      <c r="T22" s="21" t="str">
        <f>_xll.BDH("ADSK US Equity","ALTMAN_Z_SCORE","FQ3 2016","FQ3 2016","Currency=USD","Period=FQ","BEST_FPERIOD_OVERRIDE=FQ","FILING_STATUS=MR","Sort=A","Dates=H","DateFormat=P","Fill=—","Direction=H","UseDPDF=Y")</f>
        <v>#N/A Requesting Data...</v>
      </c>
      <c r="U22" s="21" t="str">
        <f>_xll.BDH("ADSK US Equity","ALTMAN_Z_SCORE","FQ4 2016","FQ4 2016","Currency=USD","Period=FQ","BEST_FPERIOD_OVERRIDE=FQ","FILING_STATUS=MR","Sort=A","Dates=H","DateFormat=P","Fill=—","Direction=H","UseDPDF=Y")</f>
        <v>#N/A Requesting Data...</v>
      </c>
      <c r="V22" s="21" t="str">
        <f>_xll.BDH("ADSK US Equity","ALTMAN_Z_SCORE","FQ1 2017","FQ1 2017","Currency=USD","Period=FQ","BEST_FPERIOD_OVERRIDE=FQ","FILING_STATUS=MR","Sort=A","Dates=H","DateFormat=P","Fill=—","Direction=H","UseDPDF=Y")</f>
        <v>#N/A Requesting Data...</v>
      </c>
      <c r="W22" s="21" t="str">
        <f>_xll.BDH("ADSK US Equity","ALTMAN_Z_SCORE","FQ2 2017","FQ2 2017","Currency=USD","Period=FQ","BEST_FPERIOD_OVERRIDE=FQ","FILING_STATUS=MR","Sort=A","Dates=H","DateFormat=P","Fill=—","Direction=H","UseDPDF=Y")</f>
        <v>#N/A Requesting Data...</v>
      </c>
      <c r="X22" s="21" t="str">
        <f>_xll.BDH("ADSK US Equity","ALTMAN_Z_SCORE","FQ3 2017","FQ3 2017","Currency=USD","Period=FQ","BEST_FPERIOD_OVERRIDE=FQ","FILING_STATUS=MR","Sort=A","Dates=H","DateFormat=P","Fill=—","Direction=H","UseDPDF=Y")</f>
        <v>#N/A Requesting Data...</v>
      </c>
      <c r="Y22" s="21" t="str">
        <f>_xll.BDH("ADSK US Equity","ALTMAN_Z_SCORE","FQ4 2017","FQ4 2017","Currency=USD","Period=FQ","BEST_FPERIOD_OVERRIDE=FQ","FILING_STATUS=MR","Sort=A","Dates=H","DateFormat=P","Fill=—","Direction=H","UseDPDF=Y")</f>
        <v>#N/A Requesting Data...</v>
      </c>
      <c r="Z22" s="21">
        <f>_xll.BDH("ADSK US Equity","ALTMAN_Z_SCORE","FQ1 2018","FQ1 2018","Currency=USD","Period=FQ","BEST_FPERIOD_OVERRIDE=FQ","FILING_STATUS=MR","Sort=A","Dates=H","DateFormat=P","Fill=—","Direction=H","UseDPDF=Y")</f>
        <v>2.6339000000000001</v>
      </c>
      <c r="AA22" s="21" t="str">
        <f>_xll.BDH("ADSK US Equity","ALTMAN_Z_SCORE","FQ2 2018","FQ2 2018","Currency=USD","Period=FQ","BEST_FPERIOD_OVERRIDE=FQ","FILING_STATUS=MR","Sort=A","Dates=H","DateFormat=P","Fill=—","Direction=H","UseDPDF=Y")</f>
        <v>#N/A Requesting Data...</v>
      </c>
      <c r="AB22" s="21">
        <f>_xll.BDH("ADSK US Equity","ALTMAN_Z_SCORE","FQ3 2018","FQ3 2018","Currency=USD","Period=FQ","BEST_FPERIOD_OVERRIDE=FQ","FILING_STATUS=MR","Sort=A","Dates=H","DateFormat=P","Fill=—","Direction=H","UseDPDF=Y")</f>
        <v>3.3374000000000001</v>
      </c>
      <c r="AC22" s="21" t="str">
        <f>_xll.BDH("ADSK US Equity","ALTMAN_Z_SCORE","FQ4 2018","FQ4 2018","Currency=USD","Period=FQ","BEST_FPERIOD_OVERRIDE=FQ","FILING_STATUS=MR","Sort=A","Dates=H","DateFormat=P","Fill=—","Direction=H","UseDPDF=Y")</f>
        <v>#N/A Requesting Data...</v>
      </c>
      <c r="AD22" s="21">
        <f>_xll.BDH("ADSK US Equity","ALTMAN_Z_SCORE","FQ1 2019","FQ1 2019","Currency=USD","Period=FQ","BEST_FPERIOD_OVERRIDE=FQ","FILING_STATUS=MR","Sort=A","Dates=H","DateFormat=P","Fill=—","Direction=H","UseDPDF=Y")</f>
        <v>3.0676999999999999</v>
      </c>
      <c r="AE22" s="21">
        <f>_xll.BDH("ADSK US Equity","ALTMAN_Z_SCORE","FQ2 2019","FQ2 2019","Currency=USD","Period=FQ","BEST_FPERIOD_OVERRIDE=FQ","FILING_STATUS=MR","Sort=A","Dates=H","DateFormat=P","Fill=—","Direction=H","UseDPDF=Y")</f>
        <v>3.0857000000000001</v>
      </c>
      <c r="AF22" s="21" t="str">
        <f>_xll.BDH("ADSK US Equity","ALTMAN_Z_SCORE","FQ3 2019","FQ3 2019","Currency=USD","Period=FQ","BEST_FPERIOD_OVERRIDE=FQ","FILING_STATUS=MR","Sort=A","Dates=H","DateFormat=P","Fill=—","Direction=H","UseDPDF=Y")</f>
        <v>#N/A Requesting Data...</v>
      </c>
      <c r="AG22" s="21">
        <f>_xll.BDH("ADSK US Equity","ALTMAN_Z_SCORE","FQ4 2019","FQ4 2019","Currency=USD","Period=FQ","BEST_FPERIOD_OVERRIDE=FQ","FILING_STATUS=MR","Sort=A","Dates=H","DateFormat=P","Fill=—","Direction=H","UseDPDF=Y")</f>
        <v>3.3003999999999998</v>
      </c>
      <c r="AH22" s="21" t="str">
        <f>_xll.BDH("ADSK US Equity","ALTMAN_Z_SCORE","FQ1 2020","FQ1 2020","Currency=USD","Period=FQ","BEST_FPERIOD_OVERRIDE=FQ","FILING_STATUS=MR","Sort=A","Dates=H","DateFormat=P","Fill=—","Direction=H","UseDPDF=Y")</f>
        <v>#N/A Requesting Data...</v>
      </c>
      <c r="AI22" s="21">
        <f>_xll.BDH("ADSK US Equity","ALTMAN_Z_SCORE","FQ2 2020","FQ2 2020","Currency=USD","Period=FQ","BEST_FPERIOD_OVERRIDE=FQ","FILING_STATUS=MR","Sort=A","Dates=H","DateFormat=P","Fill=—","Direction=H","UseDPDF=Y")</f>
        <v>3.5910000000000002</v>
      </c>
      <c r="AJ22" s="21" t="str">
        <f>_xll.BDH("ADSK US Equity","ALTMAN_Z_SCORE","FQ3 2020","FQ3 2020","Currency=USD","Period=FQ","BEST_FPERIOD_OVERRIDE=FQ","FILING_STATUS=MR","Sort=A","Dates=H","DateFormat=P","Fill=—","Direction=H","UseDPDF=Y")</f>
        <v>#N/A Requesting Data...</v>
      </c>
      <c r="AK22" s="21" t="str">
        <f>_xll.BDH("ADSK US Equity","ALTMAN_Z_SCORE","FQ4 2020","FQ4 2020","Currency=USD","Period=FQ","BEST_FPERIOD_OVERRIDE=FQ","FILING_STATUS=MR","Sort=A","Dates=H","DateFormat=P","Fill=—","Direction=H","UseDPDF=Y")</f>
        <v>#N/A Requesting Data...</v>
      </c>
      <c r="AL22" s="21" t="str">
        <f>_xll.BDH("ADSK US Equity","ALTMAN_Z_SCORE","FQ1 2021","FQ1 2021","Currency=USD","Period=FQ","BEST_FPERIOD_OVERRIDE=FQ","FILING_STATUS=MR","Sort=A","Dates=H","DateFormat=P","Fill=—","Direction=H","UseDPDF=Y")</f>
        <v>#N/A Requesting Data...</v>
      </c>
      <c r="AM22" s="21" t="str">
        <f>_xll.BDH("ADSK US Equity","ALTMAN_Z_SCORE","FQ2 2021","FQ2 2021","Currency=USD","Period=FQ","BEST_FPERIOD_OVERRIDE=FQ","FILING_STATUS=MR","Sort=A","Dates=H","DateFormat=P","Fill=—","Direction=H","UseDPDF=Y")</f>
        <v>#N/A Requesting Data...</v>
      </c>
      <c r="AN22" s="21">
        <f>_xll.BDH("ADSK US Equity","ALTMAN_Z_SCORE","FQ3 2021","FQ3 2021","Currency=USD","Period=FQ","BEST_FPERIOD_OVERRIDE=FQ","FILING_STATUS=MR","Sort=A","Dates=H","DateFormat=P","Fill=—","Direction=H","UseDPDF=Y")</f>
        <v>5.8047000000000004</v>
      </c>
      <c r="AO22" s="21">
        <f>_xll.BDH("ADSK US Equity","ALTMAN_Z_SCORE","FQ4 2021","FQ4 2021","Currency=USD","Period=FQ","BEST_FPERIOD_OVERRIDE=FQ","FILING_STATUS=MR","Sort=A","Dates=H","DateFormat=P","Fill=—","Direction=H","UseDPDF=Y")</f>
        <v>6.4917999999999996</v>
      </c>
      <c r="AP22" s="21">
        <f>_xll.BDH("ADSK US Equity","ALTMAN_Z_SCORE","FQ1 2022","FQ1 2022","Currency=USD","Period=FQ","BEST_FPERIOD_OVERRIDE=FQ","FILING_STATUS=MR","Sort=A","Dates=H","DateFormat=P","Fill=—","Direction=H","UseDPDF=Y")</f>
        <v>6.7988999999999997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 t="s">
        <v>164</v>
      </c>
      <c r="B24" s="8" t="s">
        <v>163</v>
      </c>
      <c r="C24" s="1" t="str">
        <f>_xll.BDH("ADSK US Equity","BS_TOTAL_LINE_OF_CREDIT","FQ2 2012","FQ2 2012","Currency=USD","Period=FQ","BEST_FPERIOD_OVERRIDE=FQ","FILING_STATUS=MR","SCALING_FORMAT=MLN","Sort=A","Dates=H","DateFormat=P","Fill=—","Direction=H","UseDPDF=Y")</f>
        <v>#N/A Requesting Data...</v>
      </c>
      <c r="D24" s="1">
        <f>_xll.BDH("ADSK US Equity","BS_TOTAL_LINE_OF_CREDIT","FQ3 2012","FQ3 2012","Currency=USD","Period=FQ","BEST_FPERIOD_OVERRIDE=FQ","FILING_STATUS=MR","SCALING_FORMAT=MLN","Sort=A","Dates=H","DateFormat=P","Fill=—","Direction=H","UseDPDF=Y")</f>
        <v>400</v>
      </c>
      <c r="E24" s="1" t="str">
        <f>_xll.BDH("ADSK US Equity","BS_TOTAL_LINE_OF_CREDIT","FQ4 2012","FQ4 2012","Currency=USD","Period=FQ","BEST_FPERIOD_OVERRIDE=FQ","FILING_STATUS=MR","SCALING_FORMAT=MLN","Sort=A","Dates=H","DateFormat=P","Fill=—","Direction=H","UseDPDF=Y")</f>
        <v>#N/A Requesting Data...</v>
      </c>
      <c r="F24" s="1" t="str">
        <f>_xll.BDH("ADSK US Equity","BS_TOTAL_LINE_OF_CREDIT","FQ1 2013","FQ1 2013","Currency=USD","Period=FQ","BEST_FPERIOD_OVERRIDE=FQ","FILING_STATUS=MR","SCALING_FORMAT=MLN","Sort=A","Dates=H","DateFormat=P","Fill=—","Direction=H","UseDPDF=Y")</f>
        <v>#N/A Requesting Data...</v>
      </c>
      <c r="G24" s="1">
        <f>_xll.BDH("ADSK US Equity","BS_TOTAL_LINE_OF_CREDIT","FQ2 2013","FQ2 2013","Currency=USD","Period=FQ","BEST_FPERIOD_OVERRIDE=FQ","FILING_STATUS=MR","SCALING_FORMAT=MLN","Sort=A","Dates=H","DateFormat=P","Fill=—","Direction=H","UseDPDF=Y")</f>
        <v>400</v>
      </c>
      <c r="H24" s="1" t="str">
        <f>_xll.BDH("ADSK US Equity","BS_TOTAL_LINE_OF_CREDIT","FQ3 2013","FQ3 2013","Currency=USD","Period=FQ","BEST_FPERIOD_OVERRIDE=FQ","FILING_STATUS=MR","SCALING_FORMAT=MLN","Sort=A","Dates=H","DateFormat=P","Fill=—","Direction=H","UseDPDF=Y")</f>
        <v>#N/A Requesting Data...</v>
      </c>
      <c r="I24" s="1" t="str">
        <f>_xll.BDH("ADSK US Equity","BS_TOTAL_LINE_OF_CREDIT","FQ4 2013","FQ4 2013","Currency=USD","Period=FQ","BEST_FPERIOD_OVERRIDE=FQ","FILING_STATUS=MR","SCALING_FORMAT=MLN","Sort=A","Dates=H","DateFormat=P","Fill=—","Direction=H","UseDPDF=Y")</f>
        <v>#N/A Requesting Data...</v>
      </c>
      <c r="J24" s="1" t="str">
        <f>_xll.BDH("ADSK US Equity","BS_TOTAL_LINE_OF_CREDIT","FQ1 2014","FQ1 2014","Currency=USD","Period=FQ","BEST_FPERIOD_OVERRIDE=FQ","FILING_STATUS=MR","SCALING_FORMAT=MLN","Sort=A","Dates=H","DateFormat=P","Fill=—","Direction=H","UseDPDF=Y")</f>
        <v>#N/A Requesting Data...</v>
      </c>
      <c r="K24" s="1" t="str">
        <f>_xll.BDH("ADSK US Equity","BS_TOTAL_LINE_OF_CREDIT","FQ2 2014","FQ2 2014","Currency=USD","Period=FQ","BEST_FPERIOD_OVERRIDE=FQ","FILING_STATUS=MR","SCALING_FORMAT=MLN","Sort=A","Dates=H","DateFormat=P","Fill=—","Direction=H","UseDPDF=Y")</f>
        <v>#N/A Requesting Data...</v>
      </c>
      <c r="L24" s="1">
        <f>_xll.BDH("ADSK US Equity","BS_TOTAL_LINE_OF_CREDIT","FQ3 2014","FQ3 2014","Currency=USD","Period=FQ","BEST_FPERIOD_OVERRIDE=FQ","FILING_STATUS=MR","SCALING_FORMAT=MLN","Sort=A","Dates=H","DateFormat=P","Fill=—","Direction=H","UseDPDF=Y")</f>
        <v>400</v>
      </c>
      <c r="M24" s="1">
        <f>_xll.BDH("ADSK US Equity","BS_TOTAL_LINE_OF_CREDIT","FQ4 2014","FQ4 2014","Currency=USD","Period=FQ","BEST_FPERIOD_OVERRIDE=FQ","FILING_STATUS=MR","SCALING_FORMAT=MLN","Sort=A","Dates=H","DateFormat=P","Fill=—","Direction=H","UseDPDF=Y")</f>
        <v>400</v>
      </c>
      <c r="N24" s="1">
        <f>_xll.BDH("ADSK US Equity","BS_TOTAL_LINE_OF_CREDIT","FQ1 2015","FQ1 2015","Currency=USD","Period=FQ","BEST_FPERIOD_OVERRIDE=FQ","FILING_STATUS=MR","SCALING_FORMAT=MLN","Sort=A","Dates=H","DateFormat=P","Fill=—","Direction=H","UseDPDF=Y")</f>
        <v>400</v>
      </c>
      <c r="O24" s="1" t="str">
        <f>_xll.BDH("ADSK US Equity","BS_TOTAL_LINE_OF_CREDIT","FQ2 2015","FQ2 2015","Currency=USD","Period=FQ","BEST_FPERIOD_OVERRIDE=FQ","FILING_STATUS=MR","SCALING_FORMAT=MLN","Sort=A","Dates=H","DateFormat=P","Fill=—","Direction=H","UseDPDF=Y")</f>
        <v>#N/A Requesting Data...</v>
      </c>
      <c r="P24" s="1" t="str">
        <f>_xll.BDH("ADSK US Equity","BS_TOTAL_LINE_OF_CREDIT","FQ3 2015","FQ3 2015","Currency=USD","Period=FQ","BEST_FPERIOD_OVERRIDE=FQ","FILING_STATUS=MR","SCALING_FORMAT=MLN","Sort=A","Dates=H","DateFormat=P","Fill=—","Direction=H","UseDPDF=Y")</f>
        <v>#N/A Requesting Data...</v>
      </c>
      <c r="Q24" s="1">
        <f>_xll.BDH("ADSK US Equity","BS_TOTAL_LINE_OF_CREDIT","FQ4 2015","FQ4 2015","Currency=USD","Period=FQ","BEST_FPERIOD_OVERRIDE=FQ","FILING_STATUS=MR","SCALING_FORMAT=MLN","Sort=A","Dates=H","DateFormat=P","Fill=—","Direction=H","UseDPDF=Y")</f>
        <v>400</v>
      </c>
      <c r="R24" s="1" t="str">
        <f>_xll.BDH("ADSK US Equity","BS_TOTAL_LINE_OF_CREDIT","FQ1 2016","FQ1 2016","Currency=USD","Period=FQ","BEST_FPERIOD_OVERRIDE=FQ","FILING_STATUS=MR","SCALING_FORMAT=MLN","Sort=A","Dates=H","DateFormat=P","Fill=—","Direction=H","UseDPDF=Y")</f>
        <v>#N/A Requesting Data...</v>
      </c>
      <c r="S24" s="1" t="str">
        <f>_xll.BDH("ADSK US Equity","BS_TOTAL_LINE_OF_CREDIT","FQ2 2016","FQ2 2016","Currency=USD","Period=FQ","BEST_FPERIOD_OVERRIDE=FQ","FILING_STATUS=MR","SCALING_FORMAT=MLN","Sort=A","Dates=H","DateFormat=P","Fill=—","Direction=H","UseDPDF=Y")</f>
        <v>#N/A Requesting Data...</v>
      </c>
      <c r="T24" s="1">
        <f>_xll.BDH("ADSK US Equity","BS_TOTAL_LINE_OF_CREDIT","FQ3 2016","FQ3 2016","Currency=USD","Period=FQ","BEST_FPERIOD_OVERRIDE=FQ","FILING_STATUS=MR","SCALING_FORMAT=MLN","Sort=A","Dates=H","DateFormat=P","Fill=—","Direction=H","UseDPDF=Y")</f>
        <v>400</v>
      </c>
      <c r="U24" s="1" t="str">
        <f>_xll.BDH("ADSK US Equity","BS_TOTAL_LINE_OF_CREDIT","FQ4 2016","FQ4 2016","Currency=USD","Period=FQ","BEST_FPERIOD_OVERRIDE=FQ","FILING_STATUS=MR","SCALING_FORMAT=MLN","Sort=A","Dates=H","DateFormat=P","Fill=—","Direction=H","UseDPDF=Y")</f>
        <v>#N/A Requesting Data...</v>
      </c>
      <c r="V24" s="1" t="str">
        <f>_xll.BDH("ADSK US Equity","BS_TOTAL_LINE_OF_CREDIT","FQ1 2017","FQ1 2017","Currency=USD","Period=FQ","BEST_FPERIOD_OVERRIDE=FQ","FILING_STATUS=MR","SCALING_FORMAT=MLN","Sort=A","Dates=H","DateFormat=P","Fill=—","Direction=H","UseDPDF=Y")</f>
        <v>#N/A Requesting Data...</v>
      </c>
      <c r="W24" s="1" t="str">
        <f>_xll.BDH("ADSK US Equity","BS_TOTAL_LINE_OF_CREDIT","FQ2 2017","FQ2 2017","Currency=USD","Period=FQ","BEST_FPERIOD_OVERRIDE=FQ","FILING_STATUS=MR","SCALING_FORMAT=MLN","Sort=A","Dates=H","DateFormat=P","Fill=—","Direction=H","UseDPDF=Y")</f>
        <v>#N/A Requesting Data...</v>
      </c>
      <c r="X24" s="1">
        <f>_xll.BDH("ADSK US Equity","BS_TOTAL_LINE_OF_CREDIT","FQ3 2017","FQ3 2017","Currency=USD","Period=FQ","BEST_FPERIOD_OVERRIDE=FQ","FILING_STATUS=MR","SCALING_FORMAT=MLN","Sort=A","Dates=H","DateFormat=P","Fill=—","Direction=H","UseDPDF=Y")</f>
        <v>400</v>
      </c>
      <c r="Y24" s="1">
        <f>_xll.BDH("ADSK US Equity","BS_TOTAL_LINE_OF_CREDIT","FQ4 2017","FQ4 2017","Currency=USD","Period=FQ","BEST_FPERIOD_OVERRIDE=FQ","FILING_STATUS=MR","SCALING_FORMAT=MLN","Sort=A","Dates=H","DateFormat=P","Fill=—","Direction=H","UseDPDF=Y")</f>
        <v>400</v>
      </c>
      <c r="Z24" s="1">
        <f>_xll.BDH("ADSK US Equity","BS_TOTAL_LINE_OF_CREDIT","FQ1 2018","FQ1 2018","Currency=USD","Period=FQ","BEST_FPERIOD_OVERRIDE=FQ","FILING_STATUS=MR","SCALING_FORMAT=MLN","Sort=A","Dates=H","DateFormat=P","Fill=—","Direction=H","UseDPDF=Y")</f>
        <v>400</v>
      </c>
      <c r="AA24" s="1">
        <f>_xll.BDH("ADSK US Equity","BS_TOTAL_LINE_OF_CREDIT","FQ2 2018","FQ2 2018","Currency=USD","Period=FQ","BEST_FPERIOD_OVERRIDE=FQ","FILING_STATUS=MR","SCALING_FORMAT=MLN","Sort=A","Dates=H","DateFormat=P","Fill=—","Direction=H","UseDPDF=Y")</f>
        <v>400</v>
      </c>
      <c r="AB24" s="1" t="str">
        <f>_xll.BDH("ADSK US Equity","BS_TOTAL_LINE_OF_CREDIT","FQ3 2018","FQ3 2018","Currency=USD","Period=FQ","BEST_FPERIOD_OVERRIDE=FQ","FILING_STATUS=MR","SCALING_FORMAT=MLN","Sort=A","Dates=H","DateFormat=P","Fill=—","Direction=H","UseDPDF=Y")</f>
        <v>#N/A Requesting Data...</v>
      </c>
      <c r="AC24" s="1" t="str">
        <f>_xll.BDH("ADSK US Equity","BS_TOTAL_LINE_OF_CREDIT","FQ4 2018","FQ4 2018","Currency=USD","Period=FQ","BEST_FPERIOD_OVERRIDE=FQ","FILING_STATUS=MR","SCALING_FORMAT=MLN","Sort=A","Dates=H","DateFormat=P","Fill=—","Direction=H","UseDPDF=Y")</f>
        <v>#N/A Requesting Data...</v>
      </c>
      <c r="AD24" s="1" t="str">
        <f>_xll.BDH("ADSK US Equity","BS_TOTAL_LINE_OF_CREDIT","FQ1 2019","FQ1 2019","Currency=USD","Period=FQ","BEST_FPERIOD_OVERRIDE=FQ","FILING_STATUS=MR","SCALING_FORMAT=MLN","Sort=A","Dates=H","DateFormat=P","Fill=—","Direction=H","UseDPDF=Y")</f>
        <v>#N/A Requesting Data...</v>
      </c>
      <c r="AE24" s="1" t="str">
        <f>_xll.BDH("ADSK US Equity","BS_TOTAL_LINE_OF_CREDIT","FQ2 2019","FQ2 2019","Currency=USD","Period=FQ","BEST_FPERIOD_OVERRIDE=FQ","FILING_STATUS=MR","SCALING_FORMAT=MLN","Sort=A","Dates=H","DateFormat=P","Fill=—","Direction=H","UseDPDF=Y")</f>
        <v>#N/A Requesting Data...</v>
      </c>
      <c r="AF24" s="1" t="str">
        <f>_xll.BDH("ADSK US Equity","BS_TOTAL_LINE_OF_CREDIT","FQ3 2019","FQ3 2019","Currency=USD","Period=FQ","BEST_FPERIOD_OVERRIDE=FQ","FILING_STATUS=MR","SCALING_FORMAT=MLN","Sort=A","Dates=H","DateFormat=P","Fill=—","Direction=H","UseDPDF=Y")</f>
        <v>#N/A Requesting Data...</v>
      </c>
      <c r="AG24" s="1">
        <f>_xll.BDH("ADSK US Equity","BS_TOTAL_LINE_OF_CREDIT","FQ4 2019","FQ4 2019","Currency=USD","Period=FQ","BEST_FPERIOD_OVERRIDE=FQ","FILING_STATUS=MR","SCALING_FORMAT=MLN","Sort=A","Dates=H","DateFormat=P","Fill=—","Direction=H","UseDPDF=Y")</f>
        <v>650</v>
      </c>
      <c r="AH24" s="1">
        <f>_xll.BDH("ADSK US Equity","BS_TOTAL_LINE_OF_CREDIT","FQ1 2020","FQ1 2020","Currency=USD","Period=FQ","BEST_FPERIOD_OVERRIDE=FQ","FILING_STATUS=MR","SCALING_FORMAT=MLN","Sort=A","Dates=H","DateFormat=P","Fill=—","Direction=H","UseDPDF=Y")</f>
        <v>650</v>
      </c>
      <c r="AI24" s="1" t="str">
        <f>_xll.BDH("ADSK US Equity","BS_TOTAL_LINE_OF_CREDIT","FQ2 2020","FQ2 2020","Currency=USD","Period=FQ","BEST_FPERIOD_OVERRIDE=FQ","FILING_STATUS=MR","SCALING_FORMAT=MLN","Sort=A","Dates=H","DateFormat=P","Fill=—","Direction=H","UseDPDF=Y")</f>
        <v>#N/A Requesting Data...</v>
      </c>
      <c r="AJ24" s="1">
        <f>_xll.BDH("ADSK US Equity","BS_TOTAL_LINE_OF_CREDIT","FQ3 2020","FQ3 2020","Currency=USD","Period=FQ","BEST_FPERIOD_OVERRIDE=FQ","FILING_STATUS=MR","SCALING_FORMAT=MLN","Sort=A","Dates=H","DateFormat=P","Fill=—","Direction=H","UseDPDF=Y")</f>
        <v>650</v>
      </c>
      <c r="AK24" s="1">
        <f>_xll.BDH("ADSK US Equity","BS_TOTAL_LINE_OF_CREDIT","FQ4 2020","FQ4 2020","Currency=USD","Period=FQ","BEST_FPERIOD_OVERRIDE=FQ","FILING_STATUS=MR","SCALING_FORMAT=MLN","Sort=A","Dates=H","DateFormat=P","Fill=—","Direction=H","UseDPDF=Y")</f>
        <v>650</v>
      </c>
      <c r="AL24" s="1">
        <f>_xll.BDH("ADSK US Equity","BS_TOTAL_LINE_OF_CREDIT","FQ1 2021","FQ1 2021","Currency=USD","Period=FQ","BEST_FPERIOD_OVERRIDE=FQ","FILING_STATUS=MR","SCALING_FORMAT=MLN","Sort=A","Dates=H","DateFormat=P","Fill=—","Direction=H","UseDPDF=Y")</f>
        <v>650</v>
      </c>
      <c r="AM24" s="1" t="str">
        <f>_xll.BDH("ADSK US Equity","BS_TOTAL_LINE_OF_CREDIT","FQ2 2021","FQ2 2021","Currency=USD","Period=FQ","BEST_FPERIOD_OVERRIDE=FQ","FILING_STATUS=MR","SCALING_FORMAT=MLN","Sort=A","Dates=H","DateFormat=P","Fill=—","Direction=H","UseDPDF=Y")</f>
        <v>#N/A Requesting Data...</v>
      </c>
      <c r="AN24" s="1">
        <f>_xll.BDH("ADSK US Equity","BS_TOTAL_LINE_OF_CREDIT","FQ3 2021","FQ3 2021","Currency=USD","Period=FQ","BEST_FPERIOD_OVERRIDE=FQ","FILING_STATUS=MR","SCALING_FORMAT=MLN","Sort=A","Dates=H","DateFormat=P","Fill=—","Direction=H","UseDPDF=Y")</f>
        <v>650</v>
      </c>
      <c r="AO24" s="1">
        <f>_xll.BDH("ADSK US Equity","BS_TOTAL_LINE_OF_CREDIT","FQ4 2021","FQ4 2021","Currency=USD","Period=FQ","BEST_FPERIOD_OVERRIDE=FQ","FILING_STATUS=MR","SCALING_FORMAT=MLN","Sort=A","Dates=H","DateFormat=P","Fill=—","Direction=H","UseDPDF=Y")</f>
        <v>650</v>
      </c>
      <c r="AP24" s="1" t="str">
        <f>_xll.BDH("ADSK US Equity","BS_TOTAL_LINE_OF_CREDIT","FQ1 2022","FQ1 2022","Currency=USD","Period=FQ","BEST_FPERIOD_OVERRIDE=FQ","FILING_STATUS=MR","SCALING_FORMAT=MLN","Sort=A","Dates=H","DateFormat=P","Fill=—","Direction=H","UseDPDF=Y")</f>
        <v>#N/A Requesting Data...</v>
      </c>
    </row>
    <row r="25" spans="1:42" x14ac:dyDescent="0.25">
      <c r="A25" s="8" t="s">
        <v>162</v>
      </c>
      <c r="B25" s="8" t="s">
        <v>161</v>
      </c>
      <c r="C25" s="1" t="str">
        <f>_xll.BDH("ADSK US Equity","BS_TOTAL_AVAIL_LINE_OF_CREDIT","FQ2 2012","FQ2 2012","Currency=USD","Period=FQ","BEST_FPERIOD_OVERRIDE=FQ","FILING_STATUS=MR","SCALING_FORMAT=MLN","Sort=A","Dates=H","DateFormat=P","Fill=—","Direction=H","UseDPDF=Y")</f>
        <v>—</v>
      </c>
      <c r="D25" s="1" t="str">
        <f>_xll.BDH("ADSK US Equity","BS_TOTAL_AVAIL_LINE_OF_CREDIT","FQ3 2012","FQ3 2012","Currency=USD","Period=FQ","BEST_FPERIOD_OVERRIDE=FQ","FILING_STATUS=MR","SCALING_FORMAT=MLN","Sort=A","Dates=H","DateFormat=P","Fill=—","Direction=H","UseDPDF=Y")</f>
        <v>—</v>
      </c>
      <c r="E25" s="1" t="str">
        <f>_xll.BDH("ADSK US Equity","BS_TOTAL_AVAIL_LINE_OF_CREDIT","FQ4 2012","FQ4 2012","Currency=USD","Period=FQ","BEST_FPERIOD_OVERRIDE=FQ","FILING_STATUS=MR","SCALING_FORMAT=MLN","Sort=A","Dates=H","DateFormat=P","Fill=—","Direction=H","UseDPDF=Y")</f>
        <v>#N/A Requesting Data...</v>
      </c>
      <c r="F25" s="1" t="str">
        <f>_xll.BDH("ADSK US Equity","BS_TOTAL_AVAIL_LINE_OF_CREDIT","FQ1 2013","FQ1 2013","Currency=USD","Period=FQ","BEST_FPERIOD_OVERRIDE=FQ","FILING_STATUS=MR","SCALING_FORMAT=MLN","Sort=A","Dates=H","DateFormat=P","Fill=—","Direction=H","UseDPDF=Y")</f>
        <v>#N/A Requesting Data...</v>
      </c>
      <c r="G25" s="1" t="str">
        <f>_xll.BDH("ADSK US Equity","BS_TOTAL_AVAIL_LINE_OF_CREDIT","FQ2 2013","FQ2 2013","Currency=USD","Period=FQ","BEST_FPERIOD_OVERRIDE=FQ","FILING_STATUS=MR","SCALING_FORMAT=MLN","Sort=A","Dates=H","DateFormat=P","Fill=—","Direction=H","UseDPDF=Y")</f>
        <v>#N/A Requesting Data...</v>
      </c>
      <c r="H25" s="1">
        <f>_xll.BDH("ADSK US Equity","BS_TOTAL_AVAIL_LINE_OF_CREDIT","FQ3 2013","FQ3 2013","Currency=USD","Period=FQ","BEST_FPERIOD_OVERRIDE=FQ","FILING_STATUS=MR","SCALING_FORMAT=MLN","Sort=A","Dates=H","DateFormat=P","Fill=—","Direction=H","UseDPDF=Y")</f>
        <v>290</v>
      </c>
      <c r="I25" s="1">
        <f>_xll.BDH("ADSK US Equity","BS_TOTAL_AVAIL_LINE_OF_CREDIT","FQ4 2013","FQ4 2013","Currency=USD","Period=FQ","BEST_FPERIOD_OVERRIDE=FQ","FILING_STATUS=MR","SCALING_FORMAT=MLN","Sort=A","Dates=H","DateFormat=P","Fill=—","Direction=H","UseDPDF=Y")</f>
        <v>400</v>
      </c>
      <c r="J25" s="1" t="str">
        <f>_xll.BDH("ADSK US Equity","BS_TOTAL_AVAIL_LINE_OF_CREDIT","FQ1 2014","FQ1 2014","Currency=USD","Period=FQ","BEST_FPERIOD_OVERRIDE=FQ","FILING_STATUS=MR","SCALING_FORMAT=MLN","Sort=A","Dates=H","DateFormat=P","Fill=—","Direction=H","UseDPDF=Y")</f>
        <v>#N/A Requesting Data...</v>
      </c>
      <c r="K25" s="1">
        <f>_xll.BDH("ADSK US Equity","BS_TOTAL_AVAIL_LINE_OF_CREDIT","FQ2 2014","FQ2 2014","Currency=USD","Period=FQ","BEST_FPERIOD_OVERRIDE=FQ","FILING_STATUS=MR","SCALING_FORMAT=MLN","Sort=A","Dates=H","DateFormat=P","Fill=—","Direction=H","UseDPDF=Y")</f>
        <v>400</v>
      </c>
      <c r="L25" s="1" t="str">
        <f>_xll.BDH("ADSK US Equity","BS_TOTAL_AVAIL_LINE_OF_CREDIT","FQ3 2014","FQ3 2014","Currency=USD","Period=FQ","BEST_FPERIOD_OVERRIDE=FQ","FILING_STATUS=MR","SCALING_FORMAT=MLN","Sort=A","Dates=H","DateFormat=P","Fill=—","Direction=H","UseDPDF=Y")</f>
        <v>#N/A Requesting Data...</v>
      </c>
      <c r="M25" s="1">
        <f>_xll.BDH("ADSK US Equity","BS_TOTAL_AVAIL_LINE_OF_CREDIT","FQ4 2014","FQ4 2014","Currency=USD","Period=FQ","BEST_FPERIOD_OVERRIDE=FQ","FILING_STATUS=MR","SCALING_FORMAT=MLN","Sort=A","Dates=H","DateFormat=P","Fill=—","Direction=H","UseDPDF=Y")</f>
        <v>400</v>
      </c>
      <c r="N25" s="1" t="str">
        <f>_xll.BDH("ADSK US Equity","BS_TOTAL_AVAIL_LINE_OF_CREDIT","FQ1 2015","FQ1 2015","Currency=USD","Period=FQ","BEST_FPERIOD_OVERRIDE=FQ","FILING_STATUS=MR","SCALING_FORMAT=MLN","Sort=A","Dates=H","DateFormat=P","Fill=—","Direction=H","UseDPDF=Y")</f>
        <v>#N/A Requesting Data...</v>
      </c>
      <c r="O25" s="1">
        <f>_xll.BDH("ADSK US Equity","BS_TOTAL_AVAIL_LINE_OF_CREDIT","FQ2 2015","FQ2 2015","Currency=USD","Period=FQ","BEST_FPERIOD_OVERRIDE=FQ","FILING_STATUS=MR","SCALING_FORMAT=MLN","Sort=A","Dates=H","DateFormat=P","Fill=—","Direction=H","UseDPDF=Y")</f>
        <v>400</v>
      </c>
      <c r="P25" s="1">
        <f>_xll.BDH("ADSK US Equity","BS_TOTAL_AVAIL_LINE_OF_CREDIT","FQ3 2015","FQ3 2015","Currency=USD","Period=FQ","BEST_FPERIOD_OVERRIDE=FQ","FILING_STATUS=MR","SCALING_FORMAT=MLN","Sort=A","Dates=H","DateFormat=P","Fill=—","Direction=H","UseDPDF=Y")</f>
        <v>400</v>
      </c>
      <c r="Q25" s="1">
        <f>_xll.BDH("ADSK US Equity","BS_TOTAL_AVAIL_LINE_OF_CREDIT","FQ4 2015","FQ4 2015","Currency=USD","Period=FQ","BEST_FPERIOD_OVERRIDE=FQ","FILING_STATUS=MR","SCALING_FORMAT=MLN","Sort=A","Dates=H","DateFormat=P","Fill=—","Direction=H","UseDPDF=Y")</f>
        <v>400</v>
      </c>
      <c r="R25" s="1" t="str">
        <f>_xll.BDH("ADSK US Equity","BS_TOTAL_AVAIL_LINE_OF_CREDIT","FQ1 2016","FQ1 2016","Currency=USD","Period=FQ","BEST_FPERIOD_OVERRIDE=FQ","FILING_STATUS=MR","SCALING_FORMAT=MLN","Sort=A","Dates=H","DateFormat=P","Fill=—","Direction=H","UseDPDF=Y")</f>
        <v>#N/A Requesting Data...</v>
      </c>
      <c r="S25" s="1" t="str">
        <f>_xll.BDH("ADSK US Equity","BS_TOTAL_AVAIL_LINE_OF_CREDIT","FQ2 2016","FQ2 2016","Currency=USD","Period=FQ","BEST_FPERIOD_OVERRIDE=FQ","FILING_STATUS=MR","SCALING_FORMAT=MLN","Sort=A","Dates=H","DateFormat=P","Fill=—","Direction=H","UseDPDF=Y")</f>
        <v>#N/A Requesting Data...</v>
      </c>
      <c r="T25" s="1">
        <f>_xll.BDH("ADSK US Equity","BS_TOTAL_AVAIL_LINE_OF_CREDIT","FQ3 2016","FQ3 2016","Currency=USD","Period=FQ","BEST_FPERIOD_OVERRIDE=FQ","FILING_STATUS=MR","SCALING_FORMAT=MLN","Sort=A","Dates=H","DateFormat=P","Fill=—","Direction=H","UseDPDF=Y")</f>
        <v>400</v>
      </c>
      <c r="U25" s="1">
        <f>_xll.BDH("ADSK US Equity","BS_TOTAL_AVAIL_LINE_OF_CREDIT","FQ4 2016","FQ4 2016","Currency=USD","Period=FQ","BEST_FPERIOD_OVERRIDE=FQ","FILING_STATUS=MR","SCALING_FORMAT=MLN","Sort=A","Dates=H","DateFormat=P","Fill=—","Direction=H","UseDPDF=Y")</f>
        <v>400</v>
      </c>
      <c r="V25" s="1">
        <f>_xll.BDH("ADSK US Equity","BS_TOTAL_AVAIL_LINE_OF_CREDIT","FQ1 2017","FQ1 2017","Currency=USD","Period=FQ","BEST_FPERIOD_OVERRIDE=FQ","FILING_STATUS=MR","SCALING_FORMAT=MLN","Sort=A","Dates=H","DateFormat=P","Fill=—","Direction=H","UseDPDF=Y")</f>
        <v>400</v>
      </c>
      <c r="W25" s="1" t="str">
        <f>_xll.BDH("ADSK US Equity","BS_TOTAL_AVAIL_LINE_OF_CREDIT","FQ2 2017","FQ2 2017","Currency=USD","Period=FQ","BEST_FPERIOD_OVERRIDE=FQ","FILING_STATUS=MR","SCALING_FORMAT=MLN","Sort=A","Dates=H","DateFormat=P","Fill=—","Direction=H","UseDPDF=Y")</f>
        <v>#N/A Requesting Data...</v>
      </c>
      <c r="X25" s="1" t="str">
        <f>_xll.BDH("ADSK US Equity","BS_TOTAL_AVAIL_LINE_OF_CREDIT","FQ3 2017","FQ3 2017","Currency=USD","Period=FQ","BEST_FPERIOD_OVERRIDE=FQ","FILING_STATUS=MR","SCALING_FORMAT=MLN","Sort=A","Dates=H","DateFormat=P","Fill=—","Direction=H","UseDPDF=Y")</f>
        <v>#N/A Requesting Data...</v>
      </c>
      <c r="Y25" s="1" t="str">
        <f>_xll.BDH("ADSK US Equity","BS_TOTAL_AVAIL_LINE_OF_CREDIT","FQ4 2017","FQ4 2017","Currency=USD","Period=FQ","BEST_FPERIOD_OVERRIDE=FQ","FILING_STATUS=MR","SCALING_FORMAT=MLN","Sort=A","Dates=H","DateFormat=P","Fill=—","Direction=H","UseDPDF=Y")</f>
        <v>#N/A Requesting Data...</v>
      </c>
      <c r="Z25" s="1" t="str">
        <f>_xll.BDH("ADSK US Equity","BS_TOTAL_AVAIL_LINE_OF_CREDIT","FQ1 2018","FQ1 2018","Currency=USD","Period=FQ","BEST_FPERIOD_OVERRIDE=FQ","FILING_STATUS=MR","SCALING_FORMAT=MLN","Sort=A","Dates=H","DateFormat=P","Fill=—","Direction=H","UseDPDF=Y")</f>
        <v>#N/A Requesting Data...</v>
      </c>
      <c r="AA25" s="1">
        <f>_xll.BDH("ADSK US Equity","BS_TOTAL_AVAIL_LINE_OF_CREDIT","FQ2 2018","FQ2 2018","Currency=USD","Period=FQ","BEST_FPERIOD_OVERRIDE=FQ","FILING_STATUS=MR","SCALING_FORMAT=MLN","Sort=A","Dates=H","DateFormat=P","Fill=—","Direction=H","UseDPDF=Y")</f>
        <v>400</v>
      </c>
      <c r="AB25" s="1" t="str">
        <f>_xll.BDH("ADSK US Equity","BS_TOTAL_AVAIL_LINE_OF_CREDIT","FQ3 2018","FQ3 2018","Currency=USD","Period=FQ","BEST_FPERIOD_OVERRIDE=FQ","FILING_STATUS=MR","SCALING_FORMAT=MLN","Sort=A","Dates=H","DateFormat=P","Fill=—","Direction=H","UseDPDF=Y")</f>
        <v>#N/A Requesting Data...</v>
      </c>
      <c r="AC25" s="1" t="str">
        <f>_xll.BDH("ADSK US Equity","BS_TOTAL_AVAIL_LINE_OF_CREDIT","FQ4 2018","FQ4 2018","Currency=USD","Period=FQ","BEST_FPERIOD_OVERRIDE=FQ","FILING_STATUS=MR","SCALING_FORMAT=MLN","Sort=A","Dates=H","DateFormat=P","Fill=—","Direction=H","UseDPDF=Y")</f>
        <v>#N/A Requesting Data...</v>
      </c>
      <c r="AD25" s="1" t="str">
        <f>_xll.BDH("ADSK US Equity","BS_TOTAL_AVAIL_LINE_OF_CREDIT","FQ1 2019","FQ1 2019","Currency=USD","Period=FQ","BEST_FPERIOD_OVERRIDE=FQ","FILING_STATUS=MR","SCALING_FORMAT=MLN","Sort=A","Dates=H","DateFormat=P","Fill=—","Direction=H","UseDPDF=Y")</f>
        <v>#N/A Requesting Data...</v>
      </c>
      <c r="AE25" s="1" t="str">
        <f>_xll.BDH("ADSK US Equity","BS_TOTAL_AVAIL_LINE_OF_CREDIT","FQ2 2019","FQ2 2019","Currency=USD","Period=FQ","BEST_FPERIOD_OVERRIDE=FQ","FILING_STATUS=MR","SCALING_FORMAT=MLN","Sort=A","Dates=H","DateFormat=P","Fill=—","Direction=H","UseDPDF=Y")</f>
        <v>#N/A Requesting Data...</v>
      </c>
      <c r="AF25" s="1">
        <f>_xll.BDH("ADSK US Equity","BS_TOTAL_AVAIL_LINE_OF_CREDIT","FQ3 2019","FQ3 2019","Currency=USD","Period=FQ","BEST_FPERIOD_OVERRIDE=FQ","FILING_STATUS=MR","SCALING_FORMAT=MLN","Sort=A","Dates=H","DateFormat=P","Fill=—","Direction=H","UseDPDF=Y")</f>
        <v>400</v>
      </c>
      <c r="AG25" s="1">
        <f>_xll.BDH("ADSK US Equity","BS_TOTAL_AVAIL_LINE_OF_CREDIT","FQ4 2019","FQ4 2019","Currency=USD","Period=FQ","BEST_FPERIOD_OVERRIDE=FQ","FILING_STATUS=MR","SCALING_FORMAT=MLN","Sort=A","Dates=H","DateFormat=P","Fill=—","Direction=H","UseDPDF=Y")</f>
        <v>650</v>
      </c>
      <c r="AH25" s="1">
        <f>_xll.BDH("ADSK US Equity","BS_TOTAL_AVAIL_LINE_OF_CREDIT","FQ1 2020","FQ1 2020","Currency=USD","Period=FQ","BEST_FPERIOD_OVERRIDE=FQ","FILING_STATUS=MR","SCALING_FORMAT=MLN","Sort=A","Dates=H","DateFormat=P","Fill=—","Direction=H","UseDPDF=Y")</f>
        <v>650</v>
      </c>
      <c r="AI25" s="1" t="str">
        <f>_xll.BDH("ADSK US Equity","BS_TOTAL_AVAIL_LINE_OF_CREDIT","FQ2 2020","FQ2 2020","Currency=USD","Period=FQ","BEST_FPERIOD_OVERRIDE=FQ","FILING_STATUS=MR","SCALING_FORMAT=MLN","Sort=A","Dates=H","DateFormat=P","Fill=—","Direction=H","UseDPDF=Y")</f>
        <v>#N/A Requesting Data...</v>
      </c>
      <c r="AJ25" s="1">
        <f>_xll.BDH("ADSK US Equity","BS_TOTAL_AVAIL_LINE_OF_CREDIT","FQ3 2020","FQ3 2020","Currency=USD","Period=FQ","BEST_FPERIOD_OVERRIDE=FQ","FILING_STATUS=MR","SCALING_FORMAT=MLN","Sort=A","Dates=H","DateFormat=P","Fill=—","Direction=H","UseDPDF=Y")</f>
        <v>650</v>
      </c>
      <c r="AK25" s="1">
        <f>_xll.BDH("ADSK US Equity","BS_TOTAL_AVAIL_LINE_OF_CREDIT","FQ4 2020","FQ4 2020","Currency=USD","Period=FQ","BEST_FPERIOD_OVERRIDE=FQ","FILING_STATUS=MR","SCALING_FORMAT=MLN","Sort=A","Dates=H","DateFormat=P","Fill=—","Direction=H","UseDPDF=Y")</f>
        <v>650</v>
      </c>
      <c r="AL25" s="1" t="str">
        <f>_xll.BDH("ADSK US Equity","BS_TOTAL_AVAIL_LINE_OF_CREDIT","FQ1 2021","FQ1 2021","Currency=USD","Period=FQ","BEST_FPERIOD_OVERRIDE=FQ","FILING_STATUS=MR","SCALING_FORMAT=MLN","Sort=A","Dates=H","DateFormat=P","Fill=—","Direction=H","UseDPDF=Y")</f>
        <v>#N/A Requesting Data...</v>
      </c>
      <c r="AM25" s="1" t="str">
        <f>_xll.BDH("ADSK US Equity","BS_TOTAL_AVAIL_LINE_OF_CREDIT","FQ2 2021","FQ2 2021","Currency=USD","Period=FQ","BEST_FPERIOD_OVERRIDE=FQ","FILING_STATUS=MR","SCALING_FORMAT=MLN","Sort=A","Dates=H","DateFormat=P","Fill=—","Direction=H","UseDPDF=Y")</f>
        <v>#N/A Requesting Data...</v>
      </c>
      <c r="AN25" s="1" t="str">
        <f>_xll.BDH("ADSK US Equity","BS_TOTAL_AVAIL_LINE_OF_CREDIT","FQ3 2021","FQ3 2021","Currency=USD","Period=FQ","BEST_FPERIOD_OVERRIDE=FQ","FILING_STATUS=MR","SCALING_FORMAT=MLN","Sort=A","Dates=H","DateFormat=P","Fill=—","Direction=H","UseDPDF=Y")</f>
        <v>#N/A Requesting Data...</v>
      </c>
      <c r="AO25" s="1" t="str">
        <f>_xll.BDH("ADSK US Equity","BS_TOTAL_AVAIL_LINE_OF_CREDIT","FQ4 2021","FQ4 2021","Currency=USD","Period=FQ","BEST_FPERIOD_OVERRIDE=FQ","FILING_STATUS=MR","SCALING_FORMAT=MLN","Sort=A","Dates=H","DateFormat=P","Fill=—","Direction=H","UseDPDF=Y")</f>
        <v>#N/A Requesting Data...</v>
      </c>
      <c r="AP25" s="1" t="str">
        <f>_xll.BDH("ADSK US Equity","BS_TOTAL_AVAIL_LINE_OF_CREDIT","FQ1 2022","FQ1 2022","Currency=USD","Period=FQ","BEST_FPERIOD_OVERRIDE=FQ","FILING_STATUS=MR","SCALING_FORMAT=MLN","Sort=A","Dates=H","DateFormat=P","Fill=—","Direction=H","UseDPDF=Y")</f>
        <v>#N/A Requesting Data...</v>
      </c>
    </row>
    <row r="26" spans="1:42" x14ac:dyDescent="0.25">
      <c r="A26" s="8" t="s">
        <v>160</v>
      </c>
      <c r="B26" s="8" t="s">
        <v>159</v>
      </c>
      <c r="C26" s="1" t="str">
        <f>_xll.BDH("ADSK US Equity","LINE_OF_CREDIT_UTILIZED_AMOUNT","FQ2 2012","FQ2 2012","Currency=USD","Period=FQ","BEST_FPERIOD_OVERRIDE=FQ","FILING_STATUS=MR","SCALING_FORMAT=MLN","Sort=A","Dates=H","DateFormat=P","Fill=—","Direction=H","UseDPDF=Y")</f>
        <v>—</v>
      </c>
      <c r="D26" s="1" t="str">
        <f>_xll.BDH("ADSK US Equity","LINE_OF_CREDIT_UTILIZED_AMOUNT","FQ3 2012","FQ3 2012","Currency=USD","Period=FQ","BEST_FPERIOD_OVERRIDE=FQ","FILING_STATUS=MR","SCALING_FORMAT=MLN","Sort=A","Dates=H","DateFormat=P","Fill=—","Direction=H","UseDPDF=Y")</f>
        <v>—</v>
      </c>
      <c r="E26" s="1" t="str">
        <f>_xll.BDH("ADSK US Equity","LINE_OF_CREDIT_UTILIZED_AMOUNT","FQ4 2012","FQ4 2012","Currency=USD","Period=FQ","BEST_FPERIOD_OVERRIDE=FQ","FILING_STATUS=MR","SCALING_FORMAT=MLN","Sort=A","Dates=H","DateFormat=P","Fill=—","Direction=H","UseDPDF=Y")</f>
        <v>—</v>
      </c>
      <c r="F26" s="1" t="str">
        <f>_xll.BDH("ADSK US Equity","LINE_OF_CREDIT_UTILIZED_AMOUNT","FQ1 2013","FQ1 2013","Currency=USD","Period=FQ","BEST_FPERIOD_OVERRIDE=FQ","FILING_STATUS=MR","SCALING_FORMAT=MLN","Sort=A","Dates=H","DateFormat=P","Fill=—","Direction=H","UseDPDF=Y")</f>
        <v>—</v>
      </c>
      <c r="G26" s="1" t="str">
        <f>_xll.BDH("ADSK US Equity","LINE_OF_CREDIT_UTILIZED_AMOUNT","FQ2 2013","FQ2 2013","Currency=USD","Period=FQ","BEST_FPERIOD_OVERRIDE=FQ","FILING_STATUS=MR","SCALING_FORMAT=MLN","Sort=A","Dates=H","DateFormat=P","Fill=—","Direction=H","UseDPDF=Y")</f>
        <v>—</v>
      </c>
      <c r="H26" s="1" t="str">
        <f>_xll.BDH("ADSK US Equity","LINE_OF_CREDIT_UTILIZED_AMOUNT","FQ3 2013","FQ3 2013","Currency=USD","Period=FQ","BEST_FPERIOD_OVERRIDE=FQ","FILING_STATUS=MR","SCALING_FORMAT=MLN","Sort=A","Dates=H","DateFormat=P","Fill=—","Direction=H","UseDPDF=Y")</f>
        <v>#N/A Requesting Data...</v>
      </c>
      <c r="I26" s="1">
        <f>_xll.BDH("ADSK US Equity","LINE_OF_CREDIT_UTILIZED_AMOUNT","FQ4 2013","FQ4 2013","Currency=USD","Period=FQ","BEST_FPERIOD_OVERRIDE=FQ","FILING_STATUS=MR","SCALING_FORMAT=MLN","Sort=A","Dates=H","DateFormat=P","Fill=—","Direction=H","UseDPDF=Y")</f>
        <v>0</v>
      </c>
      <c r="J26" s="1" t="str">
        <f>_xll.BDH("ADSK US Equity","LINE_OF_CREDIT_UTILIZED_AMOUNT","FQ1 2014","FQ1 2014","Currency=USD","Period=FQ","BEST_FPERIOD_OVERRIDE=FQ","FILING_STATUS=MR","SCALING_FORMAT=MLN","Sort=A","Dates=H","DateFormat=P","Fill=—","Direction=H","UseDPDF=Y")</f>
        <v>#N/A Requesting Data...</v>
      </c>
      <c r="K26" s="1" t="str">
        <f>_xll.BDH("ADSK US Equity","LINE_OF_CREDIT_UTILIZED_AMOUNT","FQ2 2014","FQ2 2014","Currency=USD","Period=FQ","BEST_FPERIOD_OVERRIDE=FQ","FILING_STATUS=MR","SCALING_FORMAT=MLN","Sort=A","Dates=H","DateFormat=P","Fill=—","Direction=H","UseDPDF=Y")</f>
        <v>#N/A Requesting Data...</v>
      </c>
      <c r="L26" s="1" t="str">
        <f>_xll.BDH("ADSK US Equity","LINE_OF_CREDIT_UTILIZED_AMOUNT","FQ3 2014","FQ3 2014","Currency=USD","Period=FQ","BEST_FPERIOD_OVERRIDE=FQ","FILING_STATUS=MR","SCALING_FORMAT=MLN","Sort=A","Dates=H","DateFormat=P","Fill=—","Direction=H","UseDPDF=Y")</f>
        <v>#N/A Requesting Data...</v>
      </c>
      <c r="M26" s="1" t="str">
        <f>_xll.BDH("ADSK US Equity","LINE_OF_CREDIT_UTILIZED_AMOUNT","FQ4 2014","FQ4 2014","Currency=USD","Period=FQ","BEST_FPERIOD_OVERRIDE=FQ","FILING_STATUS=MR","SCALING_FORMAT=MLN","Sort=A","Dates=H","DateFormat=P","Fill=—","Direction=H","UseDPDF=Y")</f>
        <v>#N/A Requesting Data...</v>
      </c>
      <c r="N26" s="1" t="str">
        <f>_xll.BDH("ADSK US Equity","LINE_OF_CREDIT_UTILIZED_AMOUNT","FQ1 2015","FQ1 2015","Currency=USD","Period=FQ","BEST_FPERIOD_OVERRIDE=FQ","FILING_STATUS=MR","SCALING_FORMAT=MLN","Sort=A","Dates=H","DateFormat=P","Fill=—","Direction=H","UseDPDF=Y")</f>
        <v>#N/A Requesting Data...</v>
      </c>
      <c r="O26" s="1">
        <f>_xll.BDH("ADSK US Equity","LINE_OF_CREDIT_UTILIZED_AMOUNT","FQ2 2015","FQ2 2015","Currency=USD","Period=FQ","BEST_FPERIOD_OVERRIDE=FQ","FILING_STATUS=MR","SCALING_FORMAT=MLN","Sort=A","Dates=H","DateFormat=P","Fill=—","Direction=H","UseDPDF=Y")</f>
        <v>0</v>
      </c>
      <c r="P26" s="1">
        <f>_xll.BDH("ADSK US Equity","LINE_OF_CREDIT_UTILIZED_AMOUNT","FQ3 2015","FQ3 2015","Currency=USD","Period=FQ","BEST_FPERIOD_OVERRIDE=FQ","FILING_STATUS=MR","SCALING_FORMAT=MLN","Sort=A","Dates=H","DateFormat=P","Fill=—","Direction=H","UseDPDF=Y")</f>
        <v>0</v>
      </c>
      <c r="Q26" s="1">
        <f>_xll.BDH("ADSK US Equity","LINE_OF_CREDIT_UTILIZED_AMOUNT","FQ4 2015","FQ4 2015","Currency=USD","Period=FQ","BEST_FPERIOD_OVERRIDE=FQ","FILING_STATUS=MR","SCALING_FORMAT=MLN","Sort=A","Dates=H","DateFormat=P","Fill=—","Direction=H","UseDPDF=Y")</f>
        <v>0</v>
      </c>
      <c r="R26" s="1">
        <f>_xll.BDH("ADSK US Equity","LINE_OF_CREDIT_UTILIZED_AMOUNT","FQ1 2016","FQ1 2016","Currency=USD","Period=FQ","BEST_FPERIOD_OVERRIDE=FQ","FILING_STATUS=MR","SCALING_FORMAT=MLN","Sort=A","Dates=H","DateFormat=P","Fill=—","Direction=H","UseDPDF=Y")</f>
        <v>0</v>
      </c>
      <c r="S26" s="1" t="str">
        <f>_xll.BDH("ADSK US Equity","LINE_OF_CREDIT_UTILIZED_AMOUNT","FQ2 2016","FQ2 2016","Currency=USD","Period=FQ","BEST_FPERIOD_OVERRIDE=FQ","FILING_STATUS=MR","SCALING_FORMAT=MLN","Sort=A","Dates=H","DateFormat=P","Fill=—","Direction=H","UseDPDF=Y")</f>
        <v>#N/A Requesting Data...</v>
      </c>
      <c r="T26" s="1" t="str">
        <f>_xll.BDH("ADSK US Equity","LINE_OF_CREDIT_UTILIZED_AMOUNT","FQ3 2016","FQ3 2016","Currency=USD","Period=FQ","BEST_FPERIOD_OVERRIDE=FQ","FILING_STATUS=MR","SCALING_FORMAT=MLN","Sort=A","Dates=H","DateFormat=P","Fill=—","Direction=H","UseDPDF=Y")</f>
        <v>#N/A Requesting Data...</v>
      </c>
      <c r="U26" s="1" t="str">
        <f>_xll.BDH("ADSK US Equity","LINE_OF_CREDIT_UTILIZED_AMOUNT","FQ4 2016","FQ4 2016","Currency=USD","Period=FQ","BEST_FPERIOD_OVERRIDE=FQ","FILING_STATUS=MR","SCALING_FORMAT=MLN","Sort=A","Dates=H","DateFormat=P","Fill=—","Direction=H","UseDPDF=Y")</f>
        <v>#N/A Requesting Data...</v>
      </c>
      <c r="V26" s="1" t="str">
        <f>_xll.BDH("ADSK US Equity","LINE_OF_CREDIT_UTILIZED_AMOUNT","FQ1 2017","FQ1 2017","Currency=USD","Period=FQ","BEST_FPERIOD_OVERRIDE=FQ","FILING_STATUS=MR","SCALING_FORMAT=MLN","Sort=A","Dates=H","DateFormat=P","Fill=—","Direction=H","UseDPDF=Y")</f>
        <v>#N/A Requesting Data...</v>
      </c>
      <c r="W26" s="1">
        <f>_xll.BDH("ADSK US Equity","LINE_OF_CREDIT_UTILIZED_AMOUNT","FQ2 2017","FQ2 2017","Currency=USD","Period=FQ","BEST_FPERIOD_OVERRIDE=FQ","FILING_STATUS=MR","SCALING_FORMAT=MLN","Sort=A","Dates=H","DateFormat=P","Fill=—","Direction=H","UseDPDF=Y")</f>
        <v>0</v>
      </c>
      <c r="X26" s="1" t="str">
        <f>_xll.BDH("ADSK US Equity","LINE_OF_CREDIT_UTILIZED_AMOUNT","FQ3 2017","FQ3 2017","Currency=USD","Period=FQ","BEST_FPERIOD_OVERRIDE=FQ","FILING_STATUS=MR","SCALING_FORMAT=MLN","Sort=A","Dates=H","DateFormat=P","Fill=—","Direction=H","UseDPDF=Y")</f>
        <v>#N/A Requesting Data...</v>
      </c>
      <c r="Y26" s="1" t="str">
        <f>_xll.BDH("ADSK US Equity","LINE_OF_CREDIT_UTILIZED_AMOUNT","FQ4 2017","FQ4 2017","Currency=USD","Period=FQ","BEST_FPERIOD_OVERRIDE=FQ","FILING_STATUS=MR","SCALING_FORMAT=MLN","Sort=A","Dates=H","DateFormat=P","Fill=—","Direction=H","UseDPDF=Y")</f>
        <v>#N/A Requesting Data...</v>
      </c>
      <c r="Z26" s="1">
        <f>_xll.BDH("ADSK US Equity","LINE_OF_CREDIT_UTILIZED_AMOUNT","FQ1 2018","FQ1 2018","Currency=USD","Period=FQ","BEST_FPERIOD_OVERRIDE=FQ","FILING_STATUS=MR","SCALING_FORMAT=MLN","Sort=A","Dates=H","DateFormat=P","Fill=—","Direction=H","UseDPDF=Y")</f>
        <v>0</v>
      </c>
      <c r="AA26" s="1">
        <f>_xll.BDH("ADSK US Equity","LINE_OF_CREDIT_UTILIZED_AMOUNT","FQ2 2018","FQ2 2018","Currency=USD","Period=FQ","BEST_FPERIOD_OVERRIDE=FQ","FILING_STATUS=MR","SCALING_FORMAT=MLN","Sort=A","Dates=H","DateFormat=P","Fill=—","Direction=H","UseDPDF=Y")</f>
        <v>0</v>
      </c>
      <c r="AB26" s="1">
        <f>_xll.BDH("ADSK US Equity","LINE_OF_CREDIT_UTILIZED_AMOUNT","FQ3 2018","FQ3 2018","Currency=USD","Period=FQ","BEST_FPERIOD_OVERRIDE=FQ","FILING_STATUS=MR","SCALING_FORMAT=MLN","Sort=A","Dates=H","DateFormat=P","Fill=—","Direction=H","UseDPDF=Y")</f>
        <v>0</v>
      </c>
      <c r="AC26" s="1">
        <f>_xll.BDH("ADSK US Equity","LINE_OF_CREDIT_UTILIZED_AMOUNT","FQ4 2018","FQ4 2018","Currency=USD","Period=FQ","BEST_FPERIOD_OVERRIDE=FQ","FILING_STATUS=MR","SCALING_FORMAT=MLN","Sort=A","Dates=H","DateFormat=P","Fill=—","Direction=H","UseDPDF=Y")</f>
        <v>0</v>
      </c>
      <c r="AD26" s="1">
        <f>_xll.BDH("ADSK US Equity","LINE_OF_CREDIT_UTILIZED_AMOUNT","FQ1 2019","FQ1 2019","Currency=USD","Period=FQ","BEST_FPERIOD_OVERRIDE=FQ","FILING_STATUS=MR","SCALING_FORMAT=MLN","Sort=A","Dates=H","DateFormat=P","Fill=—","Direction=H","UseDPDF=Y")</f>
        <v>0</v>
      </c>
      <c r="AE26" s="1" t="str">
        <f>_xll.BDH("ADSK US Equity","LINE_OF_CREDIT_UTILIZED_AMOUNT","FQ2 2019","FQ2 2019","Currency=USD","Period=FQ","BEST_FPERIOD_OVERRIDE=FQ","FILING_STATUS=MR","SCALING_FORMAT=MLN","Sort=A","Dates=H","DateFormat=P","Fill=—","Direction=H","UseDPDF=Y")</f>
        <v>#N/A Requesting Data...</v>
      </c>
      <c r="AF26" s="1">
        <f>_xll.BDH("ADSK US Equity","LINE_OF_CREDIT_UTILIZED_AMOUNT","FQ3 2019","FQ3 2019","Currency=USD","Period=FQ","BEST_FPERIOD_OVERRIDE=FQ","FILING_STATUS=MR","SCALING_FORMAT=MLN","Sort=A","Dates=H","DateFormat=P","Fill=—","Direction=H","UseDPDF=Y")</f>
        <v>0</v>
      </c>
      <c r="AG26" s="1">
        <f>_xll.BDH("ADSK US Equity","LINE_OF_CREDIT_UTILIZED_AMOUNT","FQ4 2019","FQ4 2019","Currency=USD","Period=FQ","BEST_FPERIOD_OVERRIDE=FQ","FILING_STATUS=MR","SCALING_FORMAT=MLN","Sort=A","Dates=H","DateFormat=P","Fill=—","Direction=H","UseDPDF=Y")</f>
        <v>0</v>
      </c>
      <c r="AH26" s="1" t="str">
        <f>_xll.BDH("ADSK US Equity","LINE_OF_CREDIT_UTILIZED_AMOUNT","FQ1 2020","FQ1 2020","Currency=USD","Period=FQ","BEST_FPERIOD_OVERRIDE=FQ","FILING_STATUS=MR","SCALING_FORMAT=MLN","Sort=A","Dates=H","DateFormat=P","Fill=—","Direction=H","UseDPDF=Y")</f>
        <v>#N/A Requesting Data...</v>
      </c>
      <c r="AI26" s="1">
        <f>_xll.BDH("ADSK US Equity","LINE_OF_CREDIT_UTILIZED_AMOUNT","FQ2 2020","FQ2 2020","Currency=USD","Period=FQ","BEST_FPERIOD_OVERRIDE=FQ","FILING_STATUS=MR","SCALING_FORMAT=MLN","Sort=A","Dates=H","DateFormat=P","Fill=—","Direction=H","UseDPDF=Y")</f>
        <v>0</v>
      </c>
      <c r="AJ26" s="1" t="str">
        <f>_xll.BDH("ADSK US Equity","LINE_OF_CREDIT_UTILIZED_AMOUNT","FQ3 2020","FQ3 2020","Currency=USD","Period=FQ","BEST_FPERIOD_OVERRIDE=FQ","FILING_STATUS=MR","SCALING_FORMAT=MLN","Sort=A","Dates=H","DateFormat=P","Fill=—","Direction=H","UseDPDF=Y")</f>
        <v>#N/A Requesting Data...</v>
      </c>
      <c r="AK26" s="1" t="str">
        <f>_xll.BDH("ADSK US Equity","LINE_OF_CREDIT_UTILIZED_AMOUNT","FQ4 2020","FQ4 2020","Currency=USD","Period=FQ","BEST_FPERIOD_OVERRIDE=FQ","FILING_STATUS=MR","SCALING_FORMAT=MLN","Sort=A","Dates=H","DateFormat=P","Fill=—","Direction=H","UseDPDF=Y")</f>
        <v>#N/A Requesting Data...</v>
      </c>
      <c r="AL26" s="1" t="str">
        <f>_xll.BDH("ADSK US Equity","LINE_OF_CREDIT_UTILIZED_AMOUNT","FQ1 2021","FQ1 2021","Currency=USD","Period=FQ","BEST_FPERIOD_OVERRIDE=FQ","FILING_STATUS=MR","SCALING_FORMAT=MLN","Sort=A","Dates=H","DateFormat=P","Fill=—","Direction=H","UseDPDF=Y")</f>
        <v>#N/A Requesting Data...</v>
      </c>
      <c r="AM26" s="1">
        <f>_xll.BDH("ADSK US Equity","LINE_OF_CREDIT_UTILIZED_AMOUNT","FQ2 2021","FQ2 2021","Currency=USD","Period=FQ","BEST_FPERIOD_OVERRIDE=FQ","FILING_STATUS=MR","SCALING_FORMAT=MLN","Sort=A","Dates=H","DateFormat=P","Fill=—","Direction=H","UseDPDF=Y")</f>
        <v>0</v>
      </c>
      <c r="AN26" s="1">
        <f>_xll.BDH("ADSK US Equity","LINE_OF_CREDIT_UTILIZED_AMOUNT","FQ3 2021","FQ3 2021","Currency=USD","Period=FQ","BEST_FPERIOD_OVERRIDE=FQ","FILING_STATUS=MR","SCALING_FORMAT=MLN","Sort=A","Dates=H","DateFormat=P","Fill=—","Direction=H","UseDPDF=Y")</f>
        <v>0</v>
      </c>
      <c r="AO26" s="1">
        <f>_xll.BDH("ADSK US Equity","LINE_OF_CREDIT_UTILIZED_AMOUNT","FQ4 2021","FQ4 2021","Currency=USD","Period=FQ","BEST_FPERIOD_OVERRIDE=FQ","FILING_STATUS=MR","SCALING_FORMAT=MLN","Sort=A","Dates=H","DateFormat=P","Fill=—","Direction=H","UseDPDF=Y")</f>
        <v>0</v>
      </c>
      <c r="AP26" s="1">
        <f>_xll.BDH("ADSK US Equity","LINE_OF_CREDIT_UTILIZED_AMOUNT","FQ1 2022","FQ1 2022","Currency=USD","Period=FQ","BEST_FPERIOD_OVERRIDE=FQ","FILING_STATUS=MR","SCALING_FORMAT=MLN","Sort=A","Dates=H","DateFormat=P","Fill=—","Direction=H","UseDPDF=Y")</f>
        <v>0</v>
      </c>
    </row>
    <row r="27" spans="1:42" x14ac:dyDescent="0.25">
      <c r="A27" s="8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</row>
    <row r="28" spans="1:42" x14ac:dyDescent="0.25">
      <c r="A28" s="15" t="s">
        <v>117</v>
      </c>
      <c r="B28" s="15"/>
      <c r="C28" s="15" t="s"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193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192</v>
      </c>
      <c r="B6" s="8" t="s">
        <v>191</v>
      </c>
      <c r="C6" s="21">
        <f>_xll.BDH("ADSK US Equity","CASH_RATIO","FQ2 2012","FQ2 2012","Currency=USD","Period=FQ","BEST_FPERIOD_OVERRIDE=FQ","FILING_STATUS=MR","Sort=A","Dates=H","DateFormat=P","Fill=—","Direction=H","UseDPDF=Y")</f>
        <v>1.6604000000000001</v>
      </c>
      <c r="D6" s="21">
        <f>_xll.BDH("ADSK US Equity","CASH_RATIO","FQ3 2012","FQ3 2012","Currency=USD","Period=FQ","BEST_FPERIOD_OVERRIDE=FQ","FILING_STATUS=MR","Sort=A","Dates=H","DateFormat=P","Fill=—","Direction=H","UseDPDF=Y")</f>
        <v>1.6514</v>
      </c>
      <c r="E6" s="21">
        <f>_xll.BDH("ADSK US Equity","CASH_RATIO","FQ4 2012","FQ4 2012","Currency=USD","Period=FQ","BEST_FPERIOD_OVERRIDE=FQ","FILING_STATUS=MR","Sort=A","Dates=H","DateFormat=P","Fill=—","Direction=H","UseDPDF=Y")</f>
        <v>1.4792000000000001</v>
      </c>
      <c r="F6" s="21">
        <f>_xll.BDH("ADSK US Equity","CASH_RATIO","FQ1 2013","FQ1 2013","Currency=USD","Period=FQ","BEST_FPERIOD_OVERRIDE=FQ","FILING_STATUS=MR","Sort=A","Dates=H","DateFormat=P","Fill=—","Direction=H","UseDPDF=Y")</f>
        <v>1.7269999999999999</v>
      </c>
      <c r="G6" s="21">
        <f>_xll.BDH("ADSK US Equity","CASH_RATIO","FQ2 2013","FQ2 2013","Currency=USD","Period=FQ","BEST_FPERIOD_OVERRIDE=FQ","FILING_STATUS=MR","Sort=A","Dates=H","DateFormat=P","Fill=—","Direction=H","UseDPDF=Y")</f>
        <v>1.5872000000000002</v>
      </c>
      <c r="H6" s="21">
        <f>_xll.BDH("ADSK US Equity","CASH_RATIO","FQ3 2013","FQ3 2013","Currency=USD","Period=FQ","BEST_FPERIOD_OVERRIDE=FQ","FILING_STATUS=MR","Sort=A","Dates=H","DateFormat=P","Fill=—","Direction=H","UseDPDF=Y")</f>
        <v>1.3489</v>
      </c>
      <c r="I6" s="21">
        <f>_xll.BDH("ADSK US Equity","CASH_RATIO","FQ4 2013","FQ4 2013","Currency=USD","Period=FQ","BEST_FPERIOD_OVERRIDE=FQ","FILING_STATUS=MR","Sort=A","Dates=H","DateFormat=P","Fill=—","Direction=H","UseDPDF=Y")</f>
        <v>1.8725000000000001</v>
      </c>
      <c r="J6" s="21">
        <f>_xll.BDH("ADSK US Equity","CASH_RATIO","FQ1 2014","FQ1 2014","Currency=USD","Period=FQ","BEST_FPERIOD_OVERRIDE=FQ","FILING_STATUS=MR","Sort=A","Dates=H","DateFormat=P","Fill=—","Direction=H","UseDPDF=Y")</f>
        <v>2.1309</v>
      </c>
      <c r="K6" s="21">
        <f>_xll.BDH("ADSK US Equity","CASH_RATIO","FQ2 2014","FQ2 2014","Currency=USD","Period=FQ","BEST_FPERIOD_OVERRIDE=FQ","FILING_STATUS=MR","Sort=A","Dates=H","DateFormat=P","Fill=—","Direction=H","UseDPDF=Y")</f>
        <v>2.0901000000000001</v>
      </c>
      <c r="L6" s="21">
        <f>_xll.BDH("ADSK US Equity","CASH_RATIO","FQ3 2014","FQ3 2014","Currency=USD","Period=FQ","BEST_FPERIOD_OVERRIDE=FQ","FILING_STATUS=MR","Sort=A","Dates=H","DateFormat=P","Fill=—","Direction=H","UseDPDF=Y")</f>
        <v>2.1733000000000002</v>
      </c>
      <c r="M6" s="21">
        <f>_xll.BDH("ADSK US Equity","CASH_RATIO","FQ4 2014","FQ4 2014","Currency=USD","Period=FQ","BEST_FPERIOD_OVERRIDE=FQ","FILING_STATUS=MR","Sort=A","Dates=H","DateFormat=P","Fill=—","Direction=H","UseDPDF=Y")</f>
        <v>2.1158000000000001</v>
      </c>
      <c r="N6" s="21">
        <f>_xll.BDH("ADSK US Equity","CASH_RATIO","FQ1 2015","FQ1 2015","Currency=USD","Period=FQ","BEST_FPERIOD_OVERRIDE=FQ","FILING_STATUS=MR","Sort=A","Dates=H","DateFormat=P","Fill=—","Direction=H","UseDPDF=Y")</f>
        <v>1.8948</v>
      </c>
      <c r="O6" s="21">
        <f>_xll.BDH("ADSK US Equity","CASH_RATIO","FQ2 2015","FQ2 2015","Currency=USD","Period=FQ","BEST_FPERIOD_OVERRIDE=FQ","FILING_STATUS=MR","Sort=A","Dates=H","DateFormat=P","Fill=—","Direction=H","UseDPDF=Y")</f>
        <v>1.6473</v>
      </c>
      <c r="P6" s="21">
        <f>_xll.BDH("ADSK US Equity","CASH_RATIO","FQ3 2015","FQ3 2015","Currency=USD","Period=FQ","BEST_FPERIOD_OVERRIDE=FQ","FILING_STATUS=MR","Sort=A","Dates=H","DateFormat=P","Fill=—","Direction=H","UseDPDF=Y")</f>
        <v>1.5933999999999999</v>
      </c>
      <c r="Q6" s="21">
        <f>_xll.BDH("ADSK US Equity","CASH_RATIO","FQ4 2015","FQ4 2015","Currency=USD","Period=FQ","BEST_FPERIOD_OVERRIDE=FQ","FILING_STATUS=MR","Sort=A","Dates=H","DateFormat=P","Fill=—","Direction=H","UseDPDF=Y")</f>
        <v>1.4473</v>
      </c>
      <c r="R6" s="21">
        <f>_xll.BDH("ADSK US Equity","CASH_RATIO","FQ1 2016","FQ1 2016","Currency=USD","Period=FQ","BEST_FPERIOD_OVERRIDE=FQ","FILING_STATUS=MR","Sort=A","Dates=H","DateFormat=P","Fill=—","Direction=H","UseDPDF=Y")</f>
        <v>1.4413</v>
      </c>
      <c r="S6" s="21">
        <f>_xll.BDH("ADSK US Equity","CASH_RATIO","FQ2 2016","FQ2 2016","Currency=USD","Period=FQ","BEST_FPERIOD_OVERRIDE=FQ","FILING_STATUS=MR","Sort=A","Dates=H","DateFormat=P","Fill=—","Direction=H","UseDPDF=Y")</f>
        <v>1.8191000000000002</v>
      </c>
      <c r="T6" s="21">
        <f>_xll.BDH("ADSK US Equity","CASH_RATIO","FQ3 2016","FQ3 2016","Currency=USD","Period=FQ","BEST_FPERIOD_OVERRIDE=FQ","FILING_STATUS=MR","Sort=A","Dates=H","DateFormat=P","Fill=—","Direction=H","UseDPDF=Y")</f>
        <v>1.7421</v>
      </c>
      <c r="U6" s="21">
        <f>_xll.BDH("ADSK US Equity","CASH_RATIO","FQ4 2016","FQ4 2016","Currency=USD","Period=FQ","BEST_FPERIOD_OVERRIDE=FQ","FILING_STATUS=MR","Sort=A","Dates=H","DateFormat=P","Fill=—","Direction=H","UseDPDF=Y")</f>
        <v>1.4148000000000001</v>
      </c>
      <c r="V6" s="21">
        <f>_xll.BDH("ADSK US Equity","CASH_RATIO","FQ1 2017","FQ1 2017","Currency=USD","Period=FQ","BEST_FPERIOD_OVERRIDE=FQ","FILING_STATUS=MR","Sort=A","Dates=H","DateFormat=P","Fill=—","Direction=H","UseDPDF=Y")</f>
        <v>1.5377000000000001</v>
      </c>
      <c r="W6" s="21">
        <f>_xll.BDH("ADSK US Equity","CASH_RATIO","FQ2 2017","FQ2 2017","Currency=USD","Period=FQ","BEST_FPERIOD_OVERRIDE=FQ","FILING_STATUS=MR","Sort=A","Dates=H","DateFormat=P","Fill=—","Direction=H","UseDPDF=Y")</f>
        <v>1.3240000000000001</v>
      </c>
      <c r="X6" s="21">
        <f>_xll.BDH("ADSK US Equity","CASH_RATIO","FQ3 2017","FQ3 2017","Currency=USD","Period=FQ","BEST_FPERIOD_OVERRIDE=FQ","FILING_STATUS=MR","Sort=A","Dates=H","DateFormat=P","Fill=—","Direction=H","UseDPDF=Y")</f>
        <v>1.2323999999999999</v>
      </c>
      <c r="Y6" s="21">
        <f>_xll.BDH("ADSK US Equity","CASH_RATIO","FQ4 2017","FQ4 2017","Currency=USD","Period=FQ","BEST_FPERIOD_OVERRIDE=FQ","FILING_STATUS=MR","Sort=A","Dates=H","DateFormat=P","Fill=—","Direction=H","UseDPDF=Y")</f>
        <v>0.86939999999999995</v>
      </c>
      <c r="Z6" s="21">
        <f>_xll.BDH("ADSK US Equity","CASH_RATIO","FQ1 2018","FQ1 2018","Currency=USD","Period=FQ","BEST_FPERIOD_OVERRIDE=FQ","FILING_STATUS=MR","Sort=A","Dates=H","DateFormat=P","Fill=—","Direction=H","UseDPDF=Y")</f>
        <v>0.88370000000000004</v>
      </c>
      <c r="AA6" s="21">
        <f>_xll.BDH("ADSK US Equity","CASH_RATIO","FQ2 2018","FQ2 2018","Currency=USD","Period=FQ","BEST_FPERIOD_OVERRIDE=FQ","FILING_STATUS=MR","Sort=A","Dates=H","DateFormat=P","Fill=—","Direction=H","UseDPDF=Y")</f>
        <v>1.0035000000000001</v>
      </c>
      <c r="AB6" s="21">
        <f>_xll.BDH("ADSK US Equity","CASH_RATIO","FQ3 2018","FQ3 2018","Currency=USD","Period=FQ","BEST_FPERIOD_OVERRIDE=FQ","FILING_STATUS=MR","Sort=A","Dates=H","DateFormat=P","Fill=—","Direction=H","UseDPDF=Y")</f>
        <v>0.83079999999999998</v>
      </c>
      <c r="AC6" s="21">
        <f>_xll.BDH("ADSK US Equity","CASH_RATIO","FQ4 2018","FQ4 2018","Currency=USD","Period=FQ","BEST_FPERIOD_OVERRIDE=FQ","FILING_STATUS=MR","Sort=A","Dates=H","DateFormat=P","Fill=—","Direction=H","UseDPDF=Y")</f>
        <v>0.62319999999999998</v>
      </c>
      <c r="AD6" s="21">
        <f>_xll.BDH("ADSK US Equity","CASH_RATIO","FQ1 2019","FQ1 2019","Currency=USD","Period=FQ","BEST_FPERIOD_OVERRIDE=FQ","FILING_STATUS=MR","Sort=A","Dates=H","DateFormat=P","Fill=—","Direction=H","UseDPDF=Y")</f>
        <v>0.69789999999999996</v>
      </c>
      <c r="AE6" s="21">
        <f>_xll.BDH("ADSK US Equity","CASH_RATIO","FQ2 2019","FQ2 2019","Currency=USD","Period=FQ","BEST_FPERIOD_OVERRIDE=FQ","FILING_STATUS=MR","Sort=A","Dates=H","DateFormat=P","Fill=—","Direction=H","UseDPDF=Y")</f>
        <v>0.61080000000000001</v>
      </c>
      <c r="AF6" s="21">
        <f>_xll.BDH("ADSK US Equity","CASH_RATIO","FQ3 2019","FQ3 2019","Currency=USD","Period=FQ","BEST_FPERIOD_OVERRIDE=FQ","FILING_STATUS=MR","Sort=A","Dates=H","DateFormat=P","Fill=—","Direction=H","UseDPDF=Y")</f>
        <v>0.54300000000000004</v>
      </c>
      <c r="AG6" s="21">
        <f>_xll.BDH("ADSK US Equity","CASH_RATIO","FQ4 2019","FQ4 2019","Currency=USD","Period=FQ","BEST_FPERIOD_OVERRIDE=FQ","FILING_STATUS=MR","Sort=A","Dates=H","DateFormat=P","Fill=—","Direction=H","UseDPDF=Y")</f>
        <v>0.41439999999999999</v>
      </c>
      <c r="AH6" s="21">
        <f>_xll.BDH("ADSK US Equity","CASH_RATIO","FQ1 2020","FQ1 2020","Currency=USD","Period=FQ","BEST_FPERIOD_OVERRIDE=FQ","FILING_STATUS=MR","Sort=A","Dates=H","DateFormat=P","Fill=—","Direction=H","UseDPDF=Y")</f>
        <v>0.43769999999999998</v>
      </c>
      <c r="AI6" s="21">
        <f>_xll.BDH("ADSK US Equity","CASH_RATIO","FQ2 2020","FQ2 2020","Currency=USD","Period=FQ","BEST_FPERIOD_OVERRIDE=FQ","FILING_STATUS=MR","Sort=A","Dates=H","DateFormat=P","Fill=—","Direction=H","UseDPDF=Y")</f>
        <v>0.36620000000000003</v>
      </c>
      <c r="AJ6" s="21">
        <f>_xll.BDH("ADSK US Equity","CASH_RATIO","FQ3 2020","FQ3 2020","Currency=USD","Period=FQ","BEST_FPERIOD_OVERRIDE=FQ","FILING_STATUS=MR","Sort=A","Dates=H","DateFormat=P","Fill=—","Direction=H","UseDPDF=Y")</f>
        <v>0.36070000000000002</v>
      </c>
      <c r="AK6" s="21">
        <f>_xll.BDH("ADSK US Equity","CASH_RATIO","FQ4 2020","FQ4 2020","Currency=USD","Period=FQ","BEST_FPERIOD_OVERRIDE=FQ","FILING_STATUS=MR","Sort=A","Dates=H","DateFormat=P","Fill=—","Direction=H","UseDPDF=Y")</f>
        <v>0.57269999999999999</v>
      </c>
      <c r="AL6" s="21">
        <f>_xll.BDH("ADSK US Equity","CASH_RATIO","FQ1 2021","FQ1 2021","Currency=USD","Period=FQ","BEST_FPERIOD_OVERRIDE=FQ","FILING_STATUS=MR","Sort=A","Dates=H","DateFormat=P","Fill=—","Direction=H","UseDPDF=Y")</f>
        <v>0.56889999999999996</v>
      </c>
      <c r="AM6" s="21">
        <f>_xll.BDH("ADSK US Equity","CASH_RATIO","FQ2 2021","FQ2 2021","Currency=USD","Period=FQ","BEST_FPERIOD_OVERRIDE=FQ","FILING_STATUS=MR","Sort=A","Dates=H","DateFormat=P","Fill=—","Direction=H","UseDPDF=Y")</f>
        <v>0.58009999999999995</v>
      </c>
      <c r="AN6" s="21">
        <f>_xll.BDH("ADSK US Equity","CASH_RATIO","FQ3 2021","FQ3 2021","Currency=USD","Period=FQ","BEST_FPERIOD_OVERRIDE=FQ","FILING_STATUS=MR","Sort=A","Dates=H","DateFormat=P","Fill=—","Direction=H","UseDPDF=Y")</f>
        <v>0.5746</v>
      </c>
      <c r="AO6" s="21">
        <f>_xll.BDH("ADSK US Equity","CASH_RATIO","FQ4 2021","FQ4 2021","Currency=USD","Period=FQ","BEST_FPERIOD_OVERRIDE=FQ","FILING_STATUS=MR","Sort=A","Dates=H","DateFormat=P","Fill=—","Direction=H","UseDPDF=Y")</f>
        <v>0.5706</v>
      </c>
      <c r="AP6" s="21">
        <f>_xll.BDH("ADSK US Equity","CASH_RATIO","FQ1 2022","FQ1 2022","Currency=USD","Period=FQ","BEST_FPERIOD_OVERRIDE=FQ","FILING_STATUS=MR","Sort=A","Dates=H","DateFormat=P","Fill=—","Direction=H","UseDPDF=Y")</f>
        <v>0.2949</v>
      </c>
    </row>
    <row r="7" spans="1:42" x14ac:dyDescent="0.25">
      <c r="A7" s="8" t="s">
        <v>190</v>
      </c>
      <c r="B7" s="8" t="s">
        <v>189</v>
      </c>
      <c r="C7" s="21">
        <f>_xll.BDH("ADSK US Equity","CUR_RATIO","FQ2 2012","FQ2 2012","Currency=USD","Period=FQ","BEST_FPERIOD_OVERRIDE=FQ","FILING_STATUS=MR","Sort=A","Dates=H","DateFormat=P","Fill=—","Direction=H","UseDPDF=Y")</f>
        <v>2.1505999999999998</v>
      </c>
      <c r="D7" s="21">
        <f>_xll.BDH("ADSK US Equity","CUR_RATIO","FQ3 2012","FQ3 2012","Currency=USD","Period=FQ","BEST_FPERIOD_OVERRIDE=FQ","FILING_STATUS=MR","Sort=A","Dates=H","DateFormat=P","Fill=—","Direction=H","UseDPDF=Y")</f>
        <v>2.0878000000000001</v>
      </c>
      <c r="E7" s="21">
        <f>_xll.BDH("ADSK US Equity","CUR_RATIO","FQ4 2012","FQ4 2012","Currency=USD","Period=FQ","BEST_FPERIOD_OVERRIDE=FQ","FILING_STATUS=MR","Sort=A","Dates=H","DateFormat=P","Fill=—","Direction=H","UseDPDF=Y")</f>
        <v>1.9870999999999999</v>
      </c>
      <c r="F7" s="21">
        <f>_xll.BDH("ADSK US Equity","CUR_RATIO","FQ1 2013","FQ1 2013","Currency=USD","Period=FQ","BEST_FPERIOD_OVERRIDE=FQ","FILING_STATUS=MR","Sort=A","Dates=H","DateFormat=P","Fill=—","Direction=H","UseDPDF=Y")</f>
        <v>2.1840000000000002</v>
      </c>
      <c r="G7" s="21">
        <f>_xll.BDH("ADSK US Equity","CUR_RATIO","FQ2 2013","FQ2 2013","Currency=USD","Period=FQ","BEST_FPERIOD_OVERRIDE=FQ","FILING_STATUS=MR","Sort=A","Dates=H","DateFormat=P","Fill=—","Direction=H","UseDPDF=Y")</f>
        <v>2.1107999999999998</v>
      </c>
      <c r="H7" s="21">
        <f>_xll.BDH("ADSK US Equity","CUR_RATIO","FQ3 2013","FQ3 2013","Currency=USD","Period=FQ","BEST_FPERIOD_OVERRIDE=FQ","FILING_STATUS=MR","Sort=A","Dates=H","DateFormat=P","Fill=—","Direction=H","UseDPDF=Y")</f>
        <v>1.7503</v>
      </c>
      <c r="I7" s="21">
        <f>_xll.BDH("ADSK US Equity","CUR_RATIO","FQ4 2013","FQ4 2013","Currency=USD","Period=FQ","BEST_FPERIOD_OVERRIDE=FQ","FILING_STATUS=MR","Sort=A","Dates=H","DateFormat=P","Fill=—","Direction=H","UseDPDF=Y")</f>
        <v>2.4455</v>
      </c>
      <c r="J7" s="21">
        <f>_xll.BDH("ADSK US Equity","CUR_RATIO","FQ1 2014","FQ1 2014","Currency=USD","Period=FQ","BEST_FPERIOD_OVERRIDE=FQ","FILING_STATUS=MR","Sort=A","Dates=H","DateFormat=P","Fill=—","Direction=H","UseDPDF=Y")</f>
        <v>2.5629</v>
      </c>
      <c r="K7" s="21">
        <f>_xll.BDH("ADSK US Equity","CUR_RATIO","FQ2 2014","FQ2 2014","Currency=USD","Period=FQ","BEST_FPERIOD_OVERRIDE=FQ","FILING_STATUS=MR","Sort=A","Dates=H","DateFormat=P","Fill=—","Direction=H","UseDPDF=Y")</f>
        <v>2.5489000000000002</v>
      </c>
      <c r="L7" s="21">
        <f>_xll.BDH("ADSK US Equity","CUR_RATIO","FQ3 2014","FQ3 2014","Currency=USD","Period=FQ","BEST_FPERIOD_OVERRIDE=FQ","FILING_STATUS=MR","Sort=A","Dates=H","DateFormat=P","Fill=—","Direction=H","UseDPDF=Y")</f>
        <v>2.6556999999999999</v>
      </c>
      <c r="M7" s="21">
        <f>_xll.BDH("ADSK US Equity","CUR_RATIO","FQ4 2014","FQ4 2014","Currency=USD","Period=FQ","BEST_FPERIOD_OVERRIDE=FQ","FILING_STATUS=MR","Sort=A","Dates=H","DateFormat=P","Fill=—","Direction=H","UseDPDF=Y")</f>
        <v>2.6457999999999999</v>
      </c>
      <c r="N7" s="21">
        <f>_xll.BDH("ADSK US Equity","CUR_RATIO","FQ1 2015","FQ1 2015","Currency=USD","Period=FQ","BEST_FPERIOD_OVERRIDE=FQ","FILING_STATUS=MR","Sort=A","Dates=H","DateFormat=P","Fill=—","Direction=H","UseDPDF=Y")</f>
        <v>2.3155000000000001</v>
      </c>
      <c r="O7" s="21">
        <f>_xll.BDH("ADSK US Equity","CUR_RATIO","FQ2 2015","FQ2 2015","Currency=USD","Period=FQ","BEST_FPERIOD_OVERRIDE=FQ","FILING_STATUS=MR","Sort=A","Dates=H","DateFormat=P","Fill=—","Direction=H","UseDPDF=Y")</f>
        <v>2.117</v>
      </c>
      <c r="P7" s="21">
        <f>_xll.BDH("ADSK US Equity","CUR_RATIO","FQ3 2015","FQ3 2015","Currency=USD","Period=FQ","BEST_FPERIOD_OVERRIDE=FQ","FILING_STATUS=MR","Sort=A","Dates=H","DateFormat=P","Fill=—","Direction=H","UseDPDF=Y")</f>
        <v>2.0604</v>
      </c>
      <c r="Q7" s="21">
        <f>_xll.BDH("ADSK US Equity","CUR_RATIO","FQ4 2015","FQ4 2015","Currency=USD","Period=FQ","BEST_FPERIOD_OVERRIDE=FQ","FILING_STATUS=MR","Sort=A","Dates=H","DateFormat=P","Fill=—","Direction=H","UseDPDF=Y")</f>
        <v>1.9079000000000002</v>
      </c>
      <c r="R7" s="21">
        <f>_xll.BDH("ADSK US Equity","CUR_RATIO","FQ1 2016","FQ1 2016","Currency=USD","Period=FQ","BEST_FPERIOD_OVERRIDE=FQ","FILING_STATUS=MR","Sort=A","Dates=H","DateFormat=P","Fill=—","Direction=H","UseDPDF=Y")</f>
        <v>1.8429</v>
      </c>
      <c r="S7" s="21">
        <f>_xll.BDH("ADSK US Equity","CUR_RATIO","FQ2 2016","FQ2 2016","Currency=USD","Period=FQ","BEST_FPERIOD_OVERRIDE=FQ","FILING_STATUS=MR","Sort=A","Dates=H","DateFormat=P","Fill=—","Direction=H","UseDPDF=Y")</f>
        <v>2.2071999999999998</v>
      </c>
      <c r="T7" s="21">
        <f>_xll.BDH("ADSK US Equity","CUR_RATIO","FQ3 2016","FQ3 2016","Currency=USD","Period=FQ","BEST_FPERIOD_OVERRIDE=FQ","FILING_STATUS=MR","Sort=A","Dates=H","DateFormat=P","Fill=—","Direction=H","UseDPDF=Y")</f>
        <v>2.0954000000000002</v>
      </c>
      <c r="U7" s="21">
        <f>_xll.BDH("ADSK US Equity","CUR_RATIO","FQ4 2016","FQ4 2016","Currency=USD","Period=FQ","BEST_FPERIOD_OVERRIDE=FQ","FILING_STATUS=MR","Sort=A","Dates=H","DateFormat=P","Fill=—","Direction=H","UseDPDF=Y")</f>
        <v>1.8813</v>
      </c>
      <c r="V7" s="21">
        <f>_xll.BDH("ADSK US Equity","CUR_RATIO","FQ1 2017","FQ1 2017","Currency=USD","Period=FQ","BEST_FPERIOD_OVERRIDE=FQ","FILING_STATUS=MR","Sort=A","Dates=H","DateFormat=P","Fill=—","Direction=H","UseDPDF=Y")</f>
        <v>1.7829999999999999</v>
      </c>
      <c r="W7" s="21">
        <f>_xll.BDH("ADSK US Equity","CUR_RATIO","FQ2 2017","FQ2 2017","Currency=USD","Period=FQ","BEST_FPERIOD_OVERRIDE=FQ","FILING_STATUS=MR","Sort=A","Dates=H","DateFormat=P","Fill=—","Direction=H","UseDPDF=Y")</f>
        <v>1.5943000000000001</v>
      </c>
      <c r="X7" s="21">
        <f>_xll.BDH("ADSK US Equity","CUR_RATIO","FQ3 2017","FQ3 2017","Currency=USD","Period=FQ","BEST_FPERIOD_OVERRIDE=FQ","FILING_STATUS=MR","Sort=A","Dates=H","DateFormat=P","Fill=—","Direction=H","UseDPDF=Y")</f>
        <v>1.4598</v>
      </c>
      <c r="Y7" s="21">
        <f>_xll.BDH("ADSK US Equity","CUR_RATIO","FQ4 2017","FQ4 2017","Currency=USD","Period=FQ","BEST_FPERIOD_OVERRIDE=FQ","FILING_STATUS=MR","Sort=A","Dates=H","DateFormat=P","Fill=—","Direction=H","UseDPDF=Y")</f>
        <v>1.1259000000000001</v>
      </c>
      <c r="Z7" s="21">
        <f>_xll.BDH("ADSK US Equity","CUR_RATIO","FQ1 2018","FQ1 2018","Currency=USD","Period=FQ","BEST_FPERIOD_OVERRIDE=FQ","FILING_STATUS=MR","Sort=A","Dates=H","DateFormat=P","Fill=—","Direction=H","UseDPDF=Y")</f>
        <v>1.044</v>
      </c>
      <c r="AA7" s="21">
        <f>_xll.BDH("ADSK US Equity","CUR_RATIO","FQ2 2018","FQ2 2018","Currency=USD","Period=FQ","BEST_FPERIOD_OVERRIDE=FQ","FILING_STATUS=MR","Sort=A","Dates=H","DateFormat=P","Fill=—","Direction=H","UseDPDF=Y")</f>
        <v>1.2242</v>
      </c>
      <c r="AB7" s="21">
        <f>_xll.BDH("ADSK US Equity","CUR_RATIO","FQ3 2018","FQ3 2018","Currency=USD","Period=FQ","BEST_FPERIOD_OVERRIDE=FQ","FILING_STATUS=MR","Sort=A","Dates=H","DateFormat=P","Fill=—","Direction=H","UseDPDF=Y")</f>
        <v>1.0697000000000001</v>
      </c>
      <c r="AC7" s="21">
        <f>_xll.BDH("ADSK US Equity","CUR_RATIO","FQ4 2018","FQ4 2018","Currency=USD","Period=FQ","BEST_FPERIOD_OVERRIDE=FQ","FILING_STATUS=MR","Sort=A","Dates=H","DateFormat=P","Fill=—","Direction=H","UseDPDF=Y")</f>
        <v>0.88449999999999995</v>
      </c>
      <c r="AD7" s="21">
        <f>_xll.BDH("ADSK US Equity","CUR_RATIO","FQ1 2019","FQ1 2019","Currency=USD","Period=FQ","BEST_FPERIOD_OVERRIDE=FQ","FILING_STATUS=MR","Sort=A","Dates=H","DateFormat=P","Fill=—","Direction=H","UseDPDF=Y")</f>
        <v>0.91649999999999998</v>
      </c>
      <c r="AE7" s="21">
        <f>_xll.BDH("ADSK US Equity","CUR_RATIO","FQ2 2019","FQ2 2019","Currency=USD","Period=FQ","BEST_FPERIOD_OVERRIDE=FQ","FILING_STATUS=MR","Sort=A","Dates=H","DateFormat=P","Fill=—","Direction=H","UseDPDF=Y")</f>
        <v>0.83479999999999999</v>
      </c>
      <c r="AF7" s="21">
        <f>_xll.BDH("ADSK US Equity","CUR_RATIO","FQ3 2019","FQ3 2019","Currency=USD","Period=FQ","BEST_FPERIOD_OVERRIDE=FQ","FILING_STATUS=MR","Sort=A","Dates=H","DateFormat=P","Fill=—","Direction=H","UseDPDF=Y")</f>
        <v>0.80079999999999996</v>
      </c>
      <c r="AG7" s="21">
        <f>_xll.BDH("ADSK US Equity","CUR_RATIO","FQ4 2019","FQ4 2019","Currency=USD","Period=FQ","BEST_FPERIOD_OVERRIDE=FQ","FILING_STATUS=MR","Sort=A","Dates=H","DateFormat=P","Fill=—","Direction=H","UseDPDF=Y")</f>
        <v>0.70399999999999996</v>
      </c>
      <c r="AH7" s="21">
        <f>_xll.BDH("ADSK US Equity","CUR_RATIO","FQ1 2020","FQ1 2020","Currency=USD","Period=FQ","BEST_FPERIOD_OVERRIDE=FQ","FILING_STATUS=MR","Sort=A","Dates=H","DateFormat=P","Fill=—","Direction=H","UseDPDF=Y")</f>
        <v>0.64049999999999996</v>
      </c>
      <c r="AI7" s="21">
        <f>_xll.BDH("ADSK US Equity","CUR_RATIO","FQ2 2020","FQ2 2020","Currency=USD","Period=FQ","BEST_FPERIOD_OVERRIDE=FQ","FILING_STATUS=MR","Sort=A","Dates=H","DateFormat=P","Fill=—","Direction=H","UseDPDF=Y")</f>
        <v>0.55979999999999996</v>
      </c>
      <c r="AJ7" s="21">
        <f>_xll.BDH("ADSK US Equity","CUR_RATIO","FQ3 2020","FQ3 2020","Currency=USD","Period=FQ","BEST_FPERIOD_OVERRIDE=FQ","FILING_STATUS=MR","Sort=A","Dates=H","DateFormat=P","Fill=—","Direction=H","UseDPDF=Y")</f>
        <v>0.60089999999999999</v>
      </c>
      <c r="AK7" s="21">
        <f>_xll.BDH("ADSK US Equity","CUR_RATIO","FQ4 2020","FQ4 2020","Currency=USD","Period=FQ","BEST_FPERIOD_OVERRIDE=FQ","FILING_STATUS=MR","Sort=A","Dates=H","DateFormat=P","Fill=—","Direction=H","UseDPDF=Y")</f>
        <v>0.82609999999999995</v>
      </c>
      <c r="AL7" s="21">
        <f>_xll.BDH("ADSK US Equity","CUR_RATIO","FQ1 2021","FQ1 2021","Currency=USD","Period=FQ","BEST_FPERIOD_OVERRIDE=FQ","FILING_STATUS=MR","Sort=A","Dates=H","DateFormat=P","Fill=—","Direction=H","UseDPDF=Y")</f>
        <v>0.78510000000000002</v>
      </c>
      <c r="AM7" s="21">
        <f>_xll.BDH("ADSK US Equity","CUR_RATIO","FQ2 2021","FQ2 2021","Currency=USD","Period=FQ","BEST_FPERIOD_OVERRIDE=FQ","FILING_STATUS=MR","Sort=A","Dates=H","DateFormat=P","Fill=—","Direction=H","UseDPDF=Y")</f>
        <v>0.84130000000000005</v>
      </c>
      <c r="AN7" s="21">
        <f>_xll.BDH("ADSK US Equity","CUR_RATIO","FQ3 2021","FQ3 2021","Currency=USD","Period=FQ","BEST_FPERIOD_OVERRIDE=FQ","FILING_STATUS=MR","Sort=A","Dates=H","DateFormat=P","Fill=—","Direction=H","UseDPDF=Y")</f>
        <v>0.83220000000000005</v>
      </c>
      <c r="AO7" s="21">
        <f>_xll.BDH("ADSK US Equity","CUR_RATIO","FQ4 2021","FQ4 2021","Currency=USD","Period=FQ","BEST_FPERIOD_OVERRIDE=FQ","FILING_STATUS=MR","Sort=A","Dates=H","DateFormat=P","Fill=—","Direction=H","UseDPDF=Y")</f>
        <v>0.82930000000000004</v>
      </c>
      <c r="AP7" s="21">
        <f>_xll.BDH("ADSK US Equity","CUR_RATIO","FQ1 2022","FQ1 2022","Currency=USD","Period=FQ","BEST_FPERIOD_OVERRIDE=FQ","FILING_STATUS=MR","Sort=A","Dates=H","DateFormat=P","Fill=—","Direction=H","UseDPDF=Y")</f>
        <v>0.48089999999999999</v>
      </c>
    </row>
    <row r="8" spans="1:42" x14ac:dyDescent="0.25">
      <c r="A8" s="8" t="s">
        <v>188</v>
      </c>
      <c r="B8" s="8" t="s">
        <v>187</v>
      </c>
      <c r="C8" s="21">
        <f>_xll.BDH("ADSK US Equity","QUICK_RATIO","FQ2 2012","FQ2 2012","Currency=USD","Period=FQ","BEST_FPERIOD_OVERRIDE=FQ","FILING_STATUS=MR","Sort=A","Dates=H","DateFormat=P","Fill=—","Direction=H","UseDPDF=Y")</f>
        <v>2.0194999999999999</v>
      </c>
      <c r="D8" s="21">
        <f>_xll.BDH("ADSK US Equity","QUICK_RATIO","FQ3 2012","FQ3 2012","Currency=USD","Period=FQ","BEST_FPERIOD_OVERRIDE=FQ","FILING_STATUS=MR","Sort=A","Dates=H","DateFormat=P","Fill=—","Direction=H","UseDPDF=Y")</f>
        <v>1.97</v>
      </c>
      <c r="E8" s="21">
        <f>_xll.BDH("ADSK US Equity","QUICK_RATIO","FQ4 2012","FQ4 2012","Currency=USD","Period=FQ","BEST_FPERIOD_OVERRIDE=FQ","FILING_STATUS=MR","Sort=A","Dates=H","DateFormat=P","Fill=—","Direction=H","UseDPDF=Y")</f>
        <v>1.8933</v>
      </c>
      <c r="F8" s="21">
        <f>_xll.BDH("ADSK US Equity","QUICK_RATIO","FQ1 2013","FQ1 2013","Currency=USD","Period=FQ","BEST_FPERIOD_OVERRIDE=FQ","FILING_STATUS=MR","Sort=A","Dates=H","DateFormat=P","Fill=—","Direction=H","UseDPDF=Y")</f>
        <v>2.0703999999999998</v>
      </c>
      <c r="G8" s="21">
        <f>_xll.BDH("ADSK US Equity","QUICK_RATIO","FQ2 2013","FQ2 2013","Currency=USD","Period=FQ","BEST_FPERIOD_OVERRIDE=FQ","FILING_STATUS=MR","Sort=A","Dates=H","DateFormat=P","Fill=—","Direction=H","UseDPDF=Y")</f>
        <v>1.9881</v>
      </c>
      <c r="H8" s="21">
        <f>_xll.BDH("ADSK US Equity","QUICK_RATIO","FQ3 2013","FQ3 2013","Currency=USD","Period=FQ","BEST_FPERIOD_OVERRIDE=FQ","FILING_STATUS=MR","Sort=A","Dates=H","DateFormat=P","Fill=—","Direction=H","UseDPDF=Y")</f>
        <v>1.6465999999999998</v>
      </c>
      <c r="I8" s="21">
        <f>_xll.BDH("ADSK US Equity","QUICK_RATIO","FQ4 2013","FQ4 2013","Currency=USD","Period=FQ","BEST_FPERIOD_OVERRIDE=FQ","FILING_STATUS=MR","Sort=A","Dates=H","DateFormat=P","Fill=—","Direction=H","UseDPDF=Y")</f>
        <v>2.3468</v>
      </c>
      <c r="J8" s="21">
        <f>_xll.BDH("ADSK US Equity","QUICK_RATIO","FQ1 2014","FQ1 2014","Currency=USD","Period=FQ","BEST_FPERIOD_OVERRIDE=FQ","FILING_STATUS=MR","Sort=A","Dates=H","DateFormat=P","Fill=—","Direction=H","UseDPDF=Y")</f>
        <v>2.4226000000000001</v>
      </c>
      <c r="K8" s="21">
        <f>_xll.BDH("ADSK US Equity","QUICK_RATIO","FQ2 2014","FQ2 2014","Currency=USD","Period=FQ","BEST_FPERIOD_OVERRIDE=FQ","FILING_STATUS=MR","Sort=A","Dates=H","DateFormat=P","Fill=—","Direction=H","UseDPDF=Y")</f>
        <v>2.4079999999999999</v>
      </c>
      <c r="L8" s="21">
        <f>_xll.BDH("ADSK US Equity","QUICK_RATIO","FQ3 2014","FQ3 2014","Currency=USD","Period=FQ","BEST_FPERIOD_OVERRIDE=FQ","FILING_STATUS=MR","Sort=A","Dates=H","DateFormat=P","Fill=—","Direction=H","UseDPDF=Y")</f>
        <v>2.4939999999999998</v>
      </c>
      <c r="M8" s="21">
        <f>_xll.BDH("ADSK US Equity","QUICK_RATIO","FQ4 2014","FQ4 2014","Currency=USD","Period=FQ","BEST_FPERIOD_OVERRIDE=FQ","FILING_STATUS=MR","Sort=A","Dates=H","DateFormat=P","Fill=—","Direction=H","UseDPDF=Y")</f>
        <v>2.5112000000000001</v>
      </c>
      <c r="N8" s="21">
        <f>_xll.BDH("ADSK US Equity","QUICK_RATIO","FQ1 2015","FQ1 2015","Currency=USD","Period=FQ","BEST_FPERIOD_OVERRIDE=FQ","FILING_STATUS=MR","Sort=A","Dates=H","DateFormat=P","Fill=—","Direction=H","UseDPDF=Y")</f>
        <v>2.1838000000000002</v>
      </c>
      <c r="O8" s="21">
        <f>_xll.BDH("ADSK US Equity","QUICK_RATIO","FQ2 2015","FQ2 2015","Currency=USD","Period=FQ","BEST_FPERIOD_OVERRIDE=FQ","FILING_STATUS=MR","Sort=A","Dates=H","DateFormat=P","Fill=—","Direction=H","UseDPDF=Y")</f>
        <v>1.9628999999999999</v>
      </c>
      <c r="P8" s="21">
        <f>_xll.BDH("ADSK US Equity","QUICK_RATIO","FQ3 2015","FQ3 2015","Currency=USD","Period=FQ","BEST_FPERIOD_OVERRIDE=FQ","FILING_STATUS=MR","Sort=A","Dates=H","DateFormat=P","Fill=—","Direction=H","UseDPDF=Y")</f>
        <v>1.9081999999999999</v>
      </c>
      <c r="Q8" s="21">
        <f>_xll.BDH("ADSK US Equity","QUICK_RATIO","FQ4 2015","FQ4 2015","Currency=USD","Period=FQ","BEST_FPERIOD_OVERRIDE=FQ","FILING_STATUS=MR","Sort=A","Dates=H","DateFormat=P","Fill=—","Direction=H","UseDPDF=Y")</f>
        <v>1.7751000000000001</v>
      </c>
      <c r="R8" s="21">
        <f>_xll.BDH("ADSK US Equity","QUICK_RATIO","FQ1 2016","FQ1 2016","Currency=USD","Period=FQ","BEST_FPERIOD_OVERRIDE=FQ","FILING_STATUS=MR","Sort=A","Dates=H","DateFormat=P","Fill=—","Direction=H","UseDPDF=Y")</f>
        <v>1.6901000000000002</v>
      </c>
      <c r="S8" s="21">
        <f>_xll.BDH("ADSK US Equity","QUICK_RATIO","FQ2 2016","FQ2 2016","Currency=USD","Period=FQ","BEST_FPERIOD_OVERRIDE=FQ","FILING_STATUS=MR","Sort=A","Dates=H","DateFormat=P","Fill=—","Direction=H","UseDPDF=Y")</f>
        <v>2.1189999999999998</v>
      </c>
      <c r="T8" s="21">
        <f>_xll.BDH("ADSK US Equity","QUICK_RATIO","FQ3 2016","FQ3 2016","Currency=USD","Period=FQ","BEST_FPERIOD_OVERRIDE=FQ","FILING_STATUS=MR","Sort=A","Dates=H","DateFormat=P","Fill=—","Direction=H","UseDPDF=Y")</f>
        <v>2.0185</v>
      </c>
      <c r="U8" s="21">
        <f>_xll.BDH("ADSK US Equity","QUICK_RATIO","FQ4 2016","FQ4 2016","Currency=USD","Period=FQ","BEST_FPERIOD_OVERRIDE=FQ","FILING_STATUS=MR","Sort=A","Dates=H","DateFormat=P","Fill=—","Direction=H","UseDPDF=Y")</f>
        <v>1.8256000000000001</v>
      </c>
      <c r="V8" s="21">
        <f>_xll.BDH("ADSK US Equity","QUICK_RATIO","FQ1 2017","FQ1 2017","Currency=USD","Period=FQ","BEST_FPERIOD_OVERRIDE=FQ","FILING_STATUS=MR","Sort=A","Dates=H","DateFormat=P","Fill=—","Direction=H","UseDPDF=Y")</f>
        <v>1.7116</v>
      </c>
      <c r="W8" s="21">
        <f>_xll.BDH("ADSK US Equity","QUICK_RATIO","FQ2 2017","FQ2 2017","Currency=USD","Period=FQ","BEST_FPERIOD_OVERRIDE=FQ","FILING_STATUS=MR","Sort=A","Dates=H","DateFormat=P","Fill=—","Direction=H","UseDPDF=Y")</f>
        <v>1.5207999999999999</v>
      </c>
      <c r="X8" s="21">
        <f>_xll.BDH("ADSK US Equity","QUICK_RATIO","FQ3 2017","FQ3 2017","Currency=USD","Period=FQ","BEST_FPERIOD_OVERRIDE=FQ","FILING_STATUS=MR","Sort=A","Dates=H","DateFormat=P","Fill=—","Direction=H","UseDPDF=Y")</f>
        <v>1.395</v>
      </c>
      <c r="Y8" s="21">
        <f>_xll.BDH("ADSK US Equity","QUICK_RATIO","FQ4 2017","FQ4 2017","Currency=USD","Period=FQ","BEST_FPERIOD_OVERRIDE=FQ","FILING_STATUS=MR","Sort=A","Dates=H","DateFormat=P","Fill=—","Direction=H","UseDPDF=Y")</f>
        <v>1.0763</v>
      </c>
      <c r="Z8" s="21">
        <f>_xll.BDH("ADSK US Equity","QUICK_RATIO","FQ1 2018","FQ1 2018","Currency=USD","Period=FQ","BEST_FPERIOD_OVERRIDE=FQ","FILING_STATUS=MR","Sort=A","Dates=H","DateFormat=P","Fill=—","Direction=H","UseDPDF=Y")</f>
        <v>0.99670000000000003</v>
      </c>
      <c r="AA8" s="21">
        <f>_xll.BDH("ADSK US Equity","QUICK_RATIO","FQ2 2018","FQ2 2018","Currency=USD","Period=FQ","BEST_FPERIOD_OVERRIDE=FQ","FILING_STATUS=MR","Sort=A","Dates=H","DateFormat=P","Fill=—","Direction=H","UseDPDF=Y")</f>
        <v>1.1596</v>
      </c>
      <c r="AB8" s="21">
        <f>_xll.BDH("ADSK US Equity","QUICK_RATIO","FQ3 2018","FQ3 2018","Currency=USD","Period=FQ","BEST_FPERIOD_OVERRIDE=FQ","FILING_STATUS=MR","Sort=A","Dates=H","DateFormat=P","Fill=—","Direction=H","UseDPDF=Y")</f>
        <v>1.0066999999999999</v>
      </c>
      <c r="AC8" s="21">
        <f>_xll.BDH("ADSK US Equity","QUICK_RATIO","FQ4 2018","FQ4 2018","Currency=USD","Period=FQ","BEST_FPERIOD_OVERRIDE=FQ","FILING_STATUS=MR","Sort=A","Dates=H","DateFormat=P","Fill=—","Direction=H","UseDPDF=Y")</f>
        <v>0.8296</v>
      </c>
      <c r="AD8" s="21">
        <f>_xll.BDH("ADSK US Equity","QUICK_RATIO","FQ1 2019","FQ1 2019","Currency=USD","Period=FQ","BEST_FPERIOD_OVERRIDE=FQ","FILING_STATUS=MR","Sort=A","Dates=H","DateFormat=P","Fill=—","Direction=H","UseDPDF=Y")</f>
        <v>0.8095</v>
      </c>
      <c r="AE8" s="21">
        <f>_xll.BDH("ADSK US Equity","QUICK_RATIO","FQ2 2019","FQ2 2019","Currency=USD","Period=FQ","BEST_FPERIOD_OVERRIDE=FQ","FILING_STATUS=MR","Sort=A","Dates=H","DateFormat=P","Fill=—","Direction=H","UseDPDF=Y")</f>
        <v>0.73319999999999996</v>
      </c>
      <c r="AF8" s="21">
        <f>_xll.BDH("ADSK US Equity","QUICK_RATIO","FQ3 2019","FQ3 2019","Currency=USD","Period=FQ","BEST_FPERIOD_OVERRIDE=FQ","FILING_STATUS=MR","Sort=A","Dates=H","DateFormat=P","Fill=—","Direction=H","UseDPDF=Y")</f>
        <v>0.69869999999999999</v>
      </c>
      <c r="AG8" s="21">
        <f>_xll.BDH("ADSK US Equity","QUICK_RATIO","FQ4 2019","FQ4 2019","Currency=USD","Period=FQ","BEST_FPERIOD_OVERRIDE=FQ","FILING_STATUS=MR","Sort=A","Dates=H","DateFormat=P","Fill=—","Direction=H","UseDPDF=Y")</f>
        <v>0.62050000000000005</v>
      </c>
      <c r="AH8" s="21">
        <f>_xll.BDH("ADSK US Equity","QUICK_RATIO","FQ1 2020","FQ1 2020","Currency=USD","Period=FQ","BEST_FPERIOD_OVERRIDE=FQ","FILING_STATUS=MR","Sort=A","Dates=H","DateFormat=P","Fill=—","Direction=H","UseDPDF=Y")</f>
        <v>0.5585</v>
      </c>
      <c r="AI8" s="21">
        <f>_xll.BDH("ADSK US Equity","QUICK_RATIO","FQ2 2020","FQ2 2020","Currency=USD","Period=FQ","BEST_FPERIOD_OVERRIDE=FQ","FILING_STATUS=MR","Sort=A","Dates=H","DateFormat=P","Fill=—","Direction=H","UseDPDF=Y")</f>
        <v>0.4945</v>
      </c>
      <c r="AJ8" s="21">
        <f>_xll.BDH("ADSK US Equity","QUICK_RATIO","FQ3 2020","FQ3 2020","Currency=USD","Period=FQ","BEST_FPERIOD_OVERRIDE=FQ","FILING_STATUS=MR","Sort=A","Dates=H","DateFormat=P","Fill=—","Direction=H","UseDPDF=Y")</f>
        <v>0.54390000000000005</v>
      </c>
      <c r="AK8" s="21">
        <f>_xll.BDH("ADSK US Equity","QUICK_RATIO","FQ4 2020","FQ4 2020","Currency=USD","Period=FQ","BEST_FPERIOD_OVERRIDE=FQ","FILING_STATUS=MR","Sort=A","Dates=H","DateFormat=P","Fill=—","Direction=H","UseDPDF=Y")</f>
        <v>0.77529999999999999</v>
      </c>
      <c r="AL8" s="21">
        <f>_xll.BDH("ADSK US Equity","QUICK_RATIO","FQ1 2021","FQ1 2021","Currency=USD","Period=FQ","BEST_FPERIOD_OVERRIDE=FQ","FILING_STATUS=MR","Sort=A","Dates=H","DateFormat=P","Fill=—","Direction=H","UseDPDF=Y")</f>
        <v>0.70720000000000005</v>
      </c>
      <c r="AM8" s="21">
        <f>_xll.BDH("ADSK US Equity","QUICK_RATIO","FQ2 2021","FQ2 2021","Currency=USD","Period=FQ","BEST_FPERIOD_OVERRIDE=FQ","FILING_STATUS=MR","Sort=A","Dates=H","DateFormat=P","Fill=—","Direction=H","UseDPDF=Y")</f>
        <v>0.7671</v>
      </c>
      <c r="AN8" s="21">
        <f>_xll.BDH("ADSK US Equity","QUICK_RATIO","FQ3 2021","FQ3 2021","Currency=USD","Period=FQ","BEST_FPERIOD_OVERRIDE=FQ","FILING_STATUS=MR","Sort=A","Dates=H","DateFormat=P","Fill=—","Direction=H","UseDPDF=Y")</f>
        <v>0.76680000000000004</v>
      </c>
      <c r="AO8" s="21">
        <f>_xll.BDH("ADSK US Equity","QUICK_RATIO","FQ4 2021","FQ4 2021","Currency=USD","Period=FQ","BEST_FPERIOD_OVERRIDE=FQ","FILING_STATUS=MR","Sort=A","Dates=H","DateFormat=P","Fill=—","Direction=H","UseDPDF=Y")</f>
        <v>0.76819999999999999</v>
      </c>
      <c r="AP8" s="21">
        <f>_xll.BDH("ADSK US Equity","QUICK_RATIO","FQ1 2022","FQ1 2022","Currency=USD","Period=FQ","BEST_FPERIOD_OVERRIDE=FQ","FILING_STATUS=MR","Sort=A","Dates=H","DateFormat=P","Fill=—","Direction=H","UseDPDF=Y")</f>
        <v>0.39910000000000001</v>
      </c>
    </row>
    <row r="9" spans="1:42" x14ac:dyDescent="0.25">
      <c r="A9" s="8" t="s">
        <v>186</v>
      </c>
      <c r="B9" s="8" t="s">
        <v>185</v>
      </c>
      <c r="C9" s="21">
        <f>_xll.BDH("ADSK US Equity","CFO_TO_AVG_CURRENT_LIABILITIES","FQ2 2012","FQ2 2012","Currency=USD","Period=FQ","BEST_FPERIOD_OVERRIDE=FQ","FILING_STATUS=MR","Sort=A","Dates=H","DateFormat=P","Fill=—","Direction=H","UseDPDF=Y")</f>
        <v>0.71060000000000001</v>
      </c>
      <c r="D9" s="21">
        <f>_xll.BDH("ADSK US Equity","CFO_TO_AVG_CURRENT_LIABILITIES","FQ3 2012","FQ3 2012","Currency=USD","Period=FQ","BEST_FPERIOD_OVERRIDE=FQ","FILING_STATUS=MR","Sort=A","Dates=H","DateFormat=P","Fill=—","Direction=H","UseDPDF=Y")</f>
        <v>0.74170000000000003</v>
      </c>
      <c r="E9" s="21">
        <f>_xll.BDH("ADSK US Equity","CFO_TO_AVG_CURRENT_LIABILITIES","FQ4 2012","FQ4 2012","Currency=USD","Period=FQ","BEST_FPERIOD_OVERRIDE=FQ","FILING_STATUS=MR","Sort=A","Dates=H","DateFormat=P","Fill=—","Direction=H","UseDPDF=Y")</f>
        <v>0.62890000000000001</v>
      </c>
      <c r="F9" s="21">
        <f>_xll.BDH("ADSK US Equity","CFO_TO_AVG_CURRENT_LIABILITIES","FQ1 2013","FQ1 2013","Currency=USD","Period=FQ","BEST_FPERIOD_OVERRIDE=FQ","FILING_STATUS=MR","Sort=A","Dates=H","DateFormat=P","Fill=—","Direction=H","UseDPDF=Y")</f>
        <v>0.68959999999999999</v>
      </c>
      <c r="G9" s="21">
        <f>_xll.BDH("ADSK US Equity","CFO_TO_AVG_CURRENT_LIABILITIES","FQ2 2013","FQ2 2013","Currency=USD","Period=FQ","BEST_FPERIOD_OVERRIDE=FQ","FILING_STATUS=MR","Sort=A","Dates=H","DateFormat=P","Fill=—","Direction=H","UseDPDF=Y")</f>
        <v>0.6472</v>
      </c>
      <c r="H9" s="21">
        <f>_xll.BDH("ADSK US Equity","CFO_TO_AVG_CURRENT_LIABILITIES","FQ3 2013","FQ3 2013","Currency=USD","Period=FQ","BEST_FPERIOD_OVERRIDE=FQ","FILING_STATUS=MR","Sort=A","Dates=H","DateFormat=P","Fill=—","Direction=H","UseDPDF=Y")</f>
        <v>0.64339999999999997</v>
      </c>
      <c r="I9" s="21">
        <f>_xll.BDH("ADSK US Equity","CFO_TO_AVG_CURRENT_LIABILITIES","FQ4 2013","FQ4 2013","Currency=USD","Period=FQ","BEST_FPERIOD_OVERRIDE=FQ","FILING_STATUS=MR","Sort=A","Dates=H","DateFormat=P","Fill=—","Direction=H","UseDPDF=Y")</f>
        <v>0.55969999999999998</v>
      </c>
      <c r="J9" s="21">
        <f>_xll.BDH("ADSK US Equity","CFO_TO_AVG_CURRENT_LIABILITIES","FQ1 2014","FQ1 2014","Currency=USD","Period=FQ","BEST_FPERIOD_OVERRIDE=FQ","FILING_STATUS=MR","Sort=A","Dates=H","DateFormat=P","Fill=—","Direction=H","UseDPDF=Y")</f>
        <v>0.69410000000000005</v>
      </c>
      <c r="K9" s="21">
        <f>_xll.BDH("ADSK US Equity","CFO_TO_AVG_CURRENT_LIABILITIES","FQ2 2014","FQ2 2014","Currency=USD","Period=FQ","BEST_FPERIOD_OVERRIDE=FQ","FILING_STATUS=MR","Sort=A","Dates=H","DateFormat=P","Fill=—","Direction=H","UseDPDF=Y")</f>
        <v>0.64839999999999998</v>
      </c>
      <c r="L9" s="21">
        <f>_xll.BDH("ADSK US Equity","CFO_TO_AVG_CURRENT_LIABILITIES","FQ3 2014","FQ3 2014","Currency=USD","Period=FQ","BEST_FPERIOD_OVERRIDE=FQ","FILING_STATUS=MR","Sort=A","Dates=H","DateFormat=P","Fill=—","Direction=H","UseDPDF=Y")</f>
        <v>0.55400000000000005</v>
      </c>
      <c r="M9" s="21">
        <f>_xll.BDH("ADSK US Equity","CFO_TO_AVG_CURRENT_LIABILITIES","FQ4 2014","FQ4 2014","Currency=USD","Period=FQ","BEST_FPERIOD_OVERRIDE=FQ","FILING_STATUS=MR","Sort=A","Dates=H","DateFormat=P","Fill=—","Direction=H","UseDPDF=Y")</f>
        <v>0.53280000000000005</v>
      </c>
      <c r="N9" s="21">
        <f>_xll.BDH("ADSK US Equity","CFO_TO_AVG_CURRENT_LIABILITIES","FQ1 2015","FQ1 2015","Currency=USD","Period=FQ","BEST_FPERIOD_OVERRIDE=FQ","FILING_STATUS=MR","Sort=A","Dates=H","DateFormat=P","Fill=—","Direction=H","UseDPDF=Y")</f>
        <v>0.53190000000000004</v>
      </c>
      <c r="O9" s="21">
        <f>_xll.BDH("ADSK US Equity","CFO_TO_AVG_CURRENT_LIABILITIES","FQ2 2015","FQ2 2015","Currency=USD","Period=FQ","BEST_FPERIOD_OVERRIDE=FQ","FILING_STATUS=MR","Sort=A","Dates=H","DateFormat=P","Fill=—","Direction=H","UseDPDF=Y")</f>
        <v>0.55740000000000001</v>
      </c>
      <c r="P9" s="21">
        <f>_xll.BDH("ADSK US Equity","CFO_TO_AVG_CURRENT_LIABILITIES","FQ3 2015","FQ3 2015","Currency=USD","Period=FQ","BEST_FPERIOD_OVERRIDE=FQ","FILING_STATUS=MR","Sort=A","Dates=H","DateFormat=P","Fill=—","Direction=H","UseDPDF=Y")</f>
        <v>0.59250000000000003</v>
      </c>
      <c r="Q9" s="21">
        <f>_xll.BDH("ADSK US Equity","CFO_TO_AVG_CURRENT_LIABILITIES","FQ4 2015","FQ4 2015","Currency=USD","Period=FQ","BEST_FPERIOD_OVERRIDE=FQ","FILING_STATUS=MR","Sort=A","Dates=H","DateFormat=P","Fill=—","Direction=H","UseDPDF=Y")</f>
        <v>0.57299999999999995</v>
      </c>
      <c r="R9" s="21">
        <f>_xll.BDH("ADSK US Equity","CFO_TO_AVG_CURRENT_LIABILITIES","FQ1 2016","FQ1 2016","Currency=USD","Period=FQ","BEST_FPERIOD_OVERRIDE=FQ","FILING_STATUS=MR","Sort=A","Dates=H","DateFormat=P","Fill=—","Direction=H","UseDPDF=Y")</f>
        <v>0.48209999999999997</v>
      </c>
      <c r="S9" s="21">
        <f>_xll.BDH("ADSK US Equity","CFO_TO_AVG_CURRENT_LIABILITIES","FQ2 2016","FQ2 2016","Currency=USD","Period=FQ","BEST_FPERIOD_OVERRIDE=FQ","FILING_STATUS=MR","Sort=A","Dates=H","DateFormat=P","Fill=—","Direction=H","UseDPDF=Y")</f>
        <v>0.45069999999999999</v>
      </c>
      <c r="T9" s="21">
        <f>_xll.BDH("ADSK US Equity","CFO_TO_AVG_CURRENT_LIABILITIES","FQ3 2016","FQ3 2016","Currency=USD","Period=FQ","BEST_FPERIOD_OVERRIDE=FQ","FILING_STATUS=MR","Sort=A","Dates=H","DateFormat=P","Fill=—","Direction=H","UseDPDF=Y")</f>
        <v>0.40029999999999999</v>
      </c>
      <c r="U9" s="21">
        <f>_xll.BDH("ADSK US Equity","CFO_TO_AVG_CURRENT_LIABILITIES","FQ4 2016","FQ4 2016","Currency=USD","Period=FQ","BEST_FPERIOD_OVERRIDE=FQ","FILING_STATUS=MR","Sort=A","Dates=H","DateFormat=P","Fill=—","Direction=H","UseDPDF=Y")</f>
        <v>0.27679999999999999</v>
      </c>
      <c r="V9" s="21">
        <f>_xll.BDH("ADSK US Equity","CFO_TO_AVG_CURRENT_LIABILITIES","FQ1 2017","FQ1 2017","Currency=USD","Period=FQ","BEST_FPERIOD_OVERRIDE=FQ","FILING_STATUS=MR","Sort=A","Dates=H","DateFormat=P","Fill=—","Direction=H","UseDPDF=Y")</f>
        <v>0.3584</v>
      </c>
      <c r="W9" s="21">
        <f>_xll.BDH("ADSK US Equity","CFO_TO_AVG_CURRENT_LIABILITIES","FQ2 2017","FQ2 2017","Currency=USD","Period=FQ","BEST_FPERIOD_OVERRIDE=FQ","FILING_STATUS=MR","Sort=A","Dates=H","DateFormat=P","Fill=—","Direction=H","UseDPDF=Y")</f>
        <v>0.27610000000000001</v>
      </c>
      <c r="X9" s="21">
        <f>_xll.BDH("ADSK US Equity","CFO_TO_AVG_CURRENT_LIABILITIES","FQ3 2017","FQ3 2017","Currency=USD","Period=FQ","BEST_FPERIOD_OVERRIDE=FQ","FILING_STATUS=MR","Sort=A","Dates=H","DateFormat=P","Fill=—","Direction=H","UseDPDF=Y")</f>
        <v>0.2228</v>
      </c>
      <c r="Y9" s="21">
        <f>_xll.BDH("ADSK US Equity","CFO_TO_AVG_CURRENT_LIABILITIES","FQ4 2017","FQ4 2017","Currency=USD","Period=FQ","BEST_FPERIOD_OVERRIDE=FQ","FILING_STATUS=MR","Sort=A","Dates=H","DateFormat=P","Fill=—","Direction=H","UseDPDF=Y")</f>
        <v>8.9899999999999994E-2</v>
      </c>
      <c r="Z9" s="21">
        <f>_xll.BDH("ADSK US Equity","CFO_TO_AVG_CURRENT_LIABILITIES","FQ1 2018","FQ1 2018","Currency=USD","Period=FQ","BEST_FPERIOD_OVERRIDE=FQ","FILING_STATUS=MR","Sort=A","Dates=H","DateFormat=P","Fill=—","Direction=H","UseDPDF=Y")</f>
        <v>2.87E-2</v>
      </c>
      <c r="AA9" s="21">
        <f>_xll.BDH("ADSK US Equity","CFO_TO_AVG_CURRENT_LIABILITIES","FQ2 2018","FQ2 2018","Currency=USD","Period=FQ","BEST_FPERIOD_OVERRIDE=FQ","FILING_STATUS=MR","Sort=A","Dates=H","DateFormat=P","Fill=—","Direction=H","UseDPDF=Y")</f>
        <v>-2.5000000000000001E-3</v>
      </c>
      <c r="AB9" s="21">
        <f>_xll.BDH("ADSK US Equity","CFO_TO_AVG_CURRENT_LIABILITIES","FQ3 2018","FQ3 2018","Currency=USD","Period=FQ","BEST_FPERIOD_OVERRIDE=FQ","FILING_STATUS=MR","Sort=A","Dates=H","DateFormat=P","Fill=—","Direction=H","UseDPDF=Y")</f>
        <v>-3.7499999999999999E-2</v>
      </c>
      <c r="AC9" s="21">
        <f>_xll.BDH("ADSK US Equity","CFO_TO_AVG_CURRENT_LIABILITIES","FQ4 2018","FQ4 2018","Currency=USD","Period=FQ","BEST_FPERIOD_OVERRIDE=FQ","FILING_STATUS=MR","Sort=A","Dates=H","DateFormat=P","Fill=—","Direction=H","UseDPDF=Y")</f>
        <v>4.0000000000000002E-4</v>
      </c>
      <c r="AD9" s="21">
        <f>_xll.BDH("ADSK US Equity","CFO_TO_AVG_CURRENT_LIABILITIES","FQ1 2019","FQ1 2019","Currency=USD","Period=FQ","BEST_FPERIOD_OVERRIDE=FQ","FILING_STATUS=MR","Sort=A","Dates=H","DateFormat=P","Fill=—","Direction=H","UseDPDF=Y")</f>
        <v>-3.1399999999999997E-2</v>
      </c>
      <c r="AE9" s="21">
        <f>_xll.BDH("ADSK US Equity","CFO_TO_AVG_CURRENT_LIABILITIES","FQ2 2019","FQ2 2019","Currency=USD","Period=FQ","BEST_FPERIOD_OVERRIDE=FQ","FILING_STATUS=MR","Sort=A","Dates=H","DateFormat=P","Fill=—","Direction=H","UseDPDF=Y")</f>
        <v>3.0200000000000001E-2</v>
      </c>
      <c r="AF9" s="21">
        <f>_xll.BDH("ADSK US Equity","CFO_TO_AVG_CURRENT_LIABILITIES","FQ3 2019","FQ3 2019","Currency=USD","Period=FQ","BEST_FPERIOD_OVERRIDE=FQ","FILING_STATUS=MR","Sort=A","Dates=H","DateFormat=P","Fill=—","Direction=H","UseDPDF=Y")</f>
        <v>7.7600000000000002E-2</v>
      </c>
      <c r="AG9" s="21">
        <f>_xll.BDH("ADSK US Equity","CFO_TO_AVG_CURRENT_LIABILITIES","FQ4 2019","FQ4 2019","Currency=USD","Period=FQ","BEST_FPERIOD_OVERRIDE=FQ","FILING_STATUS=MR","Sort=A","Dates=H","DateFormat=P","Fill=—","Direction=H","UseDPDF=Y")</f>
        <v>0.17050000000000001</v>
      </c>
      <c r="AH9" s="21">
        <f>_xll.BDH("ADSK US Equity","CFO_TO_AVG_CURRENT_LIABILITIES","FQ1 2020","FQ1 2020","Currency=USD","Period=FQ","BEST_FPERIOD_OVERRIDE=FQ","FILING_STATUS=MR","Sort=A","Dates=H","DateFormat=P","Fill=—","Direction=H","UseDPDF=Y")</f>
        <v>0.30209999999999998</v>
      </c>
      <c r="AI9" s="21">
        <f>_xll.BDH("ADSK US Equity","CFO_TO_AVG_CURRENT_LIABILITIES","FQ2 2020","FQ2 2020","Currency=USD","Period=FQ","BEST_FPERIOD_OVERRIDE=FQ","FILING_STATUS=MR","Sort=A","Dates=H","DateFormat=P","Fill=—","Direction=H","UseDPDF=Y")</f>
        <v>0.34229999999999999</v>
      </c>
      <c r="AJ9" s="21">
        <f>_xll.BDH("ADSK US Equity","CFO_TO_AVG_CURRENT_LIABILITIES","FQ3 2020","FQ3 2020","Currency=USD","Period=FQ","BEST_FPERIOD_OVERRIDE=FQ","FILING_STATUS=MR","Sort=A","Dates=H","DateFormat=P","Fill=—","Direction=H","UseDPDF=Y")</f>
        <v>0.42620000000000002</v>
      </c>
      <c r="AK9" s="21">
        <f>_xll.BDH("ADSK US Equity","CFO_TO_AVG_CURRENT_LIABILITIES","FQ4 2020","FQ4 2020","Currency=USD","Period=FQ","BEST_FPERIOD_OVERRIDE=FQ","FILING_STATUS=MR","Sort=A","Dates=H","DateFormat=P","Fill=—","Direction=H","UseDPDF=Y")</f>
        <v>0.51270000000000004</v>
      </c>
      <c r="AL9" s="21">
        <f>_xll.BDH("ADSK US Equity","CFO_TO_AVG_CURRENT_LIABILITIES","FQ1 2021","FQ1 2021","Currency=USD","Period=FQ","BEST_FPERIOD_OVERRIDE=FQ","FILING_STATUS=MR","Sort=A","Dates=H","DateFormat=P","Fill=—","Direction=H","UseDPDF=Y")</f>
        <v>0.63400000000000001</v>
      </c>
      <c r="AM9" s="21">
        <f>_xll.BDH("ADSK US Equity","CFO_TO_AVG_CURRENT_LIABILITIES","FQ2 2021","FQ2 2021","Currency=USD","Period=FQ","BEST_FPERIOD_OVERRIDE=FQ","FILING_STATUS=MR","Sort=A","Dates=H","DateFormat=P","Fill=—","Direction=H","UseDPDF=Y")</f>
        <v>0.52300000000000002</v>
      </c>
      <c r="AN9" s="21">
        <f>_xll.BDH("ADSK US Equity","CFO_TO_AVG_CURRENT_LIABILITIES","FQ3 2021","FQ3 2021","Currency=USD","Period=FQ","BEST_FPERIOD_OVERRIDE=FQ","FILING_STATUS=MR","Sort=A","Dates=H","DateFormat=P","Fill=—","Direction=H","UseDPDF=Y")</f>
        <v>0.52290000000000003</v>
      </c>
      <c r="AO9" s="21">
        <f>_xll.BDH("ADSK US Equity","CFO_TO_AVG_CURRENT_LIABILITIES","FQ4 2021","FQ4 2021","Currency=USD","Period=FQ","BEST_FPERIOD_OVERRIDE=FQ","FILING_STATUS=MR","Sort=A","Dates=H","DateFormat=P","Fill=—","Direction=H","UseDPDF=Y")</f>
        <v>0.44400000000000001</v>
      </c>
      <c r="AP9" s="21">
        <f>_xll.BDH("ADSK US Equity","CFO_TO_AVG_CURRENT_LIABILITIES","FQ1 2022","FQ1 2022","Currency=USD","Period=FQ","BEST_FPERIOD_OVERRIDE=FQ","FILING_STATUS=MR","Sort=A","Dates=H","DateFormat=P","Fill=—","Direction=H","UseDPDF=Y")</f>
        <v>0.50660000000000005</v>
      </c>
    </row>
    <row r="10" spans="1:42" x14ac:dyDescent="0.25">
      <c r="A10" s="8" t="s">
        <v>184</v>
      </c>
      <c r="B10" s="8" t="s">
        <v>183</v>
      </c>
      <c r="C10" s="21">
        <f>_xll.BDH("ADSK US Equity","COM_EQY_TO_TOT_ASSET","FQ2 2012","FQ2 2012","Currency=USD","Period=FQ","BEST_FPERIOD_OVERRIDE=FQ","FILING_STATUS=MR","Sort=A","Dates=H","DateFormat=P","Fill=—","Direction=H","UseDPDF=Y")</f>
        <v>60.164099999999998</v>
      </c>
      <c r="D10" s="21">
        <f>_xll.BDH("ADSK US Equity","COM_EQY_TO_TOT_ASSET","FQ3 2012","FQ3 2012","Currency=USD","Period=FQ","BEST_FPERIOD_OVERRIDE=FQ","FILING_STATUS=MR","Sort=A","Dates=H","DateFormat=P","Fill=—","Direction=H","UseDPDF=Y")</f>
        <v>60.815300000000001</v>
      </c>
      <c r="E10" s="21">
        <f>_xll.BDH("ADSK US Equity","COM_EQY_TO_TOT_ASSET","FQ4 2012","FQ4 2012","Currency=USD","Period=FQ","BEST_FPERIOD_OVERRIDE=FQ","FILING_STATUS=MR","Sort=A","Dates=H","DateFormat=P","Fill=—","Direction=H","UseDPDF=Y")</f>
        <v>58.333799999999997</v>
      </c>
      <c r="F10" s="21">
        <f>_xll.BDH("ADSK US Equity","COM_EQY_TO_TOT_ASSET","FQ1 2013","FQ1 2013","Currency=USD","Period=FQ","BEST_FPERIOD_OVERRIDE=FQ","FILING_STATUS=MR","Sort=A","Dates=H","DateFormat=P","Fill=—","Direction=H","UseDPDF=Y")</f>
        <v>61.661099999999998</v>
      </c>
      <c r="G10" s="21">
        <f>_xll.BDH("ADSK US Equity","COM_EQY_TO_TOT_ASSET","FQ2 2013","FQ2 2013","Currency=USD","Period=FQ","BEST_FPERIOD_OVERRIDE=FQ","FILING_STATUS=MR","Sort=A","Dates=H","DateFormat=P","Fill=—","Direction=H","UseDPDF=Y")</f>
        <v>60.763100000000001</v>
      </c>
      <c r="H10" s="21">
        <f>_xll.BDH("ADSK US Equity","COM_EQY_TO_TOT_ASSET","FQ3 2013","FQ3 2013","Currency=USD","Period=FQ","BEST_FPERIOD_OVERRIDE=FQ","FILING_STATUS=MR","Sort=A","Dates=H","DateFormat=P","Fill=—","Direction=H","UseDPDF=Y")</f>
        <v>58.8446</v>
      </c>
      <c r="I10" s="21">
        <f>_xll.BDH("ADSK US Equity","COM_EQY_TO_TOT_ASSET","FQ4 2013","FQ4 2013","Currency=USD","Period=FQ","BEST_FPERIOD_OVERRIDE=FQ","FILING_STATUS=MR","Sort=A","Dates=H","DateFormat=P","Fill=—","Direction=H","UseDPDF=Y")</f>
        <v>47.4236</v>
      </c>
      <c r="J10" s="21">
        <f>_xll.BDH("ADSK US Equity","COM_EQY_TO_TOT_ASSET","FQ1 2014","FQ1 2014","Currency=USD","Period=FQ","BEST_FPERIOD_OVERRIDE=FQ","FILING_STATUS=MR","Sort=A","Dates=H","DateFormat=P","Fill=—","Direction=H","UseDPDF=Y")</f>
        <v>48.5931</v>
      </c>
      <c r="K10" s="21">
        <f>_xll.BDH("ADSK US Equity","COM_EQY_TO_TOT_ASSET","FQ2 2014","FQ2 2014","Currency=USD","Period=FQ","BEST_FPERIOD_OVERRIDE=FQ","FILING_STATUS=MR","Sort=A","Dates=H","DateFormat=P","Fill=—","Direction=H","UseDPDF=Y")</f>
        <v>48.566299999999998</v>
      </c>
      <c r="L10" s="21">
        <f>_xll.BDH("ADSK US Equity","COM_EQY_TO_TOT_ASSET","FQ3 2014","FQ3 2014","Currency=USD","Period=FQ","BEST_FPERIOD_OVERRIDE=FQ","FILING_STATUS=MR","Sort=A","Dates=H","DateFormat=P","Fill=—","Direction=H","UseDPDF=Y")</f>
        <v>50.026600000000002</v>
      </c>
      <c r="M10" s="21">
        <f>_xll.BDH("ADSK US Equity","COM_EQY_TO_TOT_ASSET","FQ4 2014","FQ4 2014","Currency=USD","Period=FQ","BEST_FPERIOD_OVERRIDE=FQ","FILING_STATUS=MR","Sort=A","Dates=H","DateFormat=P","Fill=—","Direction=H","UseDPDF=Y")</f>
        <v>49.216500000000003</v>
      </c>
      <c r="N10" s="21">
        <f>_xll.BDH("ADSK US Equity","COM_EQY_TO_TOT_ASSET","FQ1 2015","FQ1 2015","Currency=USD","Period=FQ","BEST_FPERIOD_OVERRIDE=FQ","FILING_STATUS=MR","Sort=A","Dates=H","DateFormat=P","Fill=—","Direction=H","UseDPDF=Y")</f>
        <v>49.234200000000001</v>
      </c>
      <c r="O10" s="21">
        <f>_xll.BDH("ADSK US Equity","COM_EQY_TO_TOT_ASSET","FQ2 2015","FQ2 2015","Currency=USD","Period=FQ","BEST_FPERIOD_OVERRIDE=FQ","FILING_STATUS=MR","Sort=A","Dates=H","DateFormat=P","Fill=—","Direction=H","UseDPDF=Y")</f>
        <v>48.547899999999998</v>
      </c>
      <c r="P10" s="21">
        <f>_xll.BDH("ADSK US Equity","COM_EQY_TO_TOT_ASSET","FQ3 2015","FQ3 2015","Currency=USD","Period=FQ","BEST_FPERIOD_OVERRIDE=FQ","FILING_STATUS=MR","Sort=A","Dates=H","DateFormat=P","Fill=—","Direction=H","UseDPDF=Y")</f>
        <v>47.890999999999998</v>
      </c>
      <c r="Q10" s="21">
        <f>_xll.BDH("ADSK US Equity","COM_EQY_TO_TOT_ASSET","FQ4 2015","FQ4 2015","Currency=USD","Period=FQ","BEST_FPERIOD_OVERRIDE=FQ","FILING_STATUS=MR","Sort=A","Dates=H","DateFormat=P","Fill=—","Direction=H","UseDPDF=Y")</f>
        <v>45.200299999999999</v>
      </c>
      <c r="R10" s="21">
        <f>_xll.BDH("ADSK US Equity","COM_EQY_TO_TOT_ASSET","FQ1 2016","FQ1 2016","Currency=USD","Period=FQ","BEST_FPERIOD_OVERRIDE=FQ","FILING_STATUS=MR","Sort=A","Dates=H","DateFormat=P","Fill=—","Direction=H","UseDPDF=Y")</f>
        <v>46.575499999999998</v>
      </c>
      <c r="S10" s="21">
        <f>_xll.BDH("ADSK US Equity","COM_EQY_TO_TOT_ASSET","FQ2 2016","FQ2 2016","Currency=USD","Period=FQ","BEST_FPERIOD_OVERRIDE=FQ","FILING_STATUS=MR","Sort=A","Dates=H","DateFormat=P","Fill=—","Direction=H","UseDPDF=Y")</f>
        <v>35.607799999999997</v>
      </c>
      <c r="T10" s="21">
        <f>_xll.BDH("ADSK US Equity","COM_EQY_TO_TOT_ASSET","FQ3 2016","FQ3 2016","Currency=USD","Period=FQ","BEST_FPERIOD_OVERRIDE=FQ","FILING_STATUS=MR","Sort=A","Dates=H","DateFormat=P","Fill=—","Direction=H","UseDPDF=Y")</f>
        <v>33.201099999999997</v>
      </c>
      <c r="U10" s="21">
        <f>_xll.BDH("ADSK US Equity","COM_EQY_TO_TOT_ASSET","FQ4 2016","FQ4 2016","Currency=USD","Period=FQ","BEST_FPERIOD_OVERRIDE=FQ","FILING_STATUS=MR","Sort=A","Dates=H","DateFormat=P","Fill=—","Direction=H","UseDPDF=Y")</f>
        <v>29.365600000000001</v>
      </c>
      <c r="V10" s="21">
        <f>_xll.BDH("ADSK US Equity","COM_EQY_TO_TOT_ASSET","FQ1 2017","FQ1 2017","Currency=USD","Period=FQ","BEST_FPERIOD_OVERRIDE=FQ","FILING_STATUS=MR","Sort=A","Dates=H","DateFormat=P","Fill=—","Direction=H","UseDPDF=Y")</f>
        <v>27.5838</v>
      </c>
      <c r="W10" s="21">
        <f>_xll.BDH("ADSK US Equity","COM_EQY_TO_TOT_ASSET","FQ2 2017","FQ2 2017","Currency=USD","Period=FQ","BEST_FPERIOD_OVERRIDE=FQ","FILING_STATUS=MR","Sort=A","Dates=H","DateFormat=P","Fill=—","Direction=H","UseDPDF=Y")</f>
        <v>26.383900000000001</v>
      </c>
      <c r="X10" s="21">
        <f>_xll.BDH("ADSK US Equity","COM_EQY_TO_TOT_ASSET","FQ3 2017","FQ3 2017","Currency=USD","Period=FQ","BEST_FPERIOD_OVERRIDE=FQ","FILING_STATUS=MR","Sort=A","Dates=H","DateFormat=P","Fill=—","Direction=H","UseDPDF=Y")</f>
        <v>21.962199999999999</v>
      </c>
      <c r="Y10" s="21">
        <f>_xll.BDH("ADSK US Equity","COM_EQY_TO_TOT_ASSET","FQ4 2017","FQ4 2017","Currency=USD","Period=FQ","BEST_FPERIOD_OVERRIDE=FQ","FILING_STATUS=MR","Sort=A","Dates=H","DateFormat=P","Fill=—","Direction=H","UseDPDF=Y")</f>
        <v>15.289400000000001</v>
      </c>
      <c r="Z10" s="21">
        <f>_xll.BDH("ADSK US Equity","COM_EQY_TO_TOT_ASSET","FQ1 2018","FQ1 2018","Currency=USD","Period=FQ","BEST_FPERIOD_OVERRIDE=FQ","FILING_STATUS=MR","Sort=A","Dates=H","DateFormat=P","Fill=—","Direction=H","UseDPDF=Y")</f>
        <v>11.4659</v>
      </c>
      <c r="AA10" s="21">
        <f>_xll.BDH("ADSK US Equity","COM_EQY_TO_TOT_ASSET","FQ2 2018","FQ2 2018","Currency=USD","Period=FQ","BEST_FPERIOD_OVERRIDE=FQ","FILING_STATUS=MR","Sort=A","Dates=H","DateFormat=P","Fill=—","Direction=H","UseDPDF=Y")</f>
        <v>7.2462</v>
      </c>
      <c r="AB10" s="21">
        <f>_xll.BDH("ADSK US Equity","COM_EQY_TO_TOT_ASSET","FQ3 2018","FQ3 2018","Currency=USD","Period=FQ","BEST_FPERIOD_OVERRIDE=FQ","FILING_STATUS=MR","Sort=A","Dates=H","DateFormat=P","Fill=—","Direction=H","UseDPDF=Y")</f>
        <v>2.5842999999999998</v>
      </c>
      <c r="AC10" s="21">
        <f>_xll.BDH("ADSK US Equity","COM_EQY_TO_TOT_ASSET","FQ4 2018","FQ4 2018","Currency=USD","Period=FQ","BEST_FPERIOD_OVERRIDE=FQ","FILING_STATUS=MR","Sort=A","Dates=H","DateFormat=P","Fill=—","Direction=H","UseDPDF=Y")</f>
        <v>-6.2233000000000001</v>
      </c>
      <c r="AD10" s="21">
        <f>_xll.BDH("ADSK US Equity","COM_EQY_TO_TOT_ASSET","FQ1 2019","FQ1 2019","Currency=USD","Period=FQ","BEST_FPERIOD_OVERRIDE=FQ","FILING_STATUS=MR","Sort=A","Dates=H","DateFormat=P","Fill=—","Direction=H","UseDPDF=Y")</f>
        <v>-3.2877999999999998</v>
      </c>
      <c r="AE10" s="21">
        <f>_xll.BDH("ADSK US Equity","COM_EQY_TO_TOT_ASSET","FQ2 2019","FQ2 2019","Currency=USD","Period=FQ","BEST_FPERIOD_OVERRIDE=FQ","FILING_STATUS=MR","Sort=A","Dates=H","DateFormat=P","Fill=—","Direction=H","UseDPDF=Y")</f>
        <v>-6.3032000000000004</v>
      </c>
      <c r="AF10" s="21">
        <f>_xll.BDH("ADSK US Equity","COM_EQY_TO_TOT_ASSET","FQ3 2019","FQ3 2019","Currency=USD","Period=FQ","BEST_FPERIOD_OVERRIDE=FQ","FILING_STATUS=MR","Sort=A","Dates=H","DateFormat=P","Fill=—","Direction=H","UseDPDF=Y")</f>
        <v>-8.9629999999999992</v>
      </c>
      <c r="AG10" s="21">
        <f>_xll.BDH("ADSK US Equity","COM_EQY_TO_TOT_ASSET","FQ4 2019","FQ4 2019","Currency=USD","Period=FQ","BEST_FPERIOD_OVERRIDE=FQ","FILING_STATUS=MR","Sort=A","Dates=H","DateFormat=P","Fill=—","Direction=H","UseDPDF=Y")</f>
        <v>-4.4595000000000002</v>
      </c>
      <c r="AH10" s="21">
        <f>_xll.BDH("ADSK US Equity","COM_EQY_TO_TOT_ASSET","FQ1 2020","FQ1 2020","Currency=USD","Period=FQ","BEST_FPERIOD_OVERRIDE=FQ","FILING_STATUS=MR","Sort=A","Dates=H","DateFormat=P","Fill=—","Direction=H","UseDPDF=Y")</f>
        <v>-5.1013999999999999</v>
      </c>
      <c r="AI10" s="21">
        <f>_xll.BDH("ADSK US Equity","COM_EQY_TO_TOT_ASSET","FQ2 2020","FQ2 2020","Currency=USD","Period=FQ","BEST_FPERIOD_OVERRIDE=FQ","FILING_STATUS=MR","Sort=A","Dates=H","DateFormat=P","Fill=—","Direction=H","UseDPDF=Y")</f>
        <v>-3.9874999999999998</v>
      </c>
      <c r="AJ10" s="21">
        <f>_xll.BDH("ADSK US Equity","COM_EQY_TO_TOT_ASSET","FQ3 2020","FQ3 2020","Currency=USD","Period=FQ","BEST_FPERIOD_OVERRIDE=FQ","FILING_STATUS=MR","Sort=A","Dates=H","DateFormat=P","Fill=—","Direction=H","UseDPDF=Y")</f>
        <v>-3.4051</v>
      </c>
      <c r="AK10" s="21">
        <f>_xll.BDH("ADSK US Equity","COM_EQY_TO_TOT_ASSET","FQ4 2020","FQ4 2020","Currency=USD","Period=FQ","BEST_FPERIOD_OVERRIDE=FQ","FILING_STATUS=MR","Sort=A","Dates=H","DateFormat=P","Fill=—","Direction=H","UseDPDF=Y")</f>
        <v>-2.2511000000000001</v>
      </c>
      <c r="AL10" s="21">
        <f>_xll.BDH("ADSK US Equity","COM_EQY_TO_TOT_ASSET","FQ1 2021","FQ1 2021","Currency=USD","Period=FQ","BEST_FPERIOD_OVERRIDE=FQ","FILING_STATUS=MR","Sort=A","Dates=H","DateFormat=P","Fill=—","Direction=H","UseDPDF=Y")</f>
        <v>-2.5091000000000001</v>
      </c>
      <c r="AM10" s="21">
        <f>_xll.BDH("ADSK US Equity","COM_EQY_TO_TOT_ASSET","FQ2 2021","FQ2 2021","Currency=USD","Period=FQ","BEST_FPERIOD_OVERRIDE=FQ","FILING_STATUS=MR","Sort=A","Dates=H","DateFormat=P","Fill=—","Direction=H","UseDPDF=Y")</f>
        <v>1.171</v>
      </c>
      <c r="AN10" s="21">
        <f>_xll.BDH("ADSK US Equity","COM_EQY_TO_TOT_ASSET","FQ3 2021","FQ3 2021","Currency=USD","Period=FQ","BEST_FPERIOD_OVERRIDE=FQ","FILING_STATUS=MR","Sort=A","Dates=H","DateFormat=P","Fill=—","Direction=H","UseDPDF=Y")</f>
        <v>1.1657999999999999</v>
      </c>
      <c r="AO10" s="21">
        <f>_xll.BDH("ADSK US Equity","COM_EQY_TO_TOT_ASSET","FQ4 2021","FQ4 2021","Currency=USD","Period=FQ","BEST_FPERIOD_OVERRIDE=FQ","FILING_STATUS=MR","Sort=A","Dates=H","DateFormat=P","Fill=—","Direction=H","UseDPDF=Y")</f>
        <v>13.262700000000001</v>
      </c>
      <c r="AP10" s="21">
        <f>_xll.BDH("ADSK US Equity","COM_EQY_TO_TOT_ASSET","FQ1 2022","FQ1 2022","Currency=USD","Period=FQ","BEST_FPERIOD_OVERRIDE=FQ","FILING_STATUS=MR","Sort=A","Dates=H","DateFormat=P","Fill=—","Direction=H","UseDPDF=Y")</f>
        <v>15.4611</v>
      </c>
    </row>
    <row r="11" spans="1:42" x14ac:dyDescent="0.25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8" t="s">
        <v>182</v>
      </c>
      <c r="B12" s="8" t="s">
        <v>181</v>
      </c>
      <c r="C12" s="21">
        <f>_xll.BDH("ADSK US Equity","LT_DEBT_TO_TOT_EQY","FQ2 2012","FQ2 2012","Currency=USD","Period=FQ","BEST_FPERIOD_OVERRIDE=FQ","FILING_STATUS=MR","Sort=A","Dates=H","DateFormat=P","Fill=—","Direction=H","UseDPDF=Y")</f>
        <v>0</v>
      </c>
      <c r="D12" s="21">
        <f>_xll.BDH("ADSK US Equity","LT_DEBT_TO_TOT_EQY","FQ3 2012","FQ3 2012","Currency=USD","Period=FQ","BEST_FPERIOD_OVERRIDE=FQ","FILING_STATUS=MR","Sort=A","Dates=H","DateFormat=P","Fill=—","Direction=H","UseDPDF=Y")</f>
        <v>0</v>
      </c>
      <c r="E12" s="21">
        <f>_xll.BDH("ADSK US Equity","LT_DEBT_TO_TOT_EQY","FQ4 2012","FQ4 2012","Currency=USD","Period=FQ","BEST_FPERIOD_OVERRIDE=FQ","FILING_STATUS=MR","Sort=A","Dates=H","DateFormat=P","Fill=—","Direction=H","UseDPDF=Y")</f>
        <v>0</v>
      </c>
      <c r="F12" s="21">
        <f>_xll.BDH("ADSK US Equity","LT_DEBT_TO_TOT_EQY","FQ1 2013","FQ1 2013","Currency=USD","Period=FQ","BEST_FPERIOD_OVERRIDE=FQ","FILING_STATUS=MR","Sort=A","Dates=H","DateFormat=P","Fill=—","Direction=H","UseDPDF=Y")</f>
        <v>0</v>
      </c>
      <c r="G12" s="21">
        <f>_xll.BDH("ADSK US Equity","LT_DEBT_TO_TOT_EQY","FQ2 2013","FQ2 2013","Currency=USD","Period=FQ","BEST_FPERIOD_OVERRIDE=FQ","FILING_STATUS=MR","Sort=A","Dates=H","DateFormat=P","Fill=—","Direction=H","UseDPDF=Y")</f>
        <v>0</v>
      </c>
      <c r="H12" s="21">
        <f>_xll.BDH("ADSK US Equity","LT_DEBT_TO_TOT_EQY","FQ3 2013","FQ3 2013","Currency=USD","Period=FQ","BEST_FPERIOD_OVERRIDE=FQ","FILING_STATUS=MR","Sort=A","Dates=H","DateFormat=P","Fill=—","Direction=H","UseDPDF=Y")</f>
        <v>0</v>
      </c>
      <c r="I12" s="21">
        <f>_xll.BDH("ADSK US Equity","LT_DEBT_TO_TOT_EQY","FQ4 2013","FQ4 2013","Currency=USD","Period=FQ","BEST_FPERIOD_OVERRIDE=FQ","FILING_STATUS=MR","Sort=A","Dates=H","DateFormat=P","Fill=—","Direction=H","UseDPDF=Y")</f>
        <v>36.491799999999998</v>
      </c>
      <c r="J12" s="21">
        <f>_xll.BDH("ADSK US Equity","LT_DEBT_TO_TOT_EQY","FQ1 2014","FQ1 2014","Currency=USD","Period=FQ","BEST_FPERIOD_OVERRIDE=FQ","FILING_STATUS=MR","Sort=A","Dates=H","DateFormat=P","Fill=—","Direction=H","UseDPDF=Y")</f>
        <v>35.778399999999998</v>
      </c>
      <c r="K12" s="21">
        <f>_xll.BDH("ADSK US Equity","LT_DEBT_TO_TOT_EQY","FQ2 2014","FQ2 2014","Currency=USD","Period=FQ","BEST_FPERIOD_OVERRIDE=FQ","FILING_STATUS=MR","Sort=A","Dates=H","DateFormat=P","Fill=—","Direction=H","UseDPDF=Y")</f>
        <v>36.370699999999999</v>
      </c>
      <c r="L12" s="21">
        <f>_xll.BDH("ADSK US Equity","LT_DEBT_TO_TOT_EQY","FQ3 2014","FQ3 2014","Currency=USD","Period=FQ","BEST_FPERIOD_OVERRIDE=FQ","FILING_STATUS=MR","Sort=A","Dates=H","DateFormat=P","Fill=—","Direction=H","UseDPDF=Y")</f>
        <v>34.515900000000002</v>
      </c>
      <c r="M12" s="21">
        <f>_xll.BDH("ADSK US Equity","LT_DEBT_TO_TOT_EQY","FQ4 2014","FQ4 2014","Currency=USD","Period=FQ","BEST_FPERIOD_OVERRIDE=FQ","FILING_STATUS=MR","Sort=A","Dates=H","DateFormat=P","Fill=—","Direction=H","UseDPDF=Y")</f>
        <v>33.004600000000003</v>
      </c>
      <c r="N12" s="21">
        <f>_xll.BDH("ADSK US Equity","LT_DEBT_TO_TOT_EQY","FQ1 2015","FQ1 2015","Currency=USD","Period=FQ","BEST_FPERIOD_OVERRIDE=FQ","FILING_STATUS=MR","Sort=A","Dates=H","DateFormat=P","Fill=—","Direction=H","UseDPDF=Y")</f>
        <v>32.621099999999998</v>
      </c>
      <c r="O12" s="21">
        <f>_xll.BDH("ADSK US Equity","LT_DEBT_TO_TOT_EQY","FQ2 2015","FQ2 2015","Currency=USD","Period=FQ","BEST_FPERIOD_OVERRIDE=FQ","FILING_STATUS=MR","Sort=A","Dates=H","DateFormat=P","Fill=—","Direction=H","UseDPDF=Y")</f>
        <v>32.705599999999997</v>
      </c>
      <c r="P12" s="21">
        <f>_xll.BDH("ADSK US Equity","LT_DEBT_TO_TOT_EQY","FQ3 2015","FQ3 2015","Currency=USD","Period=FQ","BEST_FPERIOD_OVERRIDE=FQ","FILING_STATUS=MR","Sort=A","Dates=H","DateFormat=P","Fill=—","Direction=H","UseDPDF=Y")</f>
        <v>32.929200000000002</v>
      </c>
      <c r="Q12" s="21">
        <f>_xll.BDH("ADSK US Equity","LT_DEBT_TO_TOT_EQY","FQ4 2015","FQ4 2015","Currency=USD","Period=FQ","BEST_FPERIOD_OVERRIDE=FQ","FILING_STATUS=MR","Sort=A","Dates=H","DateFormat=P","Fill=—","Direction=H","UseDPDF=Y")</f>
        <v>33.484999999999999</v>
      </c>
      <c r="R12" s="21">
        <f>_xll.BDH("ADSK US Equity","LT_DEBT_TO_TOT_EQY","FQ1 2016","FQ1 2016","Currency=USD","Period=FQ","BEST_FPERIOD_OVERRIDE=FQ","FILING_STATUS=MR","Sort=A","Dates=H","DateFormat=P","Fill=—","Direction=H","UseDPDF=Y")</f>
        <v>33.600099999999998</v>
      </c>
      <c r="S12" s="21">
        <f>_xll.BDH("ADSK US Equity","LT_DEBT_TO_TOT_EQY","FQ2 2016","FQ2 2016","Currency=USD","Period=FQ","BEST_FPERIOD_OVERRIDE=FQ","FILING_STATUS=MR","Sort=A","Dates=H","DateFormat=P","Fill=—","Direction=H","UseDPDF=Y")</f>
        <v>78.134699999999995</v>
      </c>
      <c r="T12" s="21">
        <f>_xll.BDH("ADSK US Equity","LT_DEBT_TO_TOT_EQY","FQ3 2016","FQ3 2016","Currency=USD","Period=FQ","BEST_FPERIOD_OVERRIDE=FQ","FILING_STATUS=MR","Sort=A","Dates=H","DateFormat=P","Fill=—","Direction=H","UseDPDF=Y")</f>
        <v>85.794200000000004</v>
      </c>
      <c r="U12" s="21">
        <f>_xll.BDH("ADSK US Equity","LT_DEBT_TO_TOT_EQY","FQ4 2016","FQ4 2016","Currency=USD","Period=FQ","BEST_FPERIOD_OVERRIDE=FQ","FILING_STATUS=MR","Sort=A","Dates=H","DateFormat=P","Fill=—","Direction=H","UseDPDF=Y")</f>
        <v>91.855999999999995</v>
      </c>
      <c r="V12" s="21">
        <f>_xll.BDH("ADSK US Equity","LT_DEBT_TO_TOT_EQY","FQ1 2017","FQ1 2017","Currency=USD","Period=FQ","BEST_FPERIOD_OVERRIDE=FQ","FILING_STATUS=MR","Sort=A","Dates=H","DateFormat=P","Fill=—","Direction=H","UseDPDF=Y")</f>
        <v>103.6562</v>
      </c>
      <c r="W12" s="21">
        <f>_xll.BDH("ADSK US Equity","LT_DEBT_TO_TOT_EQY","FQ2 2017","FQ2 2017","Currency=USD","Period=FQ","BEST_FPERIOD_OVERRIDE=FQ","FILING_STATUS=MR","Sort=A","Dates=H","DateFormat=P","Fill=—","Direction=H","UseDPDF=Y")</f>
        <v>111.827</v>
      </c>
      <c r="X12" s="21">
        <f>_xll.BDH("ADSK US Equity","LT_DEBT_TO_TOT_EQY","FQ3 2017","FQ3 2017","Currency=USD","Period=FQ","BEST_FPERIOD_OVERRIDE=FQ","FILING_STATUS=MR","Sort=A","Dates=H","DateFormat=P","Fill=—","Direction=H","UseDPDF=Y")</f>
        <v>140.47710000000001</v>
      </c>
      <c r="Y12" s="21">
        <f>_xll.BDH("ADSK US Equity","LT_DEBT_TO_TOT_EQY","FQ4 2017","FQ4 2017","Currency=USD","Period=FQ","BEST_FPERIOD_OVERRIDE=FQ","FILING_STATUS=MR","Sort=A","Dates=H","DateFormat=P","Fill=—","Direction=H","UseDPDF=Y")</f>
        <v>148.85499999999999</v>
      </c>
      <c r="Z12" s="21">
        <f>_xll.BDH("ADSK US Equity","LT_DEBT_TO_TOT_EQY","FQ1 2018","FQ1 2018","Currency=USD","Period=FQ","BEST_FPERIOD_OVERRIDE=FQ","FILING_STATUS=MR","Sort=A","Dates=H","DateFormat=P","Fill=—","Direction=H","UseDPDF=Y")</f>
        <v>214.99700000000001</v>
      </c>
      <c r="AA12" s="21">
        <f>_xll.BDH("ADSK US Equity","LT_DEBT_TO_TOT_EQY","FQ2 2018","FQ2 2018","Currency=USD","Period=FQ","BEST_FPERIOD_OVERRIDE=FQ","FILING_STATUS=MR","Sort=A","Dates=H","DateFormat=P","Fill=—","Direction=H","UseDPDF=Y")</f>
        <v>502.34550000000002</v>
      </c>
      <c r="AB12" s="21">
        <f>_xll.BDH("ADSK US Equity","LT_DEBT_TO_TOT_EQY","FQ3 2018","FQ3 2018","Currency=USD","Period=FQ","BEST_FPERIOD_OVERRIDE=FQ","FILING_STATUS=MR","Sort=A","Dates=H","DateFormat=P","Fill=—","Direction=H","UseDPDF=Y")</f>
        <v>1477.5396000000001</v>
      </c>
      <c r="AC12" s="21" t="str">
        <f>_xll.BDH("ADSK US Equity","LT_DEBT_TO_TOT_EQY","FQ4 2018","FQ4 2018","Currency=USD","Period=FQ","BEST_FPERIOD_OVERRIDE=FQ","FILING_STATUS=MR","Sort=A","Dates=H","DateFormat=P","Fill=—","Direction=H","UseDPDF=Y")</f>
        <v>—</v>
      </c>
      <c r="AD12" s="21" t="str">
        <f>_xll.BDH("ADSK US Equity","LT_DEBT_TO_TOT_EQY","FQ1 2019","FQ1 2019","Currency=USD","Period=FQ","BEST_FPERIOD_OVERRIDE=FQ","FILING_STATUS=MR","Sort=A","Dates=H","DateFormat=P","Fill=—","Direction=H","UseDPDF=Y")</f>
        <v>—</v>
      </c>
      <c r="AE12" s="21" t="str">
        <f>_xll.BDH("ADSK US Equity","LT_DEBT_TO_TOT_EQY","FQ2 2019","FQ2 2019","Currency=USD","Period=FQ","BEST_FPERIOD_OVERRIDE=FQ","FILING_STATUS=MR","Sort=A","Dates=H","DateFormat=P","Fill=—","Direction=H","UseDPDF=Y")</f>
        <v>—</v>
      </c>
      <c r="AF12" s="21" t="str">
        <f>_xll.BDH("ADSK US Equity","LT_DEBT_TO_TOT_EQY","FQ3 2019","FQ3 2019","Currency=USD","Period=FQ","BEST_FPERIOD_OVERRIDE=FQ","FILING_STATUS=MR","Sort=A","Dates=H","DateFormat=P","Fill=—","Direction=H","UseDPDF=Y")</f>
        <v>—</v>
      </c>
      <c r="AG12" s="21" t="str">
        <f>_xll.BDH("ADSK US Equity","LT_DEBT_TO_TOT_EQY","FQ4 2019","FQ4 2019","Currency=USD","Period=FQ","BEST_FPERIOD_OVERRIDE=FQ","FILING_STATUS=MR","Sort=A","Dates=H","DateFormat=P","Fill=—","Direction=H","UseDPDF=Y")</f>
        <v>—</v>
      </c>
      <c r="AH12" s="21" t="str">
        <f>_xll.BDH("ADSK US Equity","LT_DEBT_TO_TOT_EQY","FQ1 2020","FQ1 2020","Currency=USD","Period=FQ","BEST_FPERIOD_OVERRIDE=FQ","FILING_STATUS=MR","Sort=A","Dates=H","DateFormat=P","Fill=—","Direction=H","UseDPDF=Y")</f>
        <v>—</v>
      </c>
      <c r="AI12" s="21" t="str">
        <f>_xll.BDH("ADSK US Equity","LT_DEBT_TO_TOT_EQY","FQ2 2020","FQ2 2020","Currency=USD","Period=FQ","BEST_FPERIOD_OVERRIDE=FQ","FILING_STATUS=MR","Sort=A","Dates=H","DateFormat=P","Fill=—","Direction=H","UseDPDF=Y")</f>
        <v>—</v>
      </c>
      <c r="AJ12" s="21" t="str">
        <f>_xll.BDH("ADSK US Equity","LT_DEBT_TO_TOT_EQY","FQ3 2020","FQ3 2020","Currency=USD","Period=FQ","BEST_FPERIOD_OVERRIDE=FQ","FILING_STATUS=MR","Sort=A","Dates=H","DateFormat=P","Fill=—","Direction=H","UseDPDF=Y")</f>
        <v>—</v>
      </c>
      <c r="AK12" s="21" t="str">
        <f>_xll.BDH("ADSK US Equity","LT_DEBT_TO_TOT_EQY","FQ4 2020","FQ4 2020","Currency=USD","Period=FQ","BEST_FPERIOD_OVERRIDE=FQ","FILING_STATUS=MR","Sort=A","Dates=H","DateFormat=P","Fill=—","Direction=H","UseDPDF=Y")</f>
        <v>—</v>
      </c>
      <c r="AL12" s="21" t="str">
        <f>_xll.BDH("ADSK US Equity","LT_DEBT_TO_TOT_EQY","FQ1 2021","FQ1 2021","Currency=USD","Period=FQ","BEST_FPERIOD_OVERRIDE=FQ","FILING_STATUS=MR","Sort=A","Dates=H","DateFormat=P","Fill=—","Direction=H","UseDPDF=Y")</f>
        <v>—</v>
      </c>
      <c r="AM12" s="21">
        <f>_xll.BDH("ADSK US Equity","LT_DEBT_TO_TOT_EQY","FQ2 2021","FQ2 2021","Currency=USD","Period=FQ","BEST_FPERIOD_OVERRIDE=FQ","FILING_STATUS=MR","Sort=A","Dates=H","DateFormat=P","Fill=—","Direction=H","UseDPDF=Y")</f>
        <v>3015.4531999999999</v>
      </c>
      <c r="AN12" s="21">
        <f>_xll.BDH("ADSK US Equity","LT_DEBT_TO_TOT_EQY","FQ3 2021","FQ3 2021","Currency=USD","Period=FQ","BEST_FPERIOD_OVERRIDE=FQ","FILING_STATUS=MR","Sort=A","Dates=H","DateFormat=P","Fill=—","Direction=H","UseDPDF=Y")</f>
        <v>2936.2193000000002</v>
      </c>
      <c r="AO12" s="21">
        <f>_xll.BDH("ADSK US Equity","LT_DEBT_TO_TOT_EQY","FQ4 2021","FQ4 2021","Currency=USD","Period=FQ","BEST_FPERIOD_OVERRIDE=FQ","FILING_STATUS=MR","Sort=A","Dates=H","DateFormat=P","Fill=—","Direction=H","UseDPDF=Y")</f>
        <v>210.58519999999999</v>
      </c>
      <c r="AP12" s="21">
        <f>_xll.BDH("ADSK US Equity","LT_DEBT_TO_TOT_EQY","FQ1 2022","FQ1 2022","Currency=USD","Period=FQ","BEST_FPERIOD_OVERRIDE=FQ","FILING_STATUS=MR","Sort=A","Dates=H","DateFormat=P","Fill=—","Direction=H","UseDPDF=Y")</f>
        <v>178.58920000000001</v>
      </c>
    </row>
    <row r="13" spans="1:42" x14ac:dyDescent="0.25">
      <c r="A13" s="8" t="s">
        <v>180</v>
      </c>
      <c r="B13" s="8" t="s">
        <v>179</v>
      </c>
      <c r="C13" s="21">
        <f>_xll.BDH("ADSK US Equity","LT_DEBT_TO_TOT_CAP","FQ2 2012","FQ2 2012","Currency=USD","Period=FQ","BEST_FPERIOD_OVERRIDE=FQ","FILING_STATUS=MR","Sort=A","Dates=H","DateFormat=P","Fill=—","Direction=H","UseDPDF=Y")</f>
        <v>0</v>
      </c>
      <c r="D13" s="21">
        <f>_xll.BDH("ADSK US Equity","LT_DEBT_TO_TOT_CAP","FQ3 2012","FQ3 2012","Currency=USD","Period=FQ","BEST_FPERIOD_OVERRIDE=FQ","FILING_STATUS=MR","Sort=A","Dates=H","DateFormat=P","Fill=—","Direction=H","UseDPDF=Y")</f>
        <v>0</v>
      </c>
      <c r="E13" s="21">
        <f>_xll.BDH("ADSK US Equity","LT_DEBT_TO_TOT_CAP","FQ4 2012","FQ4 2012","Currency=USD","Period=FQ","BEST_FPERIOD_OVERRIDE=FQ","FILING_STATUS=MR","Sort=A","Dates=H","DateFormat=P","Fill=—","Direction=H","UseDPDF=Y")</f>
        <v>0</v>
      </c>
      <c r="F13" s="21">
        <f>_xll.BDH("ADSK US Equity","LT_DEBT_TO_TOT_CAP","FQ1 2013","FQ1 2013","Currency=USD","Period=FQ","BEST_FPERIOD_OVERRIDE=FQ","FILING_STATUS=MR","Sort=A","Dates=H","DateFormat=P","Fill=—","Direction=H","UseDPDF=Y")</f>
        <v>0</v>
      </c>
      <c r="G13" s="21">
        <f>_xll.BDH("ADSK US Equity","LT_DEBT_TO_TOT_CAP","FQ2 2013","FQ2 2013","Currency=USD","Period=FQ","BEST_FPERIOD_OVERRIDE=FQ","FILING_STATUS=MR","Sort=A","Dates=H","DateFormat=P","Fill=—","Direction=H","UseDPDF=Y")</f>
        <v>0</v>
      </c>
      <c r="H13" s="21">
        <f>_xll.BDH("ADSK US Equity","LT_DEBT_TO_TOT_CAP","FQ3 2013","FQ3 2013","Currency=USD","Period=FQ","BEST_FPERIOD_OVERRIDE=FQ","FILING_STATUS=MR","Sort=A","Dates=H","DateFormat=P","Fill=—","Direction=H","UseDPDF=Y")</f>
        <v>0</v>
      </c>
      <c r="I13" s="21">
        <f>_xll.BDH("ADSK US Equity","LT_DEBT_TO_TOT_CAP","FQ4 2013","FQ4 2013","Currency=USD","Period=FQ","BEST_FPERIOD_OVERRIDE=FQ","FILING_STATUS=MR","Sort=A","Dates=H","DateFormat=P","Fill=—","Direction=H","UseDPDF=Y")</f>
        <v>26.735500000000002</v>
      </c>
      <c r="J13" s="21">
        <f>_xll.BDH("ADSK US Equity","LT_DEBT_TO_TOT_CAP","FQ1 2014","FQ1 2014","Currency=USD","Period=FQ","BEST_FPERIOD_OVERRIDE=FQ","FILING_STATUS=MR","Sort=A","Dates=H","DateFormat=P","Fill=—","Direction=H","UseDPDF=Y")</f>
        <v>26.3506</v>
      </c>
      <c r="K13" s="21">
        <f>_xll.BDH("ADSK US Equity","LT_DEBT_TO_TOT_CAP","FQ2 2014","FQ2 2014","Currency=USD","Period=FQ","BEST_FPERIOD_OVERRIDE=FQ","FILING_STATUS=MR","Sort=A","Dates=H","DateFormat=P","Fill=—","Direction=H","UseDPDF=Y")</f>
        <v>26.670500000000001</v>
      </c>
      <c r="L13" s="21">
        <f>_xll.BDH("ADSK US Equity","LT_DEBT_TO_TOT_CAP","FQ3 2014","FQ3 2014","Currency=USD","Period=FQ","BEST_FPERIOD_OVERRIDE=FQ","FILING_STATUS=MR","Sort=A","Dates=H","DateFormat=P","Fill=—","Direction=H","UseDPDF=Y")</f>
        <v>25.659400000000002</v>
      </c>
      <c r="M13" s="21">
        <f>_xll.BDH("ADSK US Equity","LT_DEBT_TO_TOT_CAP","FQ4 2014","FQ4 2014","Currency=USD","Period=FQ","BEST_FPERIOD_OVERRIDE=FQ","FILING_STATUS=MR","Sort=A","Dates=H","DateFormat=P","Fill=—","Direction=H","UseDPDF=Y")</f>
        <v>24.814699999999998</v>
      </c>
      <c r="N13" s="21">
        <f>_xll.BDH("ADSK US Equity","LT_DEBT_TO_TOT_CAP","FQ1 2015","FQ1 2015","Currency=USD","Period=FQ","BEST_FPERIOD_OVERRIDE=FQ","FILING_STATUS=MR","Sort=A","Dates=H","DateFormat=P","Fill=—","Direction=H","UseDPDF=Y")</f>
        <v>24.597200000000001</v>
      </c>
      <c r="O13" s="21">
        <f>_xll.BDH("ADSK US Equity","LT_DEBT_TO_TOT_CAP","FQ2 2015","FQ2 2015","Currency=USD","Period=FQ","BEST_FPERIOD_OVERRIDE=FQ","FILING_STATUS=MR","Sort=A","Dates=H","DateFormat=P","Fill=—","Direction=H","UseDPDF=Y")</f>
        <v>24.645199999999999</v>
      </c>
      <c r="P13" s="21">
        <f>_xll.BDH("ADSK US Equity","LT_DEBT_TO_TOT_CAP","FQ3 2015","FQ3 2015","Currency=USD","Period=FQ","BEST_FPERIOD_OVERRIDE=FQ","FILING_STATUS=MR","Sort=A","Dates=H","DateFormat=P","Fill=—","Direction=H","UseDPDF=Y")</f>
        <v>24.771999999999998</v>
      </c>
      <c r="Q13" s="21">
        <f>_xll.BDH("ADSK US Equity","LT_DEBT_TO_TOT_CAP","FQ4 2015","FQ4 2015","Currency=USD","Period=FQ","BEST_FPERIOD_OVERRIDE=FQ","FILING_STATUS=MR","Sort=A","Dates=H","DateFormat=P","Fill=—","Direction=H","UseDPDF=Y")</f>
        <v>25.0852</v>
      </c>
      <c r="R13" s="21">
        <f>_xll.BDH("ADSK US Equity","LT_DEBT_TO_TOT_CAP","FQ1 2016","FQ1 2016","Currency=USD","Period=FQ","BEST_FPERIOD_OVERRIDE=FQ","FILING_STATUS=MR","Sort=A","Dates=H","DateFormat=P","Fill=—","Direction=H","UseDPDF=Y")</f>
        <v>25.149699999999999</v>
      </c>
      <c r="S13" s="21">
        <f>_xll.BDH("ADSK US Equity","LT_DEBT_TO_TOT_CAP","FQ2 2016","FQ2 2016","Currency=USD","Period=FQ","BEST_FPERIOD_OVERRIDE=FQ","FILING_STATUS=MR","Sort=A","Dates=H","DateFormat=P","Fill=—","Direction=H","UseDPDF=Y")</f>
        <v>43.862699999999997</v>
      </c>
      <c r="T13" s="21">
        <f>_xll.BDH("ADSK US Equity","LT_DEBT_TO_TOT_CAP","FQ3 2016","FQ3 2016","Currency=USD","Period=FQ","BEST_FPERIOD_OVERRIDE=FQ","FILING_STATUS=MR","Sort=A","Dates=H","DateFormat=P","Fill=—","Direction=H","UseDPDF=Y")</f>
        <v>46.177</v>
      </c>
      <c r="U13" s="21">
        <f>_xll.BDH("ADSK US Equity","LT_DEBT_TO_TOT_CAP","FQ4 2016","FQ4 2016","Currency=USD","Period=FQ","BEST_FPERIOD_OVERRIDE=FQ","FILING_STATUS=MR","Sort=A","Dates=H","DateFormat=P","Fill=—","Direction=H","UseDPDF=Y")</f>
        <v>47.877600000000001</v>
      </c>
      <c r="V13" s="21">
        <f>_xll.BDH("ADSK US Equity","LT_DEBT_TO_TOT_CAP","FQ1 2017","FQ1 2017","Currency=USD","Period=FQ","BEST_FPERIOD_OVERRIDE=FQ","FILING_STATUS=MR","Sort=A","Dates=H","DateFormat=P","Fill=—","Direction=H","UseDPDF=Y")</f>
        <v>50.8977</v>
      </c>
      <c r="W13" s="21">
        <f>_xll.BDH("ADSK US Equity","LT_DEBT_TO_TOT_CAP","FQ2 2017","FQ2 2017","Currency=USD","Period=FQ","BEST_FPERIOD_OVERRIDE=FQ","FILING_STATUS=MR","Sort=A","Dates=H","DateFormat=P","Fill=—","Direction=H","UseDPDF=Y")</f>
        <v>52.791699999999999</v>
      </c>
      <c r="X13" s="21">
        <f>_xll.BDH("ADSK US Equity","LT_DEBT_TO_TOT_CAP","FQ3 2017","FQ3 2017","Currency=USD","Period=FQ","BEST_FPERIOD_OVERRIDE=FQ","FILING_STATUS=MR","Sort=A","Dates=H","DateFormat=P","Fill=—","Direction=H","UseDPDF=Y")</f>
        <v>58.415999999999997</v>
      </c>
      <c r="Y13" s="21">
        <f>_xll.BDH("ADSK US Equity","LT_DEBT_TO_TOT_CAP","FQ4 2017","FQ4 2017","Currency=USD","Period=FQ","BEST_FPERIOD_OVERRIDE=FQ","FILING_STATUS=MR","Sort=A","Dates=H","DateFormat=P","Fill=—","Direction=H","UseDPDF=Y")</f>
        <v>49.094099999999997</v>
      </c>
      <c r="Z13" s="21">
        <f>_xll.BDH("ADSK US Equity","LT_DEBT_TO_TOT_CAP","FQ1 2018","FQ1 2018","Currency=USD","Period=FQ","BEST_FPERIOD_OVERRIDE=FQ","FILING_STATUS=MR","Sort=A","Dates=H","DateFormat=P","Fill=—","Direction=H","UseDPDF=Y")</f>
        <v>54.630899999999997</v>
      </c>
      <c r="AA13" s="21">
        <f>_xll.BDH("ADSK US Equity","LT_DEBT_TO_TOT_CAP","FQ2 2018","FQ2 2018","Currency=USD","Period=FQ","BEST_FPERIOD_OVERRIDE=FQ","FILING_STATUS=MR","Sort=A","Dates=H","DateFormat=P","Fill=—","Direction=H","UseDPDF=Y")</f>
        <v>83.398200000000003</v>
      </c>
      <c r="AB13" s="21">
        <f>_xll.BDH("ADSK US Equity","LT_DEBT_TO_TOT_CAP","FQ3 2018","FQ3 2018","Currency=USD","Period=FQ","BEST_FPERIOD_OVERRIDE=FQ","FILING_STATUS=MR","Sort=A","Dates=H","DateFormat=P","Fill=—","Direction=H","UseDPDF=Y")</f>
        <v>93.661000000000001</v>
      </c>
      <c r="AC13" s="21">
        <f>_xll.BDH("ADSK US Equity","LT_DEBT_TO_TOT_CAP","FQ4 2018","FQ4 2018","Currency=USD","Period=FQ","BEST_FPERIOD_OVERRIDE=FQ","FILING_STATUS=MR","Sort=A","Dates=H","DateFormat=P","Fill=—","Direction=H","UseDPDF=Y")</f>
        <v>119.24809999999999</v>
      </c>
      <c r="AD13" s="21">
        <f>_xll.BDH("ADSK US Equity","LT_DEBT_TO_TOT_CAP","FQ1 2019","FQ1 2019","Currency=USD","Period=FQ","BEST_FPERIOD_OVERRIDE=FQ","FILING_STATUS=MR","Sort=A","Dates=H","DateFormat=P","Fill=—","Direction=H","UseDPDF=Y")</f>
        <v>108.8203</v>
      </c>
      <c r="AE13" s="21">
        <f>_xll.BDH("ADSK US Equity","LT_DEBT_TO_TOT_CAP","FQ2 2019","FQ2 2019","Currency=USD","Period=FQ","BEST_FPERIOD_OVERRIDE=FQ","FILING_STATUS=MR","Sort=A","Dates=H","DateFormat=P","Fill=—","Direction=H","UseDPDF=Y")</f>
        <v>117.95480000000001</v>
      </c>
      <c r="AF13" s="21">
        <f>_xll.BDH("ADSK US Equity","LT_DEBT_TO_TOT_CAP","FQ3 2019","FQ3 2019","Currency=USD","Period=FQ","BEST_FPERIOD_OVERRIDE=FQ","FILING_STATUS=MR","Sort=A","Dates=H","DateFormat=P","Fill=—","Direction=H","UseDPDF=Y")</f>
        <v>127.0748</v>
      </c>
      <c r="AG13" s="21">
        <f>_xll.BDH("ADSK US Equity","LT_DEBT_TO_TOT_CAP","FQ4 2019","FQ4 2019","Currency=USD","Period=FQ","BEST_FPERIOD_OVERRIDE=FQ","FILING_STATUS=MR","Sort=A","Dates=H","DateFormat=P","Fill=—","Direction=H","UseDPDF=Y")</f>
        <v>111.2372</v>
      </c>
      <c r="AH13" s="21">
        <f>_xll.BDH("ADSK US Equity","LT_DEBT_TO_TOT_CAP","FQ1 2020","FQ1 2020","Currency=USD","Period=FQ","BEST_FPERIOD_OVERRIDE=FQ","FILING_STATUS=MR","Sort=A","Dates=H","DateFormat=P","Fill=—","Direction=H","UseDPDF=Y")</f>
        <v>109.11</v>
      </c>
      <c r="AI13" s="21">
        <f>_xll.BDH("ADSK US Equity","LT_DEBT_TO_TOT_CAP","FQ2 2020","FQ2 2020","Currency=USD","Period=FQ","BEST_FPERIOD_OVERRIDE=FQ","FILING_STATUS=MR","Sort=A","Dates=H","DateFormat=P","Fill=—","Direction=H","UseDPDF=Y")</f>
        <v>84.003699999999995</v>
      </c>
      <c r="AJ13" s="21">
        <f>_xll.BDH("ADSK US Equity","LT_DEBT_TO_TOT_CAP","FQ3 2020","FQ3 2020","Currency=USD","Period=FQ","BEST_FPERIOD_OVERRIDE=FQ","FILING_STATUS=MR","Sort=A","Dates=H","DateFormat=P","Fill=—","Direction=H","UseDPDF=Y")</f>
        <v>81.736099999999993</v>
      </c>
      <c r="AK13" s="21">
        <f>_xll.BDH("ADSK US Equity","LT_DEBT_TO_TOT_CAP","FQ4 2020","FQ4 2020","Currency=USD","Period=FQ","BEST_FPERIOD_OVERRIDE=FQ","FILING_STATUS=MR","Sort=A","Dates=H","DateFormat=P","Fill=—","Direction=H","UseDPDF=Y")</f>
        <v>85.088300000000004</v>
      </c>
      <c r="AL13" s="21">
        <f>_xll.BDH("ADSK US Equity","LT_DEBT_TO_TOT_CAP","FQ1 2021","FQ1 2021","Currency=USD","Period=FQ","BEST_FPERIOD_OVERRIDE=FQ","FILING_STATUS=MR","Sort=A","Dates=H","DateFormat=P","Fill=—","Direction=H","UseDPDF=Y")</f>
        <v>104.78789999999999</v>
      </c>
      <c r="AM13" s="21">
        <f>_xll.BDH("ADSK US Equity","LT_DEBT_TO_TOT_CAP","FQ2 2021","FQ2 2021","Currency=USD","Period=FQ","BEST_FPERIOD_OVERRIDE=FQ","FILING_STATUS=MR","Sort=A","Dates=H","DateFormat=P","Fill=—","Direction=H","UseDPDF=Y")</f>
        <v>94.368799999999993</v>
      </c>
      <c r="AN13" s="21">
        <f>_xll.BDH("ADSK US Equity","LT_DEBT_TO_TOT_CAP","FQ3 2021","FQ3 2021","Currency=USD","Period=FQ","BEST_FPERIOD_OVERRIDE=FQ","FILING_STATUS=MR","Sort=A","Dates=H","DateFormat=P","Fill=—","Direction=H","UseDPDF=Y")</f>
        <v>93.847399999999993</v>
      </c>
      <c r="AO13" s="21">
        <f>_xll.BDH("ADSK US Equity","LT_DEBT_TO_TOT_CAP","FQ4 2021","FQ4 2021","Currency=USD","Period=FQ","BEST_FPERIOD_OVERRIDE=FQ","FILING_STATUS=MR","Sort=A","Dates=H","DateFormat=P","Fill=—","Direction=H","UseDPDF=Y")</f>
        <v>66.225899999999996</v>
      </c>
      <c r="AP13" s="21">
        <f>_xll.BDH("ADSK US Equity","LT_DEBT_TO_TOT_CAP","FQ1 2022","FQ1 2022","Currency=USD","Period=FQ","BEST_FPERIOD_OVERRIDE=FQ","FILING_STATUS=MR","Sort=A","Dates=H","DateFormat=P","Fill=—","Direction=H","UseDPDF=Y")</f>
        <v>62.5916</v>
      </c>
    </row>
    <row r="14" spans="1:42" x14ac:dyDescent="0.25">
      <c r="A14" s="8" t="s">
        <v>178</v>
      </c>
      <c r="B14" s="8" t="s">
        <v>177</v>
      </c>
      <c r="C14" s="21">
        <f>_xll.BDH("ADSK US Equity","LT_DEBT_TO_TOT_ASSET","FQ2 2012","FQ2 2012","Currency=USD","Period=FQ","BEST_FPERIOD_OVERRIDE=FQ","FILING_STATUS=MR","Sort=A","Dates=H","DateFormat=P","Fill=—","Direction=H","UseDPDF=Y")</f>
        <v>0</v>
      </c>
      <c r="D14" s="21">
        <f>_xll.BDH("ADSK US Equity","LT_DEBT_TO_TOT_ASSET","FQ3 2012","FQ3 2012","Currency=USD","Period=FQ","BEST_FPERIOD_OVERRIDE=FQ","FILING_STATUS=MR","Sort=A","Dates=H","DateFormat=P","Fill=—","Direction=H","UseDPDF=Y")</f>
        <v>0</v>
      </c>
      <c r="E14" s="21">
        <f>_xll.BDH("ADSK US Equity","LT_DEBT_TO_TOT_ASSET","FQ4 2012","FQ4 2012","Currency=USD","Period=FQ","BEST_FPERIOD_OVERRIDE=FQ","FILING_STATUS=MR","Sort=A","Dates=H","DateFormat=P","Fill=—","Direction=H","UseDPDF=Y")</f>
        <v>0</v>
      </c>
      <c r="F14" s="21">
        <f>_xll.BDH("ADSK US Equity","LT_DEBT_TO_TOT_ASSET","FQ1 2013","FQ1 2013","Currency=USD","Period=FQ","BEST_FPERIOD_OVERRIDE=FQ","FILING_STATUS=MR","Sort=A","Dates=H","DateFormat=P","Fill=—","Direction=H","UseDPDF=Y")</f>
        <v>0</v>
      </c>
      <c r="G14" s="21">
        <f>_xll.BDH("ADSK US Equity","LT_DEBT_TO_TOT_ASSET","FQ2 2013","FQ2 2013","Currency=USD","Period=FQ","BEST_FPERIOD_OVERRIDE=FQ","FILING_STATUS=MR","Sort=A","Dates=H","DateFormat=P","Fill=—","Direction=H","UseDPDF=Y")</f>
        <v>0</v>
      </c>
      <c r="H14" s="21">
        <f>_xll.BDH("ADSK US Equity","LT_DEBT_TO_TOT_ASSET","FQ3 2013","FQ3 2013","Currency=USD","Period=FQ","BEST_FPERIOD_OVERRIDE=FQ","FILING_STATUS=MR","Sort=A","Dates=H","DateFormat=P","Fill=—","Direction=H","UseDPDF=Y")</f>
        <v>0</v>
      </c>
      <c r="I14" s="21">
        <f>_xll.BDH("ADSK US Equity","LT_DEBT_TO_TOT_ASSET","FQ4 2013","FQ4 2013","Currency=USD","Period=FQ","BEST_FPERIOD_OVERRIDE=FQ","FILING_STATUS=MR","Sort=A","Dates=H","DateFormat=P","Fill=—","Direction=H","UseDPDF=Y")</f>
        <v>17.305700000000002</v>
      </c>
      <c r="J14" s="21">
        <f>_xll.BDH("ADSK US Equity","LT_DEBT_TO_TOT_ASSET","FQ1 2014","FQ1 2014","Currency=USD","Period=FQ","BEST_FPERIOD_OVERRIDE=FQ","FILING_STATUS=MR","Sort=A","Dates=H","DateFormat=P","Fill=—","Direction=H","UseDPDF=Y")</f>
        <v>17.3858</v>
      </c>
      <c r="K14" s="21">
        <f>_xll.BDH("ADSK US Equity","LT_DEBT_TO_TOT_ASSET","FQ2 2014","FQ2 2014","Currency=USD","Period=FQ","BEST_FPERIOD_OVERRIDE=FQ","FILING_STATUS=MR","Sort=A","Dates=H","DateFormat=P","Fill=—","Direction=H","UseDPDF=Y")</f>
        <v>17.663900000000002</v>
      </c>
      <c r="L14" s="21">
        <f>_xll.BDH("ADSK US Equity","LT_DEBT_TO_TOT_ASSET","FQ3 2014","FQ3 2014","Currency=USD","Period=FQ","BEST_FPERIOD_OVERRIDE=FQ","FILING_STATUS=MR","Sort=A","Dates=H","DateFormat=P","Fill=—","Direction=H","UseDPDF=Y")</f>
        <v>17.267199999999999</v>
      </c>
      <c r="M14" s="21">
        <f>_xll.BDH("ADSK US Equity","LT_DEBT_TO_TOT_ASSET","FQ4 2014","FQ4 2014","Currency=USD","Period=FQ","BEST_FPERIOD_OVERRIDE=FQ","FILING_STATUS=MR","Sort=A","Dates=H","DateFormat=P","Fill=—","Direction=H","UseDPDF=Y")</f>
        <v>16.2437</v>
      </c>
      <c r="N14" s="21">
        <f>_xll.BDH("ADSK US Equity","LT_DEBT_TO_TOT_ASSET","FQ1 2015","FQ1 2015","Currency=USD","Period=FQ","BEST_FPERIOD_OVERRIDE=FQ","FILING_STATUS=MR","Sort=A","Dates=H","DateFormat=P","Fill=—","Direction=H","UseDPDF=Y")</f>
        <v>16.060700000000001</v>
      </c>
      <c r="O14" s="21">
        <f>_xll.BDH("ADSK US Equity","LT_DEBT_TO_TOT_ASSET","FQ2 2015","FQ2 2015","Currency=USD","Period=FQ","BEST_FPERIOD_OVERRIDE=FQ","FILING_STATUS=MR","Sort=A","Dates=H","DateFormat=P","Fill=—","Direction=H","UseDPDF=Y")</f>
        <v>15.8779</v>
      </c>
      <c r="P14" s="21">
        <f>_xll.BDH("ADSK US Equity","LT_DEBT_TO_TOT_ASSET","FQ3 2015","FQ3 2015","Currency=USD","Period=FQ","BEST_FPERIOD_OVERRIDE=FQ","FILING_STATUS=MR","Sort=A","Dates=H","DateFormat=P","Fill=—","Direction=H","UseDPDF=Y")</f>
        <v>15.770099999999999</v>
      </c>
      <c r="Q14" s="21">
        <f>_xll.BDH("ADSK US Equity","LT_DEBT_TO_TOT_ASSET","FQ4 2015","FQ4 2015","Currency=USD","Period=FQ","BEST_FPERIOD_OVERRIDE=FQ","FILING_STATUS=MR","Sort=A","Dates=H","DateFormat=P","Fill=—","Direction=H","UseDPDF=Y")</f>
        <v>15.135300000000001</v>
      </c>
      <c r="R14" s="21">
        <f>_xll.BDH("ADSK US Equity","LT_DEBT_TO_TOT_ASSET","FQ1 2016","FQ1 2016","Currency=USD","Period=FQ","BEST_FPERIOD_OVERRIDE=FQ","FILING_STATUS=MR","Sort=A","Dates=H","DateFormat=P","Fill=—","Direction=H","UseDPDF=Y")</f>
        <v>15.6494</v>
      </c>
      <c r="S14" s="21">
        <f>_xll.BDH("ADSK US Equity","LT_DEBT_TO_TOT_ASSET","FQ2 2016","FQ2 2016","Currency=USD","Period=FQ","BEST_FPERIOD_OVERRIDE=FQ","FILING_STATUS=MR","Sort=A","Dates=H","DateFormat=P","Fill=—","Direction=H","UseDPDF=Y")</f>
        <v>27.822099999999999</v>
      </c>
      <c r="T14" s="21">
        <f>_xll.BDH("ADSK US Equity","LT_DEBT_TO_TOT_ASSET","FQ3 2016","FQ3 2016","Currency=USD","Period=FQ","BEST_FPERIOD_OVERRIDE=FQ","FILING_STATUS=MR","Sort=A","Dates=H","DateFormat=P","Fill=—","Direction=H","UseDPDF=Y")</f>
        <v>28.4847</v>
      </c>
      <c r="U14" s="21">
        <f>_xll.BDH("ADSK US Equity","LT_DEBT_TO_TOT_ASSET","FQ4 2016","FQ4 2016","Currency=USD","Period=FQ","BEST_FPERIOD_OVERRIDE=FQ","FILING_STATUS=MR","Sort=A","Dates=H","DateFormat=P","Fill=—","Direction=H","UseDPDF=Y")</f>
        <v>26.9741</v>
      </c>
      <c r="V14" s="21">
        <f>_xll.BDH("ADSK US Equity","LT_DEBT_TO_TOT_ASSET","FQ1 2017","FQ1 2017","Currency=USD","Period=FQ","BEST_FPERIOD_OVERRIDE=FQ","FILING_STATUS=MR","Sort=A","Dates=H","DateFormat=P","Fill=—","Direction=H","UseDPDF=Y")</f>
        <v>28.592300000000002</v>
      </c>
      <c r="W14" s="21">
        <f>_xll.BDH("ADSK US Equity","LT_DEBT_TO_TOT_ASSET","FQ2 2017","FQ2 2017","Currency=USD","Period=FQ","BEST_FPERIOD_OVERRIDE=FQ","FILING_STATUS=MR","Sort=A","Dates=H","DateFormat=P","Fill=—","Direction=H","UseDPDF=Y")</f>
        <v>29.504300000000001</v>
      </c>
      <c r="X14" s="21">
        <f>_xll.BDH("ADSK US Equity","LT_DEBT_TO_TOT_ASSET","FQ3 2017","FQ3 2017","Currency=USD","Period=FQ","BEST_FPERIOD_OVERRIDE=FQ","FILING_STATUS=MR","Sort=A","Dates=H","DateFormat=P","Fill=—","Direction=H","UseDPDF=Y")</f>
        <v>30.851900000000001</v>
      </c>
      <c r="Y14" s="21">
        <f>_xll.BDH("ADSK US Equity","LT_DEBT_TO_TOT_ASSET","FQ4 2017","FQ4 2017","Currency=USD","Period=FQ","BEST_FPERIOD_OVERRIDE=FQ","FILING_STATUS=MR","Sort=A","Dates=H","DateFormat=P","Fill=—","Direction=H","UseDPDF=Y")</f>
        <v>22.759</v>
      </c>
      <c r="Z14" s="21">
        <f>_xll.BDH("ADSK US Equity","LT_DEBT_TO_TOT_ASSET","FQ1 2018","FQ1 2018","Currency=USD","Period=FQ","BEST_FPERIOD_OVERRIDE=FQ","FILING_STATUS=MR","Sort=A","Dates=H","DateFormat=P","Fill=—","Direction=H","UseDPDF=Y")</f>
        <v>24.651399999999999</v>
      </c>
      <c r="AA14" s="21">
        <f>_xll.BDH("ADSK US Equity","LT_DEBT_TO_TOT_ASSET","FQ2 2018","FQ2 2018","Currency=USD","Period=FQ","BEST_FPERIOD_OVERRIDE=FQ","FILING_STATUS=MR","Sort=A","Dates=H","DateFormat=P","Fill=—","Direction=H","UseDPDF=Y")</f>
        <v>36.401000000000003</v>
      </c>
      <c r="AB14" s="21">
        <f>_xll.BDH("ADSK US Equity","LT_DEBT_TO_TOT_ASSET","FQ3 2018","FQ3 2018","Currency=USD","Period=FQ","BEST_FPERIOD_OVERRIDE=FQ","FILING_STATUS=MR","Sort=A","Dates=H","DateFormat=P","Fill=—","Direction=H","UseDPDF=Y")</f>
        <v>38.183999999999997</v>
      </c>
      <c r="AC14" s="21">
        <f>_xll.BDH("ADSK US Equity","LT_DEBT_TO_TOT_ASSET","FQ4 2018","FQ4 2018","Currency=USD","Period=FQ","BEST_FPERIOD_OVERRIDE=FQ","FILING_STATUS=MR","Sort=A","Dates=H","DateFormat=P","Fill=—","Direction=H","UseDPDF=Y")</f>
        <v>38.555</v>
      </c>
      <c r="AD14" s="21">
        <f>_xll.BDH("ADSK US Equity","LT_DEBT_TO_TOT_ASSET","FQ1 2019","FQ1 2019","Currency=USD","Period=FQ","BEST_FPERIOD_OVERRIDE=FQ","FILING_STATUS=MR","Sort=A","Dates=H","DateFormat=P","Fill=—","Direction=H","UseDPDF=Y")</f>
        <v>40.563499999999998</v>
      </c>
      <c r="AE14" s="21">
        <f>_xll.BDH("ADSK US Equity","LT_DEBT_TO_TOT_ASSET","FQ2 2019","FQ2 2019","Currency=USD","Period=FQ","BEST_FPERIOD_OVERRIDE=FQ","FILING_STATUS=MR","Sort=A","Dates=H","DateFormat=P","Fill=—","Direction=H","UseDPDF=Y")</f>
        <v>41.408799999999999</v>
      </c>
      <c r="AF14" s="21">
        <f>_xll.BDH("ADSK US Equity","LT_DEBT_TO_TOT_ASSET","FQ3 2019","FQ3 2019","Currency=USD","Period=FQ","BEST_FPERIOD_OVERRIDE=FQ","FILING_STATUS=MR","Sort=A","Dates=H","DateFormat=P","Fill=—","Direction=H","UseDPDF=Y")</f>
        <v>42.067599999999999</v>
      </c>
      <c r="AG14" s="21">
        <f>_xll.BDH("ADSK US Equity","LT_DEBT_TO_TOT_ASSET","FQ4 2019","FQ4 2019","Currency=USD","Period=FQ","BEST_FPERIOD_OVERRIDE=FQ","FILING_STATUS=MR","Sort=A","Dates=H","DateFormat=P","Fill=—","Direction=H","UseDPDF=Y")</f>
        <v>44.1449</v>
      </c>
      <c r="AH14" s="21">
        <f>_xll.BDH("ADSK US Equity","LT_DEBT_TO_TOT_ASSET","FQ1 2020","FQ1 2020","Currency=USD","Period=FQ","BEST_FPERIOD_OVERRIDE=FQ","FILING_STATUS=MR","Sort=A","Dates=H","DateFormat=P","Fill=—","Direction=H","UseDPDF=Y")</f>
        <v>46.353299999999997</v>
      </c>
      <c r="AI14" s="21">
        <f>_xll.BDH("ADSK US Equity","LT_DEBT_TO_TOT_ASSET","FQ2 2020","FQ2 2020","Currency=USD","Period=FQ","BEST_FPERIOD_OVERRIDE=FQ","FILING_STATUS=MR","Sort=A","Dates=H","DateFormat=P","Fill=—","Direction=H","UseDPDF=Y")</f>
        <v>33.819000000000003</v>
      </c>
      <c r="AJ14" s="21">
        <f>_xll.BDH("ADSK US Equity","LT_DEBT_TO_TOT_ASSET","FQ3 2020","FQ3 2020","Currency=USD","Period=FQ","BEST_FPERIOD_OVERRIDE=FQ","FILING_STATUS=MR","Sort=A","Dates=H","DateFormat=P","Fill=—","Direction=H","UseDPDF=Y")</f>
        <v>30.3796</v>
      </c>
      <c r="AK14" s="21">
        <f>_xll.BDH("ADSK US Equity","LT_DEBT_TO_TOT_ASSET","FQ4 2020","FQ4 2020","Currency=USD","Period=FQ","BEST_FPERIOD_OVERRIDE=FQ","FILING_STATUS=MR","Sort=A","Dates=H","DateFormat=P","Fill=—","Direction=H","UseDPDF=Y")</f>
        <v>33.1235</v>
      </c>
      <c r="AL14" s="21">
        <f>_xll.BDH("ADSK US Equity","LT_DEBT_TO_TOT_ASSET","FQ1 2021","FQ1 2021","Currency=USD","Period=FQ","BEST_FPERIOD_OVERRIDE=FQ","FILING_STATUS=MR","Sort=A","Dates=H","DateFormat=P","Fill=—","Direction=H","UseDPDF=Y")</f>
        <v>36.753900000000002</v>
      </c>
      <c r="AM14" s="21">
        <f>_xll.BDH("ADSK US Equity","LT_DEBT_TO_TOT_ASSET","FQ2 2021","FQ2 2021","Currency=USD","Period=FQ","BEST_FPERIOD_OVERRIDE=FQ","FILING_STATUS=MR","Sort=A","Dates=H","DateFormat=P","Fill=—","Direction=H","UseDPDF=Y")</f>
        <v>35.310499999999998</v>
      </c>
      <c r="AN14" s="21">
        <f>_xll.BDH("ADSK US Equity","LT_DEBT_TO_TOT_ASSET","FQ3 2021","FQ3 2021","Currency=USD","Period=FQ","BEST_FPERIOD_OVERRIDE=FQ","FILING_STATUS=MR","Sort=A","Dates=H","DateFormat=P","Fill=—","Direction=H","UseDPDF=Y")</f>
        <v>34.229999999999997</v>
      </c>
      <c r="AO14" s="21">
        <f>_xll.BDH("ADSK US Equity","LT_DEBT_TO_TOT_ASSET","FQ4 2021","FQ4 2021","Currency=USD","Period=FQ","BEST_FPERIOD_OVERRIDE=FQ","FILING_STATUS=MR","Sort=A","Dates=H","DateFormat=P","Fill=—","Direction=H","UseDPDF=Y")</f>
        <v>27.929300000000001</v>
      </c>
      <c r="AP14" s="21">
        <f>_xll.BDH("ADSK US Equity","LT_DEBT_TO_TOT_ASSET","FQ1 2022","FQ1 2022","Currency=USD","Period=FQ","BEST_FPERIOD_OVERRIDE=FQ","FILING_STATUS=MR","Sort=A","Dates=H","DateFormat=P","Fill=—","Direction=H","UseDPDF=Y")</f>
        <v>27.611899999999999</v>
      </c>
    </row>
    <row r="15" spans="1:42" x14ac:dyDescent="0.25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8" t="s">
        <v>176</v>
      </c>
      <c r="B16" s="8" t="s">
        <v>175</v>
      </c>
      <c r="C16" s="21">
        <f>_xll.BDH("ADSK US Equity","TOT_DEBT_TO_TOT_EQY","FQ2 2012","FQ2 2012","Currency=USD","Period=FQ","BEST_FPERIOD_OVERRIDE=FQ","FILING_STATUS=MR","Sort=A","Dates=H","DateFormat=P","Fill=—","Direction=H","UseDPDF=Y")</f>
        <v>0</v>
      </c>
      <c r="D16" s="21">
        <f>_xll.BDH("ADSK US Equity","TOT_DEBT_TO_TOT_EQY","FQ3 2012","FQ3 2012","Currency=USD","Period=FQ","BEST_FPERIOD_OVERRIDE=FQ","FILING_STATUS=MR","Sort=A","Dates=H","DateFormat=P","Fill=—","Direction=H","UseDPDF=Y")</f>
        <v>0</v>
      </c>
      <c r="E16" s="21">
        <f>_xll.BDH("ADSK US Equity","TOT_DEBT_TO_TOT_EQY","FQ4 2012","FQ4 2012","Currency=USD","Period=FQ","BEST_FPERIOD_OVERRIDE=FQ","FILING_STATUS=MR","Sort=A","Dates=H","DateFormat=P","Fill=—","Direction=H","UseDPDF=Y")</f>
        <v>0</v>
      </c>
      <c r="F16" s="21">
        <f>_xll.BDH("ADSK US Equity","TOT_DEBT_TO_TOT_EQY","FQ1 2013","FQ1 2013","Currency=USD","Period=FQ","BEST_FPERIOD_OVERRIDE=FQ","FILING_STATUS=MR","Sort=A","Dates=H","DateFormat=P","Fill=—","Direction=H","UseDPDF=Y")</f>
        <v>0</v>
      </c>
      <c r="G16" s="21">
        <f>_xll.BDH("ADSK US Equity","TOT_DEBT_TO_TOT_EQY","FQ2 2013","FQ2 2013","Currency=USD","Period=FQ","BEST_FPERIOD_OVERRIDE=FQ","FILING_STATUS=MR","Sort=A","Dates=H","DateFormat=P","Fill=—","Direction=H","UseDPDF=Y")</f>
        <v>0</v>
      </c>
      <c r="H16" s="21">
        <f>_xll.BDH("ADSK US Equity","TOT_DEBT_TO_TOT_EQY","FQ3 2013","FQ3 2013","Currency=USD","Period=FQ","BEST_FPERIOD_OVERRIDE=FQ","FILING_STATUS=MR","Sort=A","Dates=H","DateFormat=P","Fill=—","Direction=H","UseDPDF=Y")</f>
        <v>5.4512</v>
      </c>
      <c r="I16" s="21">
        <f>_xll.BDH("ADSK US Equity","TOT_DEBT_TO_TOT_EQY","FQ4 2013","FQ4 2013","Currency=USD","Period=FQ","BEST_FPERIOD_OVERRIDE=FQ","FILING_STATUS=MR","Sort=A","Dates=H","DateFormat=P","Fill=—","Direction=H","UseDPDF=Y")</f>
        <v>36.491799999999998</v>
      </c>
      <c r="J16" s="21">
        <f>_xll.BDH("ADSK US Equity","TOT_DEBT_TO_TOT_EQY","FQ1 2014","FQ1 2014","Currency=USD","Period=FQ","BEST_FPERIOD_OVERRIDE=FQ","FILING_STATUS=MR","Sort=A","Dates=H","DateFormat=P","Fill=—","Direction=H","UseDPDF=Y")</f>
        <v>35.778399999999998</v>
      </c>
      <c r="K16" s="21">
        <f>_xll.BDH("ADSK US Equity","TOT_DEBT_TO_TOT_EQY","FQ2 2014","FQ2 2014","Currency=USD","Period=FQ","BEST_FPERIOD_OVERRIDE=FQ","FILING_STATUS=MR","Sort=A","Dates=H","DateFormat=P","Fill=—","Direction=H","UseDPDF=Y")</f>
        <v>36.370699999999999</v>
      </c>
      <c r="L16" s="21">
        <f>_xll.BDH("ADSK US Equity","TOT_DEBT_TO_TOT_EQY","FQ3 2014","FQ3 2014","Currency=USD","Period=FQ","BEST_FPERIOD_OVERRIDE=FQ","FILING_STATUS=MR","Sort=A","Dates=H","DateFormat=P","Fill=—","Direction=H","UseDPDF=Y")</f>
        <v>34.515900000000002</v>
      </c>
      <c r="M16" s="21">
        <f>_xll.BDH("ADSK US Equity","TOT_DEBT_TO_TOT_EQY","FQ4 2014","FQ4 2014","Currency=USD","Period=FQ","BEST_FPERIOD_OVERRIDE=FQ","FILING_STATUS=MR","Sort=A","Dates=H","DateFormat=P","Fill=—","Direction=H","UseDPDF=Y")</f>
        <v>33.004600000000003</v>
      </c>
      <c r="N16" s="21">
        <f>_xll.BDH("ADSK US Equity","TOT_DEBT_TO_TOT_EQY","FQ1 2015","FQ1 2015","Currency=USD","Period=FQ","BEST_FPERIOD_OVERRIDE=FQ","FILING_STATUS=MR","Sort=A","Dates=H","DateFormat=P","Fill=—","Direction=H","UseDPDF=Y")</f>
        <v>32.621099999999998</v>
      </c>
      <c r="O16" s="21">
        <f>_xll.BDH("ADSK US Equity","TOT_DEBT_TO_TOT_EQY","FQ2 2015","FQ2 2015","Currency=USD","Period=FQ","BEST_FPERIOD_OVERRIDE=FQ","FILING_STATUS=MR","Sort=A","Dates=H","DateFormat=P","Fill=—","Direction=H","UseDPDF=Y")</f>
        <v>32.705599999999997</v>
      </c>
      <c r="P16" s="21">
        <f>_xll.BDH("ADSK US Equity","TOT_DEBT_TO_TOT_EQY","FQ3 2015","FQ3 2015","Currency=USD","Period=FQ","BEST_FPERIOD_OVERRIDE=FQ","FILING_STATUS=MR","Sort=A","Dates=H","DateFormat=P","Fill=—","Direction=H","UseDPDF=Y")</f>
        <v>32.929200000000002</v>
      </c>
      <c r="Q16" s="21">
        <f>_xll.BDH("ADSK US Equity","TOT_DEBT_TO_TOT_EQY","FQ4 2015","FQ4 2015","Currency=USD","Period=FQ","BEST_FPERIOD_OVERRIDE=FQ","FILING_STATUS=MR","Sort=A","Dates=H","DateFormat=P","Fill=—","Direction=H","UseDPDF=Y")</f>
        <v>33.484999999999999</v>
      </c>
      <c r="R16" s="21">
        <f>_xll.BDH("ADSK US Equity","TOT_DEBT_TO_TOT_EQY","FQ1 2016","FQ1 2016","Currency=USD","Period=FQ","BEST_FPERIOD_OVERRIDE=FQ","FILING_STATUS=MR","Sort=A","Dates=H","DateFormat=P","Fill=—","Direction=H","UseDPDF=Y")</f>
        <v>33.600099999999998</v>
      </c>
      <c r="S16" s="21">
        <f>_xll.BDH("ADSK US Equity","TOT_DEBT_TO_TOT_EQY","FQ2 2016","FQ2 2016","Currency=USD","Period=FQ","BEST_FPERIOD_OVERRIDE=FQ","FILING_STATUS=MR","Sort=A","Dates=H","DateFormat=P","Fill=—","Direction=H","UseDPDF=Y")</f>
        <v>78.134699999999995</v>
      </c>
      <c r="T16" s="21">
        <f>_xll.BDH("ADSK US Equity","TOT_DEBT_TO_TOT_EQY","FQ3 2016","FQ3 2016","Currency=USD","Period=FQ","BEST_FPERIOD_OVERRIDE=FQ","FILING_STATUS=MR","Sort=A","Dates=H","DateFormat=P","Fill=—","Direction=H","UseDPDF=Y")</f>
        <v>85.794200000000004</v>
      </c>
      <c r="U16" s="21">
        <f>_xll.BDH("ADSK US Equity","TOT_DEBT_TO_TOT_EQY","FQ4 2016","FQ4 2016","Currency=USD","Period=FQ","BEST_FPERIOD_OVERRIDE=FQ","FILING_STATUS=MR","Sort=A","Dates=H","DateFormat=P","Fill=—","Direction=H","UseDPDF=Y")</f>
        <v>91.855999999999995</v>
      </c>
      <c r="V16" s="21">
        <f>_xll.BDH("ADSK US Equity","TOT_DEBT_TO_TOT_EQY","FQ1 2017","FQ1 2017","Currency=USD","Period=FQ","BEST_FPERIOD_OVERRIDE=FQ","FILING_STATUS=MR","Sort=A","Dates=H","DateFormat=P","Fill=—","Direction=H","UseDPDF=Y")</f>
        <v>103.6562</v>
      </c>
      <c r="W16" s="21">
        <f>_xll.BDH("ADSK US Equity","TOT_DEBT_TO_TOT_EQY","FQ2 2017","FQ2 2017","Currency=USD","Period=FQ","BEST_FPERIOD_OVERRIDE=FQ","FILING_STATUS=MR","Sort=A","Dates=H","DateFormat=P","Fill=—","Direction=H","UseDPDF=Y")</f>
        <v>111.827</v>
      </c>
      <c r="X16" s="21">
        <f>_xll.BDH("ADSK US Equity","TOT_DEBT_TO_TOT_EQY","FQ3 2017","FQ3 2017","Currency=USD","Period=FQ","BEST_FPERIOD_OVERRIDE=FQ","FILING_STATUS=MR","Sort=A","Dates=H","DateFormat=P","Fill=—","Direction=H","UseDPDF=Y")</f>
        <v>140.47710000000001</v>
      </c>
      <c r="Y16" s="21">
        <f>_xll.BDH("ADSK US Equity","TOT_DEBT_TO_TOT_EQY","FQ4 2017","FQ4 2017","Currency=USD","Period=FQ","BEST_FPERIOD_OVERRIDE=FQ","FILING_STATUS=MR","Sort=A","Dates=H","DateFormat=P","Fill=—","Direction=H","UseDPDF=Y")</f>
        <v>203.20339999999999</v>
      </c>
      <c r="Z16" s="21">
        <f>_xll.BDH("ADSK US Equity","TOT_DEBT_TO_TOT_EQY","FQ1 2018","FQ1 2018","Currency=USD","Period=FQ","BEST_FPERIOD_OVERRIDE=FQ","FILING_STATUS=MR","Sort=A","Dates=H","DateFormat=P","Fill=—","Direction=H","UseDPDF=Y")</f>
        <v>293.5446</v>
      </c>
      <c r="AA16" s="21">
        <f>_xll.BDH("ADSK US Equity","TOT_DEBT_TO_TOT_EQY","FQ2 2018","FQ2 2018","Currency=USD","Period=FQ","BEST_FPERIOD_OVERRIDE=FQ","FILING_STATUS=MR","Sort=A","Dates=H","DateFormat=P","Fill=—","Direction=H","UseDPDF=Y")</f>
        <v>502.34550000000002</v>
      </c>
      <c r="AB16" s="21">
        <f>_xll.BDH("ADSK US Equity","TOT_DEBT_TO_TOT_EQY","FQ3 2018","FQ3 2018","Currency=USD","Period=FQ","BEST_FPERIOD_OVERRIDE=FQ","FILING_STATUS=MR","Sort=A","Dates=H","DateFormat=P","Fill=—","Direction=H","UseDPDF=Y")</f>
        <v>1477.5396000000001</v>
      </c>
      <c r="AC16" s="21" t="str">
        <f>_xll.BDH("ADSK US Equity","TOT_DEBT_TO_TOT_EQY","FQ4 2018","FQ4 2018","Currency=USD","Period=FQ","BEST_FPERIOD_OVERRIDE=FQ","FILING_STATUS=MR","Sort=A","Dates=H","DateFormat=P","Fill=—","Direction=H","UseDPDF=Y")</f>
        <v>—</v>
      </c>
      <c r="AD16" s="21" t="str">
        <f>_xll.BDH("ADSK US Equity","TOT_DEBT_TO_TOT_EQY","FQ1 2019","FQ1 2019","Currency=USD","Period=FQ","BEST_FPERIOD_OVERRIDE=FQ","FILING_STATUS=MR","Sort=A","Dates=H","DateFormat=P","Fill=—","Direction=H","UseDPDF=Y")</f>
        <v>—</v>
      </c>
      <c r="AE16" s="21" t="str">
        <f>_xll.BDH("ADSK US Equity","TOT_DEBT_TO_TOT_EQY","FQ2 2019","FQ2 2019","Currency=USD","Period=FQ","BEST_FPERIOD_OVERRIDE=FQ","FILING_STATUS=MR","Sort=A","Dates=H","DateFormat=P","Fill=—","Direction=H","UseDPDF=Y")</f>
        <v>—</v>
      </c>
      <c r="AF16" s="21" t="str">
        <f>_xll.BDH("ADSK US Equity","TOT_DEBT_TO_TOT_EQY","FQ3 2019","FQ3 2019","Currency=USD","Period=FQ","BEST_FPERIOD_OVERRIDE=FQ","FILING_STATUS=MR","Sort=A","Dates=H","DateFormat=P","Fill=—","Direction=H","UseDPDF=Y")</f>
        <v>—</v>
      </c>
      <c r="AG16" s="21" t="str">
        <f>_xll.BDH("ADSK US Equity","TOT_DEBT_TO_TOT_EQY","FQ4 2019","FQ4 2019","Currency=USD","Period=FQ","BEST_FPERIOD_OVERRIDE=FQ","FILING_STATUS=MR","Sort=A","Dates=H","DateFormat=P","Fill=—","Direction=H","UseDPDF=Y")</f>
        <v>—</v>
      </c>
      <c r="AH16" s="21" t="str">
        <f>_xll.BDH("ADSK US Equity","TOT_DEBT_TO_TOT_EQY","FQ1 2020","FQ1 2020","Currency=USD","Period=FQ","BEST_FPERIOD_OVERRIDE=FQ","FILING_STATUS=MR","Sort=A","Dates=H","DateFormat=P","Fill=—","Direction=H","UseDPDF=Y")</f>
        <v>—</v>
      </c>
      <c r="AI16" s="21" t="str">
        <f>_xll.BDH("ADSK US Equity","TOT_DEBT_TO_TOT_EQY","FQ2 2020","FQ2 2020","Currency=USD","Period=FQ","BEST_FPERIOD_OVERRIDE=FQ","FILING_STATUS=MR","Sort=A","Dates=H","DateFormat=P","Fill=—","Direction=H","UseDPDF=Y")</f>
        <v>—</v>
      </c>
      <c r="AJ16" s="21" t="str">
        <f>_xll.BDH("ADSK US Equity","TOT_DEBT_TO_TOT_EQY","FQ3 2020","FQ3 2020","Currency=USD","Period=FQ","BEST_FPERIOD_OVERRIDE=FQ","FILING_STATUS=MR","Sort=A","Dates=H","DateFormat=P","Fill=—","Direction=H","UseDPDF=Y")</f>
        <v>—</v>
      </c>
      <c r="AK16" s="21" t="str">
        <f>_xll.BDH("ADSK US Equity","TOT_DEBT_TO_TOT_EQY","FQ4 2020","FQ4 2020","Currency=USD","Period=FQ","BEST_FPERIOD_OVERRIDE=FQ","FILING_STATUS=MR","Sort=A","Dates=H","DateFormat=P","Fill=—","Direction=H","UseDPDF=Y")</f>
        <v>—</v>
      </c>
      <c r="AL16" s="21" t="str">
        <f>_xll.BDH("ADSK US Equity","TOT_DEBT_TO_TOT_EQY","FQ1 2021","FQ1 2021","Currency=USD","Period=FQ","BEST_FPERIOD_OVERRIDE=FQ","FILING_STATUS=MR","Sort=A","Dates=H","DateFormat=P","Fill=—","Direction=H","UseDPDF=Y")</f>
        <v>—</v>
      </c>
      <c r="AM16" s="21">
        <f>_xll.BDH("ADSK US Equity","TOT_DEBT_TO_TOT_EQY","FQ2 2021","FQ2 2021","Currency=USD","Period=FQ","BEST_FPERIOD_OVERRIDE=FQ","FILING_STATUS=MR","Sort=A","Dates=H","DateFormat=P","Fill=—","Direction=H","UseDPDF=Y")</f>
        <v>3095.3937999999998</v>
      </c>
      <c r="AN16" s="21">
        <f>_xll.BDH("ADSK US Equity","TOT_DEBT_TO_TOT_EQY","FQ3 2021","FQ3 2021","Currency=USD","Period=FQ","BEST_FPERIOD_OVERRIDE=FQ","FILING_STATUS=MR","Sort=A","Dates=H","DateFormat=P","Fill=—","Direction=H","UseDPDF=Y")</f>
        <v>3028.7157000000002</v>
      </c>
      <c r="AO16" s="21">
        <f>_xll.BDH("ADSK US Equity","TOT_DEBT_TO_TOT_EQY","FQ4 2021","FQ4 2021","Currency=USD","Period=FQ","BEST_FPERIOD_OVERRIDE=FQ","FILING_STATUS=MR","Sort=A","Dates=H","DateFormat=P","Fill=—","Direction=H","UseDPDF=Y")</f>
        <v>217.9803</v>
      </c>
      <c r="AP16" s="21">
        <f>_xll.BDH("ADSK US Equity","TOT_DEBT_TO_TOT_EQY","FQ1 2022","FQ1 2022","Currency=USD","Period=FQ","BEST_FPERIOD_OVERRIDE=FQ","FILING_STATUS=MR","Sort=A","Dates=H","DateFormat=P","Fill=—","Direction=H","UseDPDF=Y")</f>
        <v>185.3244</v>
      </c>
    </row>
    <row r="17" spans="1:42" x14ac:dyDescent="0.25">
      <c r="A17" s="8" t="s">
        <v>174</v>
      </c>
      <c r="B17" s="8" t="s">
        <v>173</v>
      </c>
      <c r="C17" s="21">
        <f>_xll.BDH("ADSK US Equity","TOT_DEBT_TO_TOT_CAP","FQ2 2012","FQ2 2012","Currency=USD","Period=FQ","BEST_FPERIOD_OVERRIDE=FQ","FILING_STATUS=MR","Sort=A","Dates=H","DateFormat=P","Fill=—","Direction=H","UseDPDF=Y")</f>
        <v>0</v>
      </c>
      <c r="D17" s="21">
        <f>_xll.BDH("ADSK US Equity","TOT_DEBT_TO_TOT_CAP","FQ3 2012","FQ3 2012","Currency=USD","Period=FQ","BEST_FPERIOD_OVERRIDE=FQ","FILING_STATUS=MR","Sort=A","Dates=H","DateFormat=P","Fill=—","Direction=H","UseDPDF=Y")</f>
        <v>0</v>
      </c>
      <c r="E17" s="21">
        <f>_xll.BDH("ADSK US Equity","TOT_DEBT_TO_TOT_CAP","FQ4 2012","FQ4 2012","Currency=USD","Period=FQ","BEST_FPERIOD_OVERRIDE=FQ","FILING_STATUS=MR","Sort=A","Dates=H","DateFormat=P","Fill=—","Direction=H","UseDPDF=Y")</f>
        <v>0</v>
      </c>
      <c r="F17" s="21">
        <f>_xll.BDH("ADSK US Equity","TOT_DEBT_TO_TOT_CAP","FQ1 2013","FQ1 2013","Currency=USD","Period=FQ","BEST_FPERIOD_OVERRIDE=FQ","FILING_STATUS=MR","Sort=A","Dates=H","DateFormat=P","Fill=—","Direction=H","UseDPDF=Y")</f>
        <v>0</v>
      </c>
      <c r="G17" s="21">
        <f>_xll.BDH("ADSK US Equity","TOT_DEBT_TO_TOT_CAP","FQ2 2013","FQ2 2013","Currency=USD","Period=FQ","BEST_FPERIOD_OVERRIDE=FQ","FILING_STATUS=MR","Sort=A","Dates=H","DateFormat=P","Fill=—","Direction=H","UseDPDF=Y")</f>
        <v>0</v>
      </c>
      <c r="H17" s="21">
        <f>_xll.BDH("ADSK US Equity","TOT_DEBT_TO_TOT_CAP","FQ3 2013","FQ3 2013","Currency=USD","Period=FQ","BEST_FPERIOD_OVERRIDE=FQ","FILING_STATUS=MR","Sort=A","Dates=H","DateFormat=P","Fill=—","Direction=H","UseDPDF=Y")</f>
        <v>5.1693999999999996</v>
      </c>
      <c r="I17" s="21">
        <f>_xll.BDH("ADSK US Equity","TOT_DEBT_TO_TOT_CAP","FQ4 2013","FQ4 2013","Currency=USD","Period=FQ","BEST_FPERIOD_OVERRIDE=FQ","FILING_STATUS=MR","Sort=A","Dates=H","DateFormat=P","Fill=—","Direction=H","UseDPDF=Y")</f>
        <v>26.735500000000002</v>
      </c>
      <c r="J17" s="21">
        <f>_xll.BDH("ADSK US Equity","TOT_DEBT_TO_TOT_CAP","FQ1 2014","FQ1 2014","Currency=USD","Period=FQ","BEST_FPERIOD_OVERRIDE=FQ","FILING_STATUS=MR","Sort=A","Dates=H","DateFormat=P","Fill=—","Direction=H","UseDPDF=Y")</f>
        <v>26.3506</v>
      </c>
      <c r="K17" s="21">
        <f>_xll.BDH("ADSK US Equity","TOT_DEBT_TO_TOT_CAP","FQ2 2014","FQ2 2014","Currency=USD","Period=FQ","BEST_FPERIOD_OVERRIDE=FQ","FILING_STATUS=MR","Sort=A","Dates=H","DateFormat=P","Fill=—","Direction=H","UseDPDF=Y")</f>
        <v>26.670500000000001</v>
      </c>
      <c r="L17" s="21">
        <f>_xll.BDH("ADSK US Equity","TOT_DEBT_TO_TOT_CAP","FQ3 2014","FQ3 2014","Currency=USD","Period=FQ","BEST_FPERIOD_OVERRIDE=FQ","FILING_STATUS=MR","Sort=A","Dates=H","DateFormat=P","Fill=—","Direction=H","UseDPDF=Y")</f>
        <v>25.659400000000002</v>
      </c>
      <c r="M17" s="21">
        <f>_xll.BDH("ADSK US Equity","TOT_DEBT_TO_TOT_CAP","FQ4 2014","FQ4 2014","Currency=USD","Period=FQ","BEST_FPERIOD_OVERRIDE=FQ","FILING_STATUS=MR","Sort=A","Dates=H","DateFormat=P","Fill=—","Direction=H","UseDPDF=Y")</f>
        <v>24.814699999999998</v>
      </c>
      <c r="N17" s="21">
        <f>_xll.BDH("ADSK US Equity","TOT_DEBT_TO_TOT_CAP","FQ1 2015","FQ1 2015","Currency=USD","Period=FQ","BEST_FPERIOD_OVERRIDE=FQ","FILING_STATUS=MR","Sort=A","Dates=H","DateFormat=P","Fill=—","Direction=H","UseDPDF=Y")</f>
        <v>24.597200000000001</v>
      </c>
      <c r="O17" s="21">
        <f>_xll.BDH("ADSK US Equity","TOT_DEBT_TO_TOT_CAP","FQ2 2015","FQ2 2015","Currency=USD","Period=FQ","BEST_FPERIOD_OVERRIDE=FQ","FILING_STATUS=MR","Sort=A","Dates=H","DateFormat=P","Fill=—","Direction=H","UseDPDF=Y")</f>
        <v>24.645199999999999</v>
      </c>
      <c r="P17" s="21">
        <f>_xll.BDH("ADSK US Equity","TOT_DEBT_TO_TOT_CAP","FQ3 2015","FQ3 2015","Currency=USD","Period=FQ","BEST_FPERIOD_OVERRIDE=FQ","FILING_STATUS=MR","Sort=A","Dates=H","DateFormat=P","Fill=—","Direction=H","UseDPDF=Y")</f>
        <v>24.771999999999998</v>
      </c>
      <c r="Q17" s="21">
        <f>_xll.BDH("ADSK US Equity","TOT_DEBT_TO_TOT_CAP","FQ4 2015","FQ4 2015","Currency=USD","Period=FQ","BEST_FPERIOD_OVERRIDE=FQ","FILING_STATUS=MR","Sort=A","Dates=H","DateFormat=P","Fill=—","Direction=H","UseDPDF=Y")</f>
        <v>25.0852</v>
      </c>
      <c r="R17" s="21">
        <f>_xll.BDH("ADSK US Equity","TOT_DEBT_TO_TOT_CAP","FQ1 2016","FQ1 2016","Currency=USD","Period=FQ","BEST_FPERIOD_OVERRIDE=FQ","FILING_STATUS=MR","Sort=A","Dates=H","DateFormat=P","Fill=—","Direction=H","UseDPDF=Y")</f>
        <v>25.149699999999999</v>
      </c>
      <c r="S17" s="21">
        <f>_xll.BDH("ADSK US Equity","TOT_DEBT_TO_TOT_CAP","FQ2 2016","FQ2 2016","Currency=USD","Period=FQ","BEST_FPERIOD_OVERRIDE=FQ","FILING_STATUS=MR","Sort=A","Dates=H","DateFormat=P","Fill=—","Direction=H","UseDPDF=Y")</f>
        <v>43.862699999999997</v>
      </c>
      <c r="T17" s="21">
        <f>_xll.BDH("ADSK US Equity","TOT_DEBT_TO_TOT_CAP","FQ3 2016","FQ3 2016","Currency=USD","Period=FQ","BEST_FPERIOD_OVERRIDE=FQ","FILING_STATUS=MR","Sort=A","Dates=H","DateFormat=P","Fill=—","Direction=H","UseDPDF=Y")</f>
        <v>46.177</v>
      </c>
      <c r="U17" s="21">
        <f>_xll.BDH("ADSK US Equity","TOT_DEBT_TO_TOT_CAP","FQ4 2016","FQ4 2016","Currency=USD","Period=FQ","BEST_FPERIOD_OVERRIDE=FQ","FILING_STATUS=MR","Sort=A","Dates=H","DateFormat=P","Fill=—","Direction=H","UseDPDF=Y")</f>
        <v>47.877600000000001</v>
      </c>
      <c r="V17" s="21">
        <f>_xll.BDH("ADSK US Equity","TOT_DEBT_TO_TOT_CAP","FQ1 2017","FQ1 2017","Currency=USD","Period=FQ","BEST_FPERIOD_OVERRIDE=FQ","FILING_STATUS=MR","Sort=A","Dates=H","DateFormat=P","Fill=—","Direction=H","UseDPDF=Y")</f>
        <v>50.8977</v>
      </c>
      <c r="W17" s="21">
        <f>_xll.BDH("ADSK US Equity","TOT_DEBT_TO_TOT_CAP","FQ2 2017","FQ2 2017","Currency=USD","Period=FQ","BEST_FPERIOD_OVERRIDE=FQ","FILING_STATUS=MR","Sort=A","Dates=H","DateFormat=P","Fill=—","Direction=H","UseDPDF=Y")</f>
        <v>52.791699999999999</v>
      </c>
      <c r="X17" s="21">
        <f>_xll.BDH("ADSK US Equity","TOT_DEBT_TO_TOT_CAP","FQ3 2017","FQ3 2017","Currency=USD","Period=FQ","BEST_FPERIOD_OVERRIDE=FQ","FILING_STATUS=MR","Sort=A","Dates=H","DateFormat=P","Fill=—","Direction=H","UseDPDF=Y")</f>
        <v>58.415999999999997</v>
      </c>
      <c r="Y17" s="21">
        <f>_xll.BDH("ADSK US Equity","TOT_DEBT_TO_TOT_CAP","FQ4 2017","FQ4 2017","Currency=USD","Period=FQ","BEST_FPERIOD_OVERRIDE=FQ","FILING_STATUS=MR","Sort=A","Dates=H","DateFormat=P","Fill=—","Direction=H","UseDPDF=Y")</f>
        <v>67.018799999999999</v>
      </c>
      <c r="Z17" s="21">
        <f>_xll.BDH("ADSK US Equity","TOT_DEBT_TO_TOT_CAP","FQ1 2018","FQ1 2018","Currency=USD","Period=FQ","BEST_FPERIOD_OVERRIDE=FQ","FILING_STATUS=MR","Sort=A","Dates=H","DateFormat=P","Fill=—","Direction=H","UseDPDF=Y")</f>
        <v>74.5899</v>
      </c>
      <c r="AA17" s="21">
        <f>_xll.BDH("ADSK US Equity","TOT_DEBT_TO_TOT_CAP","FQ2 2018","FQ2 2018","Currency=USD","Period=FQ","BEST_FPERIOD_OVERRIDE=FQ","FILING_STATUS=MR","Sort=A","Dates=H","DateFormat=P","Fill=—","Direction=H","UseDPDF=Y")</f>
        <v>83.398200000000003</v>
      </c>
      <c r="AB17" s="21">
        <f>_xll.BDH("ADSK US Equity","TOT_DEBT_TO_TOT_CAP","FQ3 2018","FQ3 2018","Currency=USD","Period=FQ","BEST_FPERIOD_OVERRIDE=FQ","FILING_STATUS=MR","Sort=A","Dates=H","DateFormat=P","Fill=—","Direction=H","UseDPDF=Y")</f>
        <v>93.661000000000001</v>
      </c>
      <c r="AC17" s="21">
        <f>_xll.BDH("ADSK US Equity","TOT_DEBT_TO_TOT_CAP","FQ4 2018","FQ4 2018","Currency=USD","Period=FQ","BEST_FPERIOD_OVERRIDE=FQ","FILING_STATUS=MR","Sort=A","Dates=H","DateFormat=P","Fill=—","Direction=H","UseDPDF=Y")</f>
        <v>119.24809999999999</v>
      </c>
      <c r="AD17" s="21">
        <f>_xll.BDH("ADSK US Equity","TOT_DEBT_TO_TOT_CAP","FQ1 2019","FQ1 2019","Currency=USD","Period=FQ","BEST_FPERIOD_OVERRIDE=FQ","FILING_STATUS=MR","Sort=A","Dates=H","DateFormat=P","Fill=—","Direction=H","UseDPDF=Y")</f>
        <v>108.8203</v>
      </c>
      <c r="AE17" s="21">
        <f>_xll.BDH("ADSK US Equity","TOT_DEBT_TO_TOT_CAP","FQ2 2019","FQ2 2019","Currency=USD","Period=FQ","BEST_FPERIOD_OVERRIDE=FQ","FILING_STATUS=MR","Sort=A","Dates=H","DateFormat=P","Fill=—","Direction=H","UseDPDF=Y")</f>
        <v>117.95480000000001</v>
      </c>
      <c r="AF17" s="21">
        <f>_xll.BDH("ADSK US Equity","TOT_DEBT_TO_TOT_CAP","FQ3 2019","FQ3 2019","Currency=USD","Period=FQ","BEST_FPERIOD_OVERRIDE=FQ","FILING_STATUS=MR","Sort=A","Dates=H","DateFormat=P","Fill=—","Direction=H","UseDPDF=Y")</f>
        <v>127.0748</v>
      </c>
      <c r="AG17" s="21">
        <f>_xll.BDH("ADSK US Equity","TOT_DEBT_TO_TOT_CAP","FQ4 2019","FQ4 2019","Currency=USD","Period=FQ","BEST_FPERIOD_OVERRIDE=FQ","FILING_STATUS=MR","Sort=A","Dates=H","DateFormat=P","Fill=—","Direction=H","UseDPDF=Y")</f>
        <v>111.2372</v>
      </c>
      <c r="AH17" s="21">
        <f>_xll.BDH("ADSK US Equity","TOT_DEBT_TO_TOT_CAP","FQ1 2020","FQ1 2020","Currency=USD","Period=FQ","BEST_FPERIOD_OVERRIDE=FQ","FILING_STATUS=MR","Sort=A","Dates=H","DateFormat=P","Fill=—","Direction=H","UseDPDF=Y")</f>
        <v>112.008</v>
      </c>
      <c r="AI17" s="21">
        <f>_xll.BDH("ADSK US Equity","TOT_DEBT_TO_TOT_CAP","FQ2 2020","FQ2 2020","Currency=USD","Period=FQ","BEST_FPERIOD_OVERRIDE=FQ","FILING_STATUS=MR","Sort=A","Dates=H","DateFormat=P","Fill=—","Direction=H","UseDPDF=Y")</f>
        <v>109.90470000000001</v>
      </c>
      <c r="AJ17" s="21">
        <f>_xll.BDH("ADSK US Equity","TOT_DEBT_TO_TOT_CAP","FQ3 2020","FQ3 2020","Currency=USD","Period=FQ","BEST_FPERIOD_OVERRIDE=FQ","FILING_STATUS=MR","Sort=A","Dates=H","DateFormat=P","Fill=—","Direction=H","UseDPDF=Y")</f>
        <v>109.1613</v>
      </c>
      <c r="AK17" s="21">
        <f>_xll.BDH("ADSK US Equity","TOT_DEBT_TO_TOT_CAP","FQ4 2020","FQ4 2020","Currency=USD","Period=FQ","BEST_FPERIOD_OVERRIDE=FQ","FILING_STATUS=MR","Sort=A","Dates=H","DateFormat=P","Fill=—","Direction=H","UseDPDF=Y")</f>
        <v>105.7826</v>
      </c>
      <c r="AL17" s="21">
        <f>_xll.BDH("ADSK US Equity","TOT_DEBT_TO_TOT_CAP","FQ1 2021","FQ1 2021","Currency=USD","Period=FQ","BEST_FPERIOD_OVERRIDE=FQ","FILING_STATUS=MR","Sort=A","Dates=H","DateFormat=P","Fill=—","Direction=H","UseDPDF=Y")</f>
        <v>107.15349999999999</v>
      </c>
      <c r="AM17" s="21">
        <f>_xll.BDH("ADSK US Equity","TOT_DEBT_TO_TOT_CAP","FQ2 2021","FQ2 2021","Currency=USD","Period=FQ","BEST_FPERIOD_OVERRIDE=FQ","FILING_STATUS=MR","Sort=A","Dates=H","DateFormat=P","Fill=—","Direction=H","UseDPDF=Y")</f>
        <v>96.870500000000007</v>
      </c>
      <c r="AN17" s="21">
        <f>_xll.BDH("ADSK US Equity","TOT_DEBT_TO_TOT_CAP","FQ3 2021","FQ3 2021","Currency=USD","Period=FQ","BEST_FPERIOD_OVERRIDE=FQ","FILING_STATUS=MR","Sort=A","Dates=H","DateFormat=P","Fill=—","Direction=H","UseDPDF=Y")</f>
        <v>96.803799999999995</v>
      </c>
      <c r="AO17" s="21">
        <f>_xll.BDH("ADSK US Equity","TOT_DEBT_TO_TOT_CAP","FQ4 2021","FQ4 2021","Currency=USD","Period=FQ","BEST_FPERIOD_OVERRIDE=FQ","FILING_STATUS=MR","Sort=A","Dates=H","DateFormat=P","Fill=—","Direction=H","UseDPDF=Y")</f>
        <v>68.551500000000004</v>
      </c>
      <c r="AP17" s="21">
        <f>_xll.BDH("ADSK US Equity","TOT_DEBT_TO_TOT_CAP","FQ1 2022","FQ1 2022","Currency=USD","Period=FQ","BEST_FPERIOD_OVERRIDE=FQ","FILING_STATUS=MR","Sort=A","Dates=H","DateFormat=P","Fill=—","Direction=H","UseDPDF=Y")</f>
        <v>64.952200000000005</v>
      </c>
    </row>
    <row r="18" spans="1:42" x14ac:dyDescent="0.25">
      <c r="A18" s="8" t="s">
        <v>172</v>
      </c>
      <c r="B18" s="8" t="s">
        <v>171</v>
      </c>
      <c r="C18" s="21">
        <f>_xll.BDH("ADSK US Equity","TOT_DEBT_TO_TOT_ASSET","FQ2 2012","FQ2 2012","Currency=USD","Period=FQ","BEST_FPERIOD_OVERRIDE=FQ","FILING_STATUS=MR","Sort=A","Dates=H","DateFormat=P","Fill=—","Direction=H","UseDPDF=Y")</f>
        <v>0</v>
      </c>
      <c r="D18" s="21">
        <f>_xll.BDH("ADSK US Equity","TOT_DEBT_TO_TOT_ASSET","FQ3 2012","FQ3 2012","Currency=USD","Period=FQ","BEST_FPERIOD_OVERRIDE=FQ","FILING_STATUS=MR","Sort=A","Dates=H","DateFormat=P","Fill=—","Direction=H","UseDPDF=Y")</f>
        <v>0</v>
      </c>
      <c r="E18" s="21">
        <f>_xll.BDH("ADSK US Equity","TOT_DEBT_TO_TOT_ASSET","FQ4 2012","FQ4 2012","Currency=USD","Period=FQ","BEST_FPERIOD_OVERRIDE=FQ","FILING_STATUS=MR","Sort=A","Dates=H","DateFormat=P","Fill=—","Direction=H","UseDPDF=Y")</f>
        <v>0</v>
      </c>
      <c r="F18" s="21">
        <f>_xll.BDH("ADSK US Equity","TOT_DEBT_TO_TOT_ASSET","FQ1 2013","FQ1 2013","Currency=USD","Period=FQ","BEST_FPERIOD_OVERRIDE=FQ","FILING_STATUS=MR","Sort=A","Dates=H","DateFormat=P","Fill=—","Direction=H","UseDPDF=Y")</f>
        <v>0</v>
      </c>
      <c r="G18" s="21">
        <f>_xll.BDH("ADSK US Equity","TOT_DEBT_TO_TOT_ASSET","FQ2 2013","FQ2 2013","Currency=USD","Period=FQ","BEST_FPERIOD_OVERRIDE=FQ","FILING_STATUS=MR","Sort=A","Dates=H","DateFormat=P","Fill=—","Direction=H","UseDPDF=Y")</f>
        <v>0</v>
      </c>
      <c r="H18" s="21">
        <f>_xll.BDH("ADSK US Equity","TOT_DEBT_TO_TOT_ASSET","FQ3 2013","FQ3 2013","Currency=USD","Period=FQ","BEST_FPERIOD_OVERRIDE=FQ","FILING_STATUS=MR","Sort=A","Dates=H","DateFormat=P","Fill=—","Direction=H","UseDPDF=Y")</f>
        <v>3.2077</v>
      </c>
      <c r="I18" s="21">
        <f>_xll.BDH("ADSK US Equity","TOT_DEBT_TO_TOT_ASSET","FQ4 2013","FQ4 2013","Currency=USD","Period=FQ","BEST_FPERIOD_OVERRIDE=FQ","FILING_STATUS=MR","Sort=A","Dates=H","DateFormat=P","Fill=—","Direction=H","UseDPDF=Y")</f>
        <v>17.305700000000002</v>
      </c>
      <c r="J18" s="21">
        <f>_xll.BDH("ADSK US Equity","TOT_DEBT_TO_TOT_ASSET","FQ1 2014","FQ1 2014","Currency=USD","Period=FQ","BEST_FPERIOD_OVERRIDE=FQ","FILING_STATUS=MR","Sort=A","Dates=H","DateFormat=P","Fill=—","Direction=H","UseDPDF=Y")</f>
        <v>17.3858</v>
      </c>
      <c r="K18" s="21">
        <f>_xll.BDH("ADSK US Equity","TOT_DEBT_TO_TOT_ASSET","FQ2 2014","FQ2 2014","Currency=USD","Period=FQ","BEST_FPERIOD_OVERRIDE=FQ","FILING_STATUS=MR","Sort=A","Dates=H","DateFormat=P","Fill=—","Direction=H","UseDPDF=Y")</f>
        <v>17.663900000000002</v>
      </c>
      <c r="L18" s="21">
        <f>_xll.BDH("ADSK US Equity","TOT_DEBT_TO_TOT_ASSET","FQ3 2014","FQ3 2014","Currency=USD","Period=FQ","BEST_FPERIOD_OVERRIDE=FQ","FILING_STATUS=MR","Sort=A","Dates=H","DateFormat=P","Fill=—","Direction=H","UseDPDF=Y")</f>
        <v>17.267199999999999</v>
      </c>
      <c r="M18" s="21">
        <f>_xll.BDH("ADSK US Equity","TOT_DEBT_TO_TOT_ASSET","FQ4 2014","FQ4 2014","Currency=USD","Period=FQ","BEST_FPERIOD_OVERRIDE=FQ","FILING_STATUS=MR","Sort=A","Dates=H","DateFormat=P","Fill=—","Direction=H","UseDPDF=Y")</f>
        <v>16.2437</v>
      </c>
      <c r="N18" s="21">
        <f>_xll.BDH("ADSK US Equity","TOT_DEBT_TO_TOT_ASSET","FQ1 2015","FQ1 2015","Currency=USD","Period=FQ","BEST_FPERIOD_OVERRIDE=FQ","FILING_STATUS=MR","Sort=A","Dates=H","DateFormat=P","Fill=—","Direction=H","UseDPDF=Y")</f>
        <v>16.060700000000001</v>
      </c>
      <c r="O18" s="21">
        <f>_xll.BDH("ADSK US Equity","TOT_DEBT_TO_TOT_ASSET","FQ2 2015","FQ2 2015","Currency=USD","Period=FQ","BEST_FPERIOD_OVERRIDE=FQ","FILING_STATUS=MR","Sort=A","Dates=H","DateFormat=P","Fill=—","Direction=H","UseDPDF=Y")</f>
        <v>15.8779</v>
      </c>
      <c r="P18" s="21">
        <f>_xll.BDH("ADSK US Equity","TOT_DEBT_TO_TOT_ASSET","FQ3 2015","FQ3 2015","Currency=USD","Period=FQ","BEST_FPERIOD_OVERRIDE=FQ","FILING_STATUS=MR","Sort=A","Dates=H","DateFormat=P","Fill=—","Direction=H","UseDPDF=Y")</f>
        <v>15.770099999999999</v>
      </c>
      <c r="Q18" s="21">
        <f>_xll.BDH("ADSK US Equity","TOT_DEBT_TO_TOT_ASSET","FQ4 2015","FQ4 2015","Currency=USD","Period=FQ","BEST_FPERIOD_OVERRIDE=FQ","FILING_STATUS=MR","Sort=A","Dates=H","DateFormat=P","Fill=—","Direction=H","UseDPDF=Y")</f>
        <v>15.135300000000001</v>
      </c>
      <c r="R18" s="21">
        <f>_xll.BDH("ADSK US Equity","TOT_DEBT_TO_TOT_ASSET","FQ1 2016","FQ1 2016","Currency=USD","Period=FQ","BEST_FPERIOD_OVERRIDE=FQ","FILING_STATUS=MR","Sort=A","Dates=H","DateFormat=P","Fill=—","Direction=H","UseDPDF=Y")</f>
        <v>15.6494</v>
      </c>
      <c r="S18" s="21">
        <f>_xll.BDH("ADSK US Equity","TOT_DEBT_TO_TOT_ASSET","FQ2 2016","FQ2 2016","Currency=USD","Period=FQ","BEST_FPERIOD_OVERRIDE=FQ","FILING_STATUS=MR","Sort=A","Dates=H","DateFormat=P","Fill=—","Direction=H","UseDPDF=Y")</f>
        <v>27.822099999999999</v>
      </c>
      <c r="T18" s="21">
        <f>_xll.BDH("ADSK US Equity","TOT_DEBT_TO_TOT_ASSET","FQ3 2016","FQ3 2016","Currency=USD","Period=FQ","BEST_FPERIOD_OVERRIDE=FQ","FILING_STATUS=MR","Sort=A","Dates=H","DateFormat=P","Fill=—","Direction=H","UseDPDF=Y")</f>
        <v>28.4847</v>
      </c>
      <c r="U18" s="21">
        <f>_xll.BDH("ADSK US Equity","TOT_DEBT_TO_TOT_ASSET","FQ4 2016","FQ4 2016","Currency=USD","Period=FQ","BEST_FPERIOD_OVERRIDE=FQ","FILING_STATUS=MR","Sort=A","Dates=H","DateFormat=P","Fill=—","Direction=H","UseDPDF=Y")</f>
        <v>26.9741</v>
      </c>
      <c r="V18" s="21">
        <f>_xll.BDH("ADSK US Equity","TOT_DEBT_TO_TOT_ASSET","FQ1 2017","FQ1 2017","Currency=USD","Period=FQ","BEST_FPERIOD_OVERRIDE=FQ","FILING_STATUS=MR","Sort=A","Dates=H","DateFormat=P","Fill=—","Direction=H","UseDPDF=Y")</f>
        <v>28.592300000000002</v>
      </c>
      <c r="W18" s="21">
        <f>_xll.BDH("ADSK US Equity","TOT_DEBT_TO_TOT_ASSET","FQ2 2017","FQ2 2017","Currency=USD","Period=FQ","BEST_FPERIOD_OVERRIDE=FQ","FILING_STATUS=MR","Sort=A","Dates=H","DateFormat=P","Fill=—","Direction=H","UseDPDF=Y")</f>
        <v>29.504300000000001</v>
      </c>
      <c r="X18" s="21">
        <f>_xll.BDH("ADSK US Equity","TOT_DEBT_TO_TOT_ASSET","FQ3 2017","FQ3 2017","Currency=USD","Period=FQ","BEST_FPERIOD_OVERRIDE=FQ","FILING_STATUS=MR","Sort=A","Dates=H","DateFormat=P","Fill=—","Direction=H","UseDPDF=Y")</f>
        <v>30.851900000000001</v>
      </c>
      <c r="Y18" s="21">
        <f>_xll.BDH("ADSK US Equity","TOT_DEBT_TO_TOT_ASSET","FQ4 2017","FQ4 2017","Currency=USD","Period=FQ","BEST_FPERIOD_OVERRIDE=FQ","FILING_STATUS=MR","Sort=A","Dates=H","DateFormat=P","Fill=—","Direction=H","UseDPDF=Y")</f>
        <v>31.0685</v>
      </c>
      <c r="Z18" s="21">
        <f>_xll.BDH("ADSK US Equity","TOT_DEBT_TO_TOT_ASSET","FQ1 2018","FQ1 2018","Currency=USD","Period=FQ","BEST_FPERIOD_OVERRIDE=FQ","FILING_STATUS=MR","Sort=A","Dates=H","DateFormat=P","Fill=—","Direction=H","UseDPDF=Y")</f>
        <v>33.657499999999999</v>
      </c>
      <c r="AA18" s="21">
        <f>_xll.BDH("ADSK US Equity","TOT_DEBT_TO_TOT_ASSET","FQ2 2018","FQ2 2018","Currency=USD","Period=FQ","BEST_FPERIOD_OVERRIDE=FQ","FILING_STATUS=MR","Sort=A","Dates=H","DateFormat=P","Fill=—","Direction=H","UseDPDF=Y")</f>
        <v>36.401000000000003</v>
      </c>
      <c r="AB18" s="21">
        <f>_xll.BDH("ADSK US Equity","TOT_DEBT_TO_TOT_ASSET","FQ3 2018","FQ3 2018","Currency=USD","Period=FQ","BEST_FPERIOD_OVERRIDE=FQ","FILING_STATUS=MR","Sort=A","Dates=H","DateFormat=P","Fill=—","Direction=H","UseDPDF=Y")</f>
        <v>38.183999999999997</v>
      </c>
      <c r="AC18" s="21">
        <f>_xll.BDH("ADSK US Equity","TOT_DEBT_TO_TOT_ASSET","FQ4 2018","FQ4 2018","Currency=USD","Period=FQ","BEST_FPERIOD_OVERRIDE=FQ","FILING_STATUS=MR","Sort=A","Dates=H","DateFormat=P","Fill=—","Direction=H","UseDPDF=Y")</f>
        <v>38.555</v>
      </c>
      <c r="AD18" s="21">
        <f>_xll.BDH("ADSK US Equity","TOT_DEBT_TO_TOT_ASSET","FQ1 2019","FQ1 2019","Currency=USD","Period=FQ","BEST_FPERIOD_OVERRIDE=FQ","FILING_STATUS=MR","Sort=A","Dates=H","DateFormat=P","Fill=—","Direction=H","UseDPDF=Y")</f>
        <v>40.563499999999998</v>
      </c>
      <c r="AE18" s="21">
        <f>_xll.BDH("ADSK US Equity","TOT_DEBT_TO_TOT_ASSET","FQ2 2019","FQ2 2019","Currency=USD","Period=FQ","BEST_FPERIOD_OVERRIDE=FQ","FILING_STATUS=MR","Sort=A","Dates=H","DateFormat=P","Fill=—","Direction=H","UseDPDF=Y")</f>
        <v>41.408799999999999</v>
      </c>
      <c r="AF18" s="21">
        <f>_xll.BDH("ADSK US Equity","TOT_DEBT_TO_TOT_ASSET","FQ3 2019","FQ3 2019","Currency=USD","Period=FQ","BEST_FPERIOD_OVERRIDE=FQ","FILING_STATUS=MR","Sort=A","Dates=H","DateFormat=P","Fill=—","Direction=H","UseDPDF=Y")</f>
        <v>42.067599999999999</v>
      </c>
      <c r="AG18" s="21">
        <f>_xll.BDH("ADSK US Equity","TOT_DEBT_TO_TOT_ASSET","FQ4 2019","FQ4 2019","Currency=USD","Period=FQ","BEST_FPERIOD_OVERRIDE=FQ","FILING_STATUS=MR","Sort=A","Dates=H","DateFormat=P","Fill=—","Direction=H","UseDPDF=Y")</f>
        <v>44.1449</v>
      </c>
      <c r="AH18" s="21">
        <f>_xll.BDH("ADSK US Equity","TOT_DEBT_TO_TOT_ASSET","FQ1 2020","FQ1 2020","Currency=USD","Period=FQ","BEST_FPERIOD_OVERRIDE=FQ","FILING_STATUS=MR","Sort=A","Dates=H","DateFormat=P","Fill=—","Direction=H","UseDPDF=Y")</f>
        <v>47.584499999999998</v>
      </c>
      <c r="AI18" s="21">
        <f>_xll.BDH("ADSK US Equity","TOT_DEBT_TO_TOT_ASSET","FQ2 2020","FQ2 2020","Currency=USD","Period=FQ","BEST_FPERIOD_OVERRIDE=FQ","FILING_STATUS=MR","Sort=A","Dates=H","DateFormat=P","Fill=—","Direction=H","UseDPDF=Y")</f>
        <v>44.246499999999997</v>
      </c>
      <c r="AJ18" s="21">
        <f>_xll.BDH("ADSK US Equity","TOT_DEBT_TO_TOT_ASSET","FQ3 2020","FQ3 2020","Currency=USD","Period=FQ","BEST_FPERIOD_OVERRIDE=FQ","FILING_STATUS=MR","Sort=A","Dates=H","DateFormat=P","Fill=—","Direction=H","UseDPDF=Y")</f>
        <v>40.573</v>
      </c>
      <c r="AK18" s="21">
        <f>_xll.BDH("ADSK US Equity","TOT_DEBT_TO_TOT_ASSET","FQ4 2020","FQ4 2020","Currency=USD","Period=FQ","BEST_FPERIOD_OVERRIDE=FQ","FILING_STATUS=MR","Sort=A","Dates=H","DateFormat=P","Fill=—","Direction=H","UseDPDF=Y")</f>
        <v>41.179400000000001</v>
      </c>
      <c r="AL18" s="21">
        <f>_xll.BDH("ADSK US Equity","TOT_DEBT_TO_TOT_ASSET","FQ1 2021","FQ1 2021","Currency=USD","Period=FQ","BEST_FPERIOD_OVERRIDE=FQ","FILING_STATUS=MR","Sort=A","Dates=H","DateFormat=P","Fill=—","Direction=H","UseDPDF=Y")</f>
        <v>37.5837</v>
      </c>
      <c r="AM18" s="21">
        <f>_xll.BDH("ADSK US Equity","TOT_DEBT_TO_TOT_ASSET","FQ2 2021","FQ2 2021","Currency=USD","Period=FQ","BEST_FPERIOD_OVERRIDE=FQ","FILING_STATUS=MR","Sort=A","Dates=H","DateFormat=P","Fill=—","Direction=H","UseDPDF=Y")</f>
        <v>36.246600000000001</v>
      </c>
      <c r="AN18" s="21">
        <f>_xll.BDH("ADSK US Equity","TOT_DEBT_TO_TOT_ASSET","FQ3 2021","FQ3 2021","Currency=USD","Period=FQ","BEST_FPERIOD_OVERRIDE=FQ","FILING_STATUS=MR","Sort=A","Dates=H","DateFormat=P","Fill=—","Direction=H","UseDPDF=Y")</f>
        <v>35.308300000000003</v>
      </c>
      <c r="AO18" s="21">
        <f>_xll.BDH("ADSK US Equity","TOT_DEBT_TO_TOT_ASSET","FQ4 2021","FQ4 2021","Currency=USD","Period=FQ","BEST_FPERIOD_OVERRIDE=FQ","FILING_STATUS=MR","Sort=A","Dates=H","DateFormat=P","Fill=—","Direction=H","UseDPDF=Y")</f>
        <v>28.9101</v>
      </c>
      <c r="AP18" s="21">
        <f>_xll.BDH("ADSK US Equity","TOT_DEBT_TO_TOT_ASSET","FQ1 2022","FQ1 2022","Currency=USD","Period=FQ","BEST_FPERIOD_OVERRIDE=FQ","FILING_STATUS=MR","Sort=A","Dates=H","DateFormat=P","Fill=—","Direction=H","UseDPDF=Y")</f>
        <v>28.653199999999998</v>
      </c>
    </row>
    <row r="19" spans="1:42" x14ac:dyDescent="0.25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8" t="s">
        <v>170</v>
      </c>
      <c r="B20" s="8" t="s">
        <v>169</v>
      </c>
      <c r="C20" s="21">
        <f>_xll.BDH("ADSK US Equity","CASH_FLOW_TO_TOT_LIAB","FQ2 2012","FQ2 2012","Currency=USD","Period=FQ","BEST_FPERIOD_OVERRIDE=FQ","FILING_STATUS=MR","Sort=A","Dates=H","DateFormat=P","Fill=—","Direction=H","UseDPDF=Y")</f>
        <v>46.496699999999997</v>
      </c>
      <c r="D20" s="21">
        <f>_xll.BDH("ADSK US Equity","CASH_FLOW_TO_TOT_LIAB","FQ3 2012","FQ3 2012","Currency=USD","Period=FQ","BEST_FPERIOD_OVERRIDE=FQ","FILING_STATUS=MR","Sort=A","Dates=H","DateFormat=P","Fill=—","Direction=H","UseDPDF=Y")</f>
        <v>48.764299999999999</v>
      </c>
      <c r="E20" s="21">
        <f>_xll.BDH("ADSK US Equity","CASH_FLOW_TO_TOT_LIAB","FQ4 2012","FQ4 2012","Currency=USD","Period=FQ","BEST_FPERIOD_OVERRIDE=FQ","FILING_STATUS=MR","Sort=A","Dates=H","DateFormat=P","Fill=—","Direction=H","UseDPDF=Y")</f>
        <v>42.642600000000002</v>
      </c>
      <c r="F20" s="21">
        <f>_xll.BDH("ADSK US Equity","CASH_FLOW_TO_TOT_LIAB","FQ1 2013","FQ1 2013","Currency=USD","Period=FQ","BEST_FPERIOD_OVERRIDE=FQ","FILING_STATUS=MR","Sort=A","Dates=H","DateFormat=P","Fill=—","Direction=H","UseDPDF=Y")</f>
        <v>45.9542</v>
      </c>
      <c r="G20" s="21">
        <f>_xll.BDH("ADSK US Equity","CASH_FLOW_TO_TOT_LIAB","FQ2 2013","FQ2 2013","Currency=USD","Period=FQ","BEST_FPERIOD_OVERRIDE=FQ","FILING_STATUS=MR","Sort=A","Dates=H","DateFormat=P","Fill=—","Direction=H","UseDPDF=Y")</f>
        <v>42.2241</v>
      </c>
      <c r="H20" s="21">
        <f>_xll.BDH("ADSK US Equity","CASH_FLOW_TO_TOT_LIAB","FQ3 2013","FQ3 2013","Currency=USD","Period=FQ","BEST_FPERIOD_OVERRIDE=FQ","FILING_STATUS=MR","Sort=A","Dates=H","DateFormat=P","Fill=—","Direction=H","UseDPDF=Y")</f>
        <v>41.0047</v>
      </c>
      <c r="I20" s="21">
        <f>_xll.BDH("ADSK US Equity","CASH_FLOW_TO_TOT_LIAB","FQ4 2013","FQ4 2013","Currency=USD","Period=FQ","BEST_FPERIOD_OVERRIDE=FQ","FILING_STATUS=MR","Sort=A","Dates=H","DateFormat=P","Fill=—","Direction=H","UseDPDF=Y")</f>
        <v>24.682099999999998</v>
      </c>
      <c r="J20" s="21">
        <f>_xll.BDH("ADSK US Equity","CASH_FLOW_TO_TOT_LIAB","FQ1 2014","FQ1 2014","Currency=USD","Period=FQ","BEST_FPERIOD_OVERRIDE=FQ","FILING_STATUS=MR","Sort=A","Dates=H","DateFormat=P","Fill=—","Direction=H","UseDPDF=Y")</f>
        <v>29.199200000000001</v>
      </c>
      <c r="K20" s="21">
        <f>_xll.BDH("ADSK US Equity","CASH_FLOW_TO_TOT_LIAB","FQ2 2014","FQ2 2014","Currency=USD","Period=FQ","BEST_FPERIOD_OVERRIDE=FQ","FILING_STATUS=MR","Sort=A","Dates=H","DateFormat=P","Fill=—","Direction=H","UseDPDF=Y")</f>
        <v>27.718399999999999</v>
      </c>
      <c r="L20" s="21">
        <f>_xll.BDH("ADSK US Equity","CASH_FLOW_TO_TOT_LIAB","FQ3 2014","FQ3 2014","Currency=USD","Period=FQ","BEST_FPERIOD_OVERRIDE=FQ","FILING_STATUS=MR","Sort=A","Dates=H","DateFormat=P","Fill=—","Direction=H","UseDPDF=Y")</f>
        <v>24.800899999999999</v>
      </c>
      <c r="M20" s="21">
        <f>_xll.BDH("ADSK US Equity","CASH_FLOW_TO_TOT_LIAB","FQ4 2014","FQ4 2014","Currency=USD","Period=FQ","BEST_FPERIOD_OVERRIDE=FQ","FILING_STATUS=MR","Sort=A","Dates=H","DateFormat=P","Fill=—","Direction=H","UseDPDF=Y")</f>
        <v>24.148299999999999</v>
      </c>
      <c r="N20" s="21">
        <f>_xll.BDH("ADSK US Equity","CASH_FLOW_TO_TOT_LIAB","FQ1 2015","FQ1 2015","Currency=USD","Period=FQ","BEST_FPERIOD_OVERRIDE=FQ","FILING_STATUS=MR","Sort=A","Dates=H","DateFormat=P","Fill=—","Direction=H","UseDPDF=Y")</f>
        <v>23.6493</v>
      </c>
      <c r="O20" s="21">
        <f>_xll.BDH("ADSK US Equity","CASH_FLOW_TO_TOT_LIAB","FQ2 2015","FQ2 2015","Currency=USD","Period=FQ","BEST_FPERIOD_OVERRIDE=FQ","FILING_STATUS=MR","Sort=A","Dates=H","DateFormat=P","Fill=—","Direction=H","UseDPDF=Y")</f>
        <v>24.338799999999999</v>
      </c>
      <c r="P20" s="21">
        <f>_xll.BDH("ADSK US Equity","CASH_FLOW_TO_TOT_LIAB","FQ3 2015","FQ3 2015","Currency=USD","Period=FQ","BEST_FPERIOD_OVERRIDE=FQ","FILING_STATUS=MR","Sort=A","Dates=H","DateFormat=P","Fill=—","Direction=H","UseDPDF=Y")</f>
        <v>25.701899999999998</v>
      </c>
      <c r="Q20" s="21">
        <f>_xll.BDH("ADSK US Equity","CASH_FLOW_TO_TOT_LIAB","FQ4 2015","FQ4 2015","Currency=USD","Period=FQ","BEST_FPERIOD_OVERRIDE=FQ","FILING_STATUS=MR","Sort=A","Dates=H","DateFormat=P","Fill=—","Direction=H","UseDPDF=Y")</f>
        <v>26.3185</v>
      </c>
      <c r="R20" s="21">
        <f>_xll.BDH("ADSK US Equity","CASH_FLOW_TO_TOT_LIAB","FQ1 2016","FQ1 2016","Currency=USD","Period=FQ","BEST_FPERIOD_OVERRIDE=FQ","FILING_STATUS=MR","Sort=A","Dates=H","DateFormat=P","Fill=—","Direction=H","UseDPDF=Y")</f>
        <v>22.571000000000002</v>
      </c>
      <c r="S20" s="21">
        <f>_xll.BDH("ADSK US Equity","CASH_FLOW_TO_TOT_LIAB","FQ2 2016","FQ2 2016","Currency=USD","Period=FQ","BEST_FPERIOD_OVERRIDE=FQ","FILING_STATUS=MR","Sort=A","Dates=H","DateFormat=P","Fill=—","Direction=H","UseDPDF=Y")</f>
        <v>16.1904</v>
      </c>
      <c r="T20" s="21">
        <f>_xll.BDH("ADSK US Equity","CASH_FLOW_TO_TOT_LIAB","FQ3 2016","FQ3 2016","Currency=USD","Period=FQ","BEST_FPERIOD_OVERRIDE=FQ","FILING_STATUS=MR","Sort=A","Dates=H","DateFormat=P","Fill=—","Direction=H","UseDPDF=Y")</f>
        <v>14.3767</v>
      </c>
      <c r="U20" s="21">
        <f>_xll.BDH("ADSK US Equity","CASH_FLOW_TO_TOT_LIAB","FQ4 2016","FQ4 2016","Currency=USD","Period=FQ","BEST_FPERIOD_OVERRIDE=FQ","FILING_STATUS=MR","Sort=A","Dates=H","DateFormat=P","Fill=—","Direction=H","UseDPDF=Y")</f>
        <v>10.6271</v>
      </c>
      <c r="V20" s="21">
        <f>_xll.BDH("ADSK US Equity","CASH_FLOW_TO_TOT_LIAB","FQ1 2017","FQ1 2017","Currency=USD","Period=FQ","BEST_FPERIOD_OVERRIDE=FQ","FILING_STATUS=MR","Sort=A","Dates=H","DateFormat=P","Fill=—","Direction=H","UseDPDF=Y")</f>
        <v>13.0488</v>
      </c>
      <c r="W20" s="21">
        <f>_xll.BDH("ADSK US Equity","CASH_FLOW_TO_TOT_LIAB","FQ2 2017","FQ2 2017","Currency=USD","Period=FQ","BEST_FPERIOD_OVERRIDE=FQ","FILING_STATUS=MR","Sort=A","Dates=H","DateFormat=P","Fill=—","Direction=H","UseDPDF=Y")</f>
        <v>10.676299999999999</v>
      </c>
      <c r="X20" s="21">
        <f>_xll.BDH("ADSK US Equity","CASH_FLOW_TO_TOT_LIAB","FQ3 2017","FQ3 2017","Currency=USD","Period=FQ","BEST_FPERIOD_OVERRIDE=FQ","FILING_STATUS=MR","Sort=A","Dates=H","DateFormat=P","Fill=—","Direction=H","UseDPDF=Y")</f>
        <v>8.5974000000000004</v>
      </c>
      <c r="Y20" s="21">
        <f>_xll.BDH("ADSK US Equity","CASH_FLOW_TO_TOT_LIAB","FQ4 2017","FQ4 2017","Currency=USD","Period=FQ","BEST_FPERIOD_OVERRIDE=FQ","FILING_STATUS=MR","Sort=A","Dates=H","DateFormat=P","Fill=—","Direction=H","UseDPDF=Y")</f>
        <v>4.1752000000000002</v>
      </c>
      <c r="Z20" s="21">
        <f>_xll.BDH("ADSK US Equity","CASH_FLOW_TO_TOT_LIAB","FQ1 2018","FQ1 2018","Currency=USD","Period=FQ","BEST_FPERIOD_OVERRIDE=FQ","FILING_STATUS=MR","Sort=A","Dates=H","DateFormat=P","Fill=—","Direction=H","UseDPDF=Y")</f>
        <v>1.2871999999999999</v>
      </c>
      <c r="AA20" s="21">
        <f>_xll.BDH("ADSK US Equity","CASH_FLOW_TO_TOT_LIAB","FQ2 2018","FQ2 2018","Currency=USD","Period=FQ","BEST_FPERIOD_OVERRIDE=FQ","FILING_STATUS=MR","Sort=A","Dates=H","DateFormat=P","Fill=—","Direction=H","UseDPDF=Y")</f>
        <v>-9.9000000000000005E-2</v>
      </c>
      <c r="AB20" s="21">
        <f>_xll.BDH("ADSK US Equity","CASH_FLOW_TO_TOT_LIAB","FQ3 2018","FQ3 2018","Currency=USD","Period=FQ","BEST_FPERIOD_OVERRIDE=FQ","FILING_STATUS=MR","Sort=A","Dates=H","DateFormat=P","Fill=—","Direction=H","UseDPDF=Y")</f>
        <v>-1.5526</v>
      </c>
      <c r="AC20" s="21">
        <f>_xll.BDH("ADSK US Equity","CASH_FLOW_TO_TOT_LIAB","FQ4 2018","FQ4 2018","Currency=USD","Period=FQ","BEST_FPERIOD_OVERRIDE=FQ","FILING_STATUS=MR","Sort=A","Dates=H","DateFormat=P","Fill=—","Direction=H","UseDPDF=Y")</f>
        <v>2.06E-2</v>
      </c>
      <c r="AD20" s="21">
        <f>_xll.BDH("ADSK US Equity","CASH_FLOW_TO_TOT_LIAB","FQ1 2019","FQ1 2019","Currency=USD","Period=FQ","BEST_FPERIOD_OVERRIDE=FQ","FILING_STATUS=MR","Sort=A","Dates=H","DateFormat=P","Fill=—","Direction=H","UseDPDF=Y")</f>
        <v>-1.5148999999999999</v>
      </c>
      <c r="AE20" s="21">
        <f>_xll.BDH("ADSK US Equity","CASH_FLOW_TO_TOT_LIAB","FQ2 2019","FQ2 2019","Currency=USD","Period=FQ","BEST_FPERIOD_OVERRIDE=FQ","FILING_STATUS=MR","Sort=A","Dates=H","DateFormat=P","Fill=—","Direction=H","UseDPDF=Y")</f>
        <v>1.34</v>
      </c>
      <c r="AF20" s="21">
        <f>_xll.BDH("ADSK US Equity","CASH_FLOW_TO_TOT_LIAB","FQ3 2019","FQ3 2019","Currency=USD","Period=FQ","BEST_FPERIOD_OVERRIDE=FQ","FILING_STATUS=MR","Sort=A","Dates=H","DateFormat=P","Fill=—","Direction=H","UseDPDF=Y")</f>
        <v>3.5232000000000001</v>
      </c>
      <c r="AG20" s="21">
        <f>_xll.BDH("ADSK US Equity","CASH_FLOW_TO_TOT_LIAB","FQ4 2019","FQ4 2019","Currency=USD","Period=FQ","BEST_FPERIOD_OVERRIDE=FQ","FILING_STATUS=MR","Sort=A","Dates=H","DateFormat=P","Fill=—","Direction=H","UseDPDF=Y")</f>
        <v>7.6334</v>
      </c>
      <c r="AH20" s="21">
        <f>_xll.BDH("ADSK US Equity","CASH_FLOW_TO_TOT_LIAB","FQ1 2020","FQ1 2020","Currency=USD","Period=FQ","BEST_FPERIOD_OVERRIDE=FQ","FILING_STATUS=MR","Sort=A","Dates=H","DateFormat=P","Fill=—","Direction=H","UseDPDF=Y")</f>
        <v>12.173</v>
      </c>
      <c r="AI20" s="21">
        <f>_xll.BDH("ADSK US Equity","CASH_FLOW_TO_TOT_LIAB","FQ2 2020","FQ2 2020","Currency=USD","Period=FQ","BEST_FPERIOD_OVERRIDE=FQ","FILING_STATUS=MR","Sort=A","Dates=H","DateFormat=P","Fill=—","Direction=H","UseDPDF=Y")</f>
        <v>15.614800000000001</v>
      </c>
      <c r="AJ20" s="21">
        <f>_xll.BDH("ADSK US Equity","CASH_FLOW_TO_TOT_LIAB","FQ3 2020","FQ3 2020","Currency=USD","Period=FQ","BEST_FPERIOD_OVERRIDE=FQ","FILING_STATUS=MR","Sort=A","Dates=H","DateFormat=P","Fill=—","Direction=H","UseDPDF=Y")</f>
        <v>19.746200000000002</v>
      </c>
      <c r="AK20" s="21">
        <f>_xll.BDH("ADSK US Equity","CASH_FLOW_TO_TOT_LIAB","FQ4 2020","FQ4 2020","Currency=USD","Period=FQ","BEST_FPERIOD_OVERRIDE=FQ","FILING_STATUS=MR","Sort=A","Dates=H","DateFormat=P","Fill=—","Direction=H","UseDPDF=Y")</f>
        <v>22.3965</v>
      </c>
      <c r="AL20" s="21">
        <f>_xll.BDH("ADSK US Equity","CASH_FLOW_TO_TOT_LIAB","FQ1 2021","FQ1 2021","Currency=USD","Period=FQ","BEST_FPERIOD_OVERRIDE=FQ","FILING_STATUS=MR","Sort=A","Dates=H","DateFormat=P","Fill=—","Direction=H","UseDPDF=Y")</f>
        <v>26.767600000000002</v>
      </c>
      <c r="AM20" s="21">
        <f>_xll.BDH("ADSK US Equity","CASH_FLOW_TO_TOT_LIAB","FQ2 2021","FQ2 2021","Currency=USD","Period=FQ","BEST_FPERIOD_OVERRIDE=FQ","FILING_STATUS=MR","Sort=A","Dates=H","DateFormat=P","Fill=—","Direction=H","UseDPDF=Y")</f>
        <v>24.526399999999999</v>
      </c>
      <c r="AN20" s="21">
        <f>_xll.BDH("ADSK US Equity","CASH_FLOW_TO_TOT_LIAB","FQ3 2021","FQ3 2021","Currency=USD","Period=FQ","BEST_FPERIOD_OVERRIDE=FQ","FILING_STATUS=MR","Sort=A","Dates=H","DateFormat=P","Fill=—","Direction=H","UseDPDF=Y")</f>
        <v>25.153199999999998</v>
      </c>
      <c r="AO20" s="21">
        <f>_xll.BDH("ADSK US Equity","CASH_FLOW_TO_TOT_LIAB","FQ4 2021","FQ4 2021","Currency=USD","Period=FQ","BEST_FPERIOD_OVERRIDE=FQ","FILING_STATUS=MR","Sort=A","Dates=H","DateFormat=P","Fill=—","Direction=H","UseDPDF=Y")</f>
        <v>22.760999999999999</v>
      </c>
      <c r="AP20" s="21">
        <f>_xll.BDH("ADSK US Equity","CASH_FLOW_TO_TOT_LIAB","FQ1 2022","FQ1 2022","Currency=USD","Period=FQ","BEST_FPERIOD_OVERRIDE=FQ","FILING_STATUS=MR","Sort=A","Dates=H","DateFormat=P","Fill=—","Direction=H","UseDPDF=Y")</f>
        <v>23.436399999999999</v>
      </c>
    </row>
    <row r="21" spans="1:42" x14ac:dyDescent="0.25">
      <c r="A21" s="8" t="s">
        <v>168</v>
      </c>
      <c r="B21" s="8" t="s">
        <v>167</v>
      </c>
      <c r="C21" s="21">
        <f>_xll.BDH("ADSK US Equity","CAP_EXPEND_RATIO","FQ2 2012","FQ2 2012","Currency=USD","Period=FQ","BEST_FPERIOD_OVERRIDE=FQ","FILING_STATUS=MR","Sort=A","Dates=H","DateFormat=P","Fill=—","Direction=H","UseDPDF=Y")</f>
        <v>7.9638999999999998</v>
      </c>
      <c r="D21" s="21">
        <f>_xll.BDH("ADSK US Equity","CAP_EXPEND_RATIO","FQ3 2012","FQ3 2012","Currency=USD","Period=FQ","BEST_FPERIOD_OVERRIDE=FQ","FILING_STATUS=MR","Sort=A","Dates=H","DateFormat=P","Fill=—","Direction=H","UseDPDF=Y")</f>
        <v>3.8464</v>
      </c>
      <c r="E21" s="21" t="str">
        <f>_xll.BDH("ADSK US Equity","CAP_EXPEND_RATIO","FQ4 2012","FQ4 2012","Currency=USD","Period=FQ","BEST_FPERIOD_OVERRIDE=FQ","FILING_STATUS=MR","Sort=A","Dates=H","DateFormat=P","Fill=—","Direction=H","UseDPDF=Y")</f>
        <v>—</v>
      </c>
      <c r="F21" s="21">
        <f>_xll.BDH("ADSK US Equity","CAP_EXPEND_RATIO","FQ1 2013","FQ1 2013","Currency=USD","Period=FQ","BEST_FPERIOD_OVERRIDE=FQ","FILING_STATUS=MR","Sort=A","Dates=H","DateFormat=P","Fill=—","Direction=H","UseDPDF=Y")</f>
        <v>12.113</v>
      </c>
      <c r="G21" s="21">
        <f>_xll.BDH("ADSK US Equity","CAP_EXPEND_RATIO","FQ2 2013","FQ2 2013","Currency=USD","Period=FQ","BEST_FPERIOD_OVERRIDE=FQ","FILING_STATUS=MR","Sort=A","Dates=H","DateFormat=P","Fill=—","Direction=H","UseDPDF=Y")</f>
        <v>6.4131999999999998</v>
      </c>
      <c r="H21" s="21">
        <f>_xll.BDH("ADSK US Equity","CAP_EXPEND_RATIO","FQ3 2013","FQ3 2013","Currency=USD","Period=FQ","BEST_FPERIOD_OVERRIDE=FQ","FILING_STATUS=MR","Sort=A","Dates=H","DateFormat=P","Fill=—","Direction=H","UseDPDF=Y")</f>
        <v>9.5212000000000003</v>
      </c>
      <c r="I21" s="21">
        <f>_xll.BDH("ADSK US Equity","CAP_EXPEND_RATIO","FQ4 2013","FQ4 2013","Currency=USD","Period=FQ","BEST_FPERIOD_OVERRIDE=FQ","FILING_STATUS=MR","Sort=A","Dates=H","DateFormat=P","Fill=—","Direction=H","UseDPDF=Y")</f>
        <v>13.299099999999999</v>
      </c>
      <c r="J21" s="21">
        <f>_xll.BDH("ADSK US Equity","CAP_EXPEND_RATIO","FQ1 2014","FQ1 2014","Currency=USD","Period=FQ","BEST_FPERIOD_OVERRIDE=FQ","FILING_STATUS=MR","Sort=A","Dates=H","DateFormat=P","Fill=—","Direction=H","UseDPDF=Y")</f>
        <v>8.6859999999999999</v>
      </c>
      <c r="K21" s="21">
        <f>_xll.BDH("ADSK US Equity","CAP_EXPEND_RATIO","FQ2 2014","FQ2 2014","Currency=USD","Period=FQ","BEST_FPERIOD_OVERRIDE=FQ","FILING_STATUS=MR","Sort=A","Dates=H","DateFormat=P","Fill=—","Direction=H","UseDPDF=Y")</f>
        <v>3.8868999999999998</v>
      </c>
      <c r="L21" s="21">
        <f>_xll.BDH("ADSK US Equity","CAP_EXPEND_RATIO","FQ3 2014","FQ3 2014","Currency=USD","Period=FQ","BEST_FPERIOD_OVERRIDE=FQ","FILING_STATUS=MR","Sort=A","Dates=H","DateFormat=P","Fill=—","Direction=H","UseDPDF=Y")</f>
        <v>7.3064999999999998</v>
      </c>
      <c r="M21" s="21">
        <f>_xll.BDH("ADSK US Equity","CAP_EXPEND_RATIO","FQ4 2014","FQ4 2014","Currency=USD","Period=FQ","BEST_FPERIOD_OVERRIDE=FQ","FILING_STATUS=MR","Sort=A","Dates=H","DateFormat=P","Fill=—","Direction=H","UseDPDF=Y")</f>
        <v>19.945699999999999</v>
      </c>
      <c r="N21" s="21">
        <f>_xll.BDH("ADSK US Equity","CAP_EXPEND_RATIO","FQ1 2015","FQ1 2015","Currency=USD","Period=FQ","BEST_FPERIOD_OVERRIDE=FQ","FILING_STATUS=MR","Sort=A","Dates=H","DateFormat=P","Fill=—","Direction=H","UseDPDF=Y")</f>
        <v>15.082800000000001</v>
      </c>
      <c r="O21" s="21">
        <f>_xll.BDH("ADSK US Equity","CAP_EXPEND_RATIO","FQ2 2015","FQ2 2015","Currency=USD","Period=FQ","BEST_FPERIOD_OVERRIDE=FQ","FILING_STATUS=MR","Sort=A","Dates=H","DateFormat=P","Fill=—","Direction=H","UseDPDF=Y")</f>
        <v>5.6257000000000001</v>
      </c>
      <c r="P21" s="21">
        <f>_xll.BDH("ADSK US Equity","CAP_EXPEND_RATIO","FQ3 2015","FQ3 2015","Currency=USD","Period=FQ","BEST_FPERIOD_OVERRIDE=FQ","FILING_STATUS=MR","Sort=A","Dates=H","DateFormat=P","Fill=—","Direction=H","UseDPDF=Y")</f>
        <v>4.7887000000000004</v>
      </c>
      <c r="Q21" s="21">
        <f>_xll.BDH("ADSK US Equity","CAP_EXPEND_RATIO","FQ4 2015","FQ4 2015","Currency=USD","Period=FQ","BEST_FPERIOD_OVERRIDE=FQ","FILING_STATUS=MR","Sort=A","Dates=H","DateFormat=P","Fill=—","Direction=H","UseDPDF=Y")</f>
        <v>16.593499999999999</v>
      </c>
      <c r="R21" s="21">
        <f>_xll.BDH("ADSK US Equity","CAP_EXPEND_RATIO","FQ1 2016","FQ1 2016","Currency=USD","Period=FQ","BEST_FPERIOD_OVERRIDE=FQ","FILING_STATUS=MR","Sort=A","Dates=H","DateFormat=P","Fill=—","Direction=H","UseDPDF=Y")</f>
        <v>6.92</v>
      </c>
      <c r="S21" s="21">
        <f>_xll.BDH("ADSK US Equity","CAP_EXPEND_RATIO","FQ2 2016","FQ2 2016","Currency=USD","Period=FQ","BEST_FPERIOD_OVERRIDE=FQ","FILING_STATUS=MR","Sort=A","Dates=H","DateFormat=P","Fill=—","Direction=H","UseDPDF=Y")</f>
        <v>4.4623999999999997</v>
      </c>
      <c r="T21" s="21">
        <f>_xll.BDH("ADSK US Equity","CAP_EXPEND_RATIO","FQ3 2016","FQ3 2016","Currency=USD","Period=FQ","BEST_FPERIOD_OVERRIDE=FQ","FILING_STATUS=MR","Sort=A","Dates=H","DateFormat=P","Fill=—","Direction=H","UseDPDF=Y")</f>
        <v>6.7</v>
      </c>
      <c r="U21" s="21">
        <f>_xll.BDH("ADSK US Equity","CAP_EXPEND_RATIO","FQ4 2016","FQ4 2016","Currency=USD","Period=FQ","BEST_FPERIOD_OVERRIDE=FQ","FILING_STATUS=MR","Sort=A","Dates=H","DateFormat=P","Fill=—","Direction=H","UseDPDF=Y")</f>
        <v>5.5522999999999998</v>
      </c>
      <c r="V21" s="21">
        <f>_xll.BDH("ADSK US Equity","CAP_EXPEND_RATIO","FQ1 2017","FQ1 2017","Currency=USD","Period=FQ","BEST_FPERIOD_OVERRIDE=FQ","FILING_STATUS=MR","Sort=A","Dates=H","DateFormat=P","Fill=—","Direction=H","UseDPDF=Y")</f>
        <v>7.3722000000000003</v>
      </c>
      <c r="W21" s="21">
        <f>_xll.BDH("ADSK US Equity","CAP_EXPEND_RATIO","FQ2 2017","FQ2 2017","Currency=USD","Period=FQ","BEST_FPERIOD_OVERRIDE=FQ","FILING_STATUS=MR","Sort=A","Dates=H","DateFormat=P","Fill=—","Direction=H","UseDPDF=Y")</f>
        <v>-0.88670000000000004</v>
      </c>
      <c r="X21" s="21">
        <f>_xll.BDH("ADSK US Equity","CAP_EXPEND_RATIO","FQ3 2017","FQ3 2017","Currency=USD","Period=FQ","BEST_FPERIOD_OVERRIDE=FQ","FILING_STATUS=MR","Sort=A","Dates=H","DateFormat=P","Fill=—","Direction=H","UseDPDF=Y")</f>
        <v>0.3422</v>
      </c>
      <c r="Y21" s="21">
        <f>_xll.BDH("ADSK US Equity","CAP_EXPEND_RATIO","FQ4 2017","FQ4 2017","Currency=USD","Period=FQ","BEST_FPERIOD_OVERRIDE=FQ","FILING_STATUS=MR","Sort=A","Dates=H","DateFormat=P","Fill=—","Direction=H","UseDPDF=Y")</f>
        <v>1.4312</v>
      </c>
      <c r="Z21" s="21">
        <f>_xll.BDH("ADSK US Equity","CAP_EXPEND_RATIO","FQ1 2018","FQ1 2018","Currency=USD","Period=FQ","BEST_FPERIOD_OVERRIDE=FQ","FILING_STATUS=MR","Sort=A","Dates=H","DateFormat=P","Fill=—","Direction=H","UseDPDF=Y")</f>
        <v>5.2557999999999998</v>
      </c>
      <c r="AA21" s="21">
        <f>_xll.BDH("ADSK US Equity","CAP_EXPEND_RATIO","FQ2 2018","FQ2 2018","Currency=USD","Period=FQ","BEST_FPERIOD_OVERRIDE=FQ","FILING_STATUS=MR","Sort=A","Dates=H","DateFormat=P","Fill=—","Direction=H","UseDPDF=Y")</f>
        <v>-4.0730000000000004</v>
      </c>
      <c r="AB21" s="21">
        <f>_xll.BDH("ADSK US Equity","CAP_EXPEND_RATIO","FQ3 2018","FQ3 2018","Currency=USD","Period=FQ","BEST_FPERIOD_OVERRIDE=FQ","FILING_STATUS=MR","Sort=A","Dates=H","DateFormat=P","Fill=—","Direction=H","UseDPDF=Y")</f>
        <v>-3.9611999999999998</v>
      </c>
      <c r="AC21" s="21">
        <f>_xll.BDH("ADSK US Equity","CAP_EXPEND_RATIO","FQ4 2018","FQ4 2018","Currency=USD","Period=FQ","BEST_FPERIOD_OVERRIDE=FQ","FILING_STATUS=MR","Sort=A","Dates=H","DateFormat=P","Fill=—","Direction=H","UseDPDF=Y")</f>
        <v>6.9561000000000002</v>
      </c>
      <c r="AD21" s="21">
        <f>_xll.BDH("ADSK US Equity","CAP_EXPEND_RATIO","FQ1 2019","FQ1 2019","Currency=USD","Period=FQ","BEST_FPERIOD_OVERRIDE=FQ","FILING_STATUS=MR","Sort=A","Dates=H","DateFormat=P","Fill=—","Direction=H","UseDPDF=Y")</f>
        <v>-1.012</v>
      </c>
      <c r="AE21" s="21">
        <f>_xll.BDH("ADSK US Equity","CAP_EXPEND_RATIO","FQ2 2019","FQ2 2019","Currency=USD","Period=FQ","BEST_FPERIOD_OVERRIDE=FQ","FILING_STATUS=MR","Sort=A","Dates=H","DateFormat=P","Fill=—","Direction=H","UseDPDF=Y")</f>
        <v>2.165</v>
      </c>
      <c r="AF21" s="21">
        <f>_xll.BDH("ADSK US Equity","CAP_EXPEND_RATIO","FQ3 2019","FQ3 2019","Currency=USD","Period=FQ","BEST_FPERIOD_OVERRIDE=FQ","FILING_STATUS=MR","Sort=A","Dates=H","DateFormat=P","Fill=—","Direction=H","UseDPDF=Y")</f>
        <v>3.0865999999999998</v>
      </c>
      <c r="AG21" s="21">
        <f>_xll.BDH("ADSK US Equity","CAP_EXPEND_RATIO","FQ4 2019","FQ4 2019","Currency=USD","Period=FQ","BEST_FPERIOD_OVERRIDE=FQ","FILING_STATUS=MR","Sort=A","Dates=H","DateFormat=P","Fill=—","Direction=H","UseDPDF=Y")</f>
        <v>17.698899999999998</v>
      </c>
      <c r="AH21" s="21">
        <f>_xll.BDH("ADSK US Equity","CAP_EXPEND_RATIO","FQ1 2020","FQ1 2020","Currency=USD","Period=FQ","BEST_FPERIOD_OVERRIDE=FQ","FILING_STATUS=MR","Sort=A","Dates=H","DateFormat=P","Fill=—","Direction=H","UseDPDF=Y")</f>
        <v>15.047599999999999</v>
      </c>
      <c r="AI21" s="21">
        <f>_xll.BDH("ADSK US Equity","CAP_EXPEND_RATIO","FQ2 2020","FQ2 2020","Currency=USD","Period=FQ","BEST_FPERIOD_OVERRIDE=FQ","FILING_STATUS=MR","Sort=A","Dates=H","DateFormat=P","Fill=—","Direction=H","UseDPDF=Y")</f>
        <v>14.817600000000001</v>
      </c>
      <c r="AJ21" s="21">
        <f>_xll.BDH("ADSK US Equity","CAP_EXPEND_RATIO","FQ3 2020","FQ3 2020","Currency=USD","Period=FQ","BEST_FPERIOD_OVERRIDE=FQ","FILING_STATUS=MR","Sort=A","Dates=H","DateFormat=P","Fill=—","Direction=H","UseDPDF=Y")</f>
        <v>28.494800000000001</v>
      </c>
      <c r="AK21" s="21">
        <f>_xll.BDH("ADSK US Equity","CAP_EXPEND_RATIO","FQ4 2020","FQ4 2020","Currency=USD","Period=FQ","BEST_FPERIOD_OVERRIDE=FQ","FILING_STATUS=MR","Sort=A","Dates=H","DateFormat=P","Fill=—","Direction=H","UseDPDF=Y")</f>
        <v>49.871400000000001</v>
      </c>
      <c r="AL21" s="21">
        <f>_xll.BDH("ADSK US Equity","CAP_EXPEND_RATIO","FQ1 2021","FQ1 2021","Currency=USD","Period=FQ","BEST_FPERIOD_OVERRIDE=FQ","FILING_STATUS=MR","Sort=A","Dates=H","DateFormat=P","Fill=—","Direction=H","UseDPDF=Y")</f>
        <v>16.447199999999999</v>
      </c>
      <c r="AM21" s="21">
        <f>_xll.BDH("ADSK US Equity","CAP_EXPEND_RATIO","FQ2 2021","FQ2 2021","Currency=USD","Period=FQ","BEST_FPERIOD_OVERRIDE=FQ","FILING_STATUS=MR","Sort=A","Dates=H","DateFormat=P","Fill=—","Direction=H","UseDPDF=Y")</f>
        <v>3.403</v>
      </c>
      <c r="AN21" s="21">
        <f>_xll.BDH("ADSK US Equity","CAP_EXPEND_RATIO","FQ3 2021","FQ3 2021","Currency=USD","Period=FQ","BEST_FPERIOD_OVERRIDE=FQ","FILING_STATUS=MR","Sort=A","Dates=H","DateFormat=P","Fill=—","Direction=H","UseDPDF=Y")</f>
        <v>17.2775</v>
      </c>
      <c r="AO21" s="21">
        <f>_xll.BDH("ADSK US Equity","CAP_EXPEND_RATIO","FQ4 2021","FQ4 2021","Currency=USD","Period=FQ","BEST_FPERIOD_OVERRIDE=FQ","FILING_STATUS=MR","Sort=A","Dates=H","DateFormat=P","Fill=—","Direction=H","UseDPDF=Y")</f>
        <v>27.983000000000001</v>
      </c>
      <c r="AP21" s="21">
        <f>_xll.BDH("ADSK US Equity","CAP_EXPEND_RATIO","FQ1 2022","FQ1 2022","Currency=USD","Period=FQ","BEST_FPERIOD_OVERRIDE=FQ","FILING_STATUS=MR","Sort=A","Dates=H","DateFormat=P","Fill=—","Direction=H","UseDPDF=Y")</f>
        <v>16.556699999999999</v>
      </c>
    </row>
    <row r="22" spans="1:42" x14ac:dyDescent="0.25">
      <c r="A22" s="8" t="s">
        <v>166</v>
      </c>
      <c r="B22" s="8" t="s">
        <v>165</v>
      </c>
      <c r="C22" s="21">
        <f>_xll.BDH("ADSK US Equity","ALTMAN_Z_SCORE","FQ2 2012","FQ2 2012","Currency=USD","Period=FQ","BEST_FPERIOD_OVERRIDE=FQ","FILING_STATUS=MR","Sort=A","Dates=H","DateFormat=P","Fill=—","Direction=H","UseDPDF=Y")</f>
        <v>6.1330999999999998</v>
      </c>
      <c r="D22" s="21">
        <f>_xll.BDH("ADSK US Equity","ALTMAN_Z_SCORE","FQ3 2012","FQ3 2012","Currency=USD","Period=FQ","BEST_FPERIOD_OVERRIDE=FQ","FILING_STATUS=MR","Sort=A","Dates=H","DateFormat=P","Fill=—","Direction=H","UseDPDF=Y")</f>
        <v>6.2325999999999997</v>
      </c>
      <c r="E22" s="21">
        <f>_xll.BDH("ADSK US Equity","ALTMAN_Z_SCORE","FQ4 2012","FQ4 2012","Currency=USD","Period=FQ","BEST_FPERIOD_OVERRIDE=FQ","FILING_STATUS=MR","Sort=A","Dates=H","DateFormat=P","Fill=—","Direction=H","UseDPDF=Y")</f>
        <v>5.7701000000000002</v>
      </c>
      <c r="F22" s="21">
        <f>_xll.BDH("ADSK US Equity","ALTMAN_Z_SCORE","FQ1 2013","FQ1 2013","Currency=USD","Period=FQ","BEST_FPERIOD_OVERRIDE=FQ","FILING_STATUS=MR","Sort=A","Dates=H","DateFormat=P","Fill=—","Direction=H","UseDPDF=Y")</f>
        <v>6.3742000000000001</v>
      </c>
      <c r="G22" s="21">
        <f>_xll.BDH("ADSK US Equity","ALTMAN_Z_SCORE","FQ2 2013","FQ2 2013","Currency=USD","Period=FQ","BEST_FPERIOD_OVERRIDE=FQ","FILING_STATUS=MR","Sort=A","Dates=H","DateFormat=P","Fill=—","Direction=H","UseDPDF=Y")</f>
        <v>5.6935000000000002</v>
      </c>
      <c r="H22" s="21">
        <f>_xll.BDH("ADSK US Equity","ALTMAN_Z_SCORE","FQ3 2013","FQ3 2013","Currency=USD","Period=FQ","BEST_FPERIOD_OVERRIDE=FQ","FILING_STATUS=MR","Sort=A","Dates=H","DateFormat=P","Fill=—","Direction=H","UseDPDF=Y")</f>
        <v>5.0648</v>
      </c>
      <c r="I22" s="21">
        <f>_xll.BDH("ADSK US Equity","ALTMAN_Z_SCORE","FQ4 2013","FQ4 2013","Currency=USD","Period=FQ","BEST_FPERIOD_OVERRIDE=FQ","FILING_STATUS=MR","Sort=A","Dates=H","DateFormat=P","Fill=—","Direction=H","UseDPDF=Y")</f>
        <v>4.0906000000000002</v>
      </c>
      <c r="J22" s="21">
        <f>_xll.BDH("ADSK US Equity","ALTMAN_Z_SCORE","FQ1 2014","FQ1 2014","Currency=USD","Period=FQ","BEST_FPERIOD_OVERRIDE=FQ","FILING_STATUS=MR","Sort=A","Dates=H","DateFormat=P","Fill=—","Direction=H","UseDPDF=Y")</f>
        <v>4.1788999999999996</v>
      </c>
      <c r="K22" s="21">
        <f>_xll.BDH("ADSK US Equity","ALTMAN_Z_SCORE","FQ2 2014","FQ2 2014","Currency=USD","Period=FQ","BEST_FPERIOD_OVERRIDE=FQ","FILING_STATUS=MR","Sort=A","Dates=H","DateFormat=P","Fill=—","Direction=H","UseDPDF=Y")</f>
        <v>3.992</v>
      </c>
      <c r="L22" s="21">
        <f>_xll.BDH("ADSK US Equity","ALTMAN_Z_SCORE","FQ3 2014","FQ3 2014","Currency=USD","Period=FQ","BEST_FPERIOD_OVERRIDE=FQ","FILING_STATUS=MR","Sort=A","Dates=H","DateFormat=P","Fill=—","Direction=H","UseDPDF=Y")</f>
        <v>4.2930000000000001</v>
      </c>
      <c r="M22" s="21">
        <f>_xll.BDH("ADSK US Equity","ALTMAN_Z_SCORE","FQ4 2014","FQ4 2014","Currency=USD","Period=FQ","BEST_FPERIOD_OVERRIDE=FQ","FILING_STATUS=MR","Sort=A","Dates=H","DateFormat=P","Fill=—","Direction=H","UseDPDF=Y")</f>
        <v>4.7346000000000004</v>
      </c>
      <c r="N22" s="21">
        <f>_xll.BDH("ADSK US Equity","ALTMAN_Z_SCORE","FQ1 2015","FQ1 2015","Currency=USD","Period=FQ","BEST_FPERIOD_OVERRIDE=FQ","FILING_STATUS=MR","Sort=A","Dates=H","DateFormat=P","Fill=—","Direction=H","UseDPDF=Y")</f>
        <v>4.5617999999999999</v>
      </c>
      <c r="O22" s="21">
        <f>_xll.BDH("ADSK US Equity","ALTMAN_Z_SCORE","FQ2 2015","FQ2 2015","Currency=USD","Period=FQ","BEST_FPERIOD_OVERRIDE=FQ","FILING_STATUS=MR","Sort=A","Dates=H","DateFormat=P","Fill=—","Direction=H","UseDPDF=Y")</f>
        <v>4.7966999999999995</v>
      </c>
      <c r="P22" s="21">
        <f>_xll.BDH("ADSK US Equity","ALTMAN_Z_SCORE","FQ3 2015","FQ3 2015","Currency=USD","Period=FQ","BEST_FPERIOD_OVERRIDE=FQ","FILING_STATUS=MR","Sort=A","Dates=H","DateFormat=P","Fill=—","Direction=H","UseDPDF=Y")</f>
        <v>4.8823999999999996</v>
      </c>
      <c r="Q22" s="21">
        <f>_xll.BDH("ADSK US Equity","ALTMAN_Z_SCORE","FQ4 2015","FQ4 2015","Currency=USD","Period=FQ","BEST_FPERIOD_OVERRIDE=FQ","FILING_STATUS=MR","Sort=A","Dates=H","DateFormat=P","Fill=—","Direction=H","UseDPDF=Y")</f>
        <v>4.2652999999999999</v>
      </c>
      <c r="R22" s="21">
        <f>_xll.BDH("ADSK US Equity","ALTMAN_Z_SCORE","FQ1 2016","FQ1 2016","Currency=USD","Period=FQ","BEST_FPERIOD_OVERRIDE=FQ","FILING_STATUS=MR","Sort=A","Dates=H","DateFormat=P","Fill=—","Direction=H","UseDPDF=Y")</f>
        <v>4.5445000000000002</v>
      </c>
      <c r="S22" s="21">
        <f>_xll.BDH("ADSK US Equity","ALTMAN_Z_SCORE","FQ2 2016","FQ2 2016","Currency=USD","Period=FQ","BEST_FPERIOD_OVERRIDE=FQ","FILING_STATUS=MR","Sort=A","Dates=H","DateFormat=P","Fill=—","Direction=H","UseDPDF=Y")</f>
        <v>3.2869999999999999</v>
      </c>
      <c r="T22" s="21">
        <f>_xll.BDH("ADSK US Equity","ALTMAN_Z_SCORE","FQ3 2016","FQ3 2016","Currency=USD","Period=FQ","BEST_FPERIOD_OVERRIDE=FQ","FILING_STATUS=MR","Sort=A","Dates=H","DateFormat=P","Fill=—","Direction=H","UseDPDF=Y")</f>
        <v>3.3441000000000001</v>
      </c>
      <c r="U22" s="21">
        <f>_xll.BDH("ADSK US Equity","ALTMAN_Z_SCORE","FQ4 2016","FQ4 2016","Currency=USD","Period=FQ","BEST_FPERIOD_OVERRIDE=FQ","FILING_STATUS=MR","Sort=A","Dates=H","DateFormat=P","Fill=—","Direction=H","UseDPDF=Y")</f>
        <v>2.6678999999999999</v>
      </c>
      <c r="V22" s="21">
        <f>_xll.BDH("ADSK US Equity","ALTMAN_Z_SCORE","FQ1 2017","FQ1 2017","Currency=USD","Period=FQ","BEST_FPERIOD_OVERRIDE=FQ","FILING_STATUS=MR","Sort=A","Dates=H","DateFormat=P","Fill=—","Direction=H","UseDPDF=Y")</f>
        <v>2.9146000000000001</v>
      </c>
      <c r="W22" s="21">
        <f>_xll.BDH("ADSK US Equity","ALTMAN_Z_SCORE","FQ2 2017","FQ2 2017","Currency=USD","Period=FQ","BEST_FPERIOD_OVERRIDE=FQ","FILING_STATUS=MR","Sort=A","Dates=H","DateFormat=P","Fill=—","Direction=H","UseDPDF=Y")</f>
        <v>2.7734000000000001</v>
      </c>
      <c r="X22" s="21">
        <f>_xll.BDH("ADSK US Equity","ALTMAN_Z_SCORE","FQ3 2017","FQ3 2017","Currency=USD","Period=FQ","BEST_FPERIOD_OVERRIDE=FQ","FILING_STATUS=MR","Sort=A","Dates=H","DateFormat=P","Fill=—","Direction=H","UseDPDF=Y")</f>
        <v>2.8841000000000001</v>
      </c>
      <c r="Y22" s="21">
        <f>_xll.BDH("ADSK US Equity","ALTMAN_Z_SCORE","FQ4 2017","FQ4 2017","Currency=USD","Period=FQ","BEST_FPERIOD_OVERRIDE=FQ","FILING_STATUS=MR","Sort=A","Dates=H","DateFormat=P","Fill=—","Direction=H","UseDPDF=Y")</f>
        <v>2.4725999999999999</v>
      </c>
      <c r="Z22" s="21">
        <f>_xll.BDH("ADSK US Equity","ALTMAN_Z_SCORE","FQ1 2018","FQ1 2018","Currency=USD","Period=FQ","BEST_FPERIOD_OVERRIDE=FQ","FILING_STATUS=MR","Sort=A","Dates=H","DateFormat=P","Fill=—","Direction=H","UseDPDF=Y")</f>
        <v>2.6339000000000001</v>
      </c>
      <c r="AA22" s="21">
        <f>_xll.BDH("ADSK US Equity","ALTMAN_Z_SCORE","FQ2 2018","FQ2 2018","Currency=USD","Period=FQ","BEST_FPERIOD_OVERRIDE=FQ","FILING_STATUS=MR","Sort=A","Dates=H","DateFormat=P","Fill=—","Direction=H","UseDPDF=Y")</f>
        <v>3.1385000000000001</v>
      </c>
      <c r="AB22" s="21">
        <f>_xll.BDH("ADSK US Equity","ALTMAN_Z_SCORE","FQ3 2018","FQ3 2018","Currency=USD","Period=FQ","BEST_FPERIOD_OVERRIDE=FQ","FILING_STATUS=MR","Sort=A","Dates=H","DateFormat=P","Fill=—","Direction=H","UseDPDF=Y")</f>
        <v>3.3374000000000001</v>
      </c>
      <c r="AC22" s="21">
        <f>_xll.BDH("ADSK US Equity","ALTMAN_Z_SCORE","FQ4 2018","FQ4 2018","Currency=USD","Period=FQ","BEST_FPERIOD_OVERRIDE=FQ","FILING_STATUS=MR","Sort=A","Dates=H","DateFormat=P","Fill=—","Direction=H","UseDPDF=Y")</f>
        <v>2.3468</v>
      </c>
      <c r="AD22" s="21">
        <f>_xll.BDH("ADSK US Equity","ALTMAN_Z_SCORE","FQ1 2019","FQ1 2019","Currency=USD","Period=FQ","BEST_FPERIOD_OVERRIDE=FQ","FILING_STATUS=MR","Sort=A","Dates=H","DateFormat=P","Fill=—","Direction=H","UseDPDF=Y")</f>
        <v>3.0676999999999999</v>
      </c>
      <c r="AE22" s="21">
        <f>_xll.BDH("ADSK US Equity","ALTMAN_Z_SCORE","FQ2 2019","FQ2 2019","Currency=USD","Period=FQ","BEST_FPERIOD_OVERRIDE=FQ","FILING_STATUS=MR","Sort=A","Dates=H","DateFormat=P","Fill=—","Direction=H","UseDPDF=Y")</f>
        <v>3.0857000000000001</v>
      </c>
      <c r="AF22" s="21">
        <f>_xll.BDH("ADSK US Equity","ALTMAN_Z_SCORE","FQ3 2019","FQ3 2019","Currency=USD","Period=FQ","BEST_FPERIOD_OVERRIDE=FQ","FILING_STATUS=MR","Sort=A","Dates=H","DateFormat=P","Fill=—","Direction=H","UseDPDF=Y")</f>
        <v>3.1884000000000001</v>
      </c>
      <c r="AG22" s="21">
        <f>_xll.BDH("ADSK US Equity","ALTMAN_Z_SCORE","FQ4 2019","FQ4 2019","Currency=USD","Period=FQ","BEST_FPERIOD_OVERRIDE=FQ","FILING_STATUS=MR","Sort=A","Dates=H","DateFormat=P","Fill=—","Direction=H","UseDPDF=Y")</f>
        <v>3.3003999999999998</v>
      </c>
      <c r="AH22" s="21">
        <f>_xll.BDH("ADSK US Equity","ALTMAN_Z_SCORE","FQ1 2020","FQ1 2020","Currency=USD","Period=FQ","BEST_FPERIOD_OVERRIDE=FQ","FILING_STATUS=MR","Sort=A","Dates=H","DateFormat=P","Fill=—","Direction=H","UseDPDF=Y")</f>
        <v>4.1379999999999999</v>
      </c>
      <c r="AI22" s="21">
        <f>_xll.BDH("ADSK US Equity","ALTMAN_Z_SCORE","FQ2 2020","FQ2 2020","Currency=USD","Period=FQ","BEST_FPERIOD_OVERRIDE=FQ","FILING_STATUS=MR","Sort=A","Dates=H","DateFormat=P","Fill=—","Direction=H","UseDPDF=Y")</f>
        <v>3.5910000000000002</v>
      </c>
      <c r="AJ22" s="21">
        <f>_xll.BDH("ADSK US Equity","ALTMAN_Z_SCORE","FQ3 2020","FQ3 2020","Currency=USD","Period=FQ","BEST_FPERIOD_OVERRIDE=FQ","FILING_STATUS=MR","Sort=A","Dates=H","DateFormat=P","Fill=—","Direction=H","UseDPDF=Y")</f>
        <v>3.5047000000000001</v>
      </c>
      <c r="AK22" s="21">
        <f>_xll.BDH("ADSK US Equity","ALTMAN_Z_SCORE","FQ4 2020","FQ4 2020","Currency=USD","Period=FQ","BEST_FPERIOD_OVERRIDE=FQ","FILING_STATUS=MR","Sort=A","Dates=H","DateFormat=P","Fill=—","Direction=H","UseDPDF=Y")</f>
        <v>4.2550999999999997</v>
      </c>
      <c r="AL22" s="21">
        <f>_xll.BDH("ADSK US Equity","ALTMAN_Z_SCORE","FQ1 2021","FQ1 2021","Currency=USD","Period=FQ","BEST_FPERIOD_OVERRIDE=FQ","FILING_STATUS=MR","Sort=A","Dates=H","DateFormat=P","Fill=—","Direction=H","UseDPDF=Y")</f>
        <v>4.6439000000000004</v>
      </c>
      <c r="AM22" s="21">
        <f>_xll.BDH("ADSK US Equity","ALTMAN_Z_SCORE","FQ2 2021","FQ2 2021","Currency=USD","Period=FQ","BEST_FPERIOD_OVERRIDE=FQ","FILING_STATUS=MR","Sort=A","Dates=H","DateFormat=P","Fill=—","Direction=H","UseDPDF=Y")</f>
        <v>5.9646999999999997</v>
      </c>
      <c r="AN22" s="21">
        <f>_xll.BDH("ADSK US Equity","ALTMAN_Z_SCORE","FQ3 2021","FQ3 2021","Currency=USD","Period=FQ","BEST_FPERIOD_OVERRIDE=FQ","FILING_STATUS=MR","Sort=A","Dates=H","DateFormat=P","Fill=—","Direction=H","UseDPDF=Y")</f>
        <v>5.8047000000000004</v>
      </c>
      <c r="AO22" s="21">
        <f>_xll.BDH("ADSK US Equity","ALTMAN_Z_SCORE","FQ4 2021","FQ4 2021","Currency=USD","Period=FQ","BEST_FPERIOD_OVERRIDE=FQ","FILING_STATUS=MR","Sort=A","Dates=H","DateFormat=P","Fill=—","Direction=H","UseDPDF=Y")</f>
        <v>6.4917999999999996</v>
      </c>
      <c r="AP22" s="21">
        <f>_xll.BDH("ADSK US Equity","ALTMAN_Z_SCORE","FQ1 2022","FQ1 2022","Currency=USD","Period=FQ","BEST_FPERIOD_OVERRIDE=FQ","FILING_STATUS=MR","Sort=A","Dates=H","DateFormat=P","Fill=—","Direction=H","UseDPDF=Y")</f>
        <v>6.7988999999999997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 t="s">
        <v>164</v>
      </c>
      <c r="B24" s="8" t="s">
        <v>163</v>
      </c>
      <c r="C24" s="1">
        <f>_xll.BDH("ADSK US Equity","BS_TOTAL_LINE_OF_CREDIT","FQ2 2012","FQ2 2012","Currency=USD","Period=FQ","BEST_FPERIOD_OVERRIDE=FQ","FILING_STATUS=MR","SCALING_FORMAT=MLN","Sort=A","Dates=H","DateFormat=P","Fill=—","Direction=H","UseDPDF=Y")</f>
        <v>400</v>
      </c>
      <c r="D24" s="1">
        <f>_xll.BDH("ADSK US Equity","BS_TOTAL_LINE_OF_CREDIT","FQ3 2012","FQ3 2012","Currency=USD","Period=FQ","BEST_FPERIOD_OVERRIDE=FQ","FILING_STATUS=MR","SCALING_FORMAT=MLN","Sort=A","Dates=H","DateFormat=P","Fill=—","Direction=H","UseDPDF=Y")</f>
        <v>400</v>
      </c>
      <c r="E24" s="1">
        <f>_xll.BDH("ADSK US Equity","BS_TOTAL_LINE_OF_CREDIT","FQ4 2012","FQ4 2012","Currency=USD","Period=FQ","BEST_FPERIOD_OVERRIDE=FQ","FILING_STATUS=MR","SCALING_FORMAT=MLN","Sort=A","Dates=H","DateFormat=P","Fill=—","Direction=H","UseDPDF=Y")</f>
        <v>400</v>
      </c>
      <c r="F24" s="1">
        <f>_xll.BDH("ADSK US Equity","BS_TOTAL_LINE_OF_CREDIT","FQ1 2013","FQ1 2013","Currency=USD","Period=FQ","BEST_FPERIOD_OVERRIDE=FQ","FILING_STATUS=MR","SCALING_FORMAT=MLN","Sort=A","Dates=H","DateFormat=P","Fill=—","Direction=H","UseDPDF=Y")</f>
        <v>400</v>
      </c>
      <c r="G24" s="1">
        <f>_xll.BDH("ADSK US Equity","BS_TOTAL_LINE_OF_CREDIT","FQ2 2013","FQ2 2013","Currency=USD","Period=FQ","BEST_FPERIOD_OVERRIDE=FQ","FILING_STATUS=MR","SCALING_FORMAT=MLN","Sort=A","Dates=H","DateFormat=P","Fill=—","Direction=H","UseDPDF=Y")</f>
        <v>400</v>
      </c>
      <c r="H24" s="1">
        <f>_xll.BDH("ADSK US Equity","BS_TOTAL_LINE_OF_CREDIT","FQ3 2013","FQ3 2013","Currency=USD","Period=FQ","BEST_FPERIOD_OVERRIDE=FQ","FILING_STATUS=MR","SCALING_FORMAT=MLN","Sort=A","Dates=H","DateFormat=P","Fill=—","Direction=H","UseDPDF=Y")</f>
        <v>400</v>
      </c>
      <c r="I24" s="1">
        <f>_xll.BDH("ADSK US Equity","BS_TOTAL_LINE_OF_CREDIT","FQ4 2013","FQ4 2013","Currency=USD","Period=FQ","BEST_FPERIOD_OVERRIDE=FQ","FILING_STATUS=MR","SCALING_FORMAT=MLN","Sort=A","Dates=H","DateFormat=P","Fill=—","Direction=H","UseDPDF=Y")</f>
        <v>400</v>
      </c>
      <c r="J24" s="1">
        <f>_xll.BDH("ADSK US Equity","BS_TOTAL_LINE_OF_CREDIT","FQ1 2014","FQ1 2014","Currency=USD","Period=FQ","BEST_FPERIOD_OVERRIDE=FQ","FILING_STATUS=MR","SCALING_FORMAT=MLN","Sort=A","Dates=H","DateFormat=P","Fill=—","Direction=H","UseDPDF=Y")</f>
        <v>400</v>
      </c>
      <c r="K24" s="1">
        <f>_xll.BDH("ADSK US Equity","BS_TOTAL_LINE_OF_CREDIT","FQ2 2014","FQ2 2014","Currency=USD","Period=FQ","BEST_FPERIOD_OVERRIDE=FQ","FILING_STATUS=MR","SCALING_FORMAT=MLN","Sort=A","Dates=H","DateFormat=P","Fill=—","Direction=H","UseDPDF=Y")</f>
        <v>400</v>
      </c>
      <c r="L24" s="1">
        <f>_xll.BDH("ADSK US Equity","BS_TOTAL_LINE_OF_CREDIT","FQ3 2014","FQ3 2014","Currency=USD","Period=FQ","BEST_FPERIOD_OVERRIDE=FQ","FILING_STATUS=MR","SCALING_FORMAT=MLN","Sort=A","Dates=H","DateFormat=P","Fill=—","Direction=H","UseDPDF=Y")</f>
        <v>400</v>
      </c>
      <c r="M24" s="1">
        <f>_xll.BDH("ADSK US Equity","BS_TOTAL_LINE_OF_CREDIT","FQ4 2014","FQ4 2014","Currency=USD","Period=FQ","BEST_FPERIOD_OVERRIDE=FQ","FILING_STATUS=MR","SCALING_FORMAT=MLN","Sort=A","Dates=H","DateFormat=P","Fill=—","Direction=H","UseDPDF=Y")</f>
        <v>400</v>
      </c>
      <c r="N24" s="1">
        <f>_xll.BDH("ADSK US Equity","BS_TOTAL_LINE_OF_CREDIT","FQ1 2015","FQ1 2015","Currency=USD","Period=FQ","BEST_FPERIOD_OVERRIDE=FQ","FILING_STATUS=MR","SCALING_FORMAT=MLN","Sort=A","Dates=H","DateFormat=P","Fill=—","Direction=H","UseDPDF=Y")</f>
        <v>400</v>
      </c>
      <c r="O24" s="1">
        <f>_xll.BDH("ADSK US Equity","BS_TOTAL_LINE_OF_CREDIT","FQ2 2015","FQ2 2015","Currency=USD","Period=FQ","BEST_FPERIOD_OVERRIDE=FQ","FILING_STATUS=MR","SCALING_FORMAT=MLN","Sort=A","Dates=H","DateFormat=P","Fill=—","Direction=H","UseDPDF=Y")</f>
        <v>400</v>
      </c>
      <c r="P24" s="1">
        <f>_xll.BDH("ADSK US Equity","BS_TOTAL_LINE_OF_CREDIT","FQ3 2015","FQ3 2015","Currency=USD","Period=FQ","BEST_FPERIOD_OVERRIDE=FQ","FILING_STATUS=MR","SCALING_FORMAT=MLN","Sort=A","Dates=H","DateFormat=P","Fill=—","Direction=H","UseDPDF=Y")</f>
        <v>400</v>
      </c>
      <c r="Q24" s="1">
        <f>_xll.BDH("ADSK US Equity","BS_TOTAL_LINE_OF_CREDIT","FQ4 2015","FQ4 2015","Currency=USD","Period=FQ","BEST_FPERIOD_OVERRIDE=FQ","FILING_STATUS=MR","SCALING_FORMAT=MLN","Sort=A","Dates=H","DateFormat=P","Fill=—","Direction=H","UseDPDF=Y")</f>
        <v>400</v>
      </c>
      <c r="R24" s="1">
        <f>_xll.BDH("ADSK US Equity","BS_TOTAL_LINE_OF_CREDIT","FQ1 2016","FQ1 2016","Currency=USD","Period=FQ","BEST_FPERIOD_OVERRIDE=FQ","FILING_STATUS=MR","SCALING_FORMAT=MLN","Sort=A","Dates=H","DateFormat=P","Fill=—","Direction=H","UseDPDF=Y")</f>
        <v>400</v>
      </c>
      <c r="S24" s="1">
        <f>_xll.BDH("ADSK US Equity","BS_TOTAL_LINE_OF_CREDIT","FQ2 2016","FQ2 2016","Currency=USD","Period=FQ","BEST_FPERIOD_OVERRIDE=FQ","FILING_STATUS=MR","SCALING_FORMAT=MLN","Sort=A","Dates=H","DateFormat=P","Fill=—","Direction=H","UseDPDF=Y")</f>
        <v>400</v>
      </c>
      <c r="T24" s="1">
        <f>_xll.BDH("ADSK US Equity","BS_TOTAL_LINE_OF_CREDIT","FQ3 2016","FQ3 2016","Currency=USD","Period=FQ","BEST_FPERIOD_OVERRIDE=FQ","FILING_STATUS=MR","SCALING_FORMAT=MLN","Sort=A","Dates=H","DateFormat=P","Fill=—","Direction=H","UseDPDF=Y")</f>
        <v>400</v>
      </c>
      <c r="U24" s="1">
        <f>_xll.BDH("ADSK US Equity","BS_TOTAL_LINE_OF_CREDIT","FQ4 2016","FQ4 2016","Currency=USD","Period=FQ","BEST_FPERIOD_OVERRIDE=FQ","FILING_STATUS=MR","SCALING_FORMAT=MLN","Sort=A","Dates=H","DateFormat=P","Fill=—","Direction=H","UseDPDF=Y")</f>
        <v>400</v>
      </c>
      <c r="V24" s="1">
        <f>_xll.BDH("ADSK US Equity","BS_TOTAL_LINE_OF_CREDIT","FQ1 2017","FQ1 2017","Currency=USD","Period=FQ","BEST_FPERIOD_OVERRIDE=FQ","FILING_STATUS=MR","SCALING_FORMAT=MLN","Sort=A","Dates=H","DateFormat=P","Fill=—","Direction=H","UseDPDF=Y")</f>
        <v>400</v>
      </c>
      <c r="W24" s="1">
        <f>_xll.BDH("ADSK US Equity","BS_TOTAL_LINE_OF_CREDIT","FQ2 2017","FQ2 2017","Currency=USD","Period=FQ","BEST_FPERIOD_OVERRIDE=FQ","FILING_STATUS=MR","SCALING_FORMAT=MLN","Sort=A","Dates=H","DateFormat=P","Fill=—","Direction=H","UseDPDF=Y")</f>
        <v>400</v>
      </c>
      <c r="X24" s="1">
        <f>_xll.BDH("ADSK US Equity","BS_TOTAL_LINE_OF_CREDIT","FQ3 2017","FQ3 2017","Currency=USD","Period=FQ","BEST_FPERIOD_OVERRIDE=FQ","FILING_STATUS=MR","SCALING_FORMAT=MLN","Sort=A","Dates=H","DateFormat=P","Fill=—","Direction=H","UseDPDF=Y")</f>
        <v>400</v>
      </c>
      <c r="Y24" s="1">
        <f>_xll.BDH("ADSK US Equity","BS_TOTAL_LINE_OF_CREDIT","FQ4 2017","FQ4 2017","Currency=USD","Period=FQ","BEST_FPERIOD_OVERRIDE=FQ","FILING_STATUS=MR","SCALING_FORMAT=MLN","Sort=A","Dates=H","DateFormat=P","Fill=—","Direction=H","UseDPDF=Y")</f>
        <v>400</v>
      </c>
      <c r="Z24" s="1">
        <f>_xll.BDH("ADSK US Equity","BS_TOTAL_LINE_OF_CREDIT","FQ1 2018","FQ1 2018","Currency=USD","Period=FQ","BEST_FPERIOD_OVERRIDE=FQ","FILING_STATUS=MR","SCALING_FORMAT=MLN","Sort=A","Dates=H","DateFormat=P","Fill=—","Direction=H","UseDPDF=Y")</f>
        <v>400</v>
      </c>
      <c r="AA24" s="1">
        <f>_xll.BDH("ADSK US Equity","BS_TOTAL_LINE_OF_CREDIT","FQ2 2018","FQ2 2018","Currency=USD","Period=FQ","BEST_FPERIOD_OVERRIDE=FQ","FILING_STATUS=MR","SCALING_FORMAT=MLN","Sort=A","Dates=H","DateFormat=P","Fill=—","Direction=H","UseDPDF=Y")</f>
        <v>400</v>
      </c>
      <c r="AB24" s="1">
        <f>_xll.BDH("ADSK US Equity","BS_TOTAL_LINE_OF_CREDIT","FQ3 2018","FQ3 2018","Currency=USD","Period=FQ","BEST_FPERIOD_OVERRIDE=FQ","FILING_STATUS=MR","SCALING_FORMAT=MLN","Sort=A","Dates=H","DateFormat=P","Fill=—","Direction=H","UseDPDF=Y")</f>
        <v>400</v>
      </c>
      <c r="AC24" s="1">
        <f>_xll.BDH("ADSK US Equity","BS_TOTAL_LINE_OF_CREDIT","FQ4 2018","FQ4 2018","Currency=USD","Period=FQ","BEST_FPERIOD_OVERRIDE=FQ","FILING_STATUS=MR","SCALING_FORMAT=MLN","Sort=A","Dates=H","DateFormat=P","Fill=—","Direction=H","UseDPDF=Y")</f>
        <v>400</v>
      </c>
      <c r="AD24" s="1">
        <f>_xll.BDH("ADSK US Equity","BS_TOTAL_LINE_OF_CREDIT","FQ1 2019","FQ1 2019","Currency=USD","Period=FQ","BEST_FPERIOD_OVERRIDE=FQ","FILING_STATUS=MR","SCALING_FORMAT=MLN","Sort=A","Dates=H","DateFormat=P","Fill=—","Direction=H","UseDPDF=Y")</f>
        <v>400</v>
      </c>
      <c r="AE24" s="1">
        <f>_xll.BDH("ADSK US Equity","BS_TOTAL_LINE_OF_CREDIT","FQ2 2019","FQ2 2019","Currency=USD","Period=FQ","BEST_FPERIOD_OVERRIDE=FQ","FILING_STATUS=MR","SCALING_FORMAT=MLN","Sort=A","Dates=H","DateFormat=P","Fill=—","Direction=H","UseDPDF=Y")</f>
        <v>400</v>
      </c>
      <c r="AF24" s="1">
        <f>_xll.BDH("ADSK US Equity","BS_TOTAL_LINE_OF_CREDIT","FQ3 2019","FQ3 2019","Currency=USD","Period=FQ","BEST_FPERIOD_OVERRIDE=FQ","FILING_STATUS=MR","SCALING_FORMAT=MLN","Sort=A","Dates=H","DateFormat=P","Fill=—","Direction=H","UseDPDF=Y")</f>
        <v>400</v>
      </c>
      <c r="AG24" s="1">
        <f>_xll.BDH("ADSK US Equity","BS_TOTAL_LINE_OF_CREDIT","FQ4 2019","FQ4 2019","Currency=USD","Period=FQ","BEST_FPERIOD_OVERRIDE=FQ","FILING_STATUS=MR","SCALING_FORMAT=MLN","Sort=A","Dates=H","DateFormat=P","Fill=—","Direction=H","UseDPDF=Y")</f>
        <v>650</v>
      </c>
      <c r="AH24" s="1">
        <f>_xll.BDH("ADSK US Equity","BS_TOTAL_LINE_OF_CREDIT","FQ1 2020","FQ1 2020","Currency=USD","Period=FQ","BEST_FPERIOD_OVERRIDE=FQ","FILING_STATUS=MR","SCALING_FORMAT=MLN","Sort=A","Dates=H","DateFormat=P","Fill=—","Direction=H","UseDPDF=Y")</f>
        <v>650</v>
      </c>
      <c r="AI24" s="1">
        <f>_xll.BDH("ADSK US Equity","BS_TOTAL_LINE_OF_CREDIT","FQ2 2020","FQ2 2020","Currency=USD","Period=FQ","BEST_FPERIOD_OVERRIDE=FQ","FILING_STATUS=MR","SCALING_FORMAT=MLN","Sort=A","Dates=H","DateFormat=P","Fill=—","Direction=H","UseDPDF=Y")</f>
        <v>650</v>
      </c>
      <c r="AJ24" s="1">
        <f>_xll.BDH("ADSK US Equity","BS_TOTAL_LINE_OF_CREDIT","FQ3 2020","FQ3 2020","Currency=USD","Period=FQ","BEST_FPERIOD_OVERRIDE=FQ","FILING_STATUS=MR","SCALING_FORMAT=MLN","Sort=A","Dates=H","DateFormat=P","Fill=—","Direction=H","UseDPDF=Y")</f>
        <v>650</v>
      </c>
      <c r="AK24" s="1">
        <f>_xll.BDH("ADSK US Equity","BS_TOTAL_LINE_OF_CREDIT","FQ4 2020","FQ4 2020","Currency=USD","Period=FQ","BEST_FPERIOD_OVERRIDE=FQ","FILING_STATUS=MR","SCALING_FORMAT=MLN","Sort=A","Dates=H","DateFormat=P","Fill=—","Direction=H","UseDPDF=Y")</f>
        <v>650</v>
      </c>
      <c r="AL24" s="1">
        <f>_xll.BDH("ADSK US Equity","BS_TOTAL_LINE_OF_CREDIT","FQ1 2021","FQ1 2021","Currency=USD","Period=FQ","BEST_FPERIOD_OVERRIDE=FQ","FILING_STATUS=MR","SCALING_FORMAT=MLN","Sort=A","Dates=H","DateFormat=P","Fill=—","Direction=H","UseDPDF=Y")</f>
        <v>650</v>
      </c>
      <c r="AM24" s="1">
        <f>_xll.BDH("ADSK US Equity","BS_TOTAL_LINE_OF_CREDIT","FQ2 2021","FQ2 2021","Currency=USD","Period=FQ","BEST_FPERIOD_OVERRIDE=FQ","FILING_STATUS=MR","SCALING_FORMAT=MLN","Sort=A","Dates=H","DateFormat=P","Fill=—","Direction=H","UseDPDF=Y")</f>
        <v>650</v>
      </c>
      <c r="AN24" s="1">
        <f>_xll.BDH("ADSK US Equity","BS_TOTAL_LINE_OF_CREDIT","FQ3 2021","FQ3 2021","Currency=USD","Period=FQ","BEST_FPERIOD_OVERRIDE=FQ","FILING_STATUS=MR","SCALING_FORMAT=MLN","Sort=A","Dates=H","DateFormat=P","Fill=—","Direction=H","UseDPDF=Y")</f>
        <v>650</v>
      </c>
      <c r="AO24" s="1">
        <f>_xll.BDH("ADSK US Equity","BS_TOTAL_LINE_OF_CREDIT","FQ4 2021","FQ4 2021","Currency=USD","Period=FQ","BEST_FPERIOD_OVERRIDE=FQ","FILING_STATUS=MR","SCALING_FORMAT=MLN","Sort=A","Dates=H","DateFormat=P","Fill=—","Direction=H","UseDPDF=Y")</f>
        <v>650</v>
      </c>
      <c r="AP24" s="1">
        <f>_xll.BDH("ADSK US Equity","BS_TOTAL_LINE_OF_CREDIT","FQ1 2022","FQ1 2022","Currency=USD","Period=FQ","BEST_FPERIOD_OVERRIDE=FQ","FILING_STATUS=MR","SCALING_FORMAT=MLN","Sort=A","Dates=H","DateFormat=P","Fill=—","Direction=H","UseDPDF=Y")</f>
        <v>650</v>
      </c>
    </row>
    <row r="25" spans="1:42" x14ac:dyDescent="0.25">
      <c r="A25" s="8" t="s">
        <v>162</v>
      </c>
      <c r="B25" s="8" t="s">
        <v>161</v>
      </c>
      <c r="C25" s="1" t="str">
        <f>_xll.BDH("ADSK US Equity","BS_TOTAL_AVAIL_LINE_OF_CREDIT","FQ2 2012","FQ2 2012","Currency=USD","Period=FQ","BEST_FPERIOD_OVERRIDE=FQ","FILING_STATUS=MR","SCALING_FORMAT=MLN","Sort=A","Dates=H","DateFormat=P","Fill=—","Direction=H","UseDPDF=Y")</f>
        <v>—</v>
      </c>
      <c r="D25" s="1" t="str">
        <f>_xll.BDH("ADSK US Equity","BS_TOTAL_AVAIL_LINE_OF_CREDIT","FQ3 2012","FQ3 2012","Currency=USD","Period=FQ","BEST_FPERIOD_OVERRIDE=FQ","FILING_STATUS=MR","SCALING_FORMAT=MLN","Sort=A","Dates=H","DateFormat=P","Fill=—","Direction=H","UseDPDF=Y")</f>
        <v>—</v>
      </c>
      <c r="E25" s="1" t="str">
        <f>_xll.BDH("ADSK US Equity","BS_TOTAL_AVAIL_LINE_OF_CREDIT","FQ4 2012","FQ4 2012","Currency=USD","Period=FQ","BEST_FPERIOD_OVERRIDE=FQ","FILING_STATUS=MR","SCALING_FORMAT=MLN","Sort=A","Dates=H","DateFormat=P","Fill=—","Direction=H","UseDPDF=Y")</f>
        <v>—</v>
      </c>
      <c r="F25" s="1" t="str">
        <f>_xll.BDH("ADSK US Equity","BS_TOTAL_AVAIL_LINE_OF_CREDIT","FQ1 2013","FQ1 2013","Currency=USD","Period=FQ","BEST_FPERIOD_OVERRIDE=FQ","FILING_STATUS=MR","SCALING_FORMAT=MLN","Sort=A","Dates=H","DateFormat=P","Fill=—","Direction=H","UseDPDF=Y")</f>
        <v>—</v>
      </c>
      <c r="G25" s="1" t="str">
        <f>_xll.BDH("ADSK US Equity","BS_TOTAL_AVAIL_LINE_OF_CREDIT","FQ2 2013","FQ2 2013","Currency=USD","Period=FQ","BEST_FPERIOD_OVERRIDE=FQ","FILING_STATUS=MR","SCALING_FORMAT=MLN","Sort=A","Dates=H","DateFormat=P","Fill=—","Direction=H","UseDPDF=Y")</f>
        <v>—</v>
      </c>
      <c r="H25" s="1">
        <f>_xll.BDH("ADSK US Equity","BS_TOTAL_AVAIL_LINE_OF_CREDIT","FQ3 2013","FQ3 2013","Currency=USD","Period=FQ","BEST_FPERIOD_OVERRIDE=FQ","FILING_STATUS=MR","SCALING_FORMAT=MLN","Sort=A","Dates=H","DateFormat=P","Fill=—","Direction=H","UseDPDF=Y")</f>
        <v>290</v>
      </c>
      <c r="I25" s="1">
        <f>_xll.BDH("ADSK US Equity","BS_TOTAL_AVAIL_LINE_OF_CREDIT","FQ4 2013","FQ4 2013","Currency=USD","Period=FQ","BEST_FPERIOD_OVERRIDE=FQ","FILING_STATUS=MR","SCALING_FORMAT=MLN","Sort=A","Dates=H","DateFormat=P","Fill=—","Direction=H","UseDPDF=Y")</f>
        <v>400</v>
      </c>
      <c r="J25" s="1">
        <f>_xll.BDH("ADSK US Equity","BS_TOTAL_AVAIL_LINE_OF_CREDIT","FQ1 2014","FQ1 2014","Currency=USD","Period=FQ","BEST_FPERIOD_OVERRIDE=FQ","FILING_STATUS=MR","SCALING_FORMAT=MLN","Sort=A","Dates=H","DateFormat=P","Fill=—","Direction=H","UseDPDF=Y")</f>
        <v>400</v>
      </c>
      <c r="K25" s="1">
        <f>_xll.BDH("ADSK US Equity","BS_TOTAL_AVAIL_LINE_OF_CREDIT","FQ2 2014","FQ2 2014","Currency=USD","Period=FQ","BEST_FPERIOD_OVERRIDE=FQ","FILING_STATUS=MR","SCALING_FORMAT=MLN","Sort=A","Dates=H","DateFormat=P","Fill=—","Direction=H","UseDPDF=Y")</f>
        <v>400</v>
      </c>
      <c r="L25" s="1">
        <f>_xll.BDH("ADSK US Equity","BS_TOTAL_AVAIL_LINE_OF_CREDIT","FQ3 2014","FQ3 2014","Currency=USD","Period=FQ","BEST_FPERIOD_OVERRIDE=FQ","FILING_STATUS=MR","SCALING_FORMAT=MLN","Sort=A","Dates=H","DateFormat=P","Fill=—","Direction=H","UseDPDF=Y")</f>
        <v>400</v>
      </c>
      <c r="M25" s="1">
        <f>_xll.BDH("ADSK US Equity","BS_TOTAL_AVAIL_LINE_OF_CREDIT","FQ4 2014","FQ4 2014","Currency=USD","Period=FQ","BEST_FPERIOD_OVERRIDE=FQ","FILING_STATUS=MR","SCALING_FORMAT=MLN","Sort=A","Dates=H","DateFormat=P","Fill=—","Direction=H","UseDPDF=Y")</f>
        <v>400</v>
      </c>
      <c r="N25" s="1">
        <f>_xll.BDH("ADSK US Equity","BS_TOTAL_AVAIL_LINE_OF_CREDIT","FQ1 2015","FQ1 2015","Currency=USD","Period=FQ","BEST_FPERIOD_OVERRIDE=FQ","FILING_STATUS=MR","SCALING_FORMAT=MLN","Sort=A","Dates=H","DateFormat=P","Fill=—","Direction=H","UseDPDF=Y")</f>
        <v>400</v>
      </c>
      <c r="O25" s="1">
        <f>_xll.BDH("ADSK US Equity","BS_TOTAL_AVAIL_LINE_OF_CREDIT","FQ2 2015","FQ2 2015","Currency=USD","Period=FQ","BEST_FPERIOD_OVERRIDE=FQ","FILING_STATUS=MR","SCALING_FORMAT=MLN","Sort=A","Dates=H","DateFormat=P","Fill=—","Direction=H","UseDPDF=Y")</f>
        <v>400</v>
      </c>
      <c r="P25" s="1">
        <f>_xll.BDH("ADSK US Equity","BS_TOTAL_AVAIL_LINE_OF_CREDIT","FQ3 2015","FQ3 2015","Currency=USD","Period=FQ","BEST_FPERIOD_OVERRIDE=FQ","FILING_STATUS=MR","SCALING_FORMAT=MLN","Sort=A","Dates=H","DateFormat=P","Fill=—","Direction=H","UseDPDF=Y")</f>
        <v>400</v>
      </c>
      <c r="Q25" s="1">
        <f>_xll.BDH("ADSK US Equity","BS_TOTAL_AVAIL_LINE_OF_CREDIT","FQ4 2015","FQ4 2015","Currency=USD","Period=FQ","BEST_FPERIOD_OVERRIDE=FQ","FILING_STATUS=MR","SCALING_FORMAT=MLN","Sort=A","Dates=H","DateFormat=P","Fill=—","Direction=H","UseDPDF=Y")</f>
        <v>400</v>
      </c>
      <c r="R25" s="1">
        <f>_xll.BDH("ADSK US Equity","BS_TOTAL_AVAIL_LINE_OF_CREDIT","FQ1 2016","FQ1 2016","Currency=USD","Period=FQ","BEST_FPERIOD_OVERRIDE=FQ","FILING_STATUS=MR","SCALING_FORMAT=MLN","Sort=A","Dates=H","DateFormat=P","Fill=—","Direction=H","UseDPDF=Y")</f>
        <v>400</v>
      </c>
      <c r="S25" s="1">
        <f>_xll.BDH("ADSK US Equity","BS_TOTAL_AVAIL_LINE_OF_CREDIT","FQ2 2016","FQ2 2016","Currency=USD","Period=FQ","BEST_FPERIOD_OVERRIDE=FQ","FILING_STATUS=MR","SCALING_FORMAT=MLN","Sort=A","Dates=H","DateFormat=P","Fill=—","Direction=H","UseDPDF=Y")</f>
        <v>400</v>
      </c>
      <c r="T25" s="1">
        <f>_xll.BDH("ADSK US Equity","BS_TOTAL_AVAIL_LINE_OF_CREDIT","FQ3 2016","FQ3 2016","Currency=USD","Period=FQ","BEST_FPERIOD_OVERRIDE=FQ","FILING_STATUS=MR","SCALING_FORMAT=MLN","Sort=A","Dates=H","DateFormat=P","Fill=—","Direction=H","UseDPDF=Y")</f>
        <v>400</v>
      </c>
      <c r="U25" s="1">
        <f>_xll.BDH("ADSK US Equity","BS_TOTAL_AVAIL_LINE_OF_CREDIT","FQ4 2016","FQ4 2016","Currency=USD","Period=FQ","BEST_FPERIOD_OVERRIDE=FQ","FILING_STATUS=MR","SCALING_FORMAT=MLN","Sort=A","Dates=H","DateFormat=P","Fill=—","Direction=H","UseDPDF=Y")</f>
        <v>400</v>
      </c>
      <c r="V25" s="1">
        <f>_xll.BDH("ADSK US Equity","BS_TOTAL_AVAIL_LINE_OF_CREDIT","FQ1 2017","FQ1 2017","Currency=USD","Period=FQ","BEST_FPERIOD_OVERRIDE=FQ","FILING_STATUS=MR","SCALING_FORMAT=MLN","Sort=A","Dates=H","DateFormat=P","Fill=—","Direction=H","UseDPDF=Y")</f>
        <v>400</v>
      </c>
      <c r="W25" s="1">
        <f>_xll.BDH("ADSK US Equity","BS_TOTAL_AVAIL_LINE_OF_CREDIT","FQ2 2017","FQ2 2017","Currency=USD","Period=FQ","BEST_FPERIOD_OVERRIDE=FQ","FILING_STATUS=MR","SCALING_FORMAT=MLN","Sort=A","Dates=H","DateFormat=P","Fill=—","Direction=H","UseDPDF=Y")</f>
        <v>400</v>
      </c>
      <c r="X25" s="1">
        <f>_xll.BDH("ADSK US Equity","BS_TOTAL_AVAIL_LINE_OF_CREDIT","FQ3 2017","FQ3 2017","Currency=USD","Period=FQ","BEST_FPERIOD_OVERRIDE=FQ","FILING_STATUS=MR","SCALING_FORMAT=MLN","Sort=A","Dates=H","DateFormat=P","Fill=—","Direction=H","UseDPDF=Y")</f>
        <v>400</v>
      </c>
      <c r="Y25" s="1">
        <f>_xll.BDH("ADSK US Equity","BS_TOTAL_AVAIL_LINE_OF_CREDIT","FQ4 2017","FQ4 2017","Currency=USD","Period=FQ","BEST_FPERIOD_OVERRIDE=FQ","FILING_STATUS=MR","SCALING_FORMAT=MLN","Sort=A","Dates=H","DateFormat=P","Fill=—","Direction=H","UseDPDF=Y")</f>
        <v>400</v>
      </c>
      <c r="Z25" s="1">
        <f>_xll.BDH("ADSK US Equity","BS_TOTAL_AVAIL_LINE_OF_CREDIT","FQ1 2018","FQ1 2018","Currency=USD","Period=FQ","BEST_FPERIOD_OVERRIDE=FQ","FILING_STATUS=MR","SCALING_FORMAT=MLN","Sort=A","Dates=H","DateFormat=P","Fill=—","Direction=H","UseDPDF=Y")</f>
        <v>400</v>
      </c>
      <c r="AA25" s="1">
        <f>_xll.BDH("ADSK US Equity","BS_TOTAL_AVAIL_LINE_OF_CREDIT","FQ2 2018","FQ2 2018","Currency=USD","Period=FQ","BEST_FPERIOD_OVERRIDE=FQ","FILING_STATUS=MR","SCALING_FORMAT=MLN","Sort=A","Dates=H","DateFormat=P","Fill=—","Direction=H","UseDPDF=Y")</f>
        <v>400</v>
      </c>
      <c r="AB25" s="1">
        <f>_xll.BDH("ADSK US Equity","BS_TOTAL_AVAIL_LINE_OF_CREDIT","FQ3 2018","FQ3 2018","Currency=USD","Period=FQ","BEST_FPERIOD_OVERRIDE=FQ","FILING_STATUS=MR","SCALING_FORMAT=MLN","Sort=A","Dates=H","DateFormat=P","Fill=—","Direction=H","UseDPDF=Y")</f>
        <v>400</v>
      </c>
      <c r="AC25" s="1">
        <f>_xll.BDH("ADSK US Equity","BS_TOTAL_AVAIL_LINE_OF_CREDIT","FQ4 2018","FQ4 2018","Currency=USD","Period=FQ","BEST_FPERIOD_OVERRIDE=FQ","FILING_STATUS=MR","SCALING_FORMAT=MLN","Sort=A","Dates=H","DateFormat=P","Fill=—","Direction=H","UseDPDF=Y")</f>
        <v>400</v>
      </c>
      <c r="AD25" s="1">
        <f>_xll.BDH("ADSK US Equity","BS_TOTAL_AVAIL_LINE_OF_CREDIT","FQ1 2019","FQ1 2019","Currency=USD","Period=FQ","BEST_FPERIOD_OVERRIDE=FQ","FILING_STATUS=MR","SCALING_FORMAT=MLN","Sort=A","Dates=H","DateFormat=P","Fill=—","Direction=H","UseDPDF=Y")</f>
        <v>400</v>
      </c>
      <c r="AE25" s="1">
        <f>_xll.BDH("ADSK US Equity","BS_TOTAL_AVAIL_LINE_OF_CREDIT","FQ2 2019","FQ2 2019","Currency=USD","Period=FQ","BEST_FPERIOD_OVERRIDE=FQ","FILING_STATUS=MR","SCALING_FORMAT=MLN","Sort=A","Dates=H","DateFormat=P","Fill=—","Direction=H","UseDPDF=Y")</f>
        <v>400</v>
      </c>
      <c r="AF25" s="1">
        <f>_xll.BDH("ADSK US Equity","BS_TOTAL_AVAIL_LINE_OF_CREDIT","FQ3 2019","FQ3 2019","Currency=USD","Period=FQ","BEST_FPERIOD_OVERRIDE=FQ","FILING_STATUS=MR","SCALING_FORMAT=MLN","Sort=A","Dates=H","DateFormat=P","Fill=—","Direction=H","UseDPDF=Y")</f>
        <v>400</v>
      </c>
      <c r="AG25" s="1">
        <f>_xll.BDH("ADSK US Equity","BS_TOTAL_AVAIL_LINE_OF_CREDIT","FQ4 2019","FQ4 2019","Currency=USD","Period=FQ","BEST_FPERIOD_OVERRIDE=FQ","FILING_STATUS=MR","SCALING_FORMAT=MLN","Sort=A","Dates=H","DateFormat=P","Fill=—","Direction=H","UseDPDF=Y")</f>
        <v>650</v>
      </c>
      <c r="AH25" s="1">
        <f>_xll.BDH("ADSK US Equity","BS_TOTAL_AVAIL_LINE_OF_CREDIT","FQ1 2020","FQ1 2020","Currency=USD","Period=FQ","BEST_FPERIOD_OVERRIDE=FQ","FILING_STATUS=MR","SCALING_FORMAT=MLN","Sort=A","Dates=H","DateFormat=P","Fill=—","Direction=H","UseDPDF=Y")</f>
        <v>650</v>
      </c>
      <c r="AI25" s="1">
        <f>_xll.BDH("ADSK US Equity","BS_TOTAL_AVAIL_LINE_OF_CREDIT","FQ2 2020","FQ2 2020","Currency=USD","Period=FQ","BEST_FPERIOD_OVERRIDE=FQ","FILING_STATUS=MR","SCALING_FORMAT=MLN","Sort=A","Dates=H","DateFormat=P","Fill=—","Direction=H","UseDPDF=Y")</f>
        <v>650</v>
      </c>
      <c r="AJ25" s="1">
        <f>_xll.BDH("ADSK US Equity","BS_TOTAL_AVAIL_LINE_OF_CREDIT","FQ3 2020","FQ3 2020","Currency=USD","Period=FQ","BEST_FPERIOD_OVERRIDE=FQ","FILING_STATUS=MR","SCALING_FORMAT=MLN","Sort=A","Dates=H","DateFormat=P","Fill=—","Direction=H","UseDPDF=Y")</f>
        <v>650</v>
      </c>
      <c r="AK25" s="1">
        <f>_xll.BDH("ADSK US Equity","BS_TOTAL_AVAIL_LINE_OF_CREDIT","FQ4 2020","FQ4 2020","Currency=USD","Period=FQ","BEST_FPERIOD_OVERRIDE=FQ","FILING_STATUS=MR","SCALING_FORMAT=MLN","Sort=A","Dates=H","DateFormat=P","Fill=—","Direction=H","UseDPDF=Y")</f>
        <v>650</v>
      </c>
      <c r="AL25" s="1">
        <f>_xll.BDH("ADSK US Equity","BS_TOTAL_AVAIL_LINE_OF_CREDIT","FQ1 2021","FQ1 2021","Currency=USD","Period=FQ","BEST_FPERIOD_OVERRIDE=FQ","FILING_STATUS=MR","SCALING_FORMAT=MLN","Sort=A","Dates=H","DateFormat=P","Fill=—","Direction=H","UseDPDF=Y")</f>
        <v>650</v>
      </c>
      <c r="AM25" s="1">
        <f>_xll.BDH("ADSK US Equity","BS_TOTAL_AVAIL_LINE_OF_CREDIT","FQ2 2021","FQ2 2021","Currency=USD","Period=FQ","BEST_FPERIOD_OVERRIDE=FQ","FILING_STATUS=MR","SCALING_FORMAT=MLN","Sort=A","Dates=H","DateFormat=P","Fill=—","Direction=H","UseDPDF=Y")</f>
        <v>650</v>
      </c>
      <c r="AN25" s="1">
        <f>_xll.BDH("ADSK US Equity","BS_TOTAL_AVAIL_LINE_OF_CREDIT","FQ3 2021","FQ3 2021","Currency=USD","Period=FQ","BEST_FPERIOD_OVERRIDE=FQ","FILING_STATUS=MR","SCALING_FORMAT=MLN","Sort=A","Dates=H","DateFormat=P","Fill=—","Direction=H","UseDPDF=Y")</f>
        <v>650</v>
      </c>
      <c r="AO25" s="1">
        <f>_xll.BDH("ADSK US Equity","BS_TOTAL_AVAIL_LINE_OF_CREDIT","FQ4 2021","FQ4 2021","Currency=USD","Period=FQ","BEST_FPERIOD_OVERRIDE=FQ","FILING_STATUS=MR","SCALING_FORMAT=MLN","Sort=A","Dates=H","DateFormat=P","Fill=—","Direction=H","UseDPDF=Y")</f>
        <v>650</v>
      </c>
      <c r="AP25" s="1">
        <f>_xll.BDH("ADSK US Equity","BS_TOTAL_AVAIL_LINE_OF_CREDIT","FQ1 2022","FQ1 2022","Currency=USD","Period=FQ","BEST_FPERIOD_OVERRIDE=FQ","FILING_STATUS=MR","SCALING_FORMAT=MLN","Sort=A","Dates=H","DateFormat=P","Fill=—","Direction=H","UseDPDF=Y")</f>
        <v>650</v>
      </c>
    </row>
    <row r="26" spans="1:42" x14ac:dyDescent="0.25">
      <c r="A26" s="8" t="s">
        <v>160</v>
      </c>
      <c r="B26" s="8" t="s">
        <v>159</v>
      </c>
      <c r="C26" s="1" t="str">
        <f>_xll.BDH("ADSK US Equity","LINE_OF_CREDIT_UTILIZED_AMOUNT","FQ2 2012","FQ2 2012","Currency=USD","Period=FQ","BEST_FPERIOD_OVERRIDE=FQ","FILING_STATUS=MR","SCALING_FORMAT=MLN","Sort=A","Dates=H","DateFormat=P","Fill=—","Direction=H","UseDPDF=Y")</f>
        <v>—</v>
      </c>
      <c r="D26" s="1" t="str">
        <f>_xll.BDH("ADSK US Equity","LINE_OF_CREDIT_UTILIZED_AMOUNT","FQ3 2012","FQ3 2012","Currency=USD","Period=FQ","BEST_FPERIOD_OVERRIDE=FQ","FILING_STATUS=MR","SCALING_FORMAT=MLN","Sort=A","Dates=H","DateFormat=P","Fill=—","Direction=H","UseDPDF=Y")</f>
        <v>—</v>
      </c>
      <c r="E26" s="1" t="str">
        <f>_xll.BDH("ADSK US Equity","LINE_OF_CREDIT_UTILIZED_AMOUNT","FQ4 2012","FQ4 2012","Currency=USD","Period=FQ","BEST_FPERIOD_OVERRIDE=FQ","FILING_STATUS=MR","SCALING_FORMAT=MLN","Sort=A","Dates=H","DateFormat=P","Fill=—","Direction=H","UseDPDF=Y")</f>
        <v>—</v>
      </c>
      <c r="F26" s="1" t="str">
        <f>_xll.BDH("ADSK US Equity","LINE_OF_CREDIT_UTILIZED_AMOUNT","FQ1 2013","FQ1 2013","Currency=USD","Period=FQ","BEST_FPERIOD_OVERRIDE=FQ","FILING_STATUS=MR","SCALING_FORMAT=MLN","Sort=A","Dates=H","DateFormat=P","Fill=—","Direction=H","UseDPDF=Y")</f>
        <v>—</v>
      </c>
      <c r="G26" s="1" t="str">
        <f>_xll.BDH("ADSK US Equity","LINE_OF_CREDIT_UTILIZED_AMOUNT","FQ2 2013","FQ2 2013","Currency=USD","Period=FQ","BEST_FPERIOD_OVERRIDE=FQ","FILING_STATUS=MR","SCALING_FORMAT=MLN","Sort=A","Dates=H","DateFormat=P","Fill=—","Direction=H","UseDPDF=Y")</f>
        <v>—</v>
      </c>
      <c r="H26" s="1">
        <f>_xll.BDH("ADSK US Equity","LINE_OF_CREDIT_UTILIZED_AMOUNT","FQ3 2013","FQ3 2013","Currency=USD","Period=FQ","BEST_FPERIOD_OVERRIDE=FQ","FILING_STATUS=MR","SCALING_FORMAT=MLN","Sort=A","Dates=H","DateFormat=P","Fill=—","Direction=H","UseDPDF=Y")</f>
        <v>110</v>
      </c>
      <c r="I26" s="1">
        <f>_xll.BDH("ADSK US Equity","LINE_OF_CREDIT_UTILIZED_AMOUNT","FQ4 2013","FQ4 2013","Currency=USD","Period=FQ","BEST_FPERIOD_OVERRIDE=FQ","FILING_STATUS=MR","SCALING_FORMAT=MLN","Sort=A","Dates=H","DateFormat=P","Fill=—","Direction=H","UseDPDF=Y")</f>
        <v>0</v>
      </c>
      <c r="J26" s="1">
        <f>_xll.BDH("ADSK US Equity","LINE_OF_CREDIT_UTILIZED_AMOUNT","FQ1 2014","FQ1 2014","Currency=USD","Period=FQ","BEST_FPERIOD_OVERRIDE=FQ","FILING_STATUS=MR","SCALING_FORMAT=MLN","Sort=A","Dates=H","DateFormat=P","Fill=—","Direction=H","UseDPDF=Y")</f>
        <v>0</v>
      </c>
      <c r="K26" s="1">
        <f>_xll.BDH("ADSK US Equity","LINE_OF_CREDIT_UTILIZED_AMOUNT","FQ2 2014","FQ2 2014","Currency=USD","Period=FQ","BEST_FPERIOD_OVERRIDE=FQ","FILING_STATUS=MR","SCALING_FORMAT=MLN","Sort=A","Dates=H","DateFormat=P","Fill=—","Direction=H","UseDPDF=Y")</f>
        <v>0</v>
      </c>
      <c r="L26" s="1">
        <f>_xll.BDH("ADSK US Equity","LINE_OF_CREDIT_UTILIZED_AMOUNT","FQ3 2014","FQ3 2014","Currency=USD","Period=FQ","BEST_FPERIOD_OVERRIDE=FQ","FILING_STATUS=MR","SCALING_FORMAT=MLN","Sort=A","Dates=H","DateFormat=P","Fill=—","Direction=H","UseDPDF=Y")</f>
        <v>0</v>
      </c>
      <c r="M26" s="1">
        <f>_xll.BDH("ADSK US Equity","LINE_OF_CREDIT_UTILIZED_AMOUNT","FQ4 2014","FQ4 2014","Currency=USD","Period=FQ","BEST_FPERIOD_OVERRIDE=FQ","FILING_STATUS=MR","SCALING_FORMAT=MLN","Sort=A","Dates=H","DateFormat=P","Fill=—","Direction=H","UseDPDF=Y")</f>
        <v>0</v>
      </c>
      <c r="N26" s="1">
        <f>_xll.BDH("ADSK US Equity","LINE_OF_CREDIT_UTILIZED_AMOUNT","FQ1 2015","FQ1 2015","Currency=USD","Period=FQ","BEST_FPERIOD_OVERRIDE=FQ","FILING_STATUS=MR","SCALING_FORMAT=MLN","Sort=A","Dates=H","DateFormat=P","Fill=—","Direction=H","UseDPDF=Y")</f>
        <v>0</v>
      </c>
      <c r="O26" s="1">
        <f>_xll.BDH("ADSK US Equity","LINE_OF_CREDIT_UTILIZED_AMOUNT","FQ2 2015","FQ2 2015","Currency=USD","Period=FQ","BEST_FPERIOD_OVERRIDE=FQ","FILING_STATUS=MR","SCALING_FORMAT=MLN","Sort=A","Dates=H","DateFormat=P","Fill=—","Direction=H","UseDPDF=Y")</f>
        <v>0</v>
      </c>
      <c r="P26" s="1">
        <f>_xll.BDH("ADSK US Equity","LINE_OF_CREDIT_UTILIZED_AMOUNT","FQ3 2015","FQ3 2015","Currency=USD","Period=FQ","BEST_FPERIOD_OVERRIDE=FQ","FILING_STATUS=MR","SCALING_FORMAT=MLN","Sort=A","Dates=H","DateFormat=P","Fill=—","Direction=H","UseDPDF=Y")</f>
        <v>0</v>
      </c>
      <c r="Q26" s="1">
        <f>_xll.BDH("ADSK US Equity","LINE_OF_CREDIT_UTILIZED_AMOUNT","FQ4 2015","FQ4 2015","Currency=USD","Period=FQ","BEST_FPERIOD_OVERRIDE=FQ","FILING_STATUS=MR","SCALING_FORMAT=MLN","Sort=A","Dates=H","DateFormat=P","Fill=—","Direction=H","UseDPDF=Y")</f>
        <v>0</v>
      </c>
      <c r="R26" s="1">
        <f>_xll.BDH("ADSK US Equity","LINE_OF_CREDIT_UTILIZED_AMOUNT","FQ1 2016","FQ1 2016","Currency=USD","Period=FQ","BEST_FPERIOD_OVERRIDE=FQ","FILING_STATUS=MR","SCALING_FORMAT=MLN","Sort=A","Dates=H","DateFormat=P","Fill=—","Direction=H","UseDPDF=Y")</f>
        <v>0</v>
      </c>
      <c r="S26" s="1">
        <f>_xll.BDH("ADSK US Equity","LINE_OF_CREDIT_UTILIZED_AMOUNT","FQ2 2016","FQ2 2016","Currency=USD","Period=FQ","BEST_FPERIOD_OVERRIDE=FQ","FILING_STATUS=MR","SCALING_FORMAT=MLN","Sort=A","Dates=H","DateFormat=P","Fill=—","Direction=H","UseDPDF=Y")</f>
        <v>0</v>
      </c>
      <c r="T26" s="1">
        <f>_xll.BDH("ADSK US Equity","LINE_OF_CREDIT_UTILIZED_AMOUNT","FQ3 2016","FQ3 2016","Currency=USD","Period=FQ","BEST_FPERIOD_OVERRIDE=FQ","FILING_STATUS=MR","SCALING_FORMAT=MLN","Sort=A","Dates=H","DateFormat=P","Fill=—","Direction=H","UseDPDF=Y")</f>
        <v>0</v>
      </c>
      <c r="U26" s="1">
        <f>_xll.BDH("ADSK US Equity","LINE_OF_CREDIT_UTILIZED_AMOUNT","FQ4 2016","FQ4 2016","Currency=USD","Period=FQ","BEST_FPERIOD_OVERRIDE=FQ","FILING_STATUS=MR","SCALING_FORMAT=MLN","Sort=A","Dates=H","DateFormat=P","Fill=—","Direction=H","UseDPDF=Y")</f>
        <v>0</v>
      </c>
      <c r="V26" s="1">
        <f>_xll.BDH("ADSK US Equity","LINE_OF_CREDIT_UTILIZED_AMOUNT","FQ1 2017","FQ1 2017","Currency=USD","Period=FQ","BEST_FPERIOD_OVERRIDE=FQ","FILING_STATUS=MR","SCALING_FORMAT=MLN","Sort=A","Dates=H","DateFormat=P","Fill=—","Direction=H","UseDPDF=Y")</f>
        <v>0</v>
      </c>
      <c r="W26" s="1">
        <f>_xll.BDH("ADSK US Equity","LINE_OF_CREDIT_UTILIZED_AMOUNT","FQ2 2017","FQ2 2017","Currency=USD","Period=FQ","BEST_FPERIOD_OVERRIDE=FQ","FILING_STATUS=MR","SCALING_FORMAT=MLN","Sort=A","Dates=H","DateFormat=P","Fill=—","Direction=H","UseDPDF=Y")</f>
        <v>0</v>
      </c>
      <c r="X26" s="1">
        <f>_xll.BDH("ADSK US Equity","LINE_OF_CREDIT_UTILIZED_AMOUNT","FQ3 2017","FQ3 2017","Currency=USD","Period=FQ","BEST_FPERIOD_OVERRIDE=FQ","FILING_STATUS=MR","SCALING_FORMAT=MLN","Sort=A","Dates=H","DateFormat=P","Fill=—","Direction=H","UseDPDF=Y")</f>
        <v>0</v>
      </c>
      <c r="Y26" s="1">
        <f>_xll.BDH("ADSK US Equity","LINE_OF_CREDIT_UTILIZED_AMOUNT","FQ4 2017","FQ4 2017","Currency=USD","Period=FQ","BEST_FPERIOD_OVERRIDE=FQ","FILING_STATUS=MR","SCALING_FORMAT=MLN","Sort=A","Dates=H","DateFormat=P","Fill=—","Direction=H","UseDPDF=Y")</f>
        <v>0</v>
      </c>
      <c r="Z26" s="1">
        <f>_xll.BDH("ADSK US Equity","LINE_OF_CREDIT_UTILIZED_AMOUNT","FQ1 2018","FQ1 2018","Currency=USD","Period=FQ","BEST_FPERIOD_OVERRIDE=FQ","FILING_STATUS=MR","SCALING_FORMAT=MLN","Sort=A","Dates=H","DateFormat=P","Fill=—","Direction=H","UseDPDF=Y")</f>
        <v>0</v>
      </c>
      <c r="AA26" s="1">
        <f>_xll.BDH("ADSK US Equity","LINE_OF_CREDIT_UTILIZED_AMOUNT","FQ2 2018","FQ2 2018","Currency=USD","Period=FQ","BEST_FPERIOD_OVERRIDE=FQ","FILING_STATUS=MR","SCALING_FORMAT=MLN","Sort=A","Dates=H","DateFormat=P","Fill=—","Direction=H","UseDPDF=Y")</f>
        <v>0</v>
      </c>
      <c r="AB26" s="1">
        <f>_xll.BDH("ADSK US Equity","LINE_OF_CREDIT_UTILIZED_AMOUNT","FQ3 2018","FQ3 2018","Currency=USD","Period=FQ","BEST_FPERIOD_OVERRIDE=FQ","FILING_STATUS=MR","SCALING_FORMAT=MLN","Sort=A","Dates=H","DateFormat=P","Fill=—","Direction=H","UseDPDF=Y")</f>
        <v>0</v>
      </c>
      <c r="AC26" s="1">
        <f>_xll.BDH("ADSK US Equity","LINE_OF_CREDIT_UTILIZED_AMOUNT","FQ4 2018","FQ4 2018","Currency=USD","Period=FQ","BEST_FPERIOD_OVERRIDE=FQ","FILING_STATUS=MR","SCALING_FORMAT=MLN","Sort=A","Dates=H","DateFormat=P","Fill=—","Direction=H","UseDPDF=Y")</f>
        <v>0</v>
      </c>
      <c r="AD26" s="1">
        <f>_xll.BDH("ADSK US Equity","LINE_OF_CREDIT_UTILIZED_AMOUNT","FQ1 2019","FQ1 2019","Currency=USD","Period=FQ","BEST_FPERIOD_OVERRIDE=FQ","FILING_STATUS=MR","SCALING_FORMAT=MLN","Sort=A","Dates=H","DateFormat=P","Fill=—","Direction=H","UseDPDF=Y")</f>
        <v>0</v>
      </c>
      <c r="AE26" s="1">
        <f>_xll.BDH("ADSK US Equity","LINE_OF_CREDIT_UTILIZED_AMOUNT","FQ2 2019","FQ2 2019","Currency=USD","Period=FQ","BEST_FPERIOD_OVERRIDE=FQ","FILING_STATUS=MR","SCALING_FORMAT=MLN","Sort=A","Dates=H","DateFormat=P","Fill=—","Direction=H","UseDPDF=Y")</f>
        <v>0</v>
      </c>
      <c r="AF26" s="1">
        <f>_xll.BDH("ADSK US Equity","LINE_OF_CREDIT_UTILIZED_AMOUNT","FQ3 2019","FQ3 2019","Currency=USD","Period=FQ","BEST_FPERIOD_OVERRIDE=FQ","FILING_STATUS=MR","SCALING_FORMAT=MLN","Sort=A","Dates=H","DateFormat=P","Fill=—","Direction=H","UseDPDF=Y")</f>
        <v>0</v>
      </c>
      <c r="AG26" s="1">
        <f>_xll.BDH("ADSK US Equity","LINE_OF_CREDIT_UTILIZED_AMOUNT","FQ4 2019","FQ4 2019","Currency=USD","Period=FQ","BEST_FPERIOD_OVERRIDE=FQ","FILING_STATUS=MR","SCALING_FORMAT=MLN","Sort=A","Dates=H","DateFormat=P","Fill=—","Direction=H","UseDPDF=Y")</f>
        <v>0</v>
      </c>
      <c r="AH26" s="1">
        <f>_xll.BDH("ADSK US Equity","LINE_OF_CREDIT_UTILIZED_AMOUNT","FQ1 2020","FQ1 2020","Currency=USD","Period=FQ","BEST_FPERIOD_OVERRIDE=FQ","FILING_STATUS=MR","SCALING_FORMAT=MLN","Sort=A","Dates=H","DateFormat=P","Fill=—","Direction=H","UseDPDF=Y")</f>
        <v>0</v>
      </c>
      <c r="AI26" s="1">
        <f>_xll.BDH("ADSK US Equity","LINE_OF_CREDIT_UTILIZED_AMOUNT","FQ2 2020","FQ2 2020","Currency=USD","Period=FQ","BEST_FPERIOD_OVERRIDE=FQ","FILING_STATUS=MR","SCALING_FORMAT=MLN","Sort=A","Dates=H","DateFormat=P","Fill=—","Direction=H","UseDPDF=Y")</f>
        <v>0</v>
      </c>
      <c r="AJ26" s="1">
        <f>_xll.BDH("ADSK US Equity","LINE_OF_CREDIT_UTILIZED_AMOUNT","FQ3 2020","FQ3 2020","Currency=USD","Period=FQ","BEST_FPERIOD_OVERRIDE=FQ","FILING_STATUS=MR","SCALING_FORMAT=MLN","Sort=A","Dates=H","DateFormat=P","Fill=—","Direction=H","UseDPDF=Y")</f>
        <v>0</v>
      </c>
      <c r="AK26" s="1">
        <f>_xll.BDH("ADSK US Equity","LINE_OF_CREDIT_UTILIZED_AMOUNT","FQ4 2020","FQ4 2020","Currency=USD","Period=FQ","BEST_FPERIOD_OVERRIDE=FQ","FILING_STATUS=MR","SCALING_FORMAT=MLN","Sort=A","Dates=H","DateFormat=P","Fill=—","Direction=H","UseDPDF=Y")</f>
        <v>0</v>
      </c>
      <c r="AL26" s="1">
        <f>_xll.BDH("ADSK US Equity","LINE_OF_CREDIT_UTILIZED_AMOUNT","FQ1 2021","FQ1 2021","Currency=USD","Period=FQ","BEST_FPERIOD_OVERRIDE=FQ","FILING_STATUS=MR","SCALING_FORMAT=MLN","Sort=A","Dates=H","DateFormat=P","Fill=—","Direction=H","UseDPDF=Y")</f>
        <v>0</v>
      </c>
      <c r="AM26" s="1">
        <f>_xll.BDH("ADSK US Equity","LINE_OF_CREDIT_UTILIZED_AMOUNT","FQ2 2021","FQ2 2021","Currency=USD","Period=FQ","BEST_FPERIOD_OVERRIDE=FQ","FILING_STATUS=MR","SCALING_FORMAT=MLN","Sort=A","Dates=H","DateFormat=P","Fill=—","Direction=H","UseDPDF=Y")</f>
        <v>0</v>
      </c>
      <c r="AN26" s="1">
        <f>_xll.BDH("ADSK US Equity","LINE_OF_CREDIT_UTILIZED_AMOUNT","FQ3 2021","FQ3 2021","Currency=USD","Period=FQ","BEST_FPERIOD_OVERRIDE=FQ","FILING_STATUS=MR","SCALING_FORMAT=MLN","Sort=A","Dates=H","DateFormat=P","Fill=—","Direction=H","UseDPDF=Y")</f>
        <v>0</v>
      </c>
      <c r="AO26" s="1">
        <f>_xll.BDH("ADSK US Equity","LINE_OF_CREDIT_UTILIZED_AMOUNT","FQ4 2021","FQ4 2021","Currency=USD","Period=FQ","BEST_FPERIOD_OVERRIDE=FQ","FILING_STATUS=MR","SCALING_FORMAT=MLN","Sort=A","Dates=H","DateFormat=P","Fill=—","Direction=H","UseDPDF=Y")</f>
        <v>0</v>
      </c>
      <c r="AP26" s="1">
        <f>_xll.BDH("ADSK US Equity","LINE_OF_CREDIT_UTILIZED_AMOUNT","FQ1 2022","FQ1 2022","Currency=USD","Period=FQ","BEST_FPERIOD_OVERRIDE=FQ","FILING_STATUS=MR","SCALING_FORMAT=MLN","Sort=A","Dates=H","DateFormat=P","Fill=—","Direction=H","UseDPDF=Y")</f>
        <v>0</v>
      </c>
    </row>
    <row r="27" spans="1:42" x14ac:dyDescent="0.25">
      <c r="A27" s="8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</row>
    <row r="28" spans="1:42" x14ac:dyDescent="0.25">
      <c r="A28" s="15" t="s">
        <v>117</v>
      </c>
      <c r="B28" s="15"/>
      <c r="C28" s="15" t="s"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Profitability (2)</vt:lpstr>
      <vt:lpstr>Liquidity</vt:lpstr>
      <vt:lpstr>Liquidity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2021-07-07T12:46:17Z</dcterms:modified>
</cp:coreProperties>
</file>