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uhardjo\Desktop\"/>
    </mc:Choice>
  </mc:AlternateContent>
  <bookViews>
    <workbookView xWindow="10395" yWindow="-105" windowWidth="14850" windowHeight="12735" activeTab="2"/>
  </bookViews>
  <sheets>
    <sheet name="Profitability" sheetId="2" r:id="rId1"/>
    <sheet name="Profitability (2)" sheetId="3" r:id="rId2"/>
    <sheet name="Liquidity" sheetId="4" r:id="rId3"/>
  </sheets>
  <calcPr calcId="162913"/>
</workbook>
</file>

<file path=xl/calcChain.xml><?xml version="1.0" encoding="utf-8"?>
<calcChain xmlns="http://schemas.openxmlformats.org/spreadsheetml/2006/main">
  <c r="J6" i="4" l="1"/>
  <c r="I6" i="4"/>
  <c r="H6" i="4"/>
  <c r="G6" i="4"/>
  <c r="F6" i="4"/>
  <c r="E6" i="4"/>
  <c r="D6" i="4"/>
  <c r="C6" i="4"/>
  <c r="AI7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J7" i="4"/>
  <c r="AK7" i="4"/>
  <c r="AL7" i="4"/>
  <c r="AM7" i="4"/>
  <c r="AN7" i="4"/>
  <c r="AO7" i="4"/>
  <c r="AP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B7" i="2"/>
  <c r="Z7" i="2"/>
  <c r="AJ13" i="2"/>
  <c r="Z10" i="2"/>
  <c r="AL16" i="2"/>
  <c r="G9" i="2"/>
  <c r="G14" i="2"/>
  <c r="C19" i="2"/>
  <c r="AL19" i="2"/>
  <c r="F18" i="2"/>
  <c r="AA16" i="2"/>
  <c r="AA19" i="2"/>
  <c r="AI25" i="2"/>
  <c r="AA24" i="2"/>
  <c r="AE26" i="2"/>
  <c r="H9" i="2"/>
  <c r="P7" i="2"/>
  <c r="D7" i="2"/>
  <c r="AN7" i="2"/>
  <c r="L8" i="2"/>
  <c r="AJ8" i="2"/>
  <c r="X8" i="2"/>
  <c r="AF9" i="2"/>
  <c r="T9" i="2"/>
  <c r="D10" i="2"/>
  <c r="P10" i="2"/>
  <c r="AB10" i="2"/>
  <c r="AN10" i="2"/>
  <c r="L13" i="2"/>
  <c r="X13" i="2"/>
  <c r="H14" i="2"/>
  <c r="T14" i="2"/>
  <c r="D16" i="2"/>
  <c r="AF14" i="2"/>
  <c r="P16" i="2"/>
  <c r="AN16" i="2"/>
  <c r="AB16" i="2"/>
  <c r="L17" i="2"/>
  <c r="AJ17" i="2"/>
  <c r="H18" i="2"/>
  <c r="X17" i="2"/>
  <c r="T18" i="2"/>
  <c r="AF18" i="2"/>
  <c r="D19" i="2"/>
  <c r="AJ25" i="2"/>
  <c r="P19" i="2"/>
  <c r="AB19" i="2"/>
  <c r="AN19" i="2"/>
  <c r="L20" i="2"/>
  <c r="X20" i="2"/>
  <c r="H21" i="2"/>
  <c r="AJ20" i="2"/>
  <c r="T21" i="2"/>
  <c r="AF21" i="2"/>
  <c r="D24" i="2"/>
  <c r="P24" i="2"/>
  <c r="AB24" i="2"/>
  <c r="AN24" i="2"/>
  <c r="L25" i="2"/>
  <c r="X25" i="2"/>
  <c r="H26" i="2"/>
  <c r="T26" i="2"/>
  <c r="AF26" i="2"/>
  <c r="R9" i="2"/>
  <c r="AC7" i="2"/>
  <c r="R14" i="2"/>
  <c r="C7" i="2"/>
  <c r="AE9" i="2"/>
  <c r="S18" i="2"/>
  <c r="S14" i="2"/>
  <c r="O19" i="2"/>
  <c r="C24" i="2"/>
  <c r="K25" i="2"/>
  <c r="G26" i="2"/>
  <c r="E7" i="2"/>
  <c r="Q7" i="2"/>
  <c r="AO7" i="2"/>
  <c r="M8" i="2"/>
  <c r="Y8" i="2"/>
  <c r="AK8" i="2"/>
  <c r="U9" i="2"/>
  <c r="I9" i="2"/>
  <c r="AG9" i="2"/>
  <c r="E10" i="2"/>
  <c r="Q10" i="2"/>
  <c r="AC10" i="2"/>
  <c r="M13" i="2"/>
  <c r="AO10" i="2"/>
  <c r="Y13" i="2"/>
  <c r="AK13" i="2"/>
  <c r="I14" i="2"/>
  <c r="U14" i="2"/>
  <c r="AG14" i="2"/>
  <c r="E16" i="2"/>
  <c r="S16" i="2"/>
  <c r="Q16" i="2"/>
  <c r="AC16" i="2"/>
  <c r="AO16" i="2"/>
  <c r="M17" i="2"/>
  <c r="Y17" i="2"/>
  <c r="AK17" i="2"/>
  <c r="I18" i="2"/>
  <c r="U18" i="2"/>
  <c r="O25" i="2"/>
  <c r="AG18" i="2"/>
  <c r="E19" i="2"/>
  <c r="Q19" i="2"/>
  <c r="AC19" i="2"/>
  <c r="AO19" i="2"/>
  <c r="M20" i="2"/>
  <c r="Y20" i="2"/>
  <c r="AK20" i="2"/>
  <c r="I21" i="2"/>
  <c r="U21" i="2"/>
  <c r="AG21" i="2"/>
  <c r="E24" i="2"/>
  <c r="Q24" i="2"/>
  <c r="AC24" i="2"/>
  <c r="AO24" i="2"/>
  <c r="Y25" i="2"/>
  <c r="M25" i="2"/>
  <c r="AK25" i="2"/>
  <c r="I26" i="2"/>
  <c r="U26" i="2"/>
  <c r="AG26" i="2"/>
  <c r="AP9" i="2"/>
  <c r="Z16" i="2"/>
  <c r="V20" i="2"/>
  <c r="AI8" i="2"/>
  <c r="AM19" i="2"/>
  <c r="AI13" i="2"/>
  <c r="O16" i="2"/>
  <c r="AE18" i="2"/>
  <c r="AM24" i="2"/>
  <c r="W25" i="2"/>
  <c r="S26" i="2"/>
  <c r="F7" i="2"/>
  <c r="R7" i="2"/>
  <c r="AD7" i="2"/>
  <c r="AP7" i="2"/>
  <c r="Z8" i="2"/>
  <c r="N8" i="2"/>
  <c r="AL8" i="2"/>
  <c r="J9" i="2"/>
  <c r="V9" i="2"/>
  <c r="AH9" i="2"/>
  <c r="F10" i="2"/>
  <c r="R10" i="2"/>
  <c r="AD10" i="2"/>
  <c r="AP10" i="2"/>
  <c r="N13" i="2"/>
  <c r="Z13" i="2"/>
  <c r="AL13" i="2"/>
  <c r="J14" i="2"/>
  <c r="V14" i="2"/>
  <c r="AH14" i="2"/>
  <c r="R16" i="2"/>
  <c r="F16" i="2"/>
  <c r="AD16" i="2"/>
  <c r="AP16" i="2"/>
  <c r="N17" i="2"/>
  <c r="Z17" i="2"/>
  <c r="AL17" i="2"/>
  <c r="J18" i="2"/>
  <c r="AH18" i="2"/>
  <c r="V18" i="2"/>
  <c r="F19" i="2"/>
  <c r="R19" i="2"/>
  <c r="AP19" i="2"/>
  <c r="AD19" i="2"/>
  <c r="N20" i="2"/>
  <c r="Z20" i="2"/>
  <c r="AL20" i="2"/>
  <c r="J21" i="2"/>
  <c r="V21" i="2"/>
  <c r="AH21" i="2"/>
  <c r="F24" i="2"/>
  <c r="R24" i="2"/>
  <c r="AD24" i="2"/>
  <c r="AP24" i="2"/>
  <c r="N25" i="2"/>
  <c r="Z25" i="2"/>
  <c r="J26" i="2"/>
  <c r="AL25" i="2"/>
  <c r="V26" i="2"/>
  <c r="AH26" i="2"/>
  <c r="X18" i="2"/>
  <c r="AL7" i="2"/>
  <c r="AH13" i="2"/>
  <c r="R18" i="2"/>
  <c r="S9" i="2"/>
  <c r="C16" i="2"/>
  <c r="S21" i="2"/>
  <c r="AM8" i="2"/>
  <c r="C13" i="2"/>
  <c r="AI14" i="2"/>
  <c r="G16" i="2"/>
  <c r="AE16" i="2"/>
  <c r="C17" i="2"/>
  <c r="AA17" i="2"/>
  <c r="O17" i="2"/>
  <c r="AM17" i="2"/>
  <c r="K18" i="2"/>
  <c r="W18" i="2"/>
  <c r="G19" i="2"/>
  <c r="AI18" i="2"/>
  <c r="S19" i="2"/>
  <c r="AE19" i="2"/>
  <c r="O20" i="2"/>
  <c r="C20" i="2"/>
  <c r="AA20" i="2"/>
  <c r="AM20" i="2"/>
  <c r="W21" i="2"/>
  <c r="K21" i="2"/>
  <c r="AI21" i="2"/>
  <c r="G24" i="2"/>
  <c r="S24" i="2"/>
  <c r="AE24" i="2"/>
  <c r="C25" i="2"/>
  <c r="AA25" i="2"/>
  <c r="AM25" i="2"/>
  <c r="K26" i="2"/>
  <c r="AI26" i="2"/>
  <c r="W26" i="2"/>
  <c r="N7" i="2"/>
  <c r="AD9" i="2"/>
  <c r="F14" i="2"/>
  <c r="AH17" i="2"/>
  <c r="O7" i="2"/>
  <c r="AM16" i="2"/>
  <c r="O10" i="2"/>
  <c r="O24" i="2"/>
  <c r="AA8" i="2"/>
  <c r="E8" i="2"/>
  <c r="AO8" i="2"/>
  <c r="AE10" i="2"/>
  <c r="T7" i="2"/>
  <c r="H7" i="2"/>
  <c r="AF7" i="2"/>
  <c r="D8" i="2"/>
  <c r="P8" i="2"/>
  <c r="AB8" i="2"/>
  <c r="AN8" i="2"/>
  <c r="L9" i="2"/>
  <c r="X9" i="2"/>
  <c r="AJ9" i="2"/>
  <c r="H10" i="2"/>
  <c r="M21" i="2"/>
  <c r="T10" i="2"/>
  <c r="AF10" i="2"/>
  <c r="K8" i="2"/>
  <c r="D13" i="2"/>
  <c r="P13" i="2"/>
  <c r="AB13" i="2"/>
  <c r="AN13" i="2"/>
  <c r="L14" i="2"/>
  <c r="X14" i="2"/>
  <c r="AJ14" i="2"/>
  <c r="H16" i="2"/>
  <c r="T16" i="2"/>
  <c r="AF16" i="2"/>
  <c r="D17" i="2"/>
  <c r="P17" i="2"/>
  <c r="AB17" i="2"/>
  <c r="AN17" i="2"/>
  <c r="L18" i="2"/>
  <c r="K16" i="2"/>
  <c r="AJ18" i="2"/>
  <c r="H19" i="2"/>
  <c r="T19" i="2"/>
  <c r="AF19" i="2"/>
  <c r="D20" i="2"/>
  <c r="P20" i="2"/>
  <c r="AB20" i="2"/>
  <c r="AN20" i="2"/>
  <c r="L21" i="2"/>
  <c r="X21" i="2"/>
  <c r="AJ21" i="2"/>
  <c r="H24" i="2"/>
  <c r="T24" i="2"/>
  <c r="AF24" i="2"/>
  <c r="D25" i="2"/>
  <c r="P25" i="2"/>
  <c r="AB25" i="2"/>
  <c r="AN25" i="2"/>
  <c r="L26" i="2"/>
  <c r="X26" i="2"/>
  <c r="N10" i="2"/>
  <c r="AJ26" i="2"/>
  <c r="AP14" i="2"/>
  <c r="AD18" i="2"/>
  <c r="AA7" i="2"/>
  <c r="AM10" i="2"/>
  <c r="G18" i="2"/>
  <c r="G21" i="2"/>
  <c r="C8" i="2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S10" i="2"/>
  <c r="AM13" i="2"/>
  <c r="I7" i="2"/>
  <c r="U7" i="2"/>
  <c r="AG7" i="2"/>
  <c r="Q8" i="2"/>
  <c r="AC8" i="2"/>
  <c r="M9" i="2"/>
  <c r="Y9" i="2"/>
  <c r="AK9" i="2"/>
  <c r="I10" i="2"/>
  <c r="U10" i="2"/>
  <c r="AG10" i="2"/>
  <c r="E13" i="2"/>
  <c r="Q13" i="2"/>
  <c r="AC13" i="2"/>
  <c r="AO13" i="2"/>
  <c r="M14" i="2"/>
  <c r="Y14" i="2"/>
  <c r="AK14" i="2"/>
  <c r="I16" i="2"/>
  <c r="U16" i="2"/>
  <c r="AG16" i="2"/>
  <c r="E17" i="2"/>
  <c r="Q17" i="2"/>
  <c r="AC17" i="2"/>
  <c r="AO17" i="2"/>
  <c r="M18" i="2"/>
  <c r="Y18" i="2"/>
  <c r="I19" i="2"/>
  <c r="AK18" i="2"/>
  <c r="U19" i="2"/>
  <c r="AG19" i="2"/>
  <c r="E20" i="2"/>
  <c r="AC20" i="2"/>
  <c r="Q20" i="2"/>
  <c r="AO20" i="2"/>
  <c r="Y21" i="2"/>
  <c r="I24" i="2"/>
  <c r="AK21" i="2"/>
  <c r="U24" i="2"/>
  <c r="AG24" i="2"/>
  <c r="Q25" i="2"/>
  <c r="E25" i="2"/>
  <c r="AC25" i="2"/>
  <c r="AO25" i="2"/>
  <c r="M26" i="2"/>
  <c r="Y26" i="2"/>
  <c r="AK26" i="2"/>
  <c r="AH8" i="2"/>
  <c r="AL10" i="2"/>
  <c r="N16" i="2"/>
  <c r="N19" i="2"/>
  <c r="W13" i="2"/>
  <c r="K17" i="2"/>
  <c r="K20" i="2"/>
  <c r="O8" i="2"/>
  <c r="AI9" i="2"/>
  <c r="AA13" i="2"/>
  <c r="J7" i="2"/>
  <c r="V7" i="2"/>
  <c r="AH7" i="2"/>
  <c r="F8" i="2"/>
  <c r="R8" i="2"/>
  <c r="AP8" i="2"/>
  <c r="AD8" i="2"/>
  <c r="N9" i="2"/>
  <c r="Z9" i="2"/>
  <c r="AL9" i="2"/>
  <c r="V10" i="2"/>
  <c r="J10" i="2"/>
  <c r="AH10" i="2"/>
  <c r="F13" i="2"/>
  <c r="R13" i="2"/>
  <c r="AD13" i="2"/>
  <c r="AP13" i="2"/>
  <c r="N14" i="2"/>
  <c r="Z14" i="2"/>
  <c r="AL14" i="2"/>
  <c r="V16" i="2"/>
  <c r="J16" i="2"/>
  <c r="AH16" i="2"/>
  <c r="F17" i="2"/>
  <c r="R17" i="2"/>
  <c r="AP17" i="2"/>
  <c r="AD17" i="2"/>
  <c r="N18" i="2"/>
  <c r="Z18" i="2"/>
  <c r="AL18" i="2"/>
  <c r="J19" i="2"/>
  <c r="V19" i="2"/>
  <c r="AH19" i="2"/>
  <c r="F20" i="2"/>
  <c r="R20" i="2"/>
  <c r="AD20" i="2"/>
  <c r="AP20" i="2"/>
  <c r="N21" i="2"/>
  <c r="Z21" i="2"/>
  <c r="AL21" i="2"/>
  <c r="J24" i="2"/>
  <c r="V24" i="2"/>
  <c r="AH24" i="2"/>
  <c r="AD25" i="2"/>
  <c r="F25" i="2"/>
  <c r="R25" i="2"/>
  <c r="AP25" i="2"/>
  <c r="N26" i="2"/>
  <c r="Z26" i="2"/>
  <c r="AL26" i="2"/>
  <c r="V8" i="2"/>
  <c r="V13" i="2"/>
  <c r="V17" i="2"/>
  <c r="J20" i="2"/>
  <c r="C10" i="2"/>
  <c r="AE14" i="2"/>
  <c r="AI20" i="2"/>
  <c r="G7" i="2"/>
  <c r="K9" i="2"/>
  <c r="O13" i="2"/>
  <c r="K7" i="2"/>
  <c r="W7" i="2"/>
  <c r="AI7" i="2"/>
  <c r="G8" i="2"/>
  <c r="S8" i="2"/>
  <c r="AE8" i="2"/>
  <c r="C9" i="2"/>
  <c r="O9" i="2"/>
  <c r="AA9" i="2"/>
  <c r="AM9" i="2"/>
  <c r="K10" i="2"/>
  <c r="W10" i="2"/>
  <c r="AI10" i="2"/>
  <c r="G13" i="2"/>
  <c r="S13" i="2"/>
  <c r="AE13" i="2"/>
  <c r="C14" i="2"/>
  <c r="O14" i="2"/>
  <c r="AM14" i="2"/>
  <c r="AA14" i="2"/>
  <c r="W16" i="2"/>
  <c r="AI16" i="2"/>
  <c r="G17" i="2"/>
  <c r="S17" i="2"/>
  <c r="AE17" i="2"/>
  <c r="C18" i="2"/>
  <c r="AA18" i="2"/>
  <c r="O18" i="2"/>
  <c r="AM18" i="2"/>
  <c r="K19" i="2"/>
  <c r="W19" i="2"/>
  <c r="AI19" i="2"/>
  <c r="S20" i="2"/>
  <c r="G20" i="2"/>
  <c r="AE20" i="2"/>
  <c r="C21" i="2"/>
  <c r="AM21" i="2"/>
  <c r="O21" i="2"/>
  <c r="AA21" i="2"/>
  <c r="K24" i="2"/>
  <c r="W24" i="2"/>
  <c r="AI24" i="2"/>
  <c r="G25" i="2"/>
  <c r="AE25" i="2"/>
  <c r="S25" i="2"/>
  <c r="C26" i="2"/>
  <c r="O26" i="2"/>
  <c r="AA26" i="2"/>
  <c r="AM26" i="2"/>
  <c r="F9" i="2"/>
  <c r="AP18" i="2"/>
  <c r="AD14" i="2"/>
  <c r="AM7" i="2"/>
  <c r="AA10" i="2"/>
  <c r="AI17" i="2"/>
  <c r="AE21" i="2"/>
  <c r="AE7" i="2"/>
  <c r="G10" i="2"/>
  <c r="K14" i="2"/>
  <c r="L7" i="2"/>
  <c r="AJ7" i="2"/>
  <c r="X7" i="2"/>
  <c r="H8" i="2"/>
  <c r="T8" i="2"/>
  <c r="AF8" i="2"/>
  <c r="D9" i="2"/>
  <c r="AB9" i="2"/>
  <c r="P9" i="2"/>
  <c r="AN9" i="2"/>
  <c r="L10" i="2"/>
  <c r="X10" i="2"/>
  <c r="AJ10" i="2"/>
  <c r="L16" i="2"/>
  <c r="H13" i="2"/>
  <c r="T13" i="2"/>
  <c r="AF13" i="2"/>
  <c r="D14" i="2"/>
  <c r="P14" i="2"/>
  <c r="AB14" i="2"/>
  <c r="AN14" i="2"/>
  <c r="AJ16" i="2"/>
  <c r="X16" i="2"/>
  <c r="H17" i="2"/>
  <c r="T17" i="2"/>
  <c r="AF17" i="2"/>
  <c r="D18" i="2"/>
  <c r="U13" i="2"/>
  <c r="P18" i="2"/>
  <c r="AB18" i="2"/>
  <c r="L19" i="2"/>
  <c r="AN18" i="2"/>
  <c r="AJ19" i="2"/>
  <c r="X19" i="2"/>
  <c r="H20" i="2"/>
  <c r="T20" i="2"/>
  <c r="AF20" i="2"/>
  <c r="D21" i="2"/>
  <c r="P21" i="2"/>
  <c r="AN21" i="2"/>
  <c r="AB21" i="2"/>
  <c r="L24" i="2"/>
  <c r="X24" i="2"/>
  <c r="AJ24" i="2"/>
  <c r="T25" i="2"/>
  <c r="H25" i="2"/>
  <c r="AF25" i="2"/>
  <c r="P26" i="2"/>
  <c r="D26" i="2"/>
  <c r="AB26" i="2"/>
  <c r="AN26" i="2"/>
  <c r="J8" i="2"/>
  <c r="J13" i="2"/>
  <c r="J17" i="2"/>
  <c r="Z19" i="2"/>
  <c r="W8" i="2"/>
  <c r="K13" i="2"/>
  <c r="W17" i="2"/>
  <c r="W20" i="2"/>
  <c r="W9" i="2"/>
  <c r="S7" i="2"/>
  <c r="W14" i="2"/>
  <c r="M7" i="2"/>
  <c r="Y7" i="2"/>
  <c r="I8" i="2"/>
  <c r="AK7" i="2"/>
  <c r="U8" i="2"/>
  <c r="AG8" i="2"/>
  <c r="E9" i="2"/>
  <c r="Q9" i="2"/>
  <c r="AC9" i="2"/>
  <c r="AO9" i="2"/>
  <c r="M10" i="2"/>
  <c r="Y10" i="2"/>
  <c r="AK10" i="2"/>
  <c r="I13" i="2"/>
  <c r="AG13" i="2"/>
  <c r="E14" i="2"/>
  <c r="Q14" i="2"/>
  <c r="AC14" i="2"/>
  <c r="AO14" i="2"/>
  <c r="AK16" i="2"/>
  <c r="Y16" i="2"/>
  <c r="M16" i="2"/>
  <c r="I17" i="2"/>
  <c r="U17" i="2"/>
  <c r="AG17" i="2"/>
  <c r="Q18" i="2"/>
  <c r="E18" i="2"/>
  <c r="AO18" i="2"/>
  <c r="AC18" i="2"/>
  <c r="M19" i="2"/>
  <c r="Y19" i="2"/>
  <c r="I20" i="2"/>
  <c r="AK19" i="2"/>
  <c r="U20" i="2"/>
  <c r="E21" i="2"/>
  <c r="AG20" i="2"/>
  <c r="Q21" i="2"/>
  <c r="AC21" i="2"/>
  <c r="AO21" i="2"/>
  <c r="Y24" i="2"/>
  <c r="M24" i="2"/>
  <c r="AK24" i="2"/>
  <c r="I25" i="2"/>
  <c r="U25" i="2"/>
  <c r="AG25" i="2"/>
  <c r="E26" i="2"/>
  <c r="Q26" i="2"/>
  <c r="AO26" i="2"/>
  <c r="AC26" i="2"/>
  <c r="F21" i="2"/>
  <c r="AH20" i="2"/>
  <c r="R21" i="2"/>
  <c r="AD21" i="2"/>
  <c r="N24" i="2"/>
  <c r="AP21" i="2"/>
  <c r="AL24" i="2"/>
  <c r="Z24" i="2"/>
  <c r="J25" i="2"/>
  <c r="V25" i="2"/>
  <c r="AH25" i="2"/>
  <c r="AP26" i="2"/>
  <c r="AD26" i="2"/>
  <c r="R26" i="2"/>
  <c r="F26" i="2"/>
</calcChain>
</file>

<file path=xl/sharedStrings.xml><?xml version="1.0" encoding="utf-8"?>
<sst xmlns="http://schemas.openxmlformats.org/spreadsheetml/2006/main" count="343" uniqueCount="197">
  <si>
    <t>Right click to show data transparency (not supported for all values)</t>
  </si>
  <si>
    <t>Akamai Technologies Inc (AKAM US) - Profitability</t>
  </si>
  <si>
    <t>In Millions of USD except Per Share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</si>
  <si>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</si>
  <si>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</si>
  <si>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</si>
  <si>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</si>
  <si>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</si>
  <si>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</si>
  <si>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</si>
  <si>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</si>
  <si>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</si>
  <si>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</si>
  <si>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</si>
  <si>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</si>
  <si>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</si>
  <si>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</si>
  <si>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</si>
  <si>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</si>
  <si>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</si>
  <si>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</si>
  <si>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</si>
  <si>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</si>
  <si>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</si>
  <si>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</si>
  <si>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</si>
  <si>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</si>
  <si>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</si>
  <si>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</si>
  <si>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</si>
  <si>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</si>
  <si>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</si>
  <si>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</si>
  <si>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</si>
  <si>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</si>
  <si>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</si>
  <si>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</si>
  <si>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</si>
  <si>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</si>
  <si>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</si>
  <si>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</si>
  <si>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</si>
  <si>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</si>
  <si>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3 Months Ending</t>
  </si>
  <si>
    <t>06/30/2011</t>
  </si>
  <si>
    <t>09/30/2011</t>
  </si>
  <si>
    <t>12/31/2011</t>
  </si>
  <si>
    <t>03/31/2012</t>
  </si>
  <si>
    <t>06/30/2012</t>
  </si>
  <si>
    <t>09/30/2012</t>
  </si>
  <si>
    <t>12/31/2012</t>
  </si>
  <si>
    <t>03/31/2013</t>
  </si>
  <si>
    <t>06/30/2013</t>
  </si>
  <si>
    <t>09/30/2013</t>
  </si>
  <si>
    <t>12/31/2013</t>
  </si>
  <si>
    <t>03/31/2014</t>
  </si>
  <si>
    <t>06/30/2014</t>
  </si>
  <si>
    <t>09/30/2014</t>
  </si>
  <si>
    <t>12/31/2014</t>
  </si>
  <si>
    <t>03/31/2015</t>
  </si>
  <si>
    <t>06/30/2015</t>
  </si>
  <si>
    <t>09/30/2015</t>
  </si>
  <si>
    <t>12/31/2015</t>
  </si>
  <si>
    <t>03/31/2016</t>
  </si>
  <si>
    <t>06/30/2016</t>
  </si>
  <si>
    <t>09/30/2016</t>
  </si>
  <si>
    <t>12/31/2016</t>
  </si>
  <si>
    <t>03/31/2017</t>
  </si>
  <si>
    <t>06/30/2017</t>
  </si>
  <si>
    <t>09/30/2017</t>
  </si>
  <si>
    <t>12/31/2017</t>
  </si>
  <si>
    <t>03/31/2018</t>
  </si>
  <si>
    <t>06/30/2018</t>
  </si>
  <si>
    <t>09/30/2018</t>
  </si>
  <si>
    <t>12/31/2018</t>
  </si>
  <si>
    <t>03/31/2019</t>
  </si>
  <si>
    <t>06/30/2019</t>
  </si>
  <si>
    <t>09/30/2019</t>
  </si>
  <si>
    <t>12/31/2019</t>
  </si>
  <si>
    <t>03/31/2020</t>
  </si>
  <si>
    <t>06/30/2020</t>
  </si>
  <si>
    <t>09/30/2020</t>
  </si>
  <si>
    <t>12/31/2020</t>
  </si>
  <si>
    <t>03/31/2021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</si>
  <si>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</si>
  <si>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</si>
  <si>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</si>
  <si>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</si>
  <si>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</si>
  <si>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</si>
  <si>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</si>
  <si>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</si>
  <si>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</si>
  <si>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</si>
  <si>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Gross Margin</t>
  </si>
  <si>
    <t>GROSS_MARGIN</t>
  </si>
  <si>
    <t>EBITDA Margin</t>
  </si>
  <si>
    <t>EBITDA_TO_REVENUE</t>
  </si>
  <si>
    <t xml:space="preserve">    Growth (YoY)</t>
  </si>
  <si>
    <t>Operating Margin</t>
  </si>
  <si>
    <t>OPER_MARGIN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</si>
  <si>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</si>
  <si>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</si>
  <si>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</si>
  <si>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</si>
  <si>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</si>
  <si>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</si>
  <si>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</si>
  <si>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PROF_MARGIN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</si>
  <si>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</si>
  <si>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</si>
  <si>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</si>
  <si>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</si>
  <si>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</si>
  <si>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</si>
  <si>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</si>
  <si>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</si>
  <si>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</si>
  <si>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Source: Bloomberg</t>
  </si>
  <si>
    <t>Period ending</t>
  </si>
  <si>
    <t>CQ1 2021</t>
  </si>
  <si>
    <t>CQ4 2020</t>
  </si>
  <si>
    <t>CQ3 2020</t>
  </si>
  <si>
    <t>CQ2 2020</t>
  </si>
  <si>
    <t>CQ1 2020</t>
  </si>
  <si>
    <t>CQ4 2019</t>
  </si>
  <si>
    <t>CQ3 2019</t>
  </si>
  <si>
    <t>CQ2 2019</t>
  </si>
  <si>
    <t>CQ1 2019</t>
  </si>
  <si>
    <t>CQ4 2018</t>
  </si>
  <si>
    <t>CQ3 2018</t>
  </si>
  <si>
    <t>CQ2 2018</t>
  </si>
  <si>
    <t>CQ1 2018</t>
  </si>
  <si>
    <t>CQ4 2017</t>
  </si>
  <si>
    <t>CQ3 2017</t>
  </si>
  <si>
    <t>CQ2 2017</t>
  </si>
  <si>
    <t>CQ1 2017</t>
  </si>
  <si>
    <t>CQ4 2016</t>
  </si>
  <si>
    <t>CQ3 2016</t>
  </si>
  <si>
    <t>CQ2 2016</t>
  </si>
  <si>
    <t>CQ1 2016</t>
  </si>
  <si>
    <t>CQ4 2015</t>
  </si>
  <si>
    <t>CQ3 2015</t>
  </si>
  <si>
    <t>CQ2 2015</t>
  </si>
  <si>
    <t>CQ1 2015</t>
  </si>
  <si>
    <t>CQ4 2014</t>
  </si>
  <si>
    <t>CQ3 2014</t>
  </si>
  <si>
    <t>CQ2 2014</t>
  </si>
  <si>
    <t>CQ1 2014</t>
  </si>
  <si>
    <t>CQ4 2013</t>
  </si>
  <si>
    <t>CQ3 2013</t>
  </si>
  <si>
    <t>CQ2 2013</t>
  </si>
  <si>
    <t>CQ1 2013</t>
  </si>
  <si>
    <t>CQ4 2012</t>
  </si>
  <si>
    <t>CQ3 2012</t>
  </si>
  <si>
    <t>CQ2 2012</t>
  </si>
  <si>
    <t>CQ1 2012</t>
  </si>
  <si>
    <t>CQ4 2011</t>
  </si>
  <si>
    <t>CQ3 2011</t>
  </si>
  <si>
    <t>CQ2 2011</t>
  </si>
  <si>
    <t>BS_TOT_COM_PAPER_ISSUED</t>
  </si>
  <si>
    <t>Total Commercial Paper Outstanding</t>
  </si>
  <si>
    <t>LINE_OF_CREDIT_UTILIZED_AMOUNT</t>
  </si>
  <si>
    <t xml:space="preserve">  Total Credit Lines Drawn</t>
  </si>
  <si>
    <t>BS_TOTAL_AVAIL_LINE_OF_CREDIT</t>
  </si>
  <si>
    <t xml:space="preserve">  Total Available Line Of Credit</t>
  </si>
  <si>
    <t>BS_TOTAL_LINE_OF_CREDIT</t>
  </si>
  <si>
    <t>Total Line of Credit</t>
  </si>
  <si>
    <t>ALTMAN_Z_SCORE</t>
  </si>
  <si>
    <t>Altman's Z-Score</t>
  </si>
  <si>
    <t>CAP_EXPEND_RATIO</t>
  </si>
  <si>
    <t>CFO/CapEx</t>
  </si>
  <si>
    <t>CASH_FLOW_TO_TOT_LIAB</t>
  </si>
  <si>
    <t>CFO/Total Liabilities</t>
  </si>
  <si>
    <t>TOT_DEBT_TO_TOT_ASSET</t>
  </si>
  <si>
    <t>Total Debt/Total Assets</t>
  </si>
  <si>
    <t>TOT_DEBT_TO_TOT_CAP</t>
  </si>
  <si>
    <t>Total Debt/Capital</t>
  </si>
  <si>
    <t>TOT_DEBT_TO_TOT_EQY</t>
  </si>
  <si>
    <t>Total Debt/Equity</t>
  </si>
  <si>
    <t>LT_DEBT_TO_TOT_ASSET</t>
  </si>
  <si>
    <t>Long-Term Debt/Total Assets</t>
  </si>
  <si>
    <t>LT_DEBT_TO_TOT_CAP</t>
  </si>
  <si>
    <t>Long-Term Debt/Capital</t>
  </si>
  <si>
    <t>LT_DEBT_TO_TOT_EQY</t>
  </si>
  <si>
    <t>Long-Term Debt/Equity</t>
  </si>
  <si>
    <t>COM_EQY_TO_TOT_ASSET</t>
  </si>
  <si>
    <t>Common Equity/Total Assets</t>
  </si>
  <si>
    <t>CFO_TO_AVG_CURRENT_LIABILITIES</t>
  </si>
  <si>
    <t>CFO/Avg Current Liab</t>
  </si>
  <si>
    <t>QUICK_RATIO</t>
  </si>
  <si>
    <t>Quick Ratio</t>
  </si>
  <si>
    <t>CUR_RATIO</t>
  </si>
  <si>
    <t>Current Ratio</t>
  </si>
  <si>
    <t>CASH_RATIO</t>
  </si>
  <si>
    <t>Cash Ratio</t>
  </si>
  <si>
    <t>Akamai Technologies Inc (AKAM US) - Liquidity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</si>
</sst>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5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5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4" fontId="1" fillId="34" borderId="2">
      <alignment horizontal="right"/>
    </xf>
    <xf numFmtId="3" fontId="8" fillId="34" borderId="2">
      <alignment horizontal="right"/>
    </xf>
    <xf numFmtId="171" fontId="11" fillId="34" borderId="2">
      <alignment horizontal="right"/>
    </xf>
    <xf numFmtId="171" fontId="1" fillId="34" borderId="2">
      <alignment horizontal="right"/>
    </xf>
    <xf numFmtId="0" fontId="7" fillId="33" borderId="16">
      <alignment horizontal="left"/>
    </xf>
    <xf numFmtId="0" fontId="7" fillId="33" borderId="16">
      <alignment horizontal="right"/>
    </xf>
    <xf numFmtId="0" fontId="7" fillId="33" borderId="17">
      <alignment horizontal="left"/>
    </xf>
    <xf numFmtId="0" fontId="7" fillId="33" borderId="17">
      <alignment horizontal="right"/>
    </xf>
    <xf numFmtId="0" fontId="4" fillId="34" borderId="18"/>
    <xf numFmtId="0" fontId="8" fillId="34" borderId="18"/>
    <xf numFmtId="0" fontId="3" fillId="34" borderId="18"/>
  </cellStyleXfs>
  <cellXfs count="24">
    <xf numFmtId="0" fontId="0" fillId="0" borderId="0" xfId="0"/>
    <xf numFmtId="171" fontId="1" fillId="34" borderId="2" xfId="57" applyNumberFormat="1" applyFont="1" applyFill="1" applyBorder="1" applyAlignment="1" applyProtection="1">
      <alignment horizontal="right"/>
    </xf>
    <xf numFmtId="0" fontId="7" fillId="33" borderId="16" xfId="58" applyNumberFormat="1" applyFont="1" applyFill="1" applyBorder="1" applyAlignment="1" applyProtection="1">
      <alignment horizontal="left"/>
    </xf>
    <xf numFmtId="0" fontId="7" fillId="33" borderId="16" xfId="59" applyNumberFormat="1" applyFont="1" applyFill="1" applyBorder="1" applyAlignment="1" applyProtection="1">
      <alignment horizontal="right"/>
    </xf>
    <xf numFmtId="0" fontId="7" fillId="33" borderId="17" xfId="60">
      <alignment horizontal="left"/>
    </xf>
    <xf numFmtId="0" fontId="7" fillId="33" borderId="17" xfId="61" applyNumberFormat="1" applyFont="1" applyFill="1" applyBorder="1" applyAlignment="1" applyProtection="1">
      <alignment horizontal="right"/>
    </xf>
    <xf numFmtId="0" fontId="4" fillId="34" borderId="18" xfId="62" applyNumberFormat="1" applyFont="1" applyFill="1" applyBorder="1" applyAlignment="1" applyProtection="1"/>
    <xf numFmtId="0" fontId="8" fillId="34" borderId="18" xfId="63" applyNumberFormat="1" applyFont="1" applyFill="1" applyBorder="1" applyAlignment="1" applyProtection="1"/>
    <xf numFmtId="0" fontId="3" fillId="34" borderId="18" xfId="64" applyNumberFormat="1" applyFont="1" applyFill="1" applyBorder="1" applyAlignment="1" applyProtection="1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5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3" fontId="1" fillId="34" borderId="2" xfId="53" applyNumberFormat="1" applyFont="1" applyFill="1" applyBorder="1" applyAlignment="1" applyProtection="1">
      <alignment horizontal="right"/>
    </xf>
    <xf numFmtId="4" fontId="1" fillId="34" borderId="2" xfId="54" applyNumberFormat="1" applyFont="1" applyFill="1" applyBorder="1" applyAlignment="1" applyProtection="1">
      <alignment horizontal="right"/>
    </xf>
    <xf numFmtId="3" fontId="8" fillId="34" borderId="2" xfId="55" applyNumberFormat="1" applyFont="1" applyFill="1" applyBorder="1" applyAlignment="1" applyProtection="1">
      <alignment horizontal="right"/>
    </xf>
    <xf numFmtId="171" fontId="11" fillId="34" borderId="2" xfId="56" applyNumberFormat="1" applyFont="1" applyFill="1" applyBorder="1" applyAlignment="1" applyProtection="1">
      <alignment horizontal="right"/>
    </xf>
  </cellXfs>
  <cellStyles count="6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title_header_row_left" xfId="51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/>
    <cellStyle name="fa_column_header_bottom 2" xfId="61"/>
    <cellStyle name="fa_column_header_bottom_left" xfId="52"/>
    <cellStyle name="fa_column_header_bottom_left 2" xfId="60"/>
    <cellStyle name="fa_column_header_empty" xfId="31"/>
    <cellStyle name="fa_column_header_top" xfId="32"/>
    <cellStyle name="fa_column_header_top 2" xfId="59"/>
    <cellStyle name="fa_column_header_top_left" xfId="33"/>
    <cellStyle name="fa_column_header_top_left 2" xfId="58"/>
    <cellStyle name="fa_data_bold_0_grouped" xfId="55"/>
    <cellStyle name="fa_data_italic_1_grouped" xfId="56"/>
    <cellStyle name="fa_data_standard_0_grouped" xfId="53"/>
    <cellStyle name="fa_data_standard_1_grouped" xfId="57"/>
    <cellStyle name="fa_data_standard_2_grouped" xfId="54"/>
    <cellStyle name="fa_footer_italic" xfId="34"/>
    <cellStyle name="fa_row_header_bold" xfId="35"/>
    <cellStyle name="fa_row_header_bold 2" xfId="63"/>
    <cellStyle name="fa_row_header_italic" xfId="36"/>
    <cellStyle name="fa_row_header_italic 2" xfId="62"/>
    <cellStyle name="fa_row_header_standard" xfId="37"/>
    <cellStyle name="fa_row_header_standard 2" xfId="64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BDP|13920452902665418809</stp>
        <tr r="V13" s="3"/>
      </tp>
      <tp t="s">
        <v>#N/A N/A</v>
        <stp/>
        <stp>BDP|14008017280245549313</stp>
        <tr r="AI13" s="3"/>
      </tp>
      <tp t="s">
        <v>#N/A N/A</v>
        <stp/>
        <stp>BDP|17382743763474160812</stp>
        <tr r="W9" s="3"/>
      </tp>
      <tp t="s">
        <v>#N/A N/A</v>
        <stp/>
        <stp>BDP|13000144353784545966</stp>
        <tr r="I10" s="3"/>
      </tp>
      <tp t="s">
        <v>#N/A N/A</v>
        <stp/>
        <stp>BDH|13128784107837848975</stp>
        <tr r="O26" s="2"/>
      </tp>
      <tp t="s">
        <v>#N/A N/A</v>
        <stp/>
        <stp>BDH|12694968748777171280</stp>
        <tr r="X28" s="4"/>
      </tp>
      <tp t="s">
        <v>#N/A N/A</v>
        <stp/>
        <stp>BDH|12542658395415095252</stp>
        <tr r="U10" s="4"/>
      </tp>
      <tp t="s">
        <v>#N/A N/A</v>
        <stp/>
        <stp>BDH|17395996386818697491</stp>
        <tr r="N8" s="4"/>
      </tp>
      <tp t="s">
        <v>#N/A N/A</v>
        <stp/>
        <stp>BDH|15386960173218290972</stp>
        <tr r="R16" s="4"/>
      </tp>
      <tp t="s">
        <v>#N/A N/A</v>
        <stp/>
        <stp>BDH|18364093858415651270</stp>
        <tr r="Z24" s="4"/>
      </tp>
      <tp t="s">
        <v>#N/A N/A</v>
        <stp/>
        <stp>BDH|16413133394421738568</stp>
        <tr r="E14" s="2"/>
      </tp>
      <tp t="s">
        <v>#N/A N/A</v>
        <stp/>
        <stp>BDH|11670629890174516049</stp>
        <tr r="AJ16" s="2"/>
      </tp>
      <tp t="s">
        <v>#N/A N/A</v>
        <stp/>
        <stp>BDH|13326817763670162751</stp>
        <tr r="I26" s="2"/>
      </tp>
      <tp t="s">
        <v>#N/A N/A</v>
        <stp/>
        <stp>BDH|17368882648399201855</stp>
        <tr r="AF14" s="2"/>
      </tp>
      <tp t="s">
        <v>#N/A N/A</v>
        <stp/>
        <stp>BDH|16565645721591557928</stp>
        <tr r="J14" s="4"/>
      </tp>
      <tp t="s">
        <v>#N/A N/A</v>
        <stp/>
        <stp>BDH|17368911945445951596</stp>
        <tr r="AB22" s="4"/>
      </tp>
      <tp t="s">
        <v>#N/A N/A</v>
        <stp/>
        <stp>BDH|17550720370739945491</stp>
        <tr r="AM20" s="4"/>
      </tp>
      <tp t="s">
        <v>#N/A N/A</v>
        <stp/>
        <stp>BDH|13165438081212329764</stp>
        <tr r="AG9" s="4"/>
      </tp>
      <tp t="s">
        <v>#N/A N/A</v>
        <stp/>
        <stp>BDH|11583092672769947510</stp>
        <tr r="AK26" s="4"/>
      </tp>
      <tp t="s">
        <v>#N/A N/A</v>
        <stp/>
        <stp>BDH|18109079589759176389</stp>
        <tr r="AN8" s="4"/>
      </tp>
      <tp t="s">
        <v>#N/A N/A</v>
        <stp/>
        <stp>BDH|16383477353399180404</stp>
        <tr r="T21" s="4"/>
      </tp>
      <tp t="s">
        <v>#N/A N/A</v>
        <stp/>
        <stp>BDH|14291039335494880952</stp>
        <tr r="AP22" s="4"/>
      </tp>
      <tp t="s">
        <v>#N/A N/A</v>
        <stp/>
        <stp>BDH|18414241334244504780</stp>
        <tr r="M21" s="4"/>
      </tp>
      <tp t="s">
        <v>#N/A N/A</v>
        <stp/>
        <stp>BDH|17402219311106828847</stp>
        <tr r="M18" s="2"/>
      </tp>
      <tp t="s">
        <v>#N/A N/A</v>
        <stp/>
        <stp>BDH|16473623021239795189</stp>
        <tr r="AM25" s="2"/>
      </tp>
      <tp t="s">
        <v>#N/A N/A</v>
        <stp/>
        <stp>BDH|13729943907164972460</stp>
        <tr r="Y14" s="2"/>
      </tp>
      <tp t="s">
        <v>#N/A N/A</v>
        <stp/>
        <stp>BDH|17215911238942519543</stp>
        <tr r="J13" s="2"/>
      </tp>
      <tp t="s">
        <v>#N/A N/A</v>
        <stp/>
        <stp>BDH|14013039028218856497</stp>
        <tr r="AE8" s="4"/>
      </tp>
      <tp t="s">
        <v>#N/A N/A</v>
        <stp/>
        <stp>BDH|13926871551827271374</stp>
        <tr r="AA19" s="2"/>
      </tp>
      <tp t="s">
        <v>#N/A N/A</v>
        <stp/>
        <stp>BDH|15866552577248966594</stp>
        <tr r="D14" s="4"/>
      </tp>
      <tp t="s">
        <v>#N/A N/A</v>
        <stp/>
        <stp>BDH|12946010185360889095</stp>
        <tr r="AC25" s="2"/>
      </tp>
      <tp t="s">
        <v>#N/A N/A</v>
        <stp/>
        <stp>BDH|14737371723188671798</stp>
        <tr r="L8" s="2"/>
      </tp>
      <tp t="s">
        <v>#N/A N/A</v>
        <stp/>
        <stp>BDH|11199533953549803258</stp>
        <tr r="P20" s="4"/>
      </tp>
      <tp t="s">
        <v>#N/A N/A</v>
        <stp/>
        <stp>BDH|11574320598323268221</stp>
        <tr r="AC21" s="4"/>
      </tp>
      <tp t="s">
        <v>#N/A N/A</v>
        <stp/>
        <stp>BDH|17382815111413460794</stp>
        <tr r="Q9" s="4"/>
      </tp>
      <tp t="s">
        <v>#N/A N/A</v>
        <stp/>
        <stp>BDH|16596990957651604133</stp>
        <tr r="Z17" s="2"/>
      </tp>
      <tp t="s">
        <v>#N/A N/A</v>
        <stp/>
        <stp>BDH|18351995149877844858</stp>
        <tr r="AF25" s="2"/>
      </tp>
      <tp t="s">
        <v>#N/A N/A</v>
        <stp/>
        <stp>BDP|17953321252558418278</stp>
        <tr r="Q9" s="3"/>
      </tp>
      <tp t="s">
        <v>#N/A N/A</v>
        <stp/>
        <stp>BDP|16854886740456459786</stp>
        <tr r="Y9" s="3"/>
      </tp>
      <tp t="s">
        <v>#N/A N/A</v>
        <stp/>
        <stp>BDP|17546561096554717429</stp>
        <tr r="G9" s="3"/>
      </tp>
      <tp t="s">
        <v>#N/A N/A</v>
        <stp/>
        <stp>BDP|12106802633066058405</stp>
        <tr r="AK10" s="3"/>
      </tp>
      <tp t="s">
        <v>#N/A N/A</v>
        <stp/>
        <stp>BDP|11828219468868004650</stp>
        <tr r="AM17" s="3"/>
      </tp>
      <tp t="s">
        <v>#N/A N/A</v>
        <stp/>
        <stp>BDH|10123488506068725796</stp>
        <tr r="AG16" s="2"/>
      </tp>
      <tp t="s">
        <v>#N/A N/A</v>
        <stp/>
        <stp>BDH|11939927402043899003</stp>
        <tr r="AL7" s="2"/>
      </tp>
      <tp t="s">
        <v>#N/A N/A</v>
        <stp/>
        <stp>BDH|18346602183574688979</stp>
        <tr r="E9" s="2"/>
      </tp>
      <tp t="s">
        <v>#N/A N/A</v>
        <stp/>
        <stp>BDH|11286002796470625339</stp>
        <tr r="Y17" s="4"/>
      </tp>
      <tp t="s">
        <v>#N/A N/A</v>
        <stp/>
        <stp>BDH|17805782396080585238</stp>
        <tr r="AH16" s="4"/>
      </tp>
      <tp t="s">
        <v>#N/A N/A</v>
        <stp/>
        <stp>BDH|15632733893161562131</stp>
        <tr r="AE12" s="4"/>
      </tp>
      <tp t="s">
        <v>#N/A N/A</v>
        <stp/>
        <stp>BDH|17329107091283989787</stp>
        <tr r="J17" s="4"/>
      </tp>
      <tp t="s">
        <v>#N/A N/A</v>
        <stp/>
        <stp>BDH|13618812727790064230</stp>
        <tr r="W7" s="2"/>
      </tp>
      <tp t="s">
        <v>#N/A N/A</v>
        <stp/>
        <stp>BDH|11352376395553094333</stp>
        <tr r="AM24" s="4"/>
      </tp>
      <tp t="s">
        <v>#N/A N/A</v>
        <stp/>
        <stp>BDH|14033563490145371617</stp>
        <tr r="H26" s="4"/>
      </tp>
      <tp t="s">
        <v>#N/A N/A</v>
        <stp/>
        <stp>BDH|16768843441058054959</stp>
        <tr r="O9" s="4"/>
      </tp>
      <tp t="s">
        <v>#N/A N/A</v>
        <stp/>
        <stp>BDH|12116876429483129078</stp>
        <tr r="AA13" s="4"/>
      </tp>
      <tp t="s">
        <v>#N/A N/A</v>
        <stp/>
        <stp>BDH|10479190987423099134</stp>
        <tr r="AA10" s="4"/>
      </tp>
      <tp t="s">
        <v>#N/A N/A</v>
        <stp/>
        <stp>BDH|17666650499963599064</stp>
        <tr r="I24" s="4"/>
      </tp>
      <tp t="s">
        <v>#N/A N/A</v>
        <stp/>
        <stp>BDH|16759867824990579783</stp>
        <tr r="AJ26" s="2"/>
      </tp>
      <tp t="s">
        <v>#N/A N/A</v>
        <stp/>
        <stp>BDH|12178575391136652398</stp>
        <tr r="S13" s="4"/>
      </tp>
      <tp t="s">
        <v>#N/A N/A</v>
        <stp/>
        <stp>BDH|10612462335834819857</stp>
        <tr r="X22" s="4"/>
      </tp>
      <tp t="s">
        <v>#N/A N/A</v>
        <stp/>
        <stp>BDH|18323547310697961050</stp>
        <tr r="V20" s="4"/>
      </tp>
      <tp t="s">
        <v>#N/A N/A</v>
        <stp/>
        <stp>BDH|14493149102368184693</stp>
        <tr r="Y19" s="2"/>
      </tp>
      <tp t="s">
        <v>#N/A N/A</v>
        <stp/>
        <stp>BDH|15550096683561154722</stp>
        <tr r="AH19" s="2"/>
      </tp>
      <tp t="s">
        <v>#N/A N/A</v>
        <stp/>
        <stp>BDH|18143423318200723600</stp>
        <tr r="M9" s="2"/>
      </tp>
      <tp t="s">
        <v>#N/A N/A</v>
        <stp/>
        <stp>BDH|11738801871482323792</stp>
        <tr r="AE21" s="2"/>
      </tp>
      <tp t="s">
        <v>#N/A N/A</v>
        <stp/>
        <stp>BDH|15274194994776988099</stp>
        <tr r="D7" s="2"/>
      </tp>
      <tp t="s">
        <v>#N/A N/A</v>
        <stp/>
        <stp>BDH|17908738104658222322</stp>
        <tr r="X17" s="4"/>
      </tp>
      <tp t="s">
        <v>#N/A N/A</v>
        <stp/>
        <stp>BDH|14137429227400855928</stp>
        <tr r="AE16" s="2"/>
      </tp>
      <tp t="s">
        <v>#N/A N/A</v>
        <stp/>
        <stp>BDH|13604997727530123370</stp>
        <tr r="G10" s="4"/>
      </tp>
      <tp t="s">
        <v>#N/A N/A</v>
        <stp/>
        <stp>BDP|18385218930466862728</stp>
        <tr r="Z12" s="3"/>
      </tp>
      <tp t="s">
        <v>#N/A N/A</v>
        <stp/>
        <stp>BDP|11749891562192483532</stp>
        <tr r="T17" s="3"/>
      </tp>
      <tp t="s">
        <v>#N/A N/A</v>
        <stp/>
        <stp>BDP|10685569306008326521</stp>
        <tr r="AM9" s="3"/>
      </tp>
      <tp t="s">
        <v>#N/A N/A</v>
        <stp/>
        <stp>BDP|14790633578768295585</stp>
        <tr r="AE17" s="3"/>
      </tp>
      <tp t="s">
        <v>#N/A N/A</v>
        <stp/>
        <stp>BDH|11887963905829345994</stp>
        <tr r="AD17" s="4"/>
      </tp>
      <tp t="s">
        <v>#N/A N/A</v>
        <stp/>
        <stp>BDH|17845215388434164109</stp>
        <tr r="AK9" s="4"/>
      </tp>
      <tp t="s">
        <v>#N/A N/A</v>
        <stp/>
        <stp>BDH|14768912611782537622</stp>
        <tr r="U17" s="4"/>
      </tp>
      <tp t="s">
        <v>#N/A N/A</v>
        <stp/>
        <stp>BDH|17397168442163762903</stp>
        <tr r="L8" s="4"/>
      </tp>
      <tp t="s">
        <v>#N/A N/A</v>
        <stp/>
        <stp>BDH|17174239680924636177</stp>
        <tr r="Z18" s="4"/>
      </tp>
      <tp t="s">
        <v>#N/A N/A</v>
        <stp/>
        <stp>BDH|15009346986896114009</stp>
        <tr r="AA26" s="2"/>
      </tp>
      <tp t="s">
        <v>#N/A N/A</v>
        <stp/>
        <stp>BDH|14767618872778694514</stp>
        <tr r="J16" s="4"/>
      </tp>
      <tp t="s">
        <v>#N/A N/A</v>
        <stp/>
        <stp>BDH|12475574458732188883</stp>
        <tr r="C10" s="2"/>
      </tp>
      <tp t="s">
        <v>#N/A N/A</v>
        <stp/>
        <stp>BDH|17417550682915116704</stp>
        <tr r="AJ25" s="4"/>
      </tp>
      <tp t="s">
        <v>#N/A N/A</v>
        <stp/>
        <stp>BDH|16360885769492666219</stp>
        <tr r="X16" s="4"/>
      </tp>
      <tp t="s">
        <v>#N/A N/A</v>
        <stp/>
        <stp>BDH|17899444794176811451</stp>
        <tr r="O7" s="4"/>
      </tp>
      <tp t="s">
        <v>#N/A N/A</v>
        <stp/>
        <stp>BDH|14479470999427766689</stp>
        <tr r="M14" s="4"/>
      </tp>
      <tp t="s">
        <v>#N/A N/A</v>
        <stp/>
        <stp>BDH|10913838519853284256</stp>
        <tr r="Q26" s="2"/>
      </tp>
      <tp t="s">
        <v>#N/A N/A</v>
        <stp/>
        <stp>BDH|14725952655137182727</stp>
        <tr r="Y8" s="4"/>
      </tp>
      <tp t="s">
        <v>#N/A N/A</v>
        <stp/>
        <stp>BDH|13140377343489202535</stp>
        <tr r="Q18" s="4"/>
      </tp>
      <tp t="s">
        <v>#N/A N/A</v>
        <stp/>
        <stp>BDH|12253055092172172101</stp>
        <tr r="AE16" s="4"/>
      </tp>
      <tp t="s">
        <v>#N/A N/A</v>
        <stp/>
        <stp>BDH|11842485225126497966</stp>
        <tr r="P9" s="2"/>
      </tp>
      <tp t="s">
        <v>#N/A N/A</v>
        <stp/>
        <stp>BDH|17394765851679468470</stp>
        <tr r="T6" s="4"/>
      </tp>
      <tp t="s">
        <v>#N/A N/A</v>
        <stp/>
        <stp>BDH|13749564506847532945</stp>
        <tr r="P17" s="2"/>
      </tp>
      <tp t="s">
        <v>#N/A N/A</v>
        <stp/>
        <stp>BDH|15216369016288405706</stp>
        <tr r="AF16" s="4"/>
      </tp>
      <tp t="s">
        <v>#N/A N/A</v>
        <stp/>
        <stp>BDH|10864530891463169723</stp>
        <tr r="G14" s="4"/>
      </tp>
      <tp t="s">
        <v>#N/A N/A</v>
        <stp/>
        <stp>BDH|14361730304879825244</stp>
        <tr r="AD24" s="2"/>
      </tp>
      <tp t="s">
        <v>#N/A N/A</v>
        <stp/>
        <stp>BDH|15058418039209341334</stp>
        <tr r="G22" s="4"/>
      </tp>
      <tp t="s">
        <v>#N/A N/A</v>
        <stp/>
        <stp>BDH|17008933880638941621</stp>
        <tr r="W26" s="4"/>
      </tp>
      <tp t="s">
        <v>#N/A N/A</v>
        <stp/>
        <stp>BDH|14250503359415101925</stp>
        <tr r="D19" s="2"/>
      </tp>
      <tp t="s">
        <v>#N/A N/A</v>
        <stp/>
        <stp>BDH|14485891087914079821</stp>
        <tr r="U14" s="4"/>
      </tp>
      <tp t="s">
        <v>#N/A N/A</v>
        <stp/>
        <stp>BDH|16584935678258186873</stp>
        <tr r="P22" s="4"/>
      </tp>
      <tp t="s">
        <v>#N/A N/A</v>
        <stp/>
        <stp>BDH|13895429435035334973</stp>
        <tr r="AI24" s="4"/>
      </tp>
      <tp t="s">
        <v>#N/A N/A</v>
        <stp/>
        <stp>BDH|17182988461971038121</stp>
        <tr r="M18" s="4"/>
      </tp>
      <tp t="s">
        <v>#N/A N/A</v>
        <stp/>
        <stp>BDH|17197891071398016834</stp>
        <tr r="AP14" s="2"/>
      </tp>
      <tp t="s">
        <v>#N/A N/A</v>
        <stp/>
        <stp>BDH|10374362864949362488</stp>
        <tr r="W10" s="2"/>
      </tp>
      <tp t="s">
        <v>#N/A N/A</v>
        <stp/>
        <stp>BDH|15814954072890417373</stp>
        <tr r="O16" s="2"/>
      </tp>
      <tp t="s">
        <v>#N/A N/A</v>
        <stp/>
        <stp>BDH|15424871856269896916</stp>
        <tr r="AE7" s="2"/>
      </tp>
      <tp t="s">
        <v>#N/A N/A</v>
        <stp/>
        <stp>BDH|13658496792240768667</stp>
        <tr r="AD16" s="4"/>
      </tp>
      <tp t="s">
        <v>#N/A N/A</v>
        <stp/>
        <stp>BDH|11230774466570832842</stp>
        <tr r="O18" s="2"/>
      </tp>
      <tp t="s">
        <v>#N/A N/A</v>
        <stp/>
        <stp>BDH|11478704370929849026</stp>
        <tr r="AP9" s="2"/>
      </tp>
      <tp t="s">
        <v>#N/A N/A</v>
        <stp/>
        <stp>BDP|18442229189242448919</stp>
        <tr r="AM12" s="3"/>
      </tp>
      <tp t="s">
        <v>#N/A N/A</v>
        <stp/>
        <stp>BDP|11703983238002907039</stp>
        <tr r="Y16" s="3"/>
      </tp>
      <tp t="s">
        <v>#N/A N/A</v>
        <stp/>
        <stp>BDP|13143162564605936862</stp>
        <tr r="D10" s="3"/>
      </tp>
      <tp t="s">
        <v>#N/A N/A</v>
        <stp/>
        <stp>BDP|14308643576058965440</stp>
        <tr r="AM13" s="3"/>
      </tp>
      <tp t="s">
        <v>#N/A N/A</v>
        <stp/>
        <stp>BDP|17026152709849088631</stp>
        <tr r="U9" s="3"/>
      </tp>
      <tp t="s">
        <v>#N/A N/A</v>
        <stp/>
        <stp>BDP|15448512586917869648</stp>
        <tr r="E13" s="3"/>
      </tp>
      <tp t="s">
        <v>#N/A N/A</v>
        <stp/>
        <stp>BDP|17398719284170033197</stp>
        <tr r="T9" s="3"/>
      </tp>
      <tp t="s">
        <v>#N/A N/A</v>
        <stp/>
        <stp>BDP|12443337345915662949</stp>
        <tr r="U16" s="3"/>
      </tp>
      <tp t="s">
        <v>#N/A N/A</v>
        <stp/>
        <stp>BDP|17627619396057086647</stp>
        <tr r="AH12" s="3"/>
      </tp>
      <tp t="s">
        <v>#N/A N/A</v>
        <stp/>
        <stp>BDP|12953726413428790585</stp>
        <tr r="AH16" s="3"/>
      </tp>
      <tp t="s">
        <v>#N/A N/A</v>
        <stp/>
        <stp>BDP|10905072487844986573</stp>
        <tr r="AP12" s="3"/>
      </tp>
      <tp t="s">
        <v>#N/A N/A</v>
        <stp/>
        <stp>BDH|16154345124667270929</stp>
        <tr r="AK10" s="4"/>
      </tp>
      <tp t="s">
        <v>#N/A N/A</v>
        <stp/>
        <stp>BDH|13973066456536943913</stp>
        <tr r="AI14" s="2"/>
      </tp>
      <tp t="s">
        <v>#N/A N/A</v>
        <stp/>
        <stp>BDH|12740740440439672141</stp>
        <tr r="O7" s="2"/>
      </tp>
      <tp t="s">
        <v>#N/A N/A</v>
        <stp/>
        <stp>BDH|10128759345413378925</stp>
        <tr r="G20" s="2"/>
      </tp>
      <tp t="s">
        <v>#N/A N/A</v>
        <stp/>
        <stp>BDH|18168513478763976014</stp>
        <tr r="AA7" s="2"/>
      </tp>
      <tp t="s">
        <v>#N/A N/A</v>
        <stp/>
        <stp>BDH|10494015282429201861</stp>
        <tr r="AM16" s="2"/>
      </tp>
      <tp t="s">
        <v>#N/A N/A</v>
        <stp/>
        <stp>BDH|14711386559843523803</stp>
        <tr r="AP20" s="4"/>
      </tp>
      <tp t="s">
        <v>#N/A N/A</v>
        <stp/>
        <stp>BDH|18346833006748428115</stp>
        <tr r="K19" s="2"/>
      </tp>
      <tp t="s">
        <v>#N/A N/A</v>
        <stp/>
        <stp>BDH|14016672077134344802</stp>
        <tr r="I18" s="2"/>
      </tp>
      <tp t="s">
        <v>#N/A N/A</v>
        <stp/>
        <stp>BDH|11794978396091350974</stp>
        <tr r="F25" s="4"/>
      </tp>
      <tp t="s">
        <v>#N/A N/A</v>
        <stp/>
        <stp>BDH|14368794096781800262</stp>
        <tr r="I20" s="2"/>
      </tp>
      <tp t="s">
        <v>#N/A N/A</v>
        <stp/>
        <stp>BDH|14401170757511912883</stp>
        <tr r="H24" s="2"/>
      </tp>
      <tp t="s">
        <v>#N/A N/A</v>
        <stp/>
        <stp>BDH|17755577494043028115</stp>
        <tr r="I8" s="4"/>
      </tp>
      <tp t="s">
        <v>#N/A N/A</v>
        <stp/>
        <stp>BDH|17637734280883166205</stp>
        <tr r="O16" s="4"/>
      </tp>
      <tp t="s">
        <v>#N/A N/A</v>
        <stp/>
        <stp>BDH|16636691635708627287</stp>
        <tr r="R24" s="2"/>
      </tp>
      <tp t="s">
        <v>#N/A N/A</v>
        <stp/>
        <stp>BDH|14176920763174613615</stp>
        <tr r="AI25" s="4"/>
      </tp>
      <tp t="s">
        <v>#N/A N/A</v>
        <stp/>
        <stp>BDH|15831937333973957568</stp>
        <tr r="N26" s="2"/>
      </tp>
      <tp t="s">
        <v>#N/A N/A</v>
        <stp/>
        <stp>BDH|14342990708763082746</stp>
        <tr r="Q6" s="4"/>
      </tp>
      <tp t="s">
        <v>#N/A N/A</v>
        <stp/>
        <stp>BDH|16454321897363067670</stp>
        <tr r="W7" s="4"/>
      </tp>
      <tp t="s">
        <v>#N/A N/A</v>
        <stp/>
        <stp>BDH|11215856521145783794</stp>
        <tr r="L13" s="2"/>
      </tp>
      <tp t="s">
        <v>#N/A N/A</v>
        <stp/>
        <stp>BDH|15289350170170610891</stp>
        <tr r="AH18" s="4"/>
      </tp>
      <tp t="s">
        <v>#N/A N/A</v>
        <stp/>
        <stp>BDH|17516283381114577035</stp>
        <tr r="AN14" s="4"/>
      </tp>
      <tp t="s">
        <v>#N/A N/A</v>
        <stp/>
        <stp>BDH|15755917555330831016</stp>
        <tr r="AO20" s="2"/>
      </tp>
      <tp t="s">
        <v>#N/A N/A</v>
        <stp/>
        <stp>BDH|13522000168694405849</stp>
        <tr r="H8" s="2"/>
      </tp>
      <tp t="s">
        <v>#N/A N/A</v>
        <stp/>
        <stp>BDH|10127196545465421943</stp>
        <tr r="AB19" s="2"/>
      </tp>
      <tp t="s">
        <v>#N/A N/A</v>
        <stp/>
        <stp>BDH|15770026289463552750</stp>
        <tr r="AF8" s="4"/>
      </tp>
      <tp t="s">
        <v>#N/A N/A</v>
        <stp/>
        <stp>BDH|16184887332417100356</stp>
        <tr r="AN10" s="2"/>
      </tp>
      <tp t="s">
        <v>#N/A N/A</v>
        <stp/>
        <stp>BDH|15379909639530596600</stp>
        <tr r="J14" s="2"/>
      </tp>
      <tp t="s">
        <v>#N/A N/A</v>
        <stp/>
        <stp>BDH|14990720353919342656</stp>
        <tr r="E9" s="4"/>
      </tp>
      <tp t="s">
        <v>#N/A N/A</v>
        <stp/>
        <stp>BDH|12301003518752515803</stp>
        <tr r="S17" s="2"/>
      </tp>
      <tp t="s">
        <v>#N/A N/A</v>
        <stp/>
        <stp>BDP|15711720910738709534</stp>
        <tr r="J10" s="3"/>
      </tp>
      <tp t="s">
        <v>#N/A N/A</v>
        <stp/>
        <stp>BDP|16878752898981568724</stp>
        <tr r="Y17" s="3"/>
      </tp>
      <tp t="s">
        <v>#N/A N/A</v>
        <stp/>
        <stp>BDP|12166049994006214364</stp>
        <tr r="AG16" s="3"/>
      </tp>
      <tp t="s">
        <v>#N/A N/A</v>
        <stp/>
        <stp>BDP|15025173185885790708</stp>
        <tr r="F17" s="3"/>
      </tp>
      <tp t="s">
        <v>#N/A N/A</v>
        <stp/>
        <stp>BDP|11669232487476375372</stp>
        <tr r="K10" s="3"/>
      </tp>
      <tp t="s">
        <v>#N/A N/A</v>
        <stp/>
        <stp>BDH|11705817042220728328</stp>
        <tr r="M25" s="2"/>
      </tp>
      <tp t="s">
        <v>#N/A N/A</v>
        <stp/>
        <stp>BDH|10270547612729368360</stp>
        <tr r="L16" s="2"/>
      </tp>
      <tp t="s">
        <v>#N/A N/A</v>
        <stp/>
        <stp>BDH|16581993814464001487</stp>
        <tr r="AI9" s="2"/>
      </tp>
      <tp t="s">
        <v>#N/A N/A</v>
        <stp/>
        <stp>BDH|16191526742680005915</stp>
        <tr r="V17" s="2"/>
      </tp>
      <tp t="s">
        <v>#N/A N/A</v>
        <stp/>
        <stp>BDH|10074417927190543832</stp>
        <tr r="AI10" s="2"/>
      </tp>
      <tp t="s">
        <v>#N/A N/A</v>
        <stp/>
        <stp>BDH|15348311754314159976</stp>
        <tr r="AD10" s="4"/>
      </tp>
      <tp t="s">
        <v>#N/A N/A</v>
        <stp/>
        <stp>BDH|15287814815901512303</stp>
        <tr r="AB14" s="4"/>
      </tp>
      <tp t="s">
        <v>#N/A N/A</v>
        <stp/>
        <stp>BDH|12140721996343085175</stp>
        <tr r="D8" s="4"/>
      </tp>
      <tp t="s">
        <v>#N/A N/A</v>
        <stp/>
        <stp>BDH|17382672053498080250</stp>
        <tr r="R28" s="4"/>
      </tp>
      <tp t="s">
        <v>#N/A N/A</v>
        <stp/>
        <stp>BDH|12404082180351677580</stp>
        <tr r="AO7" s="2"/>
      </tp>
      <tp t="s">
        <v>#N/A N/A</v>
        <stp/>
        <stp>BDH|16482011016081112872</stp>
        <tr r="I16" s="4"/>
      </tp>
      <tp t="s">
        <v>#N/A N/A</v>
        <stp/>
        <stp>BDH|17960045183160997125</stp>
        <tr r="C14" s="4"/>
      </tp>
      <tp t="s">
        <v>#N/A N/A</v>
        <stp/>
        <stp>BDH|15767312395986342754</stp>
        <tr r="AK18" s="4"/>
      </tp>
      <tp t="s">
        <v>#N/A N/A</v>
        <stp/>
        <stp>BDH|12067415980720429006</stp>
        <tr r="C9" s="2"/>
      </tp>
      <tp t="s">
        <v>#N/A N/A</v>
        <stp/>
        <stp>BDH|10143942413482189431</stp>
        <tr r="V14" s="2"/>
      </tp>
      <tp t="s">
        <v>#N/A N/A</v>
        <stp/>
        <stp>BDH|13363802037860188614</stp>
        <tr r="Z17" s="4"/>
      </tp>
      <tp t="s">
        <v>#N/A N/A</v>
        <stp/>
        <stp>BDH|15544438821915444849</stp>
        <tr r="M6" s="4"/>
      </tp>
      <tp t="s">
        <v>#N/A N/A</v>
        <stp/>
        <stp>BDH|13936097167833720864</stp>
        <tr r="R25" s="2"/>
      </tp>
      <tp t="s">
        <v>#N/A N/A</v>
        <stp/>
        <stp>BDH|10358008755378767376</stp>
        <tr r="AK8" s="4"/>
      </tp>
      <tp t="s">
        <v>#N/A N/A</v>
        <stp/>
        <stp>BDH|14187333481866732723</stp>
        <tr r="Q9" s="2"/>
      </tp>
      <tp t="s">
        <v>#N/A N/A</v>
        <stp/>
        <stp>BDH|13617213742923558869</stp>
        <tr r="H24" s="4"/>
      </tp>
      <tp t="s">
        <v>#N/A N/A</v>
        <stp/>
        <stp>BDH|17010455725738561730</stp>
        <tr r="AB20" s="4"/>
      </tp>
      <tp t="s">
        <v>#N/A N/A</v>
        <stp/>
        <stp>BDH|11118524168934162838</stp>
        <tr r="F10" s="2"/>
      </tp>
      <tp t="s">
        <v>#N/A N/A</v>
        <stp/>
        <stp>BDH|14338713263582000982</stp>
        <tr r="AJ17" s="2"/>
      </tp>
      <tp t="s">
        <v>#N/A N/A</v>
        <stp/>
        <stp>BDH|12716934908637508210</stp>
        <tr r="P20" s="2"/>
      </tp>
      <tp t="s">
        <v>#N/A N/A</v>
        <stp/>
        <stp>BDH|12214360268809154067</stp>
        <tr r="X7" s="4"/>
      </tp>
      <tp t="s">
        <v>#N/A N/A</v>
        <stp/>
        <stp>BDH|14932757625358185743</stp>
        <tr r="AB16" s="2"/>
      </tp>
      <tp t="s">
        <v>#N/A N/A</v>
        <stp/>
        <stp>BDH|17301824150116697285</stp>
        <tr r="AP7" s="4"/>
      </tp>
      <tp t="s">
        <v>#N/A N/A</v>
        <stp/>
        <stp>BDH|17644495111894009814</stp>
        <tr r="C26" s="4"/>
      </tp>
      <tp t="s">
        <v>#N/A N/A</v>
        <stp/>
        <stp>BDH|14594813632485149488</stp>
        <tr r="C22" s="4"/>
      </tp>
      <tp t="s">
        <v>#N/A N/A</v>
        <stp/>
        <stp>BDH|10185413889845741716</stp>
        <tr r="AN20" s="4"/>
      </tp>
      <tp t="s">
        <v>#N/A N/A</v>
        <stp/>
        <stp>BDH|14834187133171479984</stp>
        <tr r="AI16" s="2"/>
      </tp>
      <tp t="s">
        <v>#N/A N/A</v>
        <stp/>
        <stp>BDH|10634936550836315484</stp>
        <tr r="AP17" s="4"/>
      </tp>
      <tp t="s">
        <v>#N/A N/A</v>
        <stp/>
        <stp>BDH|12484982631271233719</stp>
        <tr r="Y20" s="2"/>
      </tp>
      <tp t="s">
        <v>#N/A N/A</v>
        <stp/>
        <stp>BDP|10531810070785873554</stp>
        <tr r="AJ12" s="3"/>
      </tp>
    </main>
    <main first="bofaddin.rtdserver">
      <tp t="s">
        <v>#N/A N/A</v>
        <stp/>
        <stp>BDP|11279442470855834843</stp>
        <tr r="AC17" s="3"/>
      </tp>
      <tp t="s">
        <v>#N/A N/A</v>
        <stp/>
        <stp>BDP|15726771968788747351</stp>
        <tr r="D9" s="3"/>
      </tp>
      <tp t="s">
        <v>#N/A N/A</v>
        <stp/>
        <stp>BDP|16040430720216566998</stp>
        <tr r="S9" s="3"/>
      </tp>
      <tp t="s">
        <v>#N/A N/A</v>
        <stp/>
        <stp>BDP|16101175779089857671</stp>
        <tr r="AC9" s="3"/>
      </tp>
      <tp t="s">
        <v>#N/A N/A</v>
        <stp/>
        <stp>BDP|18108652894618019025</stp>
        <tr r="AE10" s="3"/>
      </tp>
      <tp t="s">
        <v>#N/A N/A</v>
        <stp/>
        <stp>BDP|12226600064754014942</stp>
        <tr r="AK16" s="3"/>
      </tp>
      <tp t="s">
        <v>#N/A N/A</v>
        <stp/>
        <stp>BDP|13470526622673089836</stp>
        <tr r="AH13" s="3"/>
      </tp>
      <tp t="s">
        <v>#N/A N/A</v>
        <stp/>
        <stp>BDH|13461907664040164300</stp>
        <tr r="S7" s="4"/>
      </tp>
      <tp t="s">
        <v>#N/A N/A</v>
        <stp/>
        <stp>BDH|16082928713410564154</stp>
        <tr r="P7" s="4"/>
      </tp>
      <tp t="s">
        <v>#N/A N/A</v>
        <stp/>
        <stp>BDH|18340024061785862482</stp>
        <tr r="D9" s="2"/>
      </tp>
      <tp t="s">
        <v>#N/A N/A</v>
        <stp/>
        <stp>BDH|14693912368473891749</stp>
        <tr r="AB13" s="4"/>
      </tp>
      <tp t="s">
        <v>#N/A N/A</v>
        <stp/>
        <stp>BDH|12182879916297316306</stp>
        <tr r="R7" s="2"/>
      </tp>
      <tp t="s">
        <v>#N/A N/A</v>
        <stp/>
        <stp>BDH|11087109471451191924</stp>
        <tr r="AA16" s="4"/>
      </tp>
      <tp t="s">
        <v>#N/A N/A</v>
        <stp/>
        <stp>BDH|17480521678959938351</stp>
        <tr r="D7" s="4"/>
      </tp>
      <tp t="s">
        <v>#N/A N/A</v>
        <stp/>
        <stp>BDH|14956359509528359037</stp>
        <tr r="AP8" s="4"/>
      </tp>
      <tp t="s">
        <v>#N/A N/A</v>
        <stp/>
        <stp>BDH|16674478176503479964</stp>
        <tr r="L26" s="2"/>
      </tp>
      <tp t="s">
        <v>#N/A N/A</v>
        <stp/>
        <stp>BDH|12280038586652793756</stp>
        <tr r="AO6" s="4"/>
      </tp>
      <tp t="s">
        <v>#N/A N/A</v>
        <stp/>
        <stp>BDH|11211501211088343255</stp>
        <tr r="AK25" s="2"/>
      </tp>
      <tp t="s">
        <v>#N/A N/A</v>
        <stp/>
        <stp>BDH|16696046482962749325</stp>
        <tr r="AO13" s="2"/>
      </tp>
    </main>
    <main first="bofaddin.rtdserver">
      <tp t="s">
        <v>#N/A N/A</v>
        <stp/>
        <stp>BDH|13685559292150765022</stp>
        <tr r="AP8" s="2"/>
      </tp>
      <tp t="s">
        <v>#N/A N/A</v>
        <stp/>
        <stp>BDH|12427542769756983875</stp>
        <tr r="W13" s="2"/>
      </tp>
      <tp t="s">
        <v>#N/A N/A</v>
        <stp/>
        <stp>BDH|12142464879786010898</stp>
        <tr r="AF12" s="4"/>
      </tp>
      <tp t="s">
        <v>#N/A N/A</v>
        <stp/>
        <stp>BDH|12971730969779788535</stp>
        <tr r="U6" s="4"/>
      </tp>
      <tp t="s">
        <v>#N/A N/A</v>
        <stp/>
        <stp>BDH|14651119820960799871</stp>
        <tr r="N20" s="2"/>
      </tp>
      <tp t="s">
        <v>#N/A N/A</v>
        <stp/>
        <stp>BDH|16775775789714779287</stp>
        <tr r="AE6" s="4"/>
      </tp>
      <tp t="s">
        <v>#N/A N/A</v>
        <stp/>
        <stp>BDH|13816185068513606878</stp>
        <tr r="AH17" s="4"/>
      </tp>
      <tp t="s">
        <v>#N/A N/A</v>
        <stp/>
        <stp>BDH|17818711575561389969</stp>
        <tr r="G25" s="4"/>
      </tp>
      <tp t="s">
        <v>#N/A N/A</v>
        <stp/>
        <stp>BDH|11571872338472371714</stp>
        <tr r="O13" s="2"/>
      </tp>
      <tp t="s">
        <v>#N/A N/A</v>
        <stp/>
        <stp>BDH|18275482443504009329</stp>
        <tr r="E26" s="4"/>
      </tp>
      <tp t="s">
        <v>#N/A N/A</v>
        <stp/>
        <stp>BDH|13687548898960080013</stp>
        <tr r="U7" s="4"/>
      </tp>
      <tp t="s">
        <v>#N/A N/A</v>
        <stp/>
        <stp>BDH|14368538505226601891</stp>
        <tr r="K9" s="4"/>
      </tp>
      <tp t="s">
        <v>#N/A N/A</v>
        <stp/>
        <stp>BDH|15815905153427170107</stp>
        <tr r="AA13" s="2"/>
      </tp>
      <tp t="s">
        <v>#N/A N/A</v>
        <stp/>
        <stp>BDH|13559433488484417404</stp>
        <tr r="C24" s="4"/>
      </tp>
      <tp t="s">
        <v>#N/A N/A</v>
        <stp/>
        <stp>BDH|17544808219085392409</stp>
        <tr r="AK7" s="4"/>
      </tp>
      <tp t="s">
        <v>#N/A N/A</v>
        <stp/>
        <stp>BDH|14066096784227003420</stp>
        <tr r="AO19" s="2"/>
      </tp>
      <tp t="s">
        <v>#N/A N/A</v>
        <stp/>
        <stp>BDP|18347191795165277979</stp>
        <tr r="N13" s="3"/>
      </tp>
      <tp t="s">
        <v>#N/A N/A</v>
        <stp/>
        <stp>BDP|18132639818956126577</stp>
        <tr r="AF13" s="3"/>
      </tp>
      <tp t="s">
        <v>#N/A N/A</v>
        <stp/>
        <stp>BDP|11281660625771263824</stp>
        <tr r="U17" s="3"/>
      </tp>
      <tp t="s">
        <v>#N/A N/A</v>
        <stp/>
        <stp>BDP|11547575609918067096</stp>
        <tr r="AA13" s="3"/>
      </tp>
      <tp t="s">
        <v>#N/A N/A</v>
        <stp/>
        <stp>BDP|14111432361958676204</stp>
        <tr r="AD9" s="3"/>
      </tp>
      <tp t="s">
        <v>#N/A N/A</v>
        <stp/>
        <stp>BDP|16585300281424915588</stp>
        <tr r="AB9" s="3"/>
      </tp>
      <tp t="s">
        <v>#N/A N/A</v>
        <stp/>
        <stp>BDH|10701538585250534156</stp>
        <tr r="AG25" s="4"/>
      </tp>
      <tp t="s">
        <v>#N/A N/A</v>
        <stp/>
        <stp>BDH|13240264189553812644</stp>
        <tr r="AF14" s="4"/>
      </tp>
      <tp t="s">
        <v>#N/A N/A</v>
        <stp/>
        <stp>BDH|14932817933530333395</stp>
        <tr r="Q26" s="4"/>
      </tp>
      <tp t="s">
        <v>#N/A N/A</v>
        <stp/>
        <stp>BDH|17187215825992653927</stp>
        <tr r="N8" s="2"/>
      </tp>
      <tp t="s">
        <v>#N/A N/A</v>
        <stp/>
        <stp>BDH|16293037576779545420</stp>
        <tr r="AD21" s="4"/>
      </tp>
      <tp t="s">
        <v>#N/A N/A</v>
        <stp/>
        <stp>BDH|16650897832058439993</stp>
        <tr r="AH7" s="2"/>
      </tp>
      <tp t="s">
        <v>#N/A N/A</v>
        <stp/>
        <stp>BDH|11952896710386464241</stp>
        <tr r="S21" s="2"/>
      </tp>
      <tp t="s">
        <v>#N/A N/A</v>
        <stp/>
        <stp>BDH|11790976955833233272</stp>
        <tr r="W21" s="4"/>
      </tp>
      <tp t="s">
        <v>#N/A N/A</v>
        <stp/>
        <stp>BDH|10223789969495977882</stp>
        <tr r="AO7" s="4"/>
      </tp>
      <tp t="s">
        <v>#N/A N/A</v>
        <stp/>
        <stp>BDH|18026618346840100648</stp>
        <tr r="M16" s="4"/>
      </tp>
      <tp t="s">
        <v>#N/A N/A</v>
        <stp/>
        <stp>BDH|16512336343624150966</stp>
        <tr r="Q21" s="2"/>
      </tp>
      <tp t="s">
        <v>#N/A N/A</v>
        <stp/>
        <stp>BDH|13939424098553163105</stp>
        <tr r="K17" s="4"/>
      </tp>
      <tp t="s">
        <v>#N/A N/A</v>
        <stp/>
        <stp>BDH|11599141885406295243</stp>
        <tr r="J25" s="2"/>
      </tp>
      <tp t="s">
        <v>#N/A N/A</v>
        <stp/>
        <stp>BDH|17348024244697558827</stp>
        <tr r="H16" s="4"/>
      </tp>
      <tp t="s">
        <v>#N/A N/A</v>
        <stp/>
        <stp>BDH|12138891677629926839</stp>
        <tr r="AE7" s="4"/>
      </tp>
      <tp t="s">
        <v>#N/A N/A</v>
        <stp/>
        <stp>BDH|13131319886583136723</stp>
        <tr r="W21" s="2"/>
      </tp>
      <tp t="s">
        <v>#N/A N/A</v>
        <stp/>
        <stp>BDH|14880998921540414317</stp>
        <tr r="W18" s="2"/>
      </tp>
      <tp t="s">
        <v>#N/A N/A</v>
        <stp/>
        <stp>BDH|15240629401376140940</stp>
        <tr r="AP17" s="2"/>
      </tp>
      <tp t="s">
        <v>#N/A N/A</v>
        <stp/>
        <stp>BDH|11104988668144405610</stp>
        <tr r="K21" s="4"/>
      </tp>
      <tp t="s">
        <v>#N/A N/A</v>
        <stp/>
        <stp>BDH|16450264740328151473</stp>
        <tr r="AH24" s="4"/>
      </tp>
      <tp t="s">
        <v>#N/A N/A</v>
        <stp/>
        <stp>BDH|15989940014060847166</stp>
        <tr r="I13" s="4"/>
      </tp>
      <tp t="s">
        <v>#N/A N/A</v>
        <stp/>
        <stp>BDH|10338357671598863089</stp>
        <tr r="M12" s="4"/>
      </tp>
      <tp t="s">
        <v>#N/A N/A</v>
        <stp/>
        <stp>BDH|15109556697242461701</stp>
        <tr r="T10" s="4"/>
      </tp>
      <tp t="s">
        <v>#N/A N/A</v>
        <stp/>
        <stp>BDH|12411997960036307788</stp>
        <tr r="AP21" s="2"/>
      </tp>
      <tp t="s">
        <v>#N/A N/A</v>
        <stp/>
        <stp>BDH|13453286559371762943</stp>
        <tr r="AM25" s="4"/>
      </tp>
      <tp t="s">
        <v>#N/A N/A</v>
        <stp/>
        <stp>BDH|16930460930548046563</stp>
        <tr r="J26" s="4"/>
      </tp>
      <tp t="s">
        <v>#N/A N/A</v>
        <stp/>
        <stp>BDH|16355964969340344549</stp>
        <tr r="AM8" s="4"/>
      </tp>
      <tp t="s">
        <v>#N/A N/A</v>
        <stp/>
        <stp>BDH|14615692281970199643</stp>
        <tr r="X8" s="4"/>
      </tp>
      <tp t="s">
        <v>#N/A N/A</v>
        <stp/>
        <stp>BDH|11566586733398733333</stp>
        <tr r="W17" s="4"/>
      </tp>
      <tp t="s">
        <v>#N/A N/A</v>
        <stp/>
        <stp>BDH|12043899446773727151</stp>
        <tr r="AK12" s="4"/>
      </tp>
      <tp t="s">
        <v>#N/A N/A</v>
        <stp/>
        <stp>BDH|15186999159722475788</stp>
        <tr r="AK13" s="4"/>
      </tp>
      <tp t="s">
        <v>#N/A N/A</v>
        <stp/>
        <stp>BDH|17068918168045055148</stp>
        <tr r="AC13" s="4"/>
      </tp>
      <tp t="s">
        <v>#N/A N/A</v>
        <stp/>
        <stp>BDH|10032666879735718878</stp>
        <tr r="AK17" s="4"/>
      </tp>
      <tp t="s">
        <v>#N/A N/A</v>
        <stp/>
        <stp>BDH|11421583391645319408</stp>
        <tr r="I25" s="4"/>
      </tp>
      <tp t="s">
        <v>#N/A N/A</v>
        <stp/>
        <stp>BDH|11444822339853223530</stp>
        <tr r="AK22" s="4"/>
      </tp>
      <tp t="s">
        <v>#N/A N/A</v>
        <stp/>
        <stp>BDH|12174232670163445880</stp>
        <tr r="V20" s="2"/>
      </tp>
      <tp t="s">
        <v>#N/A N/A</v>
        <stp/>
        <stp>BDP|16885250891451189167</stp>
        <tr r="R12" s="3"/>
      </tp>
      <tp t="s">
        <v>#N/A N/A</v>
        <stp/>
        <stp>BDP|16338880906996211556</stp>
        <tr r="AD10" s="3"/>
      </tp>
      <tp t="s">
        <v>#N/A N/A</v>
        <stp/>
        <stp>BDP|13191269614608826548</stp>
        <tr r="AL16" s="3"/>
      </tp>
      <tp t="s">
        <v>#N/A N/A</v>
        <stp/>
        <stp>BDP|13572927876170595054</stp>
        <tr r="Y12" s="3"/>
      </tp>
      <tp t="s">
        <v>#N/A N/A</v>
        <stp/>
        <stp>BDP|16841180188346707488</stp>
        <tr r="R13" s="3"/>
      </tp>
      <tp t="s">
        <v>#N/A N/A</v>
        <stp/>
        <stp>BDH|11971671418872125964</stp>
        <tr r="AA16" s="2"/>
      </tp>
      <tp t="s">
        <v>#N/A N/A</v>
        <stp/>
        <stp>BDH|13494978442162576153</stp>
        <tr r="S19" s="2"/>
      </tp>
      <tp t="s">
        <v>#N/A N/A</v>
        <stp/>
        <stp>BDH|14442402467323271818</stp>
        <tr r="P13" s="2"/>
      </tp>
      <tp t="s">
        <v>#N/A N/A</v>
        <stp/>
        <stp>BDH|11437173498803964721</stp>
        <tr r="N21" s="4"/>
      </tp>
      <tp t="s">
        <v>#N/A N/A</v>
        <stp/>
        <stp>BDH|17613724622608181778</stp>
        <tr r="M7" s="4"/>
      </tp>
      <tp t="s">
        <v>#N/A N/A</v>
        <stp/>
        <stp>BDH|16520170443206129805</stp>
        <tr r="X26" s="4"/>
      </tp>
      <tp t="s">
        <v>#N/A N/A</v>
        <stp/>
        <stp>BDH|17101281719878576165</stp>
        <tr r="M19" s="2"/>
      </tp>
      <tp t="s">
        <v>#N/A N/A</v>
        <stp/>
        <stp>BDH|14285520689217339380</stp>
        <tr r="K14" s="2"/>
      </tp>
      <tp t="s">
        <v>#N/A N/A</v>
        <stp/>
        <stp>BDH|16537933211917361462</stp>
        <tr r="AK9" s="2"/>
      </tp>
      <tp t="s">
        <v>#N/A N/A</v>
        <stp/>
        <stp>BDH|14668293911043511996</stp>
        <tr r="AC12" s="4"/>
      </tp>
      <tp t="s">
        <v>#N/A N/A</v>
        <stp/>
        <stp>BDH|11392449347134437864</stp>
        <tr r="U24" s="2"/>
      </tp>
      <tp t="s">
        <v>#N/A N/A</v>
        <stp/>
        <stp>BDH|17288262642845697957</stp>
        <tr r="AM24" s="2"/>
      </tp>
      <tp t="s">
        <v>#N/A N/A</v>
        <stp/>
        <stp>BDH|14491857166091976690</stp>
        <tr r="K21" s="2"/>
      </tp>
      <tp t="s">
        <v>#N/A N/A</v>
        <stp/>
        <stp>BDH|15702525966482644929</stp>
        <tr r="L6" s="4"/>
      </tp>
      <tp t="s">
        <v>#N/A N/A</v>
        <stp/>
        <stp>BDH|17366007887137522564</stp>
        <tr r="F26" s="2"/>
      </tp>
      <tp t="s">
        <v>#N/A N/A</v>
        <stp/>
        <stp>BDH|13600418880076711461</stp>
        <tr r="AF17" s="2"/>
      </tp>
      <tp t="s">
        <v>#N/A N/A</v>
        <stp/>
        <stp>BDH|14319264331618776055</stp>
        <tr r="AO12" s="4"/>
      </tp>
      <tp t="s">
        <v>#N/A N/A</v>
        <stp/>
        <stp>BDH|17001752889113392646</stp>
        <tr r="F8" s="2"/>
      </tp>
      <tp t="s">
        <v>#N/A N/A</v>
        <stp/>
        <stp>BDH|10878343252638321363</stp>
        <tr r="AD20" s="4"/>
      </tp>
      <tp t="s">
        <v>#N/A N/A</v>
        <stp/>
        <stp>BDH|13518952743482986107</stp>
        <tr r="M16" s="2"/>
      </tp>
      <tp t="s">
        <v>#N/A N/A</v>
        <stp/>
        <stp>BDH|18306184644522017256</stp>
        <tr r="Q21" s="4"/>
      </tp>
      <tp t="s">
        <v>#N/A N/A</v>
        <stp/>
        <stp>BDH|10561346984021895708</stp>
        <tr r="AL13" s="4"/>
      </tp>
      <tp t="s">
        <v>#N/A N/A</v>
        <stp/>
        <stp>BDH|17306074039200203939</stp>
        <tr r="L24" s="4"/>
      </tp>
      <tp t="s">
        <v>#N/A N/A</v>
        <stp/>
        <stp>BDH|12879360295334754133</stp>
        <tr r="Y25" s="4"/>
      </tp>
      <tp t="s">
        <v>#N/A N/A</v>
        <stp/>
        <stp>BDH|18306261743162860108</stp>
        <tr r="K20" s="2"/>
      </tp>
      <tp t="s">
        <v>#N/A N/A</v>
        <stp/>
        <stp>BDH|15529418539136411979</stp>
        <tr r="C25" s="4"/>
      </tp>
      <tp t="s">
        <v>#N/A N/A</v>
        <stp/>
        <stp>BDH|15084044137032449999</stp>
        <tr r="Z7" s="2"/>
      </tp>
      <tp t="s">
        <v>#N/A N/A</v>
        <stp/>
        <stp>BDH|16855667748741075882</stp>
        <tr r="T28" s="4"/>
      </tp>
      <tp t="s">
        <v>#N/A N/A</v>
        <stp/>
        <stp>BDP|17703273858516122402</stp>
        <tr r="AB17" s="3"/>
      </tp>
      <tp t="s">
        <v>#N/A N/A</v>
        <stp/>
        <stp>BDP|10363778190554480887</stp>
        <tr r="AP9" s="3"/>
      </tp>
      <tp t="s">
        <v>#N/A N/A</v>
        <stp/>
        <stp>BDP|17723694335990044002</stp>
        <tr r="D12" s="3"/>
      </tp>
      <tp t="s">
        <v>#N/A N/A</v>
        <stp/>
        <stp>BDP|15489118389076293848</stp>
        <tr r="AI10" s="3"/>
      </tp>
      <tp t="s">
        <v>#N/A N/A</v>
        <stp/>
        <stp>BDP|10707515158693298132</stp>
        <tr r="AE9" s="3"/>
      </tp>
      <tp t="s">
        <v>#N/A N/A</v>
        <stp/>
        <stp>BDP|13353146454993421643</stp>
        <tr r="O17" s="3"/>
      </tp>
      <tp t="s">
        <v>#N/A N/A</v>
        <stp/>
        <stp>BDH|10510161232997069706</stp>
        <tr r="AK21" s="4"/>
      </tp>
      <tp t="s">
        <v>#N/A N/A</v>
        <stp/>
        <stp>BDH|17543591159775690026</stp>
        <tr r="AF22" s="4"/>
      </tp>
      <tp t="s">
        <v>#N/A N/A</v>
        <stp/>
        <stp>BDH|17404519113540520135</stp>
        <tr r="AD19" s="2"/>
      </tp>
      <tp t="s">
        <v>#N/A N/A</v>
        <stp/>
        <stp>BDH|17486375717155626229</stp>
        <tr r="AB17" s="4"/>
      </tp>
      <tp t="s">
        <v>#N/A N/A</v>
        <stp/>
        <stp>BDH|11830662644160092191</stp>
        <tr r="D14" s="2"/>
      </tp>
      <tp t="s">
        <v>#N/A N/A</v>
        <stp/>
        <stp>BDH|16533428813870288157</stp>
        <tr r="V18" s="4"/>
      </tp>
      <tp t="s">
        <v>#N/A N/A</v>
        <stp/>
        <stp>BDH|18153971048596558186</stp>
        <tr r="N26" s="4"/>
      </tp>
      <tp t="s">
        <v>#N/A N/A</v>
        <stp/>
        <stp>BDH|13927659956055934710</stp>
        <tr r="AB10" s="4"/>
      </tp>
      <tp t="s">
        <v>#N/A N/A</v>
        <stp/>
        <stp>BDH|12590265814922367160</stp>
        <tr r="Q24" s="2"/>
      </tp>
      <tp t="s">
        <v>#N/A N/A</v>
        <stp/>
        <stp>BDH|10225844513188675310</stp>
        <tr r="AL26" s="2"/>
      </tp>
      <tp t="s">
        <v>#N/A N/A</v>
        <stp/>
        <stp>BDH|13281912597960671100</stp>
        <tr r="AL16" s="4"/>
      </tp>
      <tp t="s">
        <v>#N/A N/A</v>
        <stp/>
        <stp>BDH|13998063477155918343</stp>
        <tr r="AP26" s="2"/>
      </tp>
      <tp t="s">
        <v>#N/A N/A</v>
        <stp/>
        <stp>BDH|17198638235142758259</stp>
        <tr r="L10" s="4"/>
      </tp>
      <tp t="s">
        <v>#N/A N/A</v>
        <stp/>
        <stp>BDH|11529525727696301262</stp>
        <tr r="Y21" s="2"/>
      </tp>
      <tp t="s">
        <v>#N/A N/A</v>
        <stp/>
        <stp>BDH|14144222517360813593</stp>
        <tr r="AN19" s="2"/>
      </tp>
      <tp t="s">
        <v>#N/A N/A</v>
        <stp/>
        <stp>BDH|14233140378190044090</stp>
        <tr r="L17" s="4"/>
      </tp>
      <tp t="s">
        <v>#N/A N/A</v>
        <stp/>
        <stp>BDH|11084156633321156013</stp>
        <tr r="J21" s="4"/>
      </tp>
      <tp t="s">
        <v>#N/A N/A</v>
        <stp/>
        <stp>BDH|11706491119346542049</stp>
        <tr r="G13" s="2"/>
      </tp>
      <tp t="s">
        <v>#N/A N/A</v>
        <stp/>
        <stp>BDH|16521498654420177502</stp>
        <tr r="AB9" s="2"/>
      </tp>
      <tp t="s">
        <v>#N/A N/A</v>
        <stp/>
        <stp>BDH|14228376142070625187</stp>
        <tr r="R26" s="4"/>
      </tp>
      <tp t="s">
        <v>#N/A N/A</v>
        <stp/>
        <stp>BDH|10312264538994115744</stp>
        <tr r="AE17" s="2"/>
      </tp>
      <tp t="s">
        <v>#N/A N/A</v>
        <stp/>
        <stp>BDH|10212974195845859708</stp>
        <tr r="AJ12" s="4"/>
      </tp>
      <tp t="s">
        <v>#N/A N/A</v>
        <stp/>
        <stp>BDH|18411972324013924266</stp>
        <tr r="AL24" s="4"/>
      </tp>
      <tp t="s">
        <v>#N/A N/A</v>
        <stp/>
        <stp>BDH|17697725459166426119</stp>
        <tr r="N24" s="4"/>
      </tp>
      <tp t="s">
        <v>#N/A N/A</v>
        <stp/>
        <stp>BDH|17682907130409983646</stp>
        <tr r="AB6" s="4"/>
      </tp>
      <tp t="s">
        <v>#N/A N/A</v>
        <stp/>
        <stp>BDH|17743530948004290046</stp>
        <tr r="AJ17" s="4"/>
      </tp>
      <tp t="s">
        <v>#N/A N/A</v>
        <stp/>
        <stp>BDH|15964361635454083304</stp>
        <tr r="U19" s="2"/>
      </tp>
      <tp t="s">
        <v>#N/A N/A</v>
        <stp/>
        <stp>BDH|12026168038914494607</stp>
        <tr r="AI13" s="2"/>
      </tp>
      <tp t="s">
        <v>#N/A N/A</v>
        <stp/>
        <stp>BDH|10484380336484684661</stp>
        <tr r="D21" s="4"/>
      </tp>
      <tp t="s">
        <v>#N/A N/A</v>
        <stp/>
        <stp>BDH|17829640852892670457</stp>
        <tr r="G17" s="2"/>
      </tp>
      <tp t="s">
        <v>#N/A N/A</v>
        <stp/>
        <stp>BDH|12239336688319020247</stp>
        <tr r="AG14" s="2"/>
      </tp>
      <tp t="s">
        <v>#N/A N/A</v>
        <stp/>
        <stp>BDH|16542458858301056442</stp>
        <tr r="AM17" s="2"/>
      </tp>
      <tp t="s">
        <v>#N/A N/A</v>
        <stp/>
        <stp>BDH|13178864974626926864</stp>
        <tr r="D16" s="2"/>
      </tp>
      <tp t="s">
        <v>#N/A N/A</v>
        <stp/>
        <stp>BDH|11023396094939668043</stp>
        <tr r="K16" s="4"/>
      </tp>
      <tp t="s">
        <v>#N/A N/A</v>
        <stp/>
        <stp>BDH|15855283596468020498</stp>
        <tr r="T20" s="4"/>
      </tp>
      <tp t="s">
        <v>#N/A N/A</v>
        <stp/>
        <stp>BDH|12486378332530986073</stp>
        <tr r="AP28" s="4"/>
      </tp>
      <tp t="s">
        <v>#N/A N/A</v>
        <stp/>
        <stp>BDH|12459517657531413195</stp>
        <tr r="U9" s="2"/>
      </tp>
      <tp t="s">
        <v>#N/A N/A</v>
        <stp/>
        <stp>BDH|12863333734653842392</stp>
        <tr r="AE17" s="4"/>
      </tp>
      <tp t="s">
        <v>#N/A N/A</v>
        <stp/>
        <stp>BDP|17583863376959926257</stp>
        <tr r="AK12" s="3"/>
      </tp>
      <tp t="s">
        <v>#N/A N/A</v>
        <stp/>
        <stp>BDP|16589640568223109609</stp>
        <tr r="P10" s="3"/>
      </tp>
      <tp t="s">
        <v>#N/A N/A</v>
        <stp/>
        <stp>BDP|11684210241435477185</stp>
        <tr r="AA12" s="3"/>
      </tp>
      <tp t="s">
        <v>#N/A N/A</v>
        <stp/>
        <stp>BDP|12707344618760889323</stp>
        <tr r="AB13" s="3"/>
      </tp>
      <tp t="s">
        <v>#N/A N/A</v>
        <stp/>
        <stp>BDP|15492055904414563213</stp>
        <tr r="K16" s="3"/>
      </tp>
      <tp t="s">
        <v>#N/A N/A</v>
        <stp/>
        <stp>BDP|10181955112232762933</stp>
        <tr r="J12" s="3"/>
      </tp>
      <tp t="s">
        <v>#N/A N/A</v>
        <stp/>
        <stp>BDP|13010337964461008400</stp>
        <tr r="Q17" s="3"/>
      </tp>
      <tp t="s">
        <v>#N/A N/A</v>
        <stp/>
        <stp>BDP|14059782204604349490</stp>
        <tr r="P13" s="3"/>
      </tp>
      <tp t="s">
        <v>#N/A N/A</v>
        <stp/>
        <stp>BDH|10696527495018025706</stp>
        <tr r="J18" s="4"/>
      </tp>
      <tp t="s">
        <v>#N/A N/A</v>
        <stp/>
        <stp>BDH|14795968597693714408</stp>
        <tr r="U7" s="2"/>
      </tp>
      <tp t="s">
        <v>#N/A N/A</v>
        <stp/>
        <stp>BDH|15140658431925494602</stp>
        <tr r="AC9" s="2"/>
      </tp>
      <tp t="s">
        <v>#N/A N/A</v>
        <stp/>
        <stp>BDH|15679563435048206865</stp>
        <tr r="C7" s="2"/>
      </tp>
      <tp t="s">
        <v>#N/A N/A</v>
        <stp/>
        <stp>BDH|17835200008630778667</stp>
        <tr r="Z8" s="4"/>
      </tp>
      <tp t="s">
        <v>#N/A N/A</v>
        <stp/>
        <stp>BDH|13451972124218292357</stp>
        <tr r="F13" s="4"/>
      </tp>
      <tp t="s">
        <v>#N/A N/A</v>
        <stp/>
        <stp>BDH|14804153954002894115</stp>
        <tr r="AD13" s="4"/>
      </tp>
      <tp t="s">
        <v>#N/A N/A</v>
        <stp/>
        <stp>BDH|15868001974150849143</stp>
        <tr r="Z12" s="4"/>
      </tp>
      <tp t="s">
        <v>#N/A N/A</v>
        <stp/>
        <stp>BDH|18333328557428177578</stp>
        <tr r="I14" s="4"/>
      </tp>
      <tp t="s">
        <v>#N/A N/A</v>
        <stp/>
        <stp>BDH|16413285535470823429</stp>
        <tr r="H18" s="2"/>
      </tp>
      <tp t="s">
        <v>#N/A N/A</v>
        <stp/>
        <stp>BDH|11148351122867601434</stp>
        <tr r="W16" s="4"/>
      </tp>
      <tp t="s">
        <v>#N/A N/A</v>
        <stp/>
        <stp>BDH|12366254560170242578</stp>
        <tr r="L21" s="2"/>
      </tp>
      <tp t="s">
        <v>#N/A N/A</v>
        <stp/>
        <stp>BDH|11223076423404343465</stp>
        <tr r="AH20" s="4"/>
      </tp>
      <tp t="s">
        <v>#N/A N/A</v>
        <stp/>
        <stp>BDH|11676424626702767663</stp>
        <tr r="W19" s="2"/>
      </tp>
      <tp t="s">
        <v>#N/A N/A</v>
        <stp/>
        <stp>BDH|12229662317641699776</stp>
        <tr r="AK6" s="4"/>
      </tp>
      <tp t="s">
        <v>#N/A N/A</v>
        <stp/>
        <stp>BDH|17351534627627129445</stp>
        <tr r="T10" s="2"/>
      </tp>
      <tp t="s">
        <v>#N/A N/A</v>
        <stp/>
        <stp>BDH|14740281166082267193</stp>
        <tr r="AK21" s="2"/>
      </tp>
      <tp t="s">
        <v>#N/A N/A</v>
        <stp/>
        <stp>BDH|11911862629398564069</stp>
        <tr r="F25" s="2"/>
      </tp>
      <tp t="s">
        <v>#N/A N/A</v>
        <stp/>
        <stp>BDH|16986641269017068218</stp>
        <tr r="N6" s="4"/>
      </tp>
      <tp t="s">
        <v>#N/A N/A</v>
        <stp/>
        <stp>BDH|10431933712149284233</stp>
        <tr r="AC14" s="2"/>
      </tp>
      <tp t="s">
        <v>#N/A N/A</v>
        <stp/>
        <stp>BDH|11973608849499291962</stp>
        <tr r="C21" s="4"/>
      </tp>
      <tp t="s">
        <v>#N/A N/A</v>
        <stp/>
        <stp>BDH|13350718454366100438</stp>
        <tr r="AG22" s="4"/>
      </tp>
      <tp t="s">
        <v>#N/A N/A</v>
        <stp/>
        <stp>BDH|12592664039974958074</stp>
        <tr r="T16" s="4"/>
      </tp>
      <tp t="s">
        <v>#N/A N/A</v>
        <stp/>
        <stp>BDH|13988875294000517194</stp>
        <tr r="AA8" s="2"/>
      </tp>
      <tp t="s">
        <v>#N/A N/A</v>
        <stp/>
        <stp>BDH|11992877986721665382</stp>
        <tr r="AD12" s="4"/>
      </tp>
      <tp t="s">
        <v>#N/A N/A</v>
        <stp/>
        <stp>BDH|10396220187010053901</stp>
        <tr r="U21" s="4"/>
      </tp>
      <tp t="s">
        <v>#N/A N/A</v>
        <stp/>
        <stp>BDH|18246653489933984614</stp>
        <tr r="N16" s="2"/>
      </tp>
      <tp t="s">
        <v>#N/A N/A</v>
        <stp/>
        <stp>BDH|17739568858642801687</stp>
        <tr r="X16" s="2"/>
      </tp>
      <tp t="s">
        <v>#N/A N/A</v>
        <stp/>
        <stp>BDH|12366012345007728291</stp>
        <tr r="S8" s="2"/>
      </tp>
      <tp t="s">
        <v>#N/A N/A</v>
        <stp/>
        <stp>BDH|13102700727082782791</stp>
        <tr r="Z25" s="2"/>
      </tp>
      <tp t="s">
        <v>#N/A N/A</v>
        <stp/>
        <stp>BDH|10292398843327094338</stp>
        <tr r="AG20" s="2"/>
      </tp>
      <tp t="s">
        <v>#N/A N/A</v>
        <stp/>
        <stp>BDH|12560051639320304214</stp>
        <tr r="N7" s="4"/>
      </tp>
      <tp t="s">
        <v>#N/A N/A</v>
        <stp/>
        <stp>BDH|14823766490588701124</stp>
        <tr r="J10" s="4"/>
      </tp>
      <tp t="s">
        <v>#N/A N/A</v>
        <stp/>
        <stp>BDH|11569569192166873835</stp>
        <tr r="AE26" s="2"/>
      </tp>
      <tp t="s">
        <v>#N/A N/A</v>
        <stp/>
        <stp>BDH|11800435193209434662</stp>
        <tr r="Z21" s="4"/>
      </tp>
      <tp t="s">
        <v>#N/A N/A</v>
        <stp/>
        <stp>BDH|13245196629686891572</stp>
        <tr r="N24" s="2"/>
      </tp>
      <tp t="s">
        <v>#N/A N/A</v>
        <stp/>
        <stp>BDH|17589522258850507471</stp>
        <tr r="L7" s="2"/>
      </tp>
      <tp t="s">
        <v>#N/A N/A</v>
        <stp/>
        <stp>BDH|11718793714981480535</stp>
        <tr r="AA24" s="2"/>
      </tp>
      <tp t="s">
        <v>#N/A N/A</v>
        <stp/>
        <stp>BDH|13362629237980841536</stp>
        <tr r="P9" s="4"/>
      </tp>
      <tp t="s">
        <v>#N/A N/A</v>
        <stp/>
        <stp>BDH|18351722595594150194</stp>
        <tr r="U20" s="4"/>
      </tp>
      <tp t="s">
        <v>#N/A N/A</v>
        <stp/>
        <stp>BDH|11865805995034761760</stp>
        <tr r="AG14" s="4"/>
      </tp>
      <tp t="s">
        <v>#N/A N/A</v>
        <stp/>
        <stp>BDH|12063531269040532208</stp>
        <tr r="Y13" s="2"/>
      </tp>
      <tp t="s">
        <v>#N/A N/A</v>
        <stp/>
        <stp>BDH|16882910862842317874</stp>
        <tr r="X21" s="4"/>
      </tp>
      <tp t="s">
        <v>#N/A N/A</v>
        <stp/>
        <stp>BDH|16800153860194187625</stp>
        <tr r="AG12" s="4"/>
      </tp>
      <tp t="s">
        <v>#N/A N/A</v>
        <stp/>
        <stp>BDH|16976067158193894314</stp>
        <tr r="X7" s="2"/>
      </tp>
      <tp t="s">
        <v>#N/A N/A</v>
        <stp/>
        <stp>BDH|16713010189918337529</stp>
        <tr r="AD10" s="2"/>
      </tp>
      <tp t="s">
        <v>#N/A N/A</v>
        <stp/>
        <stp>BDH|13589787163312430349</stp>
        <tr r="AK16" s="2"/>
      </tp>
      <tp t="s">
        <v>#N/A N/A</v>
        <stp/>
        <stp>BDP|13342412359603737146</stp>
        <tr r="M9" s="3"/>
      </tp>
      <tp t="s">
        <v>#N/A N/A</v>
        <stp/>
        <stp>BDP|15372388651676631565</stp>
        <tr r="R9" s="3"/>
      </tp>
      <tp t="s">
        <v>#N/A N/A</v>
        <stp/>
        <stp>BDP|17295753103028836836</stp>
        <tr r="Z16" s="3"/>
      </tp>
      <tp t="s">
        <v>#N/A N/A</v>
        <stp/>
        <stp>BDP|14953204730437344253</stp>
        <tr r="G10" s="3"/>
      </tp>
      <tp t="s">
        <v>#N/A N/A</v>
        <stp/>
        <stp>BDP|17815640705678195969</stp>
        <tr r="AN10" s="3"/>
      </tp>
      <tp t="s">
        <v>#N/A N/A</v>
        <stp/>
        <stp>BDP|10274642051997305475</stp>
        <tr r="AG9" s="3"/>
      </tp>
      <tp t="s">
        <v>#N/A N/A</v>
        <stp/>
        <stp>BDP|16607135908703877469</stp>
        <tr r="E16" s="3"/>
      </tp>
      <tp t="s">
        <v>#N/A N/A</v>
        <stp/>
        <stp>BDP|14096671730798066952</stp>
        <tr r="G17" s="3"/>
      </tp>
      <tp t="s">
        <v>#N/A N/A</v>
        <stp/>
        <stp>BDP|12192106447445792237</stp>
        <tr r="W16" s="3"/>
      </tp>
      <tp t="s">
        <v>#N/A N/A</v>
        <stp/>
        <stp>BDP|15364194936200980701</stp>
        <tr r="F9" s="3"/>
      </tp>
      <tp t="s">
        <v>#N/A N/A</v>
        <stp/>
        <stp>BDP|12720664577801300202</stp>
        <tr r="N12" s="3"/>
      </tp>
      <tp t="s">
        <v>#N/A N/A</v>
        <stp/>
        <stp>BDP|12088712438537906146</stp>
        <tr r="S16" s="3"/>
      </tp>
      <tp t="s">
        <v>#N/A N/A</v>
        <stp/>
        <stp>BDP|15019804544428633162</stp>
        <tr r="K13" s="3"/>
      </tp>
      <tp t="s">
        <v>#N/A N/A</v>
        <stp/>
        <stp>BDP|13772512256421464200</stp>
        <tr r="AA10" s="3"/>
      </tp>
      <tp t="s">
        <v>#N/A N/A</v>
        <stp/>
        <stp>BDP|14166256004866707013</stp>
        <tr r="AE16" s="3"/>
      </tp>
      <tp t="s">
        <v>#N/A N/A</v>
        <stp/>
        <stp>BDH|13097308665697397174</stp>
        <tr r="K13" s="2"/>
      </tp>
      <tp t="s">
        <v>#N/A N/A</v>
        <stp/>
        <stp>BDH|12981517192149361785</stp>
        <tr r="R20" s="4"/>
      </tp>
      <tp t="s">
        <v>#N/A N/A</v>
        <stp/>
        <stp>BDH|18070628496020243766</stp>
        <tr r="AN22" s="4"/>
      </tp>
      <tp t="s">
        <v>#N/A N/A</v>
        <stp/>
        <stp>BDH|12161198654941687795</stp>
        <tr r="U17" s="2"/>
      </tp>
      <tp t="s">
        <v>#N/A N/A</v>
        <stp/>
        <stp>BDH|14667255634942773732</stp>
        <tr r="AE24" s="4"/>
      </tp>
      <tp t="s">
        <v>#N/A N/A</v>
        <stp/>
        <stp>BDH|16829365776470285295</stp>
        <tr r="AE25" s="2"/>
      </tp>
      <tp t="s">
        <v>#N/A N/A</v>
        <stp/>
        <stp>BDH|15607322744444220615</stp>
        <tr r="M20" s="4"/>
      </tp>
      <tp t="s">
        <v>#N/A N/A</v>
        <stp/>
        <stp>BDH|14227419395258789126</stp>
        <tr r="U8" s="2"/>
      </tp>
      <tp t="s">
        <v>#N/A N/A</v>
        <stp/>
        <stp>BDH|15258544849497483398</stp>
        <tr r="AN28" s="4"/>
      </tp>
      <tp t="s">
        <v>#N/A N/A</v>
        <stp/>
        <stp>BDH|17547115508867113186</stp>
        <tr r="AE20" s="2"/>
      </tp>
      <tp t="s">
        <v>#N/A N/A</v>
        <stp/>
        <stp>BDH|14047155196609529531</stp>
        <tr r="AC7" s="4"/>
      </tp>
      <tp t="s">
        <v>#N/A N/A</v>
        <stp/>
        <stp>BDH|18321616360088685005</stp>
        <tr r="AG18" s="2"/>
      </tp>
      <tp t="s">
        <v>#N/A N/A</v>
        <stp/>
        <stp>BDH|15193937964172025821</stp>
        <tr r="K8" s="2"/>
      </tp>
      <tp t="s">
        <v>#N/A N/A</v>
        <stp/>
        <stp>BDH|12806559285086885942</stp>
        <tr r="T26" s="2"/>
      </tp>
      <tp t="s">
        <v>#N/A N/A</v>
        <stp/>
        <stp>BDH|17034478173325092102</stp>
        <tr r="AJ14" s="4"/>
      </tp>
      <tp t="s">
        <v>#N/A N/A</v>
        <stp/>
        <stp>BDH|12394381594879935126</stp>
        <tr r="X12" s="4"/>
      </tp>
      <tp t="s">
        <v>#N/A N/A</v>
        <stp/>
        <stp>BDH|10004434895738140508</stp>
        <tr r="P6" s="4"/>
      </tp>
      <tp t="s">
        <v>#N/A N/A</v>
        <stp/>
        <stp>BDH|18312071733332000901</stp>
        <tr r="J17" s="2"/>
      </tp>
      <tp t="s">
        <v>#N/A N/A</v>
        <stp/>
        <stp>BDH|13671427361465524470</stp>
        <tr r="K18" s="4"/>
      </tp>
      <tp t="s">
        <v>#N/A N/A</v>
        <stp/>
        <stp>BDH|13035005153664266279</stp>
        <tr r="AN20" s="2"/>
      </tp>
      <tp t="s">
        <v>#N/A N/A</v>
        <stp/>
        <stp>BDH|17554917164430491822</stp>
        <tr r="AJ10" s="4"/>
      </tp>
      <tp t="s">
        <v>#N/A N/A</v>
        <stp/>
        <stp>BDH|15126675566241710414</stp>
        <tr r="Z6" s="4"/>
      </tp>
      <tp t="s">
        <v>#N/A N/A</v>
        <stp/>
        <stp>BDH|17569775609349969946</stp>
        <tr r="O13" s="4"/>
      </tp>
      <tp t="s">
        <v>#N/A N/A</v>
        <stp/>
        <stp>BDH|10620513446308444930</stp>
        <tr r="L22" s="4"/>
      </tp>
      <tp t="s">
        <v>#N/A N/A</v>
        <stp/>
        <stp>BDH|12270452210170557747</stp>
        <tr r="R24" s="4"/>
      </tp>
      <tp t="s">
        <v>#N/A N/A</v>
        <stp/>
        <stp>BDH|14211497806927307773</stp>
        <tr r="U9" s="4"/>
      </tp>
      <tp t="s">
        <v>#N/A N/A</v>
        <stp/>
        <stp>BDH|16214450847376939003</stp>
        <tr r="AA7" s="4"/>
      </tp>
      <tp t="s">
        <v>#N/A N/A</v>
        <stp/>
        <stp>BDH|18388602588906335011</stp>
        <tr r="AD20" s="2"/>
      </tp>
      <tp t="s">
        <v>#N/A N/A</v>
        <stp/>
        <stp>BDH|11680903725542381891</stp>
        <tr r="AA25" s="4"/>
      </tp>
      <tp t="s">
        <v>#N/A N/A</v>
        <stp/>
        <stp>BDH|15187500227660913274</stp>
        <tr r="AN16" s="4"/>
      </tp>
      <tp t="s">
        <v>#N/A N/A</v>
        <stp/>
        <stp>BDH|10004598391425156913</stp>
        <tr r="S18" s="4"/>
      </tp>
      <tp t="s">
        <v>#N/A N/A</v>
        <stp/>
        <stp>BDH|14997363136623936789</stp>
        <tr r="K16" s="2"/>
      </tp>
      <tp t="s">
        <v>#N/A N/A</v>
        <stp/>
        <stp>BDH|13629434075646332680</stp>
        <tr r="P25" s="2"/>
      </tp>
      <tp t="s">
        <v>#N/A N/A</v>
        <stp/>
        <stp>BDH|12282142467737980237</stp>
        <tr r="AA25" s="2"/>
      </tp>
      <tp t="s">
        <v>#N/A N/A</v>
        <stp/>
        <stp>BDH|11833697123084603194</stp>
        <tr r="G16" s="4"/>
      </tp>
      <tp t="s">
        <v>#N/A N/A</v>
        <stp/>
        <stp>BDH|11579875898849489934</stp>
        <tr r="M17" s="4"/>
      </tp>
      <tp t="s">
        <v>#N/A N/A</v>
        <stp/>
        <stp>BDH|12865443004622012457</stp>
        <tr r="L14" s="4"/>
      </tp>
      <tp t="s">
        <v>#N/A N/A</v>
        <stp/>
        <stp>BDH|14524113554707896747</stp>
        <tr r="I6" s="4"/>
      </tp>
      <tp t="s">
        <v>#N/A N/A</v>
        <stp/>
        <stp>BDH|10750897205900631815</stp>
        <tr r="AC14" s="4"/>
      </tp>
      <tp t="s">
        <v>#N/A N/A</v>
        <stp/>
        <stp>BDH|14942414101248695800</stp>
        <tr r="R10" s="4"/>
      </tp>
      <tp t="s">
        <v>#N/A N/A</v>
        <stp/>
        <stp>BDH|12824378570523641565</stp>
        <tr r="X10" s="4"/>
      </tp>
      <tp t="s">
        <v>#N/A N/A</v>
        <stp/>
        <stp>BDH|13575133448772453455</stp>
        <tr r="AL10" s="4"/>
      </tp>
      <tp t="s">
        <v>#N/A N/A</v>
        <stp/>
        <stp>BDH|10287589049862858357</stp>
        <tr r="AO8" s="4"/>
      </tp>
      <tp t="s">
        <v>#N/A N/A</v>
        <stp/>
        <stp>BDH|15093387086499438741</stp>
        <tr r="C18" s="4"/>
      </tp>
    </main>
    <main first="bofaddin.rtdserver">
      <tp t="s">
        <v>#N/A N/A</v>
        <stp/>
        <stp>BDP|14761265153000976236</stp>
        <tr r="S17" s="3"/>
      </tp>
      <tp t="s">
        <v>#N/A N/A</v>
        <stp/>
        <stp>BDP|12695796049687836750</stp>
        <tr r="J9" s="3"/>
      </tp>
      <tp t="s">
        <v>#N/A N/A</v>
        <stp/>
        <stp>BDP|10213781757670865387</stp>
        <tr r="G16" s="3"/>
      </tp>
    </main>
    <main first="bofaddin.rtdserver">
      <tp t="s">
        <v>#N/A N/A</v>
        <stp/>
        <stp>BDP|10496596564200983207</stp>
        <tr r="R17" s="3"/>
      </tp>
      <tp t="s">
        <v>#N/A N/A</v>
        <stp/>
        <stp>BDP|15680635465933312707</stp>
        <tr r="AE13" s="3"/>
      </tp>
      <tp t="s">
        <v>#N/A N/A</v>
        <stp/>
        <stp>BDP|17011430830189092843</stp>
        <tr r="AN9" s="3"/>
      </tp>
      <tp t="s">
        <v>#N/A N/A</v>
        <stp/>
        <stp>BDH|10957698358154800618</stp>
        <tr r="AP14" s="4"/>
      </tp>
      <tp t="s">
        <v>#N/A N/A</v>
        <stp/>
        <stp>BDH|12537657837120498635</stp>
        <tr r="X9" s="2"/>
      </tp>
      <tp t="s">
        <v>#N/A N/A</v>
        <stp/>
        <stp>BDH|11094629720956439264</stp>
        <tr r="G18" s="4"/>
      </tp>
      <tp t="s">
        <v>#N/A N/A</v>
        <stp/>
        <stp>BDH|15510403256377164227</stp>
        <tr r="G24" s="2"/>
      </tp>
      <tp t="s">
        <v>#N/A N/A</v>
        <stp/>
        <stp>BDH|13256789459780699054</stp>
        <tr r="AI20" s="2"/>
      </tp>
      <tp t="s">
        <v>#N/A N/A</v>
        <stp/>
        <stp>BDH|16599535497198576374</stp>
        <tr r="AN6" s="4"/>
      </tp>
      <tp t="s">
        <v>#N/A N/A</v>
        <stp/>
        <stp>BDH|16699387038713617422</stp>
        <tr r="Z13" s="4"/>
      </tp>
      <tp t="s">
        <v>#N/A N/A</v>
        <stp/>
        <stp>BDH|11576142143360159511</stp>
        <tr r="O8" s="2"/>
      </tp>
      <tp t="s">
        <v>#N/A N/A</v>
        <stp/>
        <stp>BDH|16441673802441633028</stp>
        <tr r="S24" s="2"/>
      </tp>
      <tp t="s">
        <v>#N/A N/A</v>
        <stp/>
        <stp>BDH|15096783329399602825</stp>
        <tr r="Q25" s="4"/>
      </tp>
      <tp t="s">
        <v>#N/A N/A</v>
        <stp/>
        <stp>BDH|11636766064428303922</stp>
        <tr r="AO10" s="4"/>
      </tp>
      <tp t="s">
        <v>#N/A N/A</v>
        <stp/>
        <stp>BDH|18016803229606518593</stp>
        <tr r="E25" s="2"/>
      </tp>
      <tp t="s">
        <v>#N/A N/A</v>
        <stp/>
        <stp>BDH|17673441035800122126</stp>
        <tr r="AB24" s="2"/>
      </tp>
      <tp t="s">
        <v>#N/A N/A</v>
        <stp/>
        <stp>BDH|10443654711330339648</stp>
        <tr r="AK14" s="4"/>
      </tp>
      <tp t="s">
        <v>#N/A N/A</v>
        <stp/>
        <stp>BDH|11049424336055030232</stp>
        <tr r="AO16" s="2"/>
      </tp>
      <tp t="s">
        <v>#N/A N/A</v>
        <stp/>
        <stp>BDH|17405471023864421429</stp>
        <tr r="V6" s="4"/>
      </tp>
      <tp t="s">
        <v>#N/A N/A</v>
        <stp/>
        <stp>BDH|10015989045238749425</stp>
        <tr r="AF21" s="2"/>
      </tp>
      <tp t="s">
        <v>#N/A N/A</v>
        <stp/>
        <stp>BDH|10530623738041291554</stp>
        <tr r="AJ24" s="2"/>
      </tp>
      <tp t="s">
        <v>#N/A N/A</v>
        <stp/>
        <stp>BDH|17862158171579593913</stp>
        <tr r="AD22" s="4"/>
      </tp>
      <tp t="s">
        <v>#N/A N/A</v>
        <stp/>
        <stp>BDH|11744707267539926810</stp>
        <tr r="W12" s="4"/>
      </tp>
      <tp t="s">
        <v>#N/A N/A</v>
        <stp/>
        <stp>BDH|13374908011219122387</stp>
        <tr r="AN9" s="4"/>
      </tp>
      <tp t="s">
        <v>#N/A N/A</v>
        <stp/>
        <stp>BDH|12159898878229844536</stp>
        <tr r="AF21" s="4"/>
      </tp>
      <tp t="s">
        <v>#N/A N/A</v>
        <stp/>
        <stp>BDH|14679191016583467666</stp>
        <tr r="J20" s="4"/>
      </tp>
      <tp t="s">
        <v>#N/A N/A</v>
        <stp/>
        <stp>BDH|11905519646734619526</stp>
        <tr r="AF10" s="4"/>
      </tp>
      <tp t="s">
        <v>#N/A N/A</v>
        <stp/>
        <stp>BDH|17602305959252321264</stp>
        <tr r="M9" s="4"/>
      </tp>
      <tp t="s">
        <v>#N/A N/A</v>
        <stp/>
        <stp>BDH|15409241212760837701</stp>
        <tr r="V12" s="4"/>
      </tp>
      <tp t="s">
        <v>#N/A N/A</v>
        <stp/>
        <stp>BDH|18305096086953452255</stp>
        <tr r="J9" s="2"/>
      </tp>
      <tp t="s">
        <v>#N/A N/A</v>
        <stp/>
        <stp>BDH|18153755537304810961</stp>
        <tr r="AN17" s="2"/>
      </tp>
      <tp t="s">
        <v>#N/A N/A</v>
        <stp/>
        <stp>BDH|16639697423612420150</stp>
        <tr r="AL12" s="4"/>
      </tp>
      <tp t="s">
        <v>#N/A N/A</v>
        <stp/>
        <stp>BDH|15064369715555800374</stp>
        <tr r="O20" s="2"/>
      </tp>
      <tp t="s">
        <v>#N/A N/A</v>
        <stp/>
        <stp>BDH|13378313410096697680</stp>
        <tr r="R14" s="2"/>
      </tp>
      <tp t="s">
        <v>#N/A N/A</v>
        <stp/>
        <stp>BDH|18209691490641068775</stp>
        <tr r="AG8" s="2"/>
      </tp>
      <tp t="s">
        <v>#N/A N/A</v>
        <stp/>
        <stp>BDH|14484535448651048501</stp>
        <tr r="L9" s="4"/>
      </tp>
      <tp t="s">
        <v>#N/A N/A</v>
        <stp/>
        <stp>BDH|15096471958832490747</stp>
        <tr r="AI17" s="2"/>
      </tp>
      <tp t="s">
        <v>#N/A N/A</v>
        <stp/>
        <stp>BDH|11251186815688868880</stp>
        <tr r="V26" s="2"/>
      </tp>
      <tp t="s">
        <v>#N/A N/A</v>
        <stp/>
        <stp>BDH|16857660829061061299</stp>
        <tr r="M8" s="4"/>
      </tp>
      <tp t="s">
        <v>#N/A N/A</v>
        <stp/>
        <stp>BDH|14787666111602860067</stp>
        <tr r="AN8" s="2"/>
      </tp>
      <tp t="s">
        <v>#N/A N/A</v>
        <stp/>
        <stp>BDH|16002332938670200777</stp>
        <tr r="F8" s="4"/>
      </tp>
      <tp t="s">
        <v>#N/A N/A</v>
        <stp/>
        <stp>BDH|15776767927636028781</stp>
        <tr r="L13" s="4"/>
      </tp>
      <tp t="s">
        <v>#N/A N/A</v>
        <stp/>
        <stp>BDP|11656269109792263720</stp>
        <tr r="F10" s="3"/>
      </tp>
      <tp t="s">
        <v>#N/A N/A</v>
        <stp/>
        <stp>BDP|17962026540271552460</stp>
        <tr r="N10" s="3"/>
      </tp>
      <tp t="s">
        <v>#N/A N/A</v>
        <stp/>
        <stp>BDP|17300765412511248651</stp>
        <tr r="S10" s="3"/>
      </tp>
      <tp t="s">
        <v>#N/A N/A</v>
        <stp/>
        <stp>BDH|11622688971983810563</stp>
        <tr r="AP7" s="2"/>
      </tp>
      <tp t="s">
        <v>#N/A N/A</v>
        <stp/>
        <stp>BDH|10071667437002534156</stp>
        <tr r="I7" s="4"/>
      </tp>
      <tp t="s">
        <v>#N/A N/A</v>
        <stp/>
        <stp>BDH|15556716246378088823</stp>
        <tr r="AF26" s="4"/>
      </tp>
      <tp t="s">
        <v>#N/A N/A</v>
        <stp/>
        <stp>BDH|10679170305002366574</stp>
        <tr r="AM12" s="4"/>
      </tp>
      <tp t="s">
        <v>#N/A N/A</v>
        <stp/>
        <stp>BDH|14392204150045546053</stp>
        <tr r="T13" s="4"/>
      </tp>
      <tp t="s">
        <v>#N/A N/A</v>
        <stp/>
        <stp>BDH|11358507413505739648</stp>
        <tr r="E17" s="4"/>
      </tp>
      <tp t="s">
        <v>#N/A N/A</v>
        <stp/>
        <stp>BDH|16174585749515250414</stp>
        <tr r="AH25" s="2"/>
      </tp>
      <tp t="s">
        <v>#N/A N/A</v>
        <stp/>
        <stp>BDH|16546234626690455077</stp>
        <tr r="M10" s="4"/>
      </tp>
    </main>
    <main first="bofaddin.rtdserver">
      <tp t="s">
        <v>#N/A N/A</v>
        <stp/>
        <stp>BDH|16803357548885002271</stp>
        <tr r="AK24" s="2"/>
      </tp>
      <tp t="s">
        <v>#N/A N/A</v>
        <stp/>
        <stp>BDH|12367370778253949309</stp>
        <tr r="F14" s="4"/>
      </tp>
      <tp t="s">
        <v>#N/A N/A</v>
        <stp/>
        <stp>BDH|15589863976998608462</stp>
        <tr r="AL19" s="2"/>
      </tp>
      <tp t="s">
        <v>#N/A N/A</v>
        <stp/>
        <stp>BDH|16603140019037911768</stp>
        <tr r="K26" s="4"/>
      </tp>
      <tp t="s">
        <v>#N/A N/A</v>
        <stp/>
        <stp>BDH|12296244571382507360</stp>
        <tr r="W8" s="4"/>
      </tp>
      <tp t="s">
        <v>#N/A N/A</v>
        <stp/>
        <stp>BDH|11096845095112022453</stp>
        <tr r="F28" s="4"/>
      </tp>
      <tp t="s">
        <v>#N/A N/A</v>
        <stp/>
        <stp>BDH|11059138004477072138</stp>
        <tr r="O20" s="4"/>
      </tp>
      <tp t="s">
        <v>#N/A N/A</v>
        <stp/>
        <stp>BDH|11886942624189716583</stp>
        <tr r="C19" s="2"/>
      </tp>
      <tp t="s">
        <v>#N/A N/A</v>
        <stp/>
        <stp>BDH|12408027755719104859</stp>
        <tr r="AJ18" s="4"/>
      </tp>
      <tp t="s">
        <v>#N/A N/A</v>
        <stp/>
        <stp>BDH|17030321225151888183</stp>
        <tr r="AK7" s="2"/>
      </tp>
      <tp t="s">
        <v>#N/A N/A</v>
        <stp/>
        <stp>BDH|18446050806059371730</stp>
        <tr r="AC26" s="4"/>
      </tp>
      <tp t="s">
        <v>#N/A N/A</v>
        <stp/>
        <stp>BDH|16300283597069270297</stp>
        <tr r="AN26" s="4"/>
      </tp>
      <tp t="s">
        <v>#N/A N/A</v>
        <stp/>
        <stp>BDH|10917183022124015145</stp>
        <tr r="N28" s="4"/>
      </tp>
      <tp t="s">
        <v>#N/A N/A</v>
        <stp/>
        <stp>BDH|14014926842849424624</stp>
        <tr r="T18" s="4"/>
      </tp>
      <tp t="s">
        <v>#N/A N/A</v>
        <stp/>
        <stp>BDH|11651283169703451059</stp>
        <tr r="H13" s="2"/>
      </tp>
      <tp t="s">
        <v>#N/A N/A</v>
        <stp/>
        <stp>BDH|14454970506453622851</stp>
        <tr r="U21" s="2"/>
      </tp>
      <tp t="s">
        <v>#N/A N/A</v>
        <stp/>
        <stp>BDH|12616177924893338408</stp>
        <tr r="D13" s="4"/>
      </tp>
      <tp t="s">
        <v>#N/A N/A</v>
        <stp/>
        <stp>BDH|15723974867904857873</stp>
        <tr r="AK19" s="2"/>
      </tp>
      <tp t="s">
        <v>#N/A N/A</v>
        <stp/>
        <stp>BDH|16909059205354426450</stp>
        <tr r="AE18" s="4"/>
      </tp>
      <tp t="s">
        <v>#N/A N/A</v>
        <stp/>
        <stp>BDH|18424044498441071602</stp>
        <tr r="AD17" s="2"/>
      </tp>
      <tp t="s">
        <v>#N/A N/A</v>
        <stp/>
        <stp>BDH|16864734909616096191</stp>
        <tr r="J12" s="4"/>
      </tp>
      <tp t="s">
        <v>#N/A N/A</v>
        <stp/>
        <stp>BDH|12892345943625785623</stp>
        <tr r="AM13" s="2"/>
      </tp>
      <tp t="s">
        <v>#N/A N/A</v>
        <stp/>
        <stp>BDH|10265643999341179840</stp>
        <tr r="AD28" s="4"/>
      </tp>
      <tp t="s">
        <v>#N/A N/A</v>
        <stp/>
        <stp>BDH|12260419827666803411</stp>
        <tr r="Y8" s="2"/>
      </tp>
      <tp t="s">
        <v>#N/A N/A</v>
        <stp/>
        <stp>BDH|13922102911671457414</stp>
        <tr r="C18" s="2"/>
      </tp>
      <tp t="s">
        <v>#N/A N/A</v>
        <stp/>
        <stp>BDH|14874318160084755324</stp>
        <tr r="K10" s="2"/>
      </tp>
      <tp t="s">
        <v>#N/A N/A</v>
        <stp/>
        <stp>BDH|10397650175456969165</stp>
        <tr r="S9" s="4"/>
      </tp>
      <tp t="s">
        <v>#N/A N/A</v>
        <stp/>
        <stp>BDH|15130380050013322664</stp>
        <tr r="Z21" s="2"/>
      </tp>
      <tp t="s">
        <v>#N/A N/A</v>
        <stp/>
        <stp>BDH|12015918345820910921</stp>
        <tr r="Z10" s="4"/>
      </tp>
      <tp t="s">
        <v>#N/A N/A</v>
        <stp/>
        <stp>BDH|12980604935350405179</stp>
        <tr r="AD14" s="4"/>
      </tp>
      <tp t="s">
        <v>#N/A N/A</v>
        <stp/>
        <stp>BDH|16924520736113373510</stp>
        <tr r="AP18" s="4"/>
      </tp>
      <tp t="s">
        <v>#N/A N/A</v>
        <stp/>
        <stp>BDH|11754292864874725735</stp>
        <tr r="AO24" s="2"/>
      </tp>
      <tp t="s">
        <v>#N/A N/A</v>
        <stp/>
        <stp>BDH|12258181207447077236</stp>
        <tr r="AE25" s="4"/>
      </tp>
      <tp t="s">
        <v>#N/A N/A</v>
        <stp/>
        <stp>BDH|16127600364277226795</stp>
        <tr r="H9" s="2"/>
      </tp>
      <tp t="s">
        <v>#N/A N/A</v>
        <stp/>
        <stp>BDP|10452285560587342449</stp>
        <tr r="AK17" s="3"/>
      </tp>
      <tp t="s">
        <v>#N/A N/A</v>
        <stp/>
        <stp>BDP|15108352924074848738</stp>
        <tr r="Z10" s="3"/>
      </tp>
      <tp t="s">
        <v>#N/A N/A</v>
        <stp/>
        <stp>BDP|12545121469260384263</stp>
        <tr r="O12" s="3"/>
      </tp>
      <tp t="s">
        <v>#N/A N/A</v>
        <stp/>
        <stp>BDP|15029869630659513027</stp>
        <tr r="I12" s="3"/>
      </tp>
      <tp t="s">
        <v>#N/A N/A</v>
        <stp/>
        <stp>BDP|14366644337383083514</stp>
        <tr r="AI17" s="3"/>
      </tp>
      <tp t="s">
        <v>#N/A N/A</v>
        <stp/>
        <stp>BDP|11722859724449120523</stp>
        <tr r="H16" s="3"/>
      </tp>
      <tp t="s">
        <v>#N/A N/A</v>
        <stp/>
        <stp>BDP|11300811765881002907</stp>
        <tr r="AO16" s="3"/>
      </tp>
      <tp t="s">
        <v>#N/A N/A</v>
        <stp/>
        <stp>BDH|15616428761789616924</stp>
        <tr r="X24" s="4"/>
      </tp>
      <tp t="s">
        <v>#N/A N/A</v>
        <stp/>
        <stp>BDH|15137937448319295696</stp>
        <tr r="X24" s="2"/>
      </tp>
      <tp t="s">
        <v>#N/A N/A</v>
        <stp/>
        <stp>BDH|16528443512573569771</stp>
        <tr r="AE19" s="2"/>
      </tp>
      <tp t="s">
        <v>#N/A N/A</v>
        <stp/>
        <stp>BDH|10044603921026362537</stp>
        <tr r="N12" s="4"/>
      </tp>
      <tp t="s">
        <v>#N/A N/A</v>
        <stp/>
        <stp>BDH|13075259544716251428</stp>
        <tr r="F7" s="2"/>
      </tp>
      <tp t="s">
        <v>#N/A N/A</v>
        <stp/>
        <stp>BDH|12911317918325744279</stp>
        <tr r="G8" s="2"/>
      </tp>
      <tp t="s">
        <v>#N/A N/A</v>
        <stp/>
        <stp>BDH|13266341151817441536</stp>
        <tr r="AJ13" s="4"/>
      </tp>
      <tp t="s">
        <v>#N/A N/A</v>
        <stp/>
        <stp>BDH|16423717896729672657</stp>
        <tr r="AN7" s="4"/>
      </tp>
      <tp t="s">
        <v>#N/A N/A</v>
        <stp/>
        <stp>BDH|15351507167531305073</stp>
        <tr r="S28" s="4"/>
      </tp>
      <tp t="s">
        <v>#N/A N/A</v>
        <stp/>
        <stp>BDH|13330744833825620517</stp>
        <tr r="AF18" s="2"/>
      </tp>
      <tp t="s">
        <v>#N/A N/A</v>
        <stp/>
        <stp>BDH|17173414533091489642</stp>
        <tr r="I14" s="2"/>
      </tp>
      <tp t="s">
        <v>#N/A N/A</v>
        <stp/>
        <stp>BDH|14289628430716373004</stp>
        <tr r="AG21" s="2"/>
      </tp>
      <tp t="s">
        <v>#N/A N/A</v>
        <stp/>
        <stp>BDH|17627341924847745634</stp>
        <tr r="Y21" s="4"/>
      </tp>
      <tp t="s">
        <v>#N/A N/A</v>
        <stp/>
        <stp>BDH|18275257920086275975</stp>
        <tr r="M26" s="4"/>
      </tp>
      <tp t="s">
        <v>#N/A N/A</v>
        <stp/>
        <stp>BDH|16480523347347411702</stp>
        <tr r="H21" s="4"/>
      </tp>
      <tp t="s">
        <v>#N/A N/A</v>
        <stp/>
        <stp>BDH|13869270307924981246</stp>
        <tr r="J18" s="2"/>
      </tp>
      <tp t="s">
        <v>#N/A N/A</v>
        <stp/>
        <stp>BDH|15934391948012873753</stp>
        <tr r="U22" s="4"/>
      </tp>
      <tp t="s">
        <v>#N/A N/A</v>
        <stp/>
        <stp>BDH|12349424742464703111</stp>
        <tr r="C24" s="2"/>
      </tp>
      <tp t="s">
        <v>#N/A N/A</v>
        <stp/>
        <stp>BDH|10950019993196917864</stp>
        <tr r="L16" s="4"/>
      </tp>
      <tp t="s">
        <v>#N/A N/A</v>
        <stp/>
        <stp>BDH|12856529215522357383</stp>
        <tr r="E12" s="4"/>
      </tp>
      <tp t="s">
        <v>#N/A N/A</v>
        <stp/>
        <stp>BDH|16536857990622282266</stp>
        <tr r="AC20" s="4"/>
      </tp>
      <tp t="s">
        <v>#N/A N/A</v>
        <stp/>
        <stp>BDH|17042354511764812680</stp>
        <tr r="I8" s="2"/>
      </tp>
      <tp t="s">
        <v>#N/A N/A</v>
        <stp/>
        <stp>BDH|10792683762364399393</stp>
        <tr r="Z22" s="4"/>
      </tp>
      <tp t="s">
        <v>#N/A N/A</v>
        <stp/>
        <stp>BDH|15435461482339003772</stp>
        <tr r="I12" s="4"/>
      </tp>
      <tp t="s">
        <v>#N/A N/A</v>
        <stp/>
        <stp>BDH|13517879226027499973</stp>
        <tr r="K24" s="4"/>
      </tp>
      <tp t="s">
        <v>#N/A N/A</v>
        <stp/>
        <stp>BDH|10222164277682246362</stp>
        <tr r="Z28" s="4"/>
      </tp>
      <tp t="s">
        <v>#N/A N/A</v>
        <stp/>
        <stp>BDH|11346826691336491123</stp>
        <tr r="O14" s="2"/>
      </tp>
      <tp t="s">
        <v>#N/A N/A</v>
        <stp/>
        <stp>BDH|13361435255787368203</stp>
        <tr r="AE26" s="4"/>
      </tp>
      <tp t="s">
        <v>#N/A N/A</v>
        <stp/>
        <stp>BDH|11120598606220172369</stp>
        <tr r="AD9" s="2"/>
      </tp>
      <tp t="s">
        <v>#N/A N/A</v>
        <stp/>
        <stp>BDH|15432005077666859337</stp>
        <tr r="AE10" s="2"/>
      </tp>
      <tp t="s">
        <v>#N/A N/A</v>
        <stp/>
        <stp>BDH|13249303233012979600</stp>
        <tr r="AH10" s="2"/>
      </tp>
      <tp t="s">
        <v>#N/A N/A</v>
        <stp/>
        <stp>BDH|16322324378171205437</stp>
        <tr r="U28" s="4"/>
      </tp>
      <tp t="s">
        <v>#N/A N/A</v>
        <stp/>
        <stp>BDH|11544996533625488903</stp>
        <tr r="D25" s="4"/>
      </tp>
      <tp t="s">
        <v>#N/A N/A</v>
        <stp/>
        <stp>BDH|16537444936602801442</stp>
        <tr r="AE14" s="2"/>
      </tp>
      <tp t="s">
        <v>#N/A N/A</v>
        <stp/>
        <stp>BDH|17205205601577166597</stp>
        <tr r="G8" s="4"/>
      </tp>
      <tp t="s">
        <v>#N/A N/A</v>
        <stp/>
        <stp>BDH|14443405817737121193</stp>
        <tr r="N22" s="4"/>
      </tp>
      <tp t="s">
        <v>#N/A N/A</v>
        <stp/>
        <stp>BDH|12023292020770181522</stp>
        <tr r="F9" s="2"/>
      </tp>
      <tp t="s">
        <v>#N/A N/A</v>
        <stp/>
        <stp>BDH|15819389665686641198</stp>
        <tr r="O6" s="4"/>
      </tp>
      <tp t="s">
        <v>#N/A N/A</v>
        <stp/>
        <stp>BDH|12221655758467429115</stp>
        <tr r="AF17" s="4"/>
      </tp>
      <tp t="s">
        <v>#N/A N/A</v>
        <stp/>
        <stp>BDH|15038971126981842847</stp>
        <tr r="AJ14" s="2"/>
      </tp>
      <tp t="s">
        <v>#N/A N/A</v>
        <stp/>
        <stp>BDH|14822108385623328931</stp>
        <tr r="AP10" s="4"/>
      </tp>
      <tp t="s">
        <v>#N/A N/A</v>
        <stp/>
        <stp>BDH|12439468151056700299</stp>
        <tr r="P8" s="2"/>
      </tp>
      <tp t="s">
        <v>#N/A N/A</v>
        <stp/>
        <stp>BDH|11711792745521382447</stp>
        <tr r="R6" s="4"/>
      </tp>
      <tp t="s">
        <v>#N/A N/A</v>
        <stp/>
        <stp>BDH|10599712339550718361</stp>
        <tr r="AG9" s="2"/>
      </tp>
      <tp t="s">
        <v>#N/A N/A</v>
        <stp/>
        <stp>BDH|17529646678944583508</stp>
        <tr r="W20" s="4"/>
      </tp>
      <tp t="s">
        <v>#N/A N/A</v>
        <stp/>
        <stp>BDH|11828029856961459244</stp>
        <tr r="AB25" s="2"/>
      </tp>
      <tp t="s">
        <v>#N/A N/A</v>
        <stp/>
        <stp>BDH|15491235718195422479</stp>
        <tr r="C10" s="4"/>
      </tp>
      <tp t="s">
        <v>#N/A N/A</v>
        <stp/>
        <stp>BDH|12826737720312425231</stp>
        <tr r="Y20" s="4"/>
      </tp>
      <tp t="s">
        <v>#N/A N/A</v>
        <stp/>
        <stp>BDH|13172240783778375692</stp>
        <tr r="Y9" s="4"/>
      </tp>
      <tp t="s">
        <v>#N/A N/A</v>
        <stp/>
        <stp>BDH|13186301154480225285</stp>
        <tr r="X25" s="4"/>
      </tp>
      <tp t="s">
        <v>#N/A N/A</v>
        <stp/>
        <stp>BDH|16502289244173018475</stp>
        <tr r="AB17" s="2"/>
      </tp>
      <tp t="s">
        <v>#N/A N/A</v>
        <stp/>
        <stp>BDH|15812215724774030635</stp>
        <tr r="W28" s="4"/>
      </tp>
    </main>
    <main first="bofaddin.rtdserver">
      <tp t="s">
        <v>#N/A N/A</v>
        <stp/>
        <stp>BDP|12495344068632926183</stp>
        <tr r="U13" s="3"/>
      </tp>
      <tp t="s">
        <v>#N/A N/A</v>
        <stp/>
        <stp>BDP|11961191209586442246</stp>
        <tr r="AF12" s="3"/>
      </tp>
      <tp t="s">
        <v>#N/A N/A</v>
        <stp/>
        <stp>BDP|17548057946524524397</stp>
        <tr r="G13" s="3"/>
      </tp>
      <tp t="s">
        <v>#N/A N/A</v>
        <stp/>
        <stp>BDP|18060291831864273954</stp>
        <tr r="F13" s="3"/>
      </tp>
      <tp t="s">
        <v>#N/A N/A</v>
        <stp/>
        <stp>BDP|17369229325824221765</stp>
        <tr r="X12" s="3"/>
      </tp>
      <tp t="s">
        <v>#N/A N/A</v>
        <stp/>
        <stp>BDP|12768282331300481799</stp>
        <tr r="AO9" s="3"/>
      </tp>
      <tp t="s">
        <v>#N/A N/A</v>
        <stp/>
        <stp>BDP|14362751054652033002</stp>
        <tr r="O10" s="3"/>
      </tp>
      <tp t="s">
        <v>#N/A N/A</v>
        <stp/>
        <stp>BDP|15552049487948250109</stp>
        <tr r="AH10" s="3"/>
      </tp>
      <tp t="s">
        <v>#N/A N/A</v>
        <stp/>
        <stp>BDP|11961334139824789132</stp>
        <tr r="L17" s="3"/>
      </tp>
      <tp t="s">
        <v>#N/A N/A</v>
        <stp/>
        <stp>BDH|15150251363702062762</stp>
        <tr r="V19" s="2"/>
      </tp>
      <tp t="s">
        <v>#N/A N/A</v>
        <stp/>
        <stp>BDH|11753906960372503820</stp>
        <tr r="AB18" s="2"/>
      </tp>
      <tp t="s">
        <v>#N/A N/A</v>
        <stp/>
        <stp>BDH|14038247230686189761</stp>
        <tr r="K18" s="2"/>
      </tp>
      <tp t="s">
        <v>#N/A N/A</v>
        <stp/>
        <stp>BDH|11328870183513020644</stp>
        <tr r="W9" s="4"/>
      </tp>
      <tp t="s">
        <v>#N/A N/A</v>
        <stp/>
        <stp>BDH|11654592519633568201</stp>
        <tr r="H7" s="2"/>
      </tp>
      <tp t="s">
        <v>#N/A N/A</v>
        <stp/>
        <stp>BDH|14302138076787059141</stp>
        <tr r="L20" s="2"/>
      </tp>
      <tp t="s">
        <v>#N/A N/A</v>
        <stp/>
        <stp>BDH|10777538442430403506</stp>
        <tr r="Y24" s="2"/>
      </tp>
      <tp t="s">
        <v>#N/A N/A</v>
        <stp/>
        <stp>BDH|17129030097328508223</stp>
        <tr r="J13" s="4"/>
      </tp>
      <tp t="s">
        <v>#N/A N/A</v>
        <stp/>
        <stp>BDH|17248223816933343302</stp>
        <tr r="AC28" s="4"/>
      </tp>
      <tp t="s">
        <v>#N/A N/A</v>
        <stp/>
        <stp>BDH|17576992295467427484</stp>
        <tr r="P28" s="4"/>
      </tp>
      <tp t="s">
        <v>#N/A N/A</v>
        <stp/>
        <stp>BDH|16227174369915986003</stp>
        <tr r="K7" s="4"/>
      </tp>
      <tp t="s">
        <v>#N/A N/A</v>
        <stp/>
        <stp>BDH|14997544290888885416</stp>
        <tr r="R18" s="4"/>
      </tp>
      <tp t="s">
        <v>#N/A N/A</v>
        <stp/>
        <stp>BDH|10287809674678351311</stp>
        <tr r="AD8" s="4"/>
      </tp>
      <tp t="s">
        <v>#N/A N/A</v>
        <stp/>
        <stp>BDH|13385728518779518887</stp>
        <tr r="Z25" s="4"/>
      </tp>
      <tp t="s">
        <v>#N/A N/A</v>
        <stp/>
        <stp>BDH|15232872382759236815</stp>
        <tr r="Y22" s="4"/>
      </tp>
      <tp t="s">
        <v>#N/A N/A</v>
        <stp/>
        <stp>BDH|12584703551723615769</stp>
        <tr r="I18" s="4"/>
      </tp>
      <tp t="s">
        <v>#N/A N/A</v>
        <stp/>
        <stp>BDH|11820123362091891372</stp>
        <tr r="AO17" s="4"/>
      </tp>
      <tp t="s">
        <v>#N/A N/A</v>
        <stp/>
        <stp>BDH|13414681968281093632</stp>
        <tr r="AM16" s="4"/>
      </tp>
      <tp t="s">
        <v>#N/A N/A</v>
        <stp/>
        <stp>BDH|15152731115067474046</stp>
        <tr r="AB9" s="4"/>
      </tp>
      <tp t="s">
        <v>#N/A N/A</v>
        <stp/>
        <stp>BDH|12777134669400990126</stp>
        <tr r="D12" s="4"/>
      </tp>
      <tp t="s">
        <v>#N/A N/A</v>
        <stp/>
        <stp>BDH|14958520741507773648</stp>
        <tr r="AF20" s="2"/>
      </tp>
      <tp t="s">
        <v>#N/A N/A</v>
        <stp/>
        <stp>BDH|16168065531702628398</stp>
        <tr r="E7" s="2"/>
      </tp>
      <tp t="s">
        <v>#N/A N/A</v>
        <stp/>
        <stp>BDH|12901525620527328614</stp>
        <tr r="P14" s="2"/>
      </tp>
      <tp t="s">
        <v>#N/A N/A</v>
        <stp/>
        <stp>BDH|16889040231596784733</stp>
        <tr r="AK18" s="2"/>
      </tp>
      <tp t="s">
        <v>#N/A N/A</v>
        <stp/>
        <stp>BDH|15926073086508450144</stp>
        <tr r="O24" s="2"/>
      </tp>
      <tp t="s">
        <v>#N/A N/A</v>
        <stp/>
        <stp>BDH|18051851510684938179</stp>
        <tr r="X21" s="2"/>
      </tp>
      <tp t="s">
        <v>#N/A N/A</v>
        <stp/>
        <stp>BDH|14539041537552408199</stp>
        <tr r="L21" s="4"/>
      </tp>
      <tp t="s">
        <v>#N/A N/A</v>
        <stp/>
        <stp>BDH|16289483028642142693</stp>
        <tr r="V13" s="4"/>
      </tp>
      <tp t="s">
        <v>#N/A N/A</v>
        <stp/>
        <stp>BDH|12697598882968200350</stp>
        <tr r="R13" s="2"/>
      </tp>
      <tp t="s">
        <v>#N/A N/A</v>
        <stp/>
        <stp>BDH|14159137219501901181</stp>
        <tr r="R9" s="2"/>
      </tp>
      <tp t="s">
        <v>#N/A N/A</v>
        <stp/>
        <stp>BDH|12270791270882020419</stp>
        <tr r="C12" s="4"/>
      </tp>
      <tp t="s">
        <v>#N/A N/A</v>
        <stp/>
        <stp>BDH|17452441385457022889</stp>
        <tr r="AF16" s="2"/>
      </tp>
      <tp t="s">
        <v>#N/A N/A</v>
        <stp/>
        <stp>BDH|13578293211355393137</stp>
        <tr r="N18" s="4"/>
      </tp>
      <tp t="s">
        <v>#N/A N/A</v>
        <stp/>
        <stp>BDH|16943513393198412628</stp>
        <tr r="AC16" s="4"/>
      </tp>
      <tp t="s">
        <v>#N/A N/A</v>
        <stp/>
        <stp>BDH|11035828467232003986</stp>
        <tr r="J20" s="2"/>
      </tp>
      <tp t="s">
        <v>#N/A N/A</v>
        <stp/>
        <stp>BDH|14575739080869319687</stp>
        <tr r="AO13" s="4"/>
      </tp>
      <tp t="s">
        <v>#N/A N/A</v>
        <stp/>
        <stp>BDH|13152042852276863426</stp>
        <tr r="O8" s="4"/>
      </tp>
      <tp t="s">
        <v>#N/A N/A</v>
        <stp/>
        <stp>BDH|14717284081002191832</stp>
        <tr r="K10" s="4"/>
      </tp>
      <tp t="s">
        <v>#N/A N/A</v>
        <stp/>
        <stp>BDH|10786853587881115580</stp>
        <tr r="C13" s="2"/>
      </tp>
      <tp t="s">
        <v>#N/A N/A</v>
        <stp/>
        <stp>BDH|15159654726887438294</stp>
        <tr r="N14" s="2"/>
      </tp>
      <tp t="s">
        <v>#N/A N/A</v>
        <stp/>
        <stp>BDH|17386016921398511991</stp>
        <tr r="F14" s="2"/>
      </tp>
      <tp t="s">
        <v>#N/A N/A</v>
        <stp/>
        <stp>BDH|17553668843359711895</stp>
        <tr r="I17" s="4"/>
      </tp>
      <tp t="s">
        <v>#N/A N/A</v>
        <stp/>
        <stp>BDH|15343880387513705251</stp>
        <tr r="W26" s="2"/>
      </tp>
      <tp t="s">
        <v>#N/A N/A</v>
        <stp/>
        <stp>BDH|16555287667123449503</stp>
        <tr r="AL18" s="4"/>
      </tp>
      <tp t="s">
        <v>#N/A N/A</v>
        <stp/>
        <stp>BDP|17364637949817175732</stp>
        <tr r="AL9" s="3"/>
      </tp>
      <tp t="s">
        <v>#N/A N/A</v>
        <stp/>
        <stp>BDP|17304550424594436192</stp>
        <tr r="AG12" s="3"/>
      </tp>
      <tp t="s">
        <v>#N/A N/A</v>
        <stp/>
        <stp>BDP|15477271595883237875</stp>
        <tr r="AJ13" s="3"/>
      </tp>
      <tp t="s">
        <v>#N/A N/A</v>
        <stp/>
        <stp>BDP|11473306426482487750</stp>
        <tr r="W13" s="3"/>
      </tp>
      <tp t="s">
        <v>#N/A N/A</v>
        <stp/>
        <stp>BDP|15244871438062832976</stp>
        <tr r="AH17" s="3"/>
      </tp>
      <tp t="s">
        <v>#N/A N/A</v>
        <stp/>
        <stp>BDP|10749717714064597733</stp>
        <tr r="AO10" s="3"/>
      </tp>
      <tp t="s">
        <v>#N/A N/A</v>
        <stp/>
        <stp>BDH|16146514036436739304</stp>
        <tr r="Z19" s="2"/>
      </tp>
      <tp t="s">
        <v>#N/A N/A</v>
        <stp/>
        <stp>BDH|18148043918559581581</stp>
        <tr r="AD16" s="2"/>
      </tp>
      <tp t="s">
        <v>#N/A N/A</v>
        <stp/>
        <stp>BDH|16056281075296804054</stp>
        <tr r="D13" s="2"/>
      </tp>
      <tp t="s">
        <v>#N/A N/A</v>
        <stp/>
        <stp>BDH|17085385485141921865</stp>
        <tr r="Q14" s="2"/>
      </tp>
      <tp t="s">
        <v>#N/A N/A</v>
        <stp/>
        <stp>BDH|16960333721754168688</stp>
        <tr r="P16" s="4"/>
      </tp>
      <tp t="s">
        <v>#N/A N/A</v>
        <stp/>
        <stp>BDH|12172283366894886753</stp>
        <tr r="R26" s="2"/>
      </tp>
      <tp t="s">
        <v>#N/A N/A</v>
        <stp/>
        <stp>BDH|11281002474884292713</stp>
        <tr r="AP16" s="4"/>
      </tp>
      <tp t="s">
        <v>#N/A N/A</v>
        <stp/>
        <stp>BDH|16237031601743038050</stp>
        <tr r="G24" s="4"/>
      </tp>
      <tp t="s">
        <v>#N/A N/A</v>
        <stp/>
        <stp>BDH|13486976283567295077</stp>
        <tr r="AE18" s="2"/>
      </tp>
      <tp t="s">
        <v>#N/A N/A</v>
        <stp/>
        <stp>BDH|10529331966767293760</stp>
        <tr r="F12" s="4"/>
      </tp>
      <tp t="s">
        <v>#N/A N/A</v>
        <stp/>
        <stp>BDH|17605353455297177331</stp>
        <tr r="N25" s="2"/>
      </tp>
      <tp t="s">
        <v>#N/A N/A</v>
        <stp/>
        <stp>BDH|17587709957063495314</stp>
        <tr r="S10" s="4"/>
      </tp>
      <tp t="s">
        <v>#N/A N/A</v>
        <stp/>
        <stp>BDH|11715188346909918873</stp>
        <tr r="AG7" s="2"/>
      </tp>
      <tp t="s">
        <v>#N/A N/A</v>
        <stp/>
        <stp>BDH|17075224935411388226</stp>
        <tr r="Y18" s="4"/>
      </tp>
      <tp t="s">
        <v>#N/A N/A</v>
        <stp/>
        <stp>BDH|15925428441615474583</stp>
        <tr r="AG24" s="4"/>
      </tp>
      <tp t="s">
        <v>#N/A N/A</v>
        <stp/>
        <stp>BDH|16682310133022412166</stp>
        <tr r="AP12" s="4"/>
      </tp>
      <tp t="s">
        <v>#N/A N/A</v>
        <stp/>
        <stp>BDH|16139741883844769870</stp>
        <tr r="AA24" s="4"/>
      </tp>
      <tp t="s">
        <v>#N/A N/A</v>
        <stp/>
        <stp>BDH|10440788014183997077</stp>
        <tr r="Z24" s="2"/>
      </tp>
      <tp t="s">
        <v>#N/A N/A</v>
        <stp/>
        <stp>BDH|14354427579243886168</stp>
        <tr r="P10" s="2"/>
      </tp>
      <tp t="s">
        <v>#N/A N/A</v>
        <stp/>
        <stp>BDH|11013383842575399603</stp>
        <tr r="AL13" s="2"/>
      </tp>
      <tp t="s">
        <v>#N/A N/A</v>
        <stp/>
        <stp>BDH|11404550802665807420</stp>
        <tr r="E10" s="2"/>
      </tp>
      <tp t="s">
        <v>#N/A N/A</v>
        <stp/>
        <stp>BDH|16284153170005893064</stp>
        <tr r="AC7" s="2"/>
      </tp>
      <tp t="s">
        <v>#N/A N/A</v>
        <stp/>
        <stp>BDH|14180186836113096062</stp>
        <tr r="J7" s="4"/>
      </tp>
      <tp t="s">
        <v>#N/A N/A</v>
        <stp/>
        <stp>BDH|10226082469813948024</stp>
        <tr r="AH9" s="2"/>
      </tp>
      <tp t="s">
        <v>#N/A N/A</v>
        <stp/>
        <stp>BDH|13269042619525505222</stp>
        <tr r="AC25" s="4"/>
      </tp>
      <tp t="s">
        <v>#N/A N/A</v>
        <stp/>
        <stp>BDH|12408117960009854951</stp>
        <tr r="S20" s="4"/>
      </tp>
      <tp t="s">
        <v>#N/A N/A</v>
        <stp/>
        <stp>BDH|13623001064683362393</stp>
        <tr r="R21" s="2"/>
      </tp>
      <tp t="s">
        <v>#N/A N/A</v>
        <stp/>
        <stp>BDH|15975535933862622443</stp>
        <tr r="Q28" s="4"/>
      </tp>
      <tp t="s">
        <v>#N/A N/A</v>
        <stp/>
        <stp>BDH|10006396982399527756</stp>
        <tr r="H22" s="4"/>
      </tp>
      <tp t="s">
        <v>#N/A N/A</v>
        <stp/>
        <stp>BDH|16684388007407061724</stp>
        <tr r="T22" s="4"/>
      </tp>
      <tp t="s">
        <v>#N/A N/A</v>
        <stp/>
        <stp>BDH|12643072851856236481</stp>
        <tr r="I19" s="2"/>
      </tp>
      <tp t="s">
        <v>#N/A N/A</v>
        <stp/>
        <stp>BDH|10924646034271121125</stp>
        <tr r="P24" s="4"/>
      </tp>
      <tp t="s">
        <v>#N/A N/A</v>
        <stp/>
        <stp>BDH|18144797360268468418</stp>
        <tr r="V21" s="2"/>
      </tp>
      <tp t="s">
        <v>#N/A N/A</v>
        <stp/>
        <stp>BDH|14708989884699070965</stp>
        <tr r="Q16" s="2"/>
      </tp>
      <tp t="s">
        <v>#N/A N/A</v>
        <stp/>
        <stp>BDH|11030849939378786772</stp>
        <tr r="AC17" s="4"/>
      </tp>
      <tp t="s">
        <v>#N/A N/A</v>
        <stp/>
        <stp>BDH|12909873296183434517</stp>
        <tr r="C6" s="4"/>
      </tp>
      <tp t="s">
        <v>#N/A N/A</v>
        <stp/>
        <stp>BDH|17586877489026623417</stp>
        <tr r="W14" s="4"/>
      </tp>
      <tp t="s">
        <v>#N/A N/A</v>
        <stp/>
        <stp>BDH|10669332559544297711</stp>
        <tr r="AJ16" s="4"/>
      </tp>
      <tp t="s">
        <v>#N/A N/A</v>
        <stp/>
        <stp>BDH|10945544185798045073</stp>
        <tr r="V21" s="4"/>
      </tp>
      <tp t="s">
        <v>#N/A N/A</v>
        <stp/>
        <stp>BDH|17144861388667564555</stp>
        <tr r="V13" s="2"/>
      </tp>
      <tp t="s">
        <v>#N/A N/A</v>
        <stp/>
        <stp>BDH|16542010139382777256</stp>
        <tr r="X18" s="4"/>
      </tp>
      <tp t="s">
        <v>#N/A N/A</v>
        <stp/>
        <stp>BDH|15323686253216598534</stp>
        <tr r="AC24" s="4"/>
      </tp>
      <tp t="s">
        <v>#N/A N/A</v>
        <stp/>
        <stp>BDH|10945181825242996431</stp>
        <tr r="AF18" s="4"/>
      </tp>
      <tp t="s">
        <v>#N/A N/A</v>
        <stp/>
        <stp>BDH|17546270675413089497</stp>
        <tr r="E6" s="4"/>
      </tp>
      <tp t="s">
        <v>#N/A N/A</v>
        <stp/>
        <stp>BDH|11819261822886095223</stp>
        <tr r="H14" s="4"/>
      </tp>
      <tp t="s">
        <v>#N/A N/A</v>
        <stp/>
        <stp>BDH|13144062458400544346</stp>
        <tr r="AC20" s="2"/>
      </tp>
      <tp t="s">
        <v>#N/A N/A</v>
        <stp/>
        <stp>BDH|10682737053361924619</stp>
        <tr r="AN26" s="2"/>
      </tp>
      <tp t="s">
        <v>#N/A N/A</v>
        <stp/>
        <stp>BDH|17953146974763323743</stp>
        <tr r="AI18" s="4"/>
      </tp>
    </main>
    <main first="bofaddin.rtdserver">
      <tp t="s">
        <v>#N/A N/A</v>
        <stp/>
        <stp>BDP|4345099617330531922</stp>
        <tr r="U12" s="3"/>
      </tp>
      <tp t="s">
        <v>#N/A N/A</v>
        <stp/>
        <stp>BDH|8323336465374918566</stp>
        <tr r="Y17" s="2"/>
      </tp>
      <tp t="s">
        <v>#N/A N/A</v>
        <stp/>
        <stp>BDH|5866816313208460843</stp>
        <tr r="U24" s="4"/>
      </tp>
      <tp t="s">
        <v>#N/A N/A</v>
        <stp/>
        <stp>BDH|3247978001241809767</stp>
        <tr r="AF13" s="2"/>
      </tp>
      <tp t="s">
        <v>#N/A N/A</v>
        <stp/>
        <stp>BDP|8434265844040587284</stp>
        <tr r="X16" s="3"/>
      </tp>
      <tp t="s">
        <v>#N/A N/A</v>
        <stp/>
        <stp>BDH|5531825289551331860</stp>
        <tr r="N13" s="4"/>
      </tp>
      <tp t="s">
        <v>#N/A N/A</v>
        <stp/>
        <stp>BDH|7370271622202943942</stp>
        <tr r="Y26" s="2"/>
      </tp>
      <tp t="s">
        <v>#N/A N/A</v>
        <stp/>
        <stp>BDH|2191028680341016784</stp>
        <tr r="G9" s="2"/>
      </tp>
      <tp t="s">
        <v>#N/A N/A</v>
        <stp/>
        <stp>BDH|3592389331258337747</stp>
        <tr r="Y24" s="4"/>
      </tp>
      <tp t="s">
        <v>#N/A N/A</v>
        <stp/>
        <stp>BDP|7935513139879065491</stp>
        <tr r="AA9" s="3"/>
      </tp>
      <tp t="s">
        <v>#N/A N/A</v>
        <stp/>
        <stp>BDH|5877284958246487842</stp>
        <tr r="O14" s="4"/>
      </tp>
      <tp t="s">
        <v>#N/A N/A</v>
        <stp/>
        <stp>BDH|2573220690937938266</stp>
        <tr r="C14" s="2"/>
      </tp>
      <tp t="s">
        <v>#N/A N/A</v>
        <stp/>
        <stp>BDH|4894908777554134268</stp>
        <tr r="AH21" s="4"/>
      </tp>
      <tp t="s">
        <v>#N/A N/A</v>
        <stp/>
        <stp>BDP|4360538898710593442</stp>
        <tr r="AD13" s="3"/>
      </tp>
      <tp t="s">
        <v>#N/A N/A</v>
        <stp/>
        <stp>BDH|8832566068811747689</stp>
        <tr r="AL25" s="2"/>
      </tp>
      <tp t="s">
        <v>#N/A N/A</v>
        <stp/>
        <stp>BDH|3973631358569311584</stp>
        <tr r="R22" s="4"/>
      </tp>
      <tp t="s">
        <v>#N/A N/A</v>
        <stp/>
        <stp>BDH|4204185395714806493</stp>
        <tr r="D16" s="4"/>
      </tp>
      <tp t="s">
        <v>#N/A N/A</v>
        <stp/>
        <stp>BDH|3962861185087675832</stp>
        <tr r="I9" s="4"/>
      </tp>
      <tp t="s">
        <v>#N/A N/A</v>
        <stp/>
        <stp>BDH|5926537487140130438</stp>
        <tr r="AB7" s="2"/>
      </tp>
      <tp t="s">
        <v>#N/A N/A</v>
        <stp/>
        <stp>BDH|1889478891722670247</stp>
        <tr r="AG21" s="4"/>
      </tp>
      <tp t="s">
        <v>#N/A N/A</v>
        <stp/>
        <stp>BDH|6743959865572229790</stp>
        <tr r="N7" s="2"/>
      </tp>
      <tp t="s">
        <v>#N/A N/A</v>
        <stp/>
        <stp>BDH|6437653170209827248</stp>
        <tr r="D10" s="4"/>
      </tp>
      <tp t="s">
        <v>#N/A N/A</v>
        <stp/>
        <stp>BDP|2102783286978475993</stp>
        <tr r="AJ16" s="3"/>
      </tp>
      <tp t="s">
        <v>#N/A N/A</v>
        <stp/>
        <stp>BDH|5208224672235107915</stp>
        <tr r="AJ26" s="4"/>
      </tp>
      <tp t="s">
        <v>#N/A N/A</v>
        <stp/>
        <stp>BDP|2916389263829574243</stp>
        <tr r="AL12" s="3"/>
      </tp>
      <tp t="s">
        <v>#N/A N/A</v>
        <stp/>
        <stp>BDP|9048357245052123027</stp>
        <tr r="R10" s="3"/>
      </tp>
      <tp t="s">
        <v>#N/A N/A</v>
        <stp/>
        <stp>BDP|9006437466392302560</stp>
        <tr r="L16" s="3"/>
      </tp>
      <tp t="s">
        <v>#N/A N/A</v>
        <stp/>
        <stp>BDH|7137944212693053074</stp>
        <tr r="Y10" s="2"/>
      </tp>
      <tp t="s">
        <v>#N/A N/A</v>
        <stp/>
        <stp>BDH|6185757013438309448</stp>
        <tr r="U20" s="2"/>
      </tp>
      <tp t="s">
        <v>#N/A N/A</v>
        <stp/>
        <stp>BDH|3729395801285891979</stp>
        <tr r="S26" s="2"/>
      </tp>
      <tp t="s">
        <v>#N/A N/A</v>
        <stp/>
        <stp>BDH|9518214964138044904</stp>
        <tr r="L19" s="2"/>
      </tp>
      <tp t="s">
        <v>#N/A N/A</v>
        <stp/>
        <stp>BDH|6355426678400186989</stp>
        <tr r="Z9" s="4"/>
      </tp>
      <tp t="s">
        <v>#N/A N/A</v>
        <stp/>
        <stp>BDH|1768934046741657150</stp>
        <tr r="F17" s="4"/>
      </tp>
      <tp t="s">
        <v>#N/A N/A</v>
        <stp/>
        <stp>BDH|8316543026942714178</stp>
        <tr r="T9" s="4"/>
      </tp>
      <tp t="s">
        <v>#N/A N/A</v>
        <stp/>
        <stp>BDH|8314587853044993007</stp>
        <tr r="X13" s="4"/>
      </tp>
      <tp t="s">
        <v>#N/A N/A</v>
        <stp/>
        <stp>BDH|8536473076894225376</stp>
        <tr r="AK20" s="4"/>
      </tp>
      <tp t="s">
        <v>#N/A N/A</v>
        <stp/>
        <stp>BDH|7781647701045140825</stp>
        <tr r="AH14" s="4"/>
      </tp>
      <tp t="s">
        <v>#N/A N/A</v>
        <stp/>
        <stp>BDP|8462652525456585676</stp>
        <tr r="AL17" s="3"/>
      </tp>
      <tp t="s">
        <v>#N/A N/A</v>
        <stp/>
        <stp>BDH|9244611031061264162</stp>
        <tr r="AJ20" s="2"/>
      </tp>
      <tp t="s">
        <v>#N/A N/A</v>
        <stp/>
        <stp>BDH|9164643634517796707</stp>
        <tr r="AE13" s="2"/>
      </tp>
      <tp t="s">
        <v>#N/A N/A</v>
        <stp/>
        <stp>BDH|4236143719509030186</stp>
        <tr r="M7" s="2"/>
      </tp>
      <tp t="s">
        <v>#N/A N/A</v>
        <stp/>
        <stp>BDH|9756829392982682669</stp>
        <tr r="W24" s="4"/>
      </tp>
      <tp t="s">
        <v>#N/A N/A</v>
        <stp/>
        <stp>BDH|8741207754590116350</stp>
        <tr r="AP19" s="2"/>
      </tp>
      <tp t="s">
        <v>#N/A N/A</v>
        <stp/>
        <stp>BDH|5010116995188354905</stp>
        <tr r="AC22" s="4"/>
      </tp>
      <tp t="s">
        <v>#N/A N/A</v>
        <stp/>
        <stp>BDH|4507179506358239112</stp>
        <tr r="AN10" s="4"/>
      </tp>
      <tp t="s">
        <v>#N/A N/A</v>
        <stp/>
        <stp>BDH|1269250643988747341</stp>
        <tr r="P12" s="4"/>
      </tp>
      <tp t="s">
        <v>#N/A N/A</v>
        <stp/>
        <stp>BDH|1739705672814271906</stp>
        <tr r="X14" s="2"/>
      </tp>
      <tp t="s">
        <v>#N/A N/A</v>
        <stp/>
        <stp>BDP|1765329341392442847</stp>
        <tr r="C16" s="3"/>
      </tp>
      <tp t="s">
        <v>#N/A N/A</v>
        <stp/>
        <stp>BDH|8391323832431796507</stp>
        <tr r="Q19" s="2"/>
      </tp>
      <tp t="s">
        <v>#N/A N/A</v>
        <stp/>
        <stp>BDH|9253942372169773272</stp>
        <tr r="T9" s="2"/>
      </tp>
      <tp t="s">
        <v>#N/A N/A</v>
        <stp/>
        <stp>BDH|3062075497324660223</stp>
        <tr r="W10" s="4"/>
      </tp>
      <tp t="s">
        <v>#N/A N/A</v>
        <stp/>
        <stp>BDH|3106396892340878567</stp>
        <tr r="AH7" s="4"/>
      </tp>
      <tp t="s">
        <v>#N/A N/A</v>
        <stp/>
        <stp>BDH|2069322630437078963</stp>
        <tr r="AP6" s="4"/>
      </tp>
      <tp t="s">
        <v>#N/A N/A</v>
        <stp/>
        <stp>BDP|9443720812374249736</stp>
        <tr r="AJ10" s="3"/>
      </tp>
      <tp t="s">
        <v>#N/A N/A</v>
        <stp/>
        <stp>BDH|6669816801706447473</stp>
        <tr r="T17" s="4"/>
      </tp>
      <tp t="s">
        <v>#N/A N/A</v>
        <stp/>
        <stp>BDH|6791101150909010725</stp>
        <tr r="M21" s="2"/>
      </tp>
      <tp t="s">
        <v>#N/A N/A</v>
        <stp/>
        <stp>BDH|1156085674303033872</stp>
        <tr r="AM9" s="2"/>
      </tp>
      <tp t="s">
        <v>#N/A N/A</v>
        <stp/>
        <stp>BDH|7847295679778285719</stp>
        <tr r="AP26" s="4"/>
      </tp>
      <tp t="s">
        <v>#N/A N/A</v>
        <stp/>
        <stp>BDH|2703560066694888841</stp>
        <tr r="AC21" s="2"/>
      </tp>
      <tp t="s">
        <v>#N/A N/A</v>
        <stp/>
        <stp>BDP|3914161497722559450</stp>
        <tr r="AC16" s="3"/>
      </tp>
      <tp t="s">
        <v>#N/A N/A</v>
        <stp/>
        <stp>BDH|7957819334611661029</stp>
        <tr r="D25" s="2"/>
      </tp>
      <tp t="s">
        <v>#N/A N/A</v>
        <stp/>
        <stp>BDH|4053491135359590716</stp>
        <tr r="W24" s="2"/>
      </tp>
      <tp t="s">
        <v>#N/A N/A</v>
        <stp/>
        <stp>BDH|8519321239147554239</stp>
        <tr r="AM22" s="4"/>
      </tp>
      <tp t="s">
        <v>#N/A N/A</v>
        <stp/>
        <stp>BDH|8940122236082380503</stp>
        <tr r="J26" s="2"/>
      </tp>
      <tp t="s">
        <v>#N/A N/A</v>
        <stp/>
        <stp>BDH|7689437341132881836</stp>
        <tr r="AK24" s="4"/>
      </tp>
      <tp t="s">
        <v>#N/A N/A</v>
        <stp/>
        <stp>BDH|5856240361155401961</stp>
        <tr r="T7" s="4"/>
      </tp>
      <tp t="s">
        <v>#N/A N/A</v>
        <stp/>
        <stp>BDH|4738281161908538540</stp>
        <tr r="AJ7" s="4"/>
      </tp>
      <tp t="s">
        <v>#N/A N/A</v>
        <stp/>
        <stp>BDH|9801360830691369528</stp>
        <tr r="C9" s="4"/>
      </tp>
      <tp t="s">
        <v>#N/A N/A</v>
        <stp/>
        <stp>BDH|7115033449869136754</stp>
        <tr r="AI10" s="4"/>
      </tp>
      <tp t="s">
        <v>#N/A N/A</v>
        <stp/>
        <stp>BDH|1710411120482315892</stp>
        <tr r="AH16" s="2"/>
      </tp>
      <tp t="s">
        <v>#N/A N/A</v>
        <stp/>
        <stp>BDH|5184655961231040995</stp>
        <tr r="AH8" s="2"/>
      </tp>
      <tp t="s">
        <v>#N/A N/A</v>
        <stp/>
        <stp>BDP|9841543144531773428</stp>
        <tr r="AK9" s="3"/>
      </tp>
      <tp t="s">
        <v>#N/A N/A</v>
        <stp/>
        <stp>BDH|5445823819627656647</stp>
        <tr r="AL14" s="4"/>
      </tp>
      <tp t="s">
        <v>#N/A N/A</v>
        <stp/>
        <stp>BDH|8600184762312274034</stp>
        <tr r="W6" s="4"/>
      </tp>
      <tp t="s">
        <v>#N/A N/A</v>
        <stp/>
        <stp>BDH|4230037893595617596</stp>
        <tr r="AC10" s="2"/>
      </tp>
      <tp t="s">
        <v>#N/A N/A</v>
        <stp/>
        <stp>BDH|7752249037122932907</stp>
        <tr r="I10" s="4"/>
      </tp>
      <tp t="s">
        <v>#N/A N/A</v>
        <stp/>
        <stp>BDP|5841962338275188754</stp>
        <tr r="I9" s="3"/>
      </tp>
      <tp t="s">
        <v>#N/A N/A</v>
        <stp/>
        <stp>BDP|3493154289766362192</stp>
        <tr r="AG17" s="3"/>
      </tp>
      <tp t="s">
        <v>#N/A N/A</v>
        <stp/>
        <stp>BDH|8465361861874256438</stp>
        <tr r="AC9" s="4"/>
      </tp>
      <tp t="s">
        <v>#N/A N/A</v>
        <stp/>
        <stp>BDH|5243253383560530235</stp>
        <tr r="N10" s="2"/>
      </tp>
      <tp t="s">
        <v>#N/A N/A</v>
        <stp/>
        <stp>BDH|1523332752118768213</stp>
        <tr r="AP20" s="2"/>
      </tp>
      <tp t="s">
        <v>#N/A N/A</v>
        <stp/>
        <stp>BDH|3797426680216132466</stp>
        <tr r="V17" s="4"/>
      </tp>
      <tp t="s">
        <v>#N/A N/A</v>
        <stp/>
        <stp>BDH|4566977575576591100</stp>
        <tr r="O21" s="4"/>
      </tp>
      <tp t="s">
        <v>#N/A N/A</v>
        <stp/>
        <stp>BDH|8742700198722871975</stp>
        <tr r="K28" s="4"/>
      </tp>
      <tp t="s">
        <v>#N/A N/A</v>
        <stp/>
        <stp>BDH|5661014676259765665</stp>
        <tr r="E17" s="2"/>
      </tp>
      <tp t="s">
        <v>#N/A N/A</v>
        <stp/>
        <stp>BDH|6187148862758617411</stp>
        <tr r="D6" s="4"/>
      </tp>
      <tp t="s">
        <v>#N/A N/A</v>
        <stp/>
        <stp>BDH|2567226485334535164</stp>
        <tr r="AN24" s="2"/>
      </tp>
      <tp t="s">
        <v>#N/A N/A</v>
        <stp/>
        <stp>BDH|3388649052145615857</stp>
        <tr r="H21" s="2"/>
      </tp>
      <tp t="s">
        <v>#N/A N/A</v>
        <stp/>
        <stp>BDP|1046314393623439513</stp>
        <tr r="I13" s="3"/>
      </tp>
      <tp t="s">
        <v>#N/A N/A</v>
        <stp/>
        <stp>BDH|2965795521108121273</stp>
        <tr r="R25" s="4"/>
      </tp>
      <tp t="s">
        <v>#N/A N/A</v>
        <stp/>
        <stp>BDH|8754397443887947535</stp>
        <tr r="K12" s="4"/>
      </tp>
      <tp t="s">
        <v>#N/A N/A</v>
        <stp/>
        <stp>BDH|9017312571449694924</stp>
        <tr r="AE10" s="4"/>
      </tp>
      <tp t="s">
        <v>#N/A N/A</v>
        <stp/>
        <stp>BDH|9926624869897633300</stp>
        <tr r="AM17" s="4"/>
      </tp>
      <tp t="s">
        <v>#N/A N/A</v>
        <stp/>
        <stp>BDH|9176724741521439628</stp>
        <tr r="AP10" s="2"/>
      </tp>
      <tp t="s">
        <v>#N/A N/A</v>
        <stp/>
        <stp>BDH|5095640941719072315</stp>
        <tr r="S17" s="4"/>
      </tp>
      <tp t="s">
        <v>#N/A N/A</v>
        <stp/>
        <stp>BDH|7178420056223712868</stp>
        <tr r="AL16" s="2"/>
      </tp>
      <tp t="s">
        <v>#N/A N/A</v>
        <stp/>
        <stp>BDP|6591599198331211637</stp>
        <tr r="AF17" s="3"/>
      </tp>
      <tp t="s">
        <v>#N/A N/A</v>
        <stp/>
        <stp>BDH|2661051665550073939</stp>
        <tr r="AJ8" s="4"/>
      </tp>
      <tp t="s">
        <v>#N/A N/A</v>
        <stp/>
        <stp>BDH|2289486348938839406</stp>
        <tr r="AI16" s="4"/>
      </tp>
      <tp t="s">
        <v>#N/A N/A</v>
        <stp/>
        <stp>BDH|2416078799054463149</stp>
        <tr r="AF7" s="4"/>
      </tp>
      <tp t="s">
        <v>#N/A N/A</v>
        <stp/>
        <stp>BDP|4428109978169401530</stp>
        <tr r="AJ9" s="3"/>
      </tp>
      <tp t="s">
        <v>#N/A N/A</v>
        <stp/>
        <stp>BDP|6452394090346761415</stp>
        <tr r="X10" s="3"/>
      </tp>
      <tp t="s">
        <v>#N/A N/A</v>
        <stp/>
        <stp>BDH|3135621781844065798</stp>
        <tr r="C28" s="4"/>
      </tp>
      <tp t="s">
        <v>#N/A N/A</v>
        <stp/>
        <stp>BDH|4652233423622890855</stp>
        <tr r="AG16" s="4"/>
      </tp>
      <tp t="s">
        <v>#N/A N/A</v>
        <stp/>
        <stp>BDH|8373781696158679031</stp>
        <tr r="M10" s="2"/>
      </tp>
      <tp t="s">
        <v>#N/A N/A</v>
        <stp/>
        <stp>BDH|8259998738714392884</stp>
        <tr r="L14" s="2"/>
      </tp>
      <tp t="s">
        <v>#N/A N/A</v>
        <stp/>
        <stp>BDH|3659494183340486107</stp>
        <tr r="AM10" s="2"/>
      </tp>
      <tp t="s">
        <v>#N/A N/A</v>
        <stp/>
        <stp>BDH|6358403953519088098</stp>
        <tr r="D26" s="4"/>
      </tp>
      <tp t="s">
        <v>#N/A N/A</v>
        <stp/>
        <stp>BDH|6184592315279599517</stp>
        <tr r="AE8" s="2"/>
      </tp>
      <tp t="s">
        <v>#N/A N/A</v>
        <stp/>
        <stp>BDP|2380752926991884869</stp>
        <tr r="P12" s="3"/>
      </tp>
      <tp t="s">
        <v>#N/A N/A</v>
        <stp/>
        <stp>BDP|9759529507162890040</stp>
        <tr r="AE12" s="3"/>
      </tp>
      <tp t="s">
        <v>#N/A N/A</v>
        <stp/>
        <stp>BDH|6787281043146532878</stp>
        <tr r="AH21" s="2"/>
      </tp>
      <tp t="s">
        <v>#N/A N/A</v>
        <stp/>
        <stp>BDH|8253905855073965902</stp>
        <tr r="E24" s="2"/>
      </tp>
      <tp t="s">
        <v>#N/A N/A</v>
        <stp/>
        <stp>BDH|6344247918798618372</stp>
        <tr r="D24" s="4"/>
      </tp>
      <tp t="s">
        <v>#N/A N/A</v>
        <stp/>
        <stp>BDH|5361701890706431399</stp>
        <tr r="N16" s="4"/>
      </tp>
      <tp t="s">
        <v>#N/A N/A</v>
        <stp/>
        <stp>BDP|8669649389128105057</stp>
        <tr r="C10" s="3"/>
      </tp>
      <tp t="s">
        <v>#N/A N/A</v>
        <stp/>
        <stp>BDP|7881826402622739309</stp>
        <tr r="AG13" s="3"/>
      </tp>
      <tp t="s">
        <v>#N/A N/A</v>
        <stp/>
        <stp>BDH|8108990793040555614</stp>
        <tr r="L18" s="4"/>
      </tp>
      <tp t="s">
        <v>#N/A N/A</v>
        <stp/>
        <stp>BDH|8691614613139881831</stp>
        <tr r="AD26" s="2"/>
      </tp>
      <tp t="s">
        <v>#N/A N/A</v>
        <stp/>
        <stp>BDH|6114096166358939682</stp>
        <tr r="Q8" s="4"/>
      </tp>
      <tp t="s">
        <v>#N/A N/A</v>
        <stp/>
        <stp>BDH|3186569798567317633</stp>
        <tr r="N18" s="2"/>
      </tp>
      <tp t="s">
        <v>#N/A N/A</v>
        <stp/>
        <stp>BDH|5480007281684315790</stp>
        <tr r="N13" s="2"/>
      </tp>
      <tp t="s">
        <v>#N/A N/A</v>
        <stp/>
        <stp>BDH|8304346164661834269</stp>
        <tr r="Y13" s="4"/>
      </tp>
      <tp t="s">
        <v>#N/A N/A</v>
        <stp/>
        <stp>BDH|2834591692209350925</stp>
        <tr r="F24" s="4"/>
      </tp>
      <tp t="s">
        <v>#N/A N/A</v>
        <stp/>
        <stp>BDH|8595722806624412578</stp>
        <tr r="AL10" s="2"/>
      </tp>
      <tp t="s">
        <v>#N/A N/A</v>
        <stp/>
        <stp>BDH|6436663304547758937</stp>
        <tr r="AL6" s="4"/>
      </tp>
      <tp t="s">
        <v>#N/A N/A</v>
        <stp/>
        <stp>BDH|8042594039489333904</stp>
        <tr r="AN21" s="2"/>
      </tp>
      <tp t="s">
        <v>#N/A N/A</v>
        <stp/>
        <stp>BDH|6784660922684957899</stp>
        <tr r="L20" s="4"/>
      </tp>
      <tp t="s">
        <v>#N/A N/A</v>
        <stp/>
        <stp>BDH|4768596332255964963</stp>
        <tr r="AF24" s="2"/>
      </tp>
      <tp t="s">
        <v>#N/A N/A</v>
        <stp/>
        <stp>BDH|8818550919660701201</stp>
        <tr r="AI8" s="4"/>
      </tp>
      <tp t="s">
        <v>#N/A N/A</v>
        <stp/>
        <stp>BDH|9123636113821326113</stp>
        <tr r="AL18" s="2"/>
      </tp>
      <tp t="s">
        <v>#N/A N/A</v>
        <stp/>
        <stp>BDH|3744872618642081683</stp>
        <tr r="U25" s="4"/>
      </tp>
      <tp t="s">
        <v>#N/A N/A</v>
        <stp/>
        <stp>BDH|9084297673201311396</stp>
        <tr r="AA26" s="4"/>
      </tp>
      <tp t="s">
        <v>#N/A N/A</v>
        <stp/>
        <stp>BDH|6153882821900070283</stp>
        <tr r="AN9" s="2"/>
      </tp>
      <tp t="s">
        <v>#N/A N/A</v>
        <stp/>
        <stp>BDH|3549445505011619831</stp>
        <tr r="D9" s="4"/>
      </tp>
      <tp t="s">
        <v>#N/A N/A</v>
        <stp/>
        <stp>BDH|9464614755044554043</stp>
        <tr r="O24" s="4"/>
      </tp>
      <tp t="s">
        <v>#N/A N/A</v>
        <stp/>
        <stp>BDH|6082670307377851992</stp>
        <tr r="AA14" s="4"/>
      </tp>
      <tp t="s">
        <v>#N/A N/A</v>
        <stp/>
        <stp>BDH|2983453191048935929</stp>
        <tr r="I22" s="4"/>
      </tp>
      <tp t="s">
        <v>#N/A N/A</v>
        <stp/>
        <stp>BDH|3649476881745316457</stp>
        <tr r="D24" s="2"/>
      </tp>
      <tp t="s">
        <v>#N/A N/A</v>
        <stp/>
        <stp>BDH|9950577720335070583</stp>
        <tr r="AB21" s="4"/>
      </tp>
      <tp t="s">
        <v>#N/A N/A</v>
        <stp/>
        <stp>BDH|4751056924848242022</stp>
        <tr r="AD7" s="2"/>
      </tp>
      <tp t="s">
        <v>#N/A N/A</v>
        <stp/>
        <stp>BDH|6383371453638852686</stp>
        <tr r="AB7" s="4"/>
      </tp>
      <tp t="s">
        <v>#N/A N/A</v>
        <stp/>
        <stp>BDH|1574825659546358492</stp>
        <tr r="AC6" s="4"/>
      </tp>
      <tp t="s">
        <v>#N/A N/A</v>
        <stp/>
        <stp>BDH|7031581859170017951</stp>
        <tr r="R18" s="2"/>
      </tp>
      <tp t="s">
        <v>#N/A N/A</v>
        <stp/>
        <stp>BDH|7356070000068645164</stp>
        <tr r="AO9" s="4"/>
      </tp>
      <tp t="s">
        <v>#N/A N/A</v>
        <stp/>
        <stp>BDH|6703118955075696916</stp>
        <tr r="R20" s="2"/>
      </tp>
      <tp t="s">
        <v>#N/A N/A</v>
        <stp/>
        <stp>BDH|3737776587416026435</stp>
        <tr r="M20" s="2"/>
      </tp>
      <tp t="s">
        <v>#N/A N/A</v>
        <stp/>
        <stp>BDH|3372154589793842739</stp>
        <tr r="W16" s="2"/>
      </tp>
      <tp t="s">
        <v>#N/A N/A</v>
        <stp/>
        <stp>BDH|4182273004260006864</stp>
        <tr r="F6" s="4"/>
      </tp>
      <tp t="s">
        <v>#N/A N/A</v>
        <stp/>
        <stp>BDP|4024712799003549789</stp>
        <tr r="P17" s="3"/>
      </tp>
      <tp t="s">
        <v>#N/A N/A</v>
        <stp/>
        <stp>BDP|1167809233003443738</stp>
        <tr r="AH9" s="3"/>
      </tp>
      <tp t="s">
        <v>#N/A N/A</v>
        <stp/>
        <stp>BDH|3919726530908601054</stp>
        <tr r="Q8" s="2"/>
      </tp>
      <tp t="s">
        <v>#N/A N/A</v>
        <stp/>
        <stp>BDH|8755003863273972245</stp>
        <tr r="AM9" s="4"/>
      </tp>
      <tp t="s">
        <v>#N/A N/A</v>
        <stp/>
        <stp>BDH|2730020494937043380</stp>
        <tr r="G26" s="4"/>
      </tp>
      <tp t="s">
        <v>#N/A N/A</v>
        <stp/>
        <stp>BDH|1216382695751323558</stp>
        <tr r="K7" s="2"/>
      </tp>
      <tp t="s">
        <v>#N/A N/A</v>
        <stp/>
        <stp>BDP|2770479698906613604</stp>
        <tr r="AI9" s="3"/>
      </tp>
      <tp t="s">
        <v>#N/A N/A</v>
        <stp/>
        <stp>BDH|2338991524301711771</stp>
        <tr r="AH28" s="4"/>
      </tp>
      <tp t="s">
        <v>#N/A N/A</v>
        <stp/>
        <stp>BDH|8857013109751825664</stp>
        <tr r="G12" s="4"/>
      </tp>
      <tp t="s">
        <v>#N/A N/A</v>
        <stp/>
        <stp>BDH|1815858263349461944</stp>
        <tr r="O26" s="4"/>
      </tp>
      <tp t="s">
        <v>#N/A N/A</v>
        <stp/>
        <stp>BDH|6301795485684658267</stp>
        <tr r="M24" s="2"/>
      </tp>
      <tp t="s">
        <v>#N/A N/A</v>
        <stp/>
        <stp>BDH|2900959343980837081</stp>
        <tr r="AA14" s="2"/>
      </tp>
      <tp t="s">
        <v>#N/A N/A</v>
        <stp/>
        <stp>BDH|9610948642848935369</stp>
        <tr r="R14" s="4"/>
      </tp>
      <tp t="s">
        <v>#N/A N/A</v>
        <stp/>
        <stp>BDH|9359419499153600819</stp>
        <tr r="D10" s="2"/>
      </tp>
      <tp t="s">
        <v>#N/A N/A</v>
        <stp/>
        <stp>BDP|5399048736778533192</stp>
        <tr r="M16" s="3"/>
      </tp>
      <tp t="s">
        <v>#N/A N/A</v>
        <stp/>
        <stp>BDH|4567320646844820849</stp>
        <tr r="Y16" s="4"/>
      </tp>
      <tp t="s">
        <v>#N/A N/A</v>
        <stp/>
        <stp>BDH|8858581029404153450</stp>
        <tr r="Q22" s="4"/>
      </tp>
      <tp t="s">
        <v>#N/A N/A</v>
        <stp/>
        <stp>BDH|9958942157623451930</stp>
        <tr r="J24" s="4"/>
      </tp>
      <tp t="s">
        <v>#N/A N/A</v>
        <stp/>
        <stp>BDP|5220326596292387272</stp>
        <tr r="AC12" s="3"/>
      </tp>
      <tp t="s">
        <v>#N/A N/A</v>
        <stp/>
        <stp>BDP|7383109390313186308</stp>
        <tr r="C17" s="3"/>
      </tp>
      <tp t="s">
        <v>#N/A N/A</v>
        <stp/>
        <stp>BDH|4349626561613060826</stp>
        <tr r="AE21" s="4"/>
      </tp>
      <tp t="s">
        <v>#N/A N/A</v>
        <stp/>
        <stp>BDH|1618128881177291056</stp>
        <tr r="AM28" s="4"/>
      </tp>
      <tp t="s">
        <v>#N/A N/A</v>
        <stp/>
        <stp>BDH|8077508504387555531</stp>
        <tr r="AM19" s="2"/>
      </tp>
      <tp t="s">
        <v>#N/A N/A</v>
        <stp/>
        <stp>BDH|3008623409052082897</stp>
        <tr r="AL17" s="2"/>
      </tp>
      <tp t="s">
        <v>#N/A N/A</v>
        <stp/>
        <stp>BDH|2101028996655131178</stp>
        <tr r="H14" s="2"/>
      </tp>
      <tp t="s">
        <v>#N/A N/A</v>
        <stp/>
        <stp>BDH|1398649296183685241</stp>
        <tr r="AG28" s="4"/>
      </tp>
      <tp t="s">
        <v>#N/A N/A</v>
        <stp/>
        <stp>BDH|2659785964165800923</stp>
        <tr r="C8" s="2"/>
      </tp>
      <tp t="s">
        <v>#N/A N/A</v>
        <stp/>
        <stp>BDH|2076100123707773943</stp>
        <tr r="AE24" s="2"/>
      </tp>
      <tp t="s">
        <v>#N/A N/A</v>
        <stp/>
        <stp>BDH|1821378187177191299</stp>
        <tr r="R19" s="2"/>
      </tp>
      <tp t="s">
        <v>#N/A N/A</v>
        <stp/>
        <stp>BDH|8507650557217408322</stp>
        <tr r="I25" s="2"/>
      </tp>
      <tp t="s">
        <v>#N/A N/A</v>
        <stp/>
        <stp>BDH|6607017689078748987</stp>
        <tr r="H19" s="2"/>
      </tp>
      <tp t="s">
        <v>#N/A N/A</v>
        <stp/>
        <stp>BDH|4684673058921949919</stp>
        <tr r="Z16" s="4"/>
      </tp>
      <tp t="s">
        <v>#N/A N/A</v>
        <stp/>
        <stp>BDH|1205765146044519911</stp>
        <tr r="L10" s="2"/>
      </tp>
      <tp t="s">
        <v>#N/A N/A</v>
        <stp/>
        <stp>BDH|4700598348068660269</stp>
        <tr r="AA10" s="2"/>
      </tp>
      <tp t="s">
        <v>#N/A N/A</v>
        <stp/>
        <stp>BDP|9918600408166341650</stp>
        <tr r="M17" s="3"/>
      </tp>
      <tp t="s">
        <v>#N/A N/A</v>
        <stp/>
        <stp>BDH|9685400917941305256</stp>
        <tr r="AB13" s="2"/>
      </tp>
      <tp t="s">
        <v>#N/A N/A</v>
        <stp/>
        <stp>BDH|7821120404990029994</stp>
        <tr r="T16" s="2"/>
      </tp>
      <tp t="s">
        <v>#N/A N/A</v>
        <stp/>
        <stp>BDH|2710975260035609720</stp>
        <tr r="AM14" s="2"/>
      </tp>
      <tp t="s">
        <v>#N/A N/A</v>
        <stp/>
        <stp>BDH|4077342331238353325</stp>
        <tr r="K9" s="2"/>
      </tp>
      <tp t="s">
        <v>#N/A N/A</v>
        <stp/>
        <stp>BDH|8935387101700285466</stp>
        <tr r="AL7" s="4"/>
      </tp>
      <tp t="s">
        <v>#N/A N/A</v>
        <stp/>
        <stp>BDP|9519692179755293225</stp>
        <tr r="AF16" s="3"/>
      </tp>
      <tp t="s">
        <v>#N/A N/A</v>
        <stp/>
        <stp>BDH|8715753113127166656</stp>
        <tr r="AC10" s="4"/>
      </tp>
      <tp t="s">
        <v>#N/A N/A</v>
        <stp/>
        <stp>BDH|4101236802651123846</stp>
        <tr r="W22" s="4"/>
      </tp>
      <tp t="s">
        <v>#N/A N/A</v>
        <stp/>
        <stp>BDH|2416416792792535279</stp>
        <tr r="AE9" s="2"/>
      </tp>
      <tp t="s">
        <v>#N/A N/A</v>
        <stp/>
        <stp>BDH|25671026693002577</stp>
        <tr r="AL22" s="4"/>
      </tp>
      <tp t="s">
        <v>#N/A N/A</v>
        <stp/>
        <stp>BDP|7473913229671585536</stp>
        <tr r="O16" s="3"/>
      </tp>
      <tp t="s">
        <v>#N/A N/A</v>
        <stp/>
        <stp>BDH|2227090681112913092</stp>
        <tr r="V24" s="2"/>
      </tp>
      <tp t="s">
        <v>#N/A N/A</v>
        <stp/>
        <stp>BDH|8726501161163468086</stp>
        <tr r="AI7" s="2"/>
      </tp>
      <tp t="s">
        <v>#N/A N/A</v>
        <stp/>
        <stp>BDH|6543929689268167755</stp>
        <tr r="AB14" s="2"/>
      </tp>
      <tp t="s">
        <v>#N/A N/A</v>
        <stp/>
        <stp>BDH|1877182985177715797</stp>
        <tr r="AD7" s="4"/>
      </tp>
      <tp t="s">
        <v>#N/A N/A</v>
        <stp/>
        <stp>BDH|8902242395393166820</stp>
        <tr r="AK20" s="2"/>
      </tp>
      <tp t="s">
        <v>#N/A N/A</v>
        <stp/>
        <stp>BDH|6790118865210820906</stp>
        <tr r="O10" s="2"/>
      </tp>
      <tp t="s">
        <v>#N/A N/A</v>
        <stp/>
        <stp>BDH|3811828026718770902</stp>
        <tr r="T8" s="2"/>
      </tp>
      <tp t="s">
        <v>#N/A N/A</v>
        <stp/>
        <stp>BDH|3981934244401081760</stp>
        <tr r="AO25" s="2"/>
      </tp>
      <tp t="s">
        <v>#N/A N/A</v>
        <stp/>
        <stp>BDP|4502731699537466528</stp>
        <tr r="T16" s="3"/>
      </tp>
      <tp t="s">
        <v>#N/A N/A</v>
        <stp/>
        <stp>BDH|8572810736219891231</stp>
        <tr r="F18" s="4"/>
      </tp>
      <tp t="s">
        <v>#N/A N/A</v>
        <stp/>
        <stp>BDH|2778685128746003893</stp>
        <tr r="AG25" s="2"/>
      </tp>
      <tp t="s">
        <v>#N/A N/A</v>
        <stp/>
        <stp>BDH|4180085787631756575</stp>
        <tr r="P25" s="4"/>
      </tp>
      <tp t="s">
        <v>#N/A N/A</v>
        <stp/>
        <stp>BDP|3835249376798168643</stp>
        <tr r="L12" s="3"/>
      </tp>
      <tp t="s">
        <v>#N/A N/A</v>
        <stp/>
        <stp>BDH|6467225038749466664</stp>
        <tr r="AO25" s="4"/>
      </tp>
      <tp t="s">
        <v>#N/A N/A</v>
        <stp/>
        <stp>BDP|2811482325409025582</stp>
        <tr r="L9" s="3"/>
      </tp>
      <tp t="s">
        <v>#N/A N/A</v>
        <stp/>
        <stp>BDH|5083537667098939600</stp>
        <tr r="AC18" s="2"/>
      </tp>
      <tp t="s">
        <v>#N/A N/A</v>
        <stp/>
        <stp>BDH|1157351001403436920</stp>
        <tr r="AC26" s="2"/>
      </tp>
      <tp t="s">
        <v>#N/A N/A</v>
        <stp/>
        <stp>BDH|4764393241562402983</stp>
        <tr r="AL17" s="4"/>
      </tp>
      <tp t="s">
        <v>#N/A N/A</v>
        <stp/>
        <stp>BDH|9521061063002079531</stp>
        <tr r="AI22" s="4"/>
      </tp>
      <tp t="s">
        <v>#N/A N/A</v>
        <stp/>
        <stp>BDH|9052261058284592281</stp>
        <tr r="AF28" s="4"/>
      </tp>
      <tp t="s">
        <v>#N/A N/A</v>
        <stp/>
        <stp>BDP|5725964024743502505</stp>
        <tr r="AD16" s="3"/>
      </tp>
      <tp t="s">
        <v>#N/A N/A</v>
        <stp/>
        <stp>BDH|3191425148008954328</stp>
        <tr r="AD25" s="4"/>
      </tp>
      <tp t="s">
        <v>#N/A N/A</v>
        <stp/>
        <stp>BDH|2175475592735107250</stp>
        <tr r="AJ19" s="2"/>
      </tp>
      <tp t="s">
        <v>#N/A N/A</v>
        <stp/>
        <stp>BDH|5654450806939020057</stp>
        <tr r="AH24" s="2"/>
      </tp>
      <tp t="s">
        <v>#N/A N/A</v>
        <stp/>
        <stp>BDH|6175996682807808827</stp>
        <tr r="L26" s="4"/>
      </tp>
      <tp t="s">
        <v>#N/A N/A</v>
        <stp/>
        <stp>BDP|3055527750842268915</stp>
        <tr r="L13" s="3"/>
      </tp>
      <tp t="s">
        <v>#N/A N/A</v>
        <stp/>
        <stp>BDP|4042119094940630457</stp>
        <tr r="N17" s="3"/>
      </tp>
      <tp t="s">
        <v>#N/A N/A</v>
        <stp/>
        <stp>BDH|5024304871960799906</stp>
        <tr r="I7" s="2"/>
      </tp>
      <tp t="s">
        <v>#N/A N/A</v>
        <stp/>
        <stp>BDH|8729161005075700456</stp>
        <tr r="AF8" s="2"/>
      </tp>
      <tp t="s">
        <v>#N/A N/A</v>
        <stp/>
        <stp>BDH|3535894273604878010</stp>
        <tr r="P24" s="2"/>
      </tp>
      <tp t="s">
        <v>#N/A N/A</v>
        <stp/>
        <stp>BDH|5588302172698212131</stp>
        <tr r="H17" s="2"/>
      </tp>
      <tp t="s">
        <v>#N/A N/A</v>
        <stp/>
        <stp>BDH|9657384677103872679</stp>
        <tr r="AL28" s="4"/>
      </tp>
      <tp t="s">
        <v>#N/A N/A</v>
        <stp/>
        <stp>BDH|5851813727437112082</stp>
        <tr r="V24" s="4"/>
      </tp>
      <tp t="s">
        <v>#N/A N/A</v>
        <stp/>
        <stp>BDH|3368164732778535150</stp>
        <tr r="AG26" s="4"/>
      </tp>
      <tp t="s">
        <v>#N/A N/A</v>
        <stp/>
        <stp>BDH|9523608175084403409</stp>
        <tr r="X25" s="2"/>
      </tp>
      <tp t="s">
        <v>#N/A N/A</v>
        <stp/>
        <stp>BDH|1878060581384377588</stp>
        <tr r="Z8" s="2"/>
      </tp>
      <tp t="s">
        <v>#N/A N/A</v>
        <stp/>
        <stp>BDH|8251741087057403800</stp>
        <tr r="P21" s="2"/>
      </tp>
      <tp t="s">
        <v>#N/A N/A</v>
        <stp/>
        <stp>BDH|1177131398425952461</stp>
        <tr r="C16" s="4"/>
      </tp>
      <tp t="s">
        <v>#N/A N/A</v>
        <stp/>
        <stp>BDH|6644938407011598629</stp>
        <tr r="E18" s="4"/>
      </tp>
      <tp t="s">
        <v>#N/A N/A</v>
        <stp/>
        <stp>BDH|3419206946808284558</stp>
        <tr r="K20" s="4"/>
      </tp>
      <tp t="s">
        <v>#N/A N/A</v>
        <stp/>
        <stp>BDP|3782215546154202889</stp>
        <tr r="AN12" s="3"/>
      </tp>
      <tp t="s">
        <v>#N/A N/A</v>
        <stp/>
        <stp>BDH|4764011963262963963</stp>
        <tr r="O28" s="4"/>
      </tp>
      <tp t="s">
        <v>#N/A N/A</v>
        <stp/>
        <stp>BDH|8240250634900111085</stp>
        <tr r="I9" s="2"/>
      </tp>
      <tp t="s">
        <v>#N/A N/A</v>
        <stp/>
        <stp>BDH|2962849826073961280</stp>
        <tr r="Q16" s="4"/>
      </tp>
      <tp t="s">
        <v>#N/A N/A</v>
        <stp/>
        <stp>BDH|6724732826712089882</stp>
        <tr r="P10" s="4"/>
      </tp>
      <tp t="s">
        <v>#N/A N/A</v>
        <stp/>
        <stp>BDP|5915774627878000110</stp>
        <tr r="AD12" s="3"/>
      </tp>
      <tp t="s">
        <v>#N/A N/A</v>
        <stp/>
        <stp>BDH|1717629429089175554</stp>
        <tr r="V14" s="4"/>
      </tp>
      <tp t="s">
        <v>#N/A N/A</v>
        <stp/>
        <stp>BDH|7718898750774730713</stp>
        <tr r="E8" s="2"/>
      </tp>
      <tp t="s">
        <v>#N/A N/A</v>
        <stp/>
        <stp>BDH|9352666506944332299</stp>
        <tr r="E8" s="4"/>
      </tp>
      <tp t="s">
        <v>#N/A N/A</v>
        <stp/>
        <stp>BDH|6454387670649300266</stp>
        <tr r="AI21" s="4"/>
      </tp>
      <tp t="s">
        <v>#N/A N/A</v>
        <stp/>
        <stp>BDH|3355180603409164205</stp>
        <tr r="AD6" s="4"/>
      </tp>
      <tp t="s">
        <v>#N/A N/A</v>
        <stp/>
        <stp>BDH|6857458904209324234</stp>
        <tr r="AA12" s="4"/>
      </tp>
      <tp t="s">
        <v>#N/A N/A</v>
        <stp/>
        <stp>BDH|9325465171603485091</stp>
        <tr r="AA18" s="2"/>
      </tp>
      <tp t="s">
        <v>#N/A N/A</v>
        <stp/>
        <stp>BDH|1507211001339986356</stp>
        <tr r="P26" s="4"/>
      </tp>
      <tp t="s">
        <v>#N/A N/A</v>
        <stp/>
        <stp>BDH|8813601447115071669</stp>
        <tr r="S21" s="4"/>
      </tp>
    </main>
    <main first="bofaddin.rtdserver">
      <tp t="s">
        <v>#N/A N/A</v>
        <stp/>
        <stp>BDP|3567390801990147938</stp>
        <tr r="Q16" s="3"/>
      </tp>
      <tp t="s">
        <v>#N/A N/A</v>
        <stp/>
        <stp>BDH|3724604785115524181</stp>
        <tr r="O18" s="4"/>
      </tp>
      <tp t="s">
        <v>#N/A N/A</v>
        <stp/>
        <stp>BDH|9326160140213955632</stp>
        <tr r="AB26" s="2"/>
      </tp>
      <tp t="s">
        <v>#N/A N/A</v>
        <stp/>
        <stp>BDH|4861211772990403804</stp>
        <tr r="D20" s="4"/>
      </tp>
      <tp t="s">
        <v>#N/A N/A</v>
        <stp/>
        <stp>BDP|5107841296185850873</stp>
        <tr r="Q13" s="3"/>
      </tp>
      <tp t="s">
        <v>#N/A N/A</v>
        <stp/>
        <stp>BDH|3856080033970885973</stp>
        <tr r="AM7" s="4"/>
      </tp>
      <tp t="s">
        <v>#N/A N/A</v>
        <stp/>
        <stp>BDH|1977631421155555932</stp>
        <tr r="I17" s="2"/>
      </tp>
      <tp t="s">
        <v>#N/A N/A</v>
        <stp/>
        <stp>BDH|2265643070219967329</stp>
        <tr r="AH13" s="2"/>
      </tp>
      <tp t="s">
        <v>#N/A N/A</v>
        <stp/>
        <stp>BDP|2181944674263185625</stp>
        <tr r="K17" s="3"/>
      </tp>
      <tp t="s">
        <v>#N/A N/A</v>
        <stp/>
        <stp>BDH|8068247454082520476</stp>
        <tr r="T7" s="2"/>
      </tp>
      <tp t="s">
        <v>#N/A N/A</v>
        <stp/>
        <stp>BDH|1906609398105360206</stp>
        <tr r="C17" s="4"/>
      </tp>
      <tp t="s">
        <v>#N/A N/A</v>
        <stp/>
        <stp>BDH|5232868694108747553</stp>
        <tr r="AC17" s="2"/>
      </tp>
      <tp t="s">
        <v>#N/A N/A</v>
        <stp/>
        <stp>BDH|9925068330442589189</stp>
        <tr r="U16" s="2"/>
      </tp>
      <tp t="s">
        <v>#N/A N/A</v>
        <stp/>
        <stp>BDH|9556039174965311223</stp>
        <tr r="AH12" s="4"/>
      </tp>
      <tp t="s">
        <v>#N/A N/A</v>
        <stp/>
        <stp>BDH|5297344183413030462</stp>
        <tr r="M13" s="4"/>
      </tp>
      <tp t="s">
        <v>#N/A N/A</v>
        <stp/>
        <stp>BDH|7718118186922091533</stp>
        <tr r="M25" s="4"/>
      </tp>
      <tp t="s">
        <v>#N/A N/A</v>
        <stp/>
        <stp>BDP|4053832445953276251</stp>
        <tr r="V17" s="3"/>
      </tp>
      <tp t="s">
        <v>#N/A N/A</v>
        <stp/>
        <stp>BDH|2855002354276569885</stp>
        <tr r="AG10" s="4"/>
      </tp>
      <tp t="s">
        <v>#N/A N/A</v>
        <stp/>
        <stp>BDH|6644754182858479842</stp>
        <tr r="R17" s="4"/>
      </tp>
      <tp t="s">
        <v>#N/A N/A</v>
        <stp/>
        <stp>BDP|1070847919051827038</stp>
        <tr r="AP10" s="3"/>
      </tp>
      <tp t="s">
        <v>#N/A N/A</v>
        <stp/>
        <stp>BDP|4774574661247142968</stp>
        <tr r="S12" s="3"/>
      </tp>
      <tp t="s">
        <v>#N/A N/A</v>
        <stp/>
        <stp>BDP|4800889696225747978</stp>
        <tr r="AI12" s="3"/>
      </tp>
      <tp t="s">
        <v>#N/A N/A</v>
        <stp/>
        <stp>BDH|5412797007782860943</stp>
        <tr r="C8" s="4"/>
      </tp>
      <tp t="s">
        <v>#N/A N/A</v>
        <stp/>
        <stp>BDH|7345048629468869409</stp>
        <tr r="AL14" s="2"/>
      </tp>
      <tp t="s">
        <v>#N/A N/A</v>
        <stp/>
        <stp>BDH|8088761574377752637</stp>
        <tr r="H7" s="4"/>
      </tp>
      <tp t="s">
        <v>#N/A N/A</v>
        <stp/>
        <stp>BDH|8491371846192318404</stp>
        <tr r="AB18" s="4"/>
      </tp>
      <tp t="s">
        <v>#N/A N/A</v>
        <stp/>
        <stp>BDH|8672274882418786321</stp>
        <tr r="AM21" s="2"/>
      </tp>
      <tp t="s">
        <v>#N/A N/A</v>
        <stp/>
        <stp>BDH|4439065104554071915</stp>
        <tr r="AI26" s="2"/>
      </tp>
      <tp t="s">
        <v>#N/A N/A</v>
        <stp/>
        <stp>BDH|8489055716122453247</stp>
        <tr r="I21" s="2"/>
      </tp>
      <tp t="s">
        <v>#N/A N/A</v>
        <stp/>
        <stp>BDP|5167976842886757769</stp>
        <tr r="J13" s="3"/>
      </tp>
      <tp t="s">
        <v>#N/A N/A</v>
        <stp/>
        <stp>BDH|2077449124215042859</stp>
        <tr r="AJ10" s="2"/>
      </tp>
      <tp t="s">
        <v>#N/A N/A</v>
        <stp/>
        <stp>BDH|5236043773599530256</stp>
        <tr r="L24" s="2"/>
      </tp>
      <tp t="s">
        <v>#N/A N/A</v>
        <stp/>
        <stp>BDH|33362126104046174</stp>
        <tr r="Z20" s="4"/>
      </tp>
      <tp t="s">
        <v>#N/A N/A</v>
        <stp/>
        <stp>BDH|7252982684395642924</stp>
        <tr r="E20" s="4"/>
      </tp>
      <tp t="s">
        <v>#N/A N/A</v>
        <stp/>
        <stp>BDH|9980022076592598620</stp>
        <tr r="Y7" s="4"/>
      </tp>
      <tp t="s">
        <v>#N/A N/A</v>
        <stp/>
        <stp>BDH|7717552769106484857</stp>
        <tr r="AF7" s="2"/>
      </tp>
      <tp t="s">
        <v>#N/A N/A</v>
        <stp/>
        <stp>BDH|9192142641061918776</stp>
        <tr r="T14" s="2"/>
      </tp>
      <tp t="s">
        <v>#N/A N/A</v>
        <stp/>
        <stp>BDP|8377411499206462940</stp>
        <tr r="Y13" s="3"/>
      </tp>
      <tp t="s">
        <v>#N/A N/A</v>
        <stp/>
        <stp>BDP|7328295637304383859</stp>
        <tr r="K12" s="3"/>
      </tp>
      <tp t="s">
        <v>#N/A N/A</v>
        <stp/>
        <stp>BDH|3855175221482176844</stp>
        <tr r="S22" s="4"/>
      </tp>
      <tp t="s">
        <v>#N/A N/A</v>
        <stp/>
        <stp>BDH|3861440846960226905</stp>
        <tr r="V16" s="4"/>
      </tp>
      <tp t="s">
        <v>#N/A N/A</v>
        <stp/>
        <stp>BDH|4437847778745772464</stp>
        <tr r="AH26" s="4"/>
      </tp>
      <tp t="s">
        <v>#N/A N/A</v>
        <stp/>
        <stp>BDH|4223082786023176537</stp>
        <tr r="O10" s="4"/>
      </tp>
      <tp t="s">
        <v>#N/A N/A</v>
        <stp/>
        <stp>BDH|3936917826322304032</stp>
        <tr r="AM13" s="4"/>
      </tp>
      <tp t="s">
        <v>#N/A N/A</v>
        <stp/>
        <stp>BDH|4354703789741499003</stp>
        <tr r="AG24" s="2"/>
      </tp>
      <tp t="s">
        <v>#N/A N/A</v>
        <stp/>
        <stp>BDH|7805072036317094974</stp>
        <tr r="AL26" s="4"/>
      </tp>
      <tp t="s">
        <v>#N/A N/A</v>
        <stp/>
        <stp>BDP|5036367593392219789</stp>
        <tr r="S13" s="3"/>
      </tp>
      <tp t="s">
        <v>#N/A N/A</v>
        <stp/>
        <stp>BDH|6830146261088711356</stp>
        <tr r="AB20" s="2"/>
      </tp>
      <tp t="s">
        <v>#N/A N/A</v>
        <stp/>
        <stp>BDH|2829273080957032502</stp>
        <tr r="V10" s="4"/>
      </tp>
      <tp t="s">
        <v>#N/A N/A</v>
        <stp/>
        <stp>BDH|1184864424417528696</stp>
        <tr r="U25" s="2"/>
      </tp>
      <tp t="s">
        <v>#N/A N/A</v>
        <stp/>
        <stp>BDH|3577880848485894024</stp>
        <tr r="K14" s="4"/>
      </tp>
      <tp t="s">
        <v>#N/A N/A</v>
        <stp/>
        <stp>BDH|3297859569757711055</stp>
        <tr r="P13" s="4"/>
      </tp>
      <tp t="s">
        <v>#N/A N/A</v>
        <stp/>
        <stp>BDH|8976268911698141939</stp>
        <tr r="T17" s="2"/>
      </tp>
      <tp t="s">
        <v>#N/A N/A</v>
        <stp/>
        <stp>BDH|5951039596430591657</stp>
        <tr r="Q10" s="4"/>
      </tp>
      <tp t="s">
        <v>#N/A N/A</v>
        <stp/>
        <stp>BDH|4611979207342935532</stp>
        <tr r="AO14" s="4"/>
      </tp>
      <tp t="s">
        <v>#N/A N/A</v>
        <stp/>
        <stp>BDH|8194681659878552986</stp>
        <tr r="T21" s="2"/>
      </tp>
      <tp t="s">
        <v>#N/A N/A</v>
        <stp/>
        <stp>BDH|1656214422772167961</stp>
        <tr r="AL8" s="4"/>
      </tp>
      <tp t="s">
        <v>#N/A N/A</v>
        <stp/>
        <stp>BDH|4388301807118780510</stp>
        <tr r="V28" s="4"/>
      </tp>
      <tp t="s">
        <v>#N/A N/A</v>
        <stp/>
        <stp>BDH|1863803823097130685</stp>
        <tr r="AK28" s="4"/>
      </tp>
      <tp t="s">
        <v>#N/A N/A</v>
        <stp/>
        <stp>BDH|8029975692142040063</stp>
        <tr r="T14" s="4"/>
      </tp>
      <tp t="s">
        <v>#N/A N/A</v>
        <stp/>
        <stp>BDH|2987709599487654153</stp>
        <tr r="G6" s="4"/>
      </tp>
      <tp t="s">
        <v>#N/A N/A</v>
        <stp/>
        <stp>BDH|9764722926460110616</stp>
        <tr r="J28" s="4"/>
      </tp>
      <tp t="s">
        <v>#N/A N/A</v>
        <stp/>
        <stp>BDH|2452433091772470710</stp>
        <tr r="AH20" s="2"/>
      </tp>
      <tp t="s">
        <v>#N/A N/A</v>
        <stp/>
        <stp>BDH|4343042244098744279</stp>
        <tr r="AO17" s="2"/>
      </tp>
      <tp t="s">
        <v>#N/A N/A</v>
        <stp/>
        <stp>BDH|2700901924895344637</stp>
        <tr r="X20" s="4"/>
      </tp>
      <tp t="s">
        <v>#N/A N/A</v>
        <stp/>
        <stp>BDP|9708791818837670206</stp>
        <tr r="O9" s="3"/>
      </tp>
      <tp t="s">
        <v>#N/A N/A</v>
        <stp/>
        <stp>BDH|5461964674600111174</stp>
        <tr r="AK8" s="2"/>
      </tp>
      <tp t="s">
        <v>#N/A N/A</v>
        <stp/>
        <stp>BDH|4695851003973325533</stp>
        <tr r="C25" s="2"/>
      </tp>
      <tp t="s">
        <v>#N/A N/A</v>
        <stp/>
        <stp>BDH|7329324185097503111</stp>
        <tr r="J8" s="2"/>
      </tp>
      <tp t="s">
        <v>#N/A N/A</v>
        <stp/>
        <stp>BDH|4286339605038375570</stp>
        <tr r="D8" s="2"/>
      </tp>
      <tp t="s">
        <v>#N/A N/A</v>
        <stp/>
        <stp>BDH|2229936434253493107</stp>
        <tr r="AI9" s="4"/>
      </tp>
      <tp t="s">
        <v>#N/A N/A</v>
        <stp/>
        <stp>BDH|3170897064174893355</stp>
        <tr r="AK25" s="4"/>
      </tp>
      <tp t="s">
        <v>#N/A N/A</v>
        <stp/>
        <stp>BDH|4030714093708692854</stp>
        <tr r="T20" s="2"/>
      </tp>
      <tp t="s">
        <v>#N/A N/A</v>
        <stp/>
        <stp>BDH|6644278210238606714</stp>
        <tr r="AN24" s="4"/>
      </tp>
      <tp t="s">
        <v>#N/A N/A</v>
        <stp/>
        <stp>BDH|5368324284811645554</stp>
        <tr r="D20" s="2"/>
      </tp>
      <tp t="s">
        <v>#N/A N/A</v>
        <stp/>
        <stp>BDH|9681866470504439839</stp>
        <tr r="AJ18" s="2"/>
      </tp>
      <tp t="s">
        <v>#N/A N/A</v>
        <stp/>
        <stp>BDH|9967848370754893820</stp>
        <tr r="Y16" s="2"/>
      </tp>
      <tp t="s">
        <v>#N/A N/A</v>
        <stp/>
        <stp>BDH|7393971846980347061</stp>
        <tr r="AM26" s="2"/>
      </tp>
      <tp t="s">
        <v>#N/A N/A</v>
        <stp/>
        <stp>BDH|7481424715301392940</stp>
        <tr r="AK16" s="4"/>
      </tp>
      <tp t="s">
        <v>#N/A N/A</v>
        <stp/>
        <stp>BDH|1689899745680651790</stp>
        <tr r="AN14" s="2"/>
      </tp>
      <tp t="s">
        <v>#N/A N/A</v>
        <stp/>
        <stp>BDH|5737791825729752395</stp>
        <tr r="Y10" s="4"/>
      </tp>
      <tp t="s">
        <v>#N/A N/A</v>
        <stp/>
        <stp>BDH|8820700429691201660</stp>
        <tr r="Z13" s="2"/>
      </tp>
    </main>
    <main first="bofaddin.rtdserver">
      <tp t="s">
        <v>#N/A N/A</v>
        <stp/>
        <stp>BDH|8826012143873103414</stp>
        <tr r="AD25" s="2"/>
      </tp>
      <tp t="s">
        <v>#N/A N/A</v>
        <stp/>
        <stp>BDH|1872716895756783212</stp>
        <tr r="AI12" s="4"/>
      </tp>
      <tp t="s">
        <v>#N/A N/A</v>
        <stp/>
        <stp>BDH|5817773282510625106</stp>
        <tr r="AL8" s="2"/>
      </tp>
      <tp t="s">
        <v>#N/A N/A</v>
        <stp/>
        <stp>BDH|9158712528262242517</stp>
        <tr r="AJ21" s="4"/>
      </tp>
      <tp t="s">
        <v>#N/A N/A</v>
        <stp/>
        <stp>BDH|6015056378909215367</stp>
        <tr r="O21" s="2"/>
      </tp>
      <tp t="s">
        <v>#N/A N/A</v>
        <stp/>
        <stp>BDP|6271235563059922057</stp>
        <tr r="O13" s="3"/>
      </tp>
      <tp t="s">
        <v>#N/A N/A</v>
        <stp/>
        <stp>BDH|7944712475915629959</stp>
        <tr r="Q24" s="4"/>
      </tp>
      <tp t="s">
        <v>#N/A N/A</v>
        <stp/>
        <stp>BDH|4785380730989671662</stp>
        <tr r="K25" s="2"/>
      </tp>
      <tp t="s">
        <v>#N/A N/A</v>
        <stp/>
        <stp>BDH|4417367919065390878</stp>
        <tr r="T25" s="2"/>
      </tp>
      <tp t="s">
        <v>#N/A N/A</v>
        <stp/>
        <stp>BDH|1580965759401676733</stp>
        <tr r="AG13" s="2"/>
      </tp>
      <tp t="s">
        <v>#N/A N/A</v>
        <stp/>
        <stp>BDH|7449781962038213538</stp>
        <tr r="AL21" s="2"/>
      </tp>
      <tp t="s">
        <v>#N/A N/A</v>
        <stp/>
        <stp>BDH|9304721509821047472</stp>
        <tr r="AB10" s="2"/>
      </tp>
      <tp t="s">
        <v>#N/A N/A</v>
        <stp/>
        <stp>BDP|3700166793580629084</stp>
        <tr r="Q10" s="3"/>
      </tp>
      <tp t="s">
        <v>#N/A N/A</v>
        <stp/>
        <stp>BDP|4370454703209902207</stp>
        <tr r="W12" s="3"/>
      </tp>
      <tp t="s">
        <v>#N/A N/A</v>
        <stp/>
        <stp>BDH|8874102861366263275</stp>
        <tr r="AP24" s="2"/>
      </tp>
      <tp t="s">
        <v>#N/A N/A</v>
        <stp/>
        <stp>BDH|2960855669026898112</stp>
        <tr r="V25" s="2"/>
      </tp>
      <tp t="s">
        <v>#N/A N/A</v>
        <stp/>
        <stp>BDH|6877318653869350243</stp>
        <tr r="H20" s="4"/>
      </tp>
      <tp t="s">
        <v>#N/A N/A</v>
        <stp/>
        <stp>BDH|6709653399790403225</stp>
        <tr r="Y28" s="4"/>
      </tp>
      <tp t="s">
        <v>#N/A N/A</v>
        <stp/>
        <stp>BDH|8162115313370909371</stp>
        <tr r="AH9" s="4"/>
      </tp>
      <tp t="s">
        <v>#N/A N/A</v>
        <stp/>
        <stp>BDH|9637106793539160395</stp>
        <tr r="E19" s="2"/>
      </tp>
      <tp t="s">
        <v>#N/A N/A</v>
        <stp/>
        <stp>BDP|9107960192695781704</stp>
        <tr r="AB10" s="3"/>
      </tp>
      <tp t="s">
        <v>#N/A N/A</v>
        <stp/>
        <stp>BDP|7207911830804977293</stp>
        <tr r="AO17" s="3"/>
      </tp>
      <tp t="s">
        <v>#N/A N/A</v>
        <stp/>
        <stp>BDH|3169982317040870050</stp>
        <tr r="G18" s="2"/>
      </tp>
      <tp t="s">
        <v>#N/A N/A</v>
        <stp/>
        <stp>BDH|1319902251123964580</stp>
        <tr r="Q25" s="2"/>
      </tp>
      <tp t="s">
        <v>#N/A N/A</v>
        <stp/>
        <stp>BDH|5870196080415145204</stp>
        <tr r="AJ8" s="2"/>
      </tp>
      <tp t="s">
        <v>#N/A N/A</v>
        <stp/>
        <stp>BDH|4353349267668413240</stp>
        <tr r="AD18" s="4"/>
      </tp>
      <tp t="s">
        <v>#N/A N/A</v>
        <stp/>
        <stp>BDP|8654147047622376479</stp>
        <tr r="AK13" s="3"/>
      </tp>
      <tp t="s">
        <v>#N/A N/A</v>
        <stp/>
        <stp>BDH|7681565951454777876</stp>
        <tr r="AM14" s="4"/>
      </tp>
      <tp t="s">
        <v>#N/A N/A</v>
        <stp/>
        <stp>BDH|9518223639962806171</stp>
        <tr r="P14" s="4"/>
      </tp>
      <tp t="s">
        <v>#N/A N/A</v>
        <stp/>
        <stp>BDH|2998260293940492296</stp>
        <tr r="O22" s="4"/>
      </tp>
      <tp t="s">
        <v>#N/A N/A</v>
        <stp/>
        <stp>BDH|3156258053028384734</stp>
        <tr r="N17" s="2"/>
      </tp>
      <tp t="s">
        <v>#N/A N/A</v>
        <stp/>
        <stp>BDH|9401215362464675267</stp>
        <tr r="J25" s="4"/>
      </tp>
      <tp t="s">
        <v>#N/A N/A</v>
        <stp/>
        <stp>BDH|2045669002879744647</stp>
        <tr r="X9" s="4"/>
      </tp>
      <tp t="s">
        <v>#N/A N/A</v>
        <stp/>
        <stp>BDH|6776946131821238672</stp>
        <tr r="AF19" s="2"/>
      </tp>
      <tp t="s">
        <v>#N/A N/A</v>
        <stp/>
        <stp>BDH|6286847015905187155</stp>
        <tr r="G25" s="2"/>
      </tp>
      <tp t="s">
        <v>#N/A N/A</v>
        <stp/>
        <stp>BDH|4170770012570541968</stp>
        <tr r="G20" s="4"/>
      </tp>
      <tp t="s">
        <v>#N/A N/A</v>
        <stp/>
        <stp>BDH|3149919211880664036</stp>
        <tr r="AG8" s="4"/>
      </tp>
      <tp t="s">
        <v>#N/A N/A</v>
        <stp/>
        <stp>BDH|3320075044745517915</stp>
        <tr r="AG13" s="4"/>
      </tp>
      <tp t="s">
        <v>#N/A N/A</v>
        <stp/>
        <stp>BDH|6483609734628325072</stp>
        <tr r="S6" s="4"/>
      </tp>
      <tp t="s">
        <v>#N/A N/A</v>
        <stp/>
        <stp>BDH|6154029425918655748</stp>
        <tr r="Z26" s="2"/>
      </tp>
      <tp t="s">
        <v>#N/A N/A</v>
        <stp/>
        <stp>BDP|4294030131819787525</stp>
        <tr r="AA16" s="3"/>
      </tp>
      <tp t="s">
        <v>#N/A N/A</v>
        <stp/>
        <stp>BDH|1708647559222346430</stp>
        <tr r="T19" s="2"/>
      </tp>
      <tp t="s">
        <v>#N/A N/A</v>
        <stp/>
        <stp>BDP|7674648348025850499</stp>
        <tr r="W17" s="3"/>
      </tp>
      <tp t="s">
        <v>#N/A N/A</v>
        <stp/>
        <stp>BDH|4566158780301294899</stp>
        <tr r="AM21" s="4"/>
      </tp>
      <tp t="s">
        <v>#N/A N/A</v>
        <stp/>
        <stp>BDH|1207818009218775560</stp>
        <tr r="AA8" s="4"/>
      </tp>
      <tp t="s">
        <v>#N/A N/A</v>
        <stp/>
        <stp>BDH|1816629106383468032</stp>
        <tr r="F18" s="2"/>
      </tp>
      <tp t="s">
        <v>#N/A N/A</v>
        <stp/>
        <stp>BDH|1235950284334238099</stp>
        <tr r="AP18" s="2"/>
      </tp>
      <tp t="s">
        <v>#N/A N/A</v>
        <stp/>
        <stp>BDH|2821315775266077456</stp>
        <tr r="AN21" s="4"/>
      </tp>
      <tp t="s">
        <v>#N/A N/A</v>
        <stp/>
        <stp>BDH|1999189734674544394</stp>
        <tr r="AH22" s="4"/>
      </tp>
      <tp t="s">
        <v>#N/A N/A</v>
        <stp/>
        <stp>BDH|1288397294237363856</stp>
        <tr r="G26" s="2"/>
      </tp>
      <tp t="s">
        <v>#N/A N/A</v>
        <stp/>
        <stp>BDH|2963362165932480179</stp>
        <tr r="O25" s="2"/>
      </tp>
      <tp t="s">
        <v>#N/A N/A</v>
        <stp/>
        <stp>BDH|2333055514165981256</stp>
        <tr r="D28" s="4"/>
      </tp>
      <tp t="s">
        <v>#N/A N/A</v>
        <stp/>
        <stp>BDH|3672763192111535885</stp>
        <tr r="S26" s="4"/>
      </tp>
      <tp t="s">
        <v>#N/A N/A</v>
        <stp/>
        <stp>BDH|3490679136070925236</stp>
        <tr r="S25" s="4"/>
      </tp>
      <tp t="s">
        <v>#N/A N/A</v>
        <stp/>
        <stp>BDH|3132292330490354646</stp>
        <tr r="N9" s="2"/>
      </tp>
      <tp t="s">
        <v>#N/A N/A</v>
        <stp/>
        <stp>BDH|4644752199858680603</stp>
        <tr r="AO18" s="2"/>
      </tp>
      <tp t="s">
        <v>#N/A N/A</v>
        <stp/>
        <stp>BDH|2549235579950459374</stp>
        <tr r="F20" s="4"/>
      </tp>
      <tp t="s">
        <v>#N/A N/A</v>
        <stp/>
        <stp>BDH|2055681804146334625</stp>
        <tr r="S10" s="2"/>
      </tp>
      <tp t="s">
        <v>#N/A N/A</v>
        <stp/>
        <stp>BDH|9668679036758946038</stp>
        <tr r="AO10" s="2"/>
      </tp>
      <tp t="s">
        <v>#N/A N/A</v>
        <stp/>
        <stp>BDH|4558255098498069359</stp>
        <tr r="Z16" s="2"/>
      </tp>
      <tp t="s">
        <v>#N/A N/A</v>
        <stp/>
        <stp>BDH|6740889434689527032</stp>
        <tr r="S20" s="2"/>
      </tp>
      <tp t="s">
        <v>#N/A N/A</v>
        <stp/>
        <stp>BDP|5046966669927564985</stp>
        <tr r="E12" s="3"/>
      </tp>
      <tp t="s">
        <v>#N/A N/A</v>
        <stp/>
        <stp>BDH|8777840641774336432</stp>
        <tr r="I28" s="4"/>
      </tp>
      <tp t="s">
        <v>#N/A N/A</v>
        <stp/>
        <stp>BDH|1046208557966069456</stp>
        <tr r="R9" s="4"/>
      </tp>
      <tp t="s">
        <v>#N/A N/A</v>
        <stp/>
        <stp>BDH|8888984043566841799</stp>
        <tr r="AJ9" s="2"/>
      </tp>
      <tp t="s">
        <v>#N/A N/A</v>
        <stp/>
        <stp>BDH|5320047717807567777</stp>
        <tr r="U13" s="4"/>
      </tp>
      <tp t="s">
        <v>#N/A N/A</v>
        <stp/>
        <stp>BDP|9133726081853849192</stp>
        <tr r="C13" s="3"/>
      </tp>
      <tp t="s">
        <v>#N/A N/A</v>
        <stp/>
        <stp>BDH|1481729254503336424</stp>
        <tr r="K13" s="4"/>
      </tp>
      <tp t="s">
        <v>#N/A N/A</v>
        <stp/>
        <stp>BDH|9420862157352468220</stp>
        <tr r="Y25" s="2"/>
      </tp>
      <tp t="s">
        <v>#N/A N/A</v>
        <stp/>
        <stp>BDH|9985753899375204644</stp>
        <tr r="S25" s="2"/>
      </tp>
      <tp t="s">
        <v>#N/A N/A</v>
        <stp/>
        <stp>BDH|8463529787560972181</stp>
        <tr r="J22" s="4"/>
      </tp>
      <tp t="s">
        <v>#N/A N/A</v>
        <stp/>
        <stp>BDP|4354238735490264160</stp>
        <tr r="F12" s="3"/>
      </tp>
      <tp t="s">
        <v>#N/A N/A</v>
        <stp/>
        <stp>BDH|2772612479903700495</stp>
        <tr r="T25" s="4"/>
      </tp>
      <tp t="s">
        <v>#N/A N/A</v>
        <stp/>
        <stp>BDH|1166177526692190402</stp>
        <tr r="AP16" s="2"/>
      </tp>
      <tp t="s">
        <v>#N/A N/A</v>
        <stp/>
        <stp>BDH|6029129260102373702</stp>
        <tr r="I13" s="2"/>
      </tp>
      <tp t="s">
        <v>#N/A N/A</v>
        <stp/>
        <stp>BDH|2445705954022165675</stp>
        <tr r="G7" s="2"/>
      </tp>
      <tp t="s">
        <v>#N/A N/A</v>
        <stp/>
        <stp>BDH|9374954452717081625</stp>
        <tr r="AI19" s="2"/>
      </tp>
      <tp t="s">
        <v>#N/A N/A</v>
        <stp/>
        <stp>BDH|7928648828435467273</stp>
        <tr r="AE9" s="4"/>
      </tp>
      <tp t="s">
        <v>#N/A N/A</v>
        <stp/>
        <stp>BDH|3595562896108359305</stp>
        <tr r="R8" s="2"/>
      </tp>
      <tp t="s">
        <v>#N/A N/A</v>
        <stp/>
        <stp>BDH|9548953122080393674</stp>
        <tr r="Q10" s="2"/>
      </tp>
      <tp t="s">
        <v>#N/A N/A</v>
        <stp/>
        <stp>BDH|4788015883380507863</stp>
        <tr r="Z14" s="2"/>
      </tp>
      <tp t="s">
        <v>#N/A N/A</v>
        <stp/>
        <stp>BDH|8357348982235212213</stp>
        <tr r="AP24" s="4"/>
      </tp>
      <tp t="s">
        <v>#N/A N/A</v>
        <stp/>
        <stp>BDH|2708632564967357151</stp>
        <tr r="I20" s="4"/>
      </tp>
      <tp t="s">
        <v>#N/A N/A</v>
        <stp/>
        <stp>BDH|5571873915840408849</stp>
        <tr r="AI25" s="2"/>
      </tp>
      <tp t="s">
        <v>#N/A N/A</v>
        <stp/>
        <stp>BDH|2096812796974477343</stp>
        <tr r="C16" s="2"/>
      </tp>
      <tp t="s">
        <v>#N/A N/A</v>
        <stp/>
        <stp>BDH|5932361439106690775</stp>
        <tr r="R13" s="4"/>
      </tp>
      <tp t="s">
        <v>#N/A N/A</v>
        <stp/>
        <stp>BDP|5842025953957993344</stp>
        <tr r="Y10" s="3"/>
      </tp>
      <tp t="s">
        <v>#N/A N/A</v>
        <stp/>
        <stp>BDH|8773590582118861902</stp>
        <tr r="P18" s="4"/>
      </tp>
      <tp t="s">
        <v>#N/A N/A</v>
        <stp/>
        <stp>BDH|1278746443466721068</stp>
        <tr r="Q20" s="4"/>
      </tp>
      <tp t="s">
        <v>#N/A N/A</v>
        <stp/>
        <stp>BDH|5281291900800825366</stp>
        <tr r="AI24" s="2"/>
      </tp>
      <tp t="s">
        <v>#N/A N/A</v>
        <stp/>
        <stp>BDH|77712965701120904</stp>
        <tr r="AL9" s="4"/>
      </tp>
      <tp t="s">
        <v>#N/A N/A</v>
        <stp/>
        <stp>BDH|2891153861177540735</stp>
        <tr r="AL9" s="2"/>
      </tp>
      <tp t="s">
        <v>#N/A N/A</v>
        <stp/>
        <stp>BDH|3944615433006515551</stp>
        <tr r="W8" s="2"/>
      </tp>
      <tp t="s">
        <v>#N/A N/A</v>
        <stp/>
        <stp>BDH|6820644977196557459</stp>
        <tr r="V8" s="2"/>
      </tp>
      <tp t="s">
        <v>#N/A N/A</v>
        <stp/>
        <stp>BDH|5396649077293814202</stp>
        <tr r="L28" s="4"/>
      </tp>
      <tp t="s">
        <v>#N/A N/A</v>
        <stp/>
        <stp>BDH|9203823484944449886</stp>
        <tr r="AD24" s="4"/>
      </tp>
      <tp t="s">
        <v>#N/A N/A</v>
        <stp/>
        <stp>BDH|5341052765846989029</stp>
        <tr r="V9" s="4"/>
      </tp>
      <tp t="s">
        <v>#N/A N/A</v>
        <stp/>
        <stp>BDP|3117233575192744197</stp>
        <tr r="AL13" s="3"/>
      </tp>
      <tp t="s">
        <v>#N/A N/A</v>
        <stp/>
        <stp>BDH|6277266649113576614</stp>
        <tr r="V18" s="2"/>
      </tp>
      <tp t="s">
        <v>#N/A N/A</v>
        <stp/>
        <stp>BDH|9447386664380507942</stp>
        <tr r="AN25" s="4"/>
      </tp>
      <tp t="s">
        <v>#N/A N/A</v>
        <stp/>
        <stp>BDH|2705614263425488284</stp>
        <tr r="M22" s="4"/>
      </tp>
      <tp t="s">
        <v>#N/A N/A</v>
        <stp/>
        <stp>BDH|2694815514688258681</stp>
        <tr r="AJ28" s="4"/>
      </tp>
      <tp t="s">
        <v>#N/A N/A</v>
        <stp/>
        <stp>BDP|3378187570364338466</stp>
        <tr r="E10" s="3"/>
      </tp>
      <tp t="s">
        <v>#N/A N/A</v>
        <stp/>
        <stp>BDH|1207689198373594896</stp>
        <tr r="Y9" s="2"/>
      </tp>
      <tp t="s">
        <v>#N/A N/A</v>
        <stp/>
        <stp>BDH|7556663497419071485</stp>
        <tr r="T18" s="2"/>
      </tp>
      <tp t="s">
        <v>#N/A N/A</v>
        <stp/>
        <stp>BDH|1316215268137655707</stp>
        <tr r="AE22" s="4"/>
      </tp>
      <tp t="s">
        <v>#N/A N/A</v>
        <stp/>
        <stp>BDP|4233336698943793837</stp>
        <tr r="P16" s="3"/>
      </tp>
      <tp t="s">
        <v>#N/A N/A</v>
        <stp/>
        <stp>BDP|5412735737571911542</stp>
        <tr r="I16" s="3"/>
      </tp>
      <tp t="s">
        <v>#N/A N/A</v>
        <stp/>
        <stp>BDH|4663597637000234772</stp>
        <tr r="W18" s="4"/>
      </tp>
      <tp t="s">
        <v>#N/A N/A</v>
        <stp/>
        <stp>BDH|2883553610605963698</stp>
        <tr r="E7" s="4"/>
      </tp>
      <tp t="s">
        <v>#N/A N/A</v>
        <stp/>
        <stp>BDP|6909599451516264516</stp>
        <tr r="G12" s="3"/>
      </tp>
      <tp t="s">
        <v>#N/A N/A</v>
        <stp/>
        <stp>BDH|9153945904527736248</stp>
        <tr r="P7" s="2"/>
      </tp>
      <tp t="s">
        <v>#N/A N/A</v>
        <stp/>
        <stp>BDP|9647053396720384551</stp>
        <tr r="U10" s="3"/>
      </tp>
      <tp t="s">
        <v>#N/A N/A</v>
        <stp/>
        <stp>BDH|6404374439515833610</stp>
        <tr r="AN16" s="2"/>
      </tp>
      <tp t="s">
        <v>#N/A N/A</v>
        <stp/>
        <stp>BDP|5243410705960557435</stp>
        <tr r="D16" s="3"/>
      </tp>
      <tp t="s">
        <v>#N/A N/A</v>
        <stp/>
        <stp>BDH|2766396281968817473</stp>
        <tr r="W25" s="4"/>
      </tp>
      <tp t="s">
        <v>#N/A N/A</v>
        <stp/>
        <stp>BDH|2901575227181815118</stp>
        <tr r="V7" s="2"/>
      </tp>
      <tp t="s">
        <v>#N/A N/A</v>
        <stp/>
        <stp>BDH|7368097234672883362</stp>
        <tr r="X14" s="4"/>
      </tp>
      <tp t="s">
        <v>#N/A N/A</v>
        <stp/>
        <stp>BDH|2745030590897163956</stp>
        <tr r="S16" s="2"/>
      </tp>
      <tp t="s">
        <v>#N/A N/A</v>
        <stp/>
        <stp>BDH|3760922336118285412</stp>
        <tr r="O17" s="4"/>
      </tp>
      <tp t="s">
        <v>#N/A N/A</v>
        <stp/>
        <stp>BDH|8782222518466966847</stp>
        <tr r="K22" s="4"/>
      </tp>
      <tp t="s">
        <v>#N/A N/A</v>
        <stp/>
        <stp>BDH|8171326290514691352</stp>
        <tr r="AO28" s="4"/>
      </tp>
      <tp t="s">
        <v>#N/A N/A</v>
        <stp/>
        <stp>BDP|9546358294277305163</stp>
        <tr r="I17" s="3"/>
      </tp>
      <tp t="s">
        <v>#N/A N/A</v>
        <stp/>
        <stp>BDH|3319925200206275923</stp>
        <tr r="Y18" s="2"/>
      </tp>
      <tp t="s">
        <v>#N/A N/A</v>
        <stp/>
        <stp>BDH|4997275119044432622</stp>
        <tr r="J10" s="2"/>
      </tp>
      <tp t="s">
        <v>#N/A N/A</v>
        <stp/>
        <stp>BDH|4966667475144531490</stp>
        <tr r="C13" s="4"/>
      </tp>
      <tp t="s">
        <v>#N/A N/A</v>
        <stp/>
        <stp>BDH|4401976411559736032</stp>
        <tr r="O12" s="4"/>
      </tp>
      <tp t="s">
        <v>#N/A N/A</v>
        <stp/>
        <stp>BDH|4552339223441271115</stp>
        <tr r="R7" s="4"/>
      </tp>
      <tp t="s">
        <v>#N/A N/A</v>
        <stp/>
        <stp>BDH|6919028824102112384</stp>
        <tr r="AL25" s="4"/>
      </tp>
      <tp t="s">
        <v>#N/A N/A</v>
        <stp/>
        <stp>BDH|3592318867292770130</stp>
        <tr r="AK10" s="2"/>
      </tp>
      <tp t="s">
        <v>#N/A N/A</v>
        <stp/>
        <stp>BDH|2100637258143484797</stp>
        <tr r="M14" s="2"/>
      </tp>
      <tp t="s">
        <v>#N/A N/A</v>
        <stp/>
        <stp>BDP|6622167107597489578</stp>
        <tr r="AC10" s="3"/>
      </tp>
      <tp t="s">
        <v>#N/A N/A</v>
        <stp/>
        <stp>BDH|5765304647025137252</stp>
        <tr r="C20" s="2"/>
      </tp>
      <tp t="s">
        <v>#N/A N/A</v>
        <stp/>
        <stp>BDH|3489669257434522140</stp>
        <tr r="AF13" s="4"/>
      </tp>
      <tp t="s">
        <v>#N/A N/A</v>
        <stp/>
        <stp>BDP|7592521127444660137</stp>
        <tr r="H13" s="3"/>
      </tp>
      <tp t="s">
        <v>#N/A N/A</v>
        <stp/>
        <stp>BDH|2604204534085638312</stp>
        <tr r="AB8" s="2"/>
      </tp>
      <tp t="s">
        <v>#N/A N/A</v>
        <stp/>
        <stp>BDH|68485518134789921</stp>
        <tr r="F17" s="2"/>
      </tp>
      <tp t="s">
        <v>#N/A N/A</v>
        <stp/>
        <stp>BDH|6946267803541729317</stp>
        <tr r="T8" s="4"/>
      </tp>
      <tp t="s">
        <v>#N/A N/A</v>
        <stp/>
        <stp>BDH|6693043824186551496</stp>
        <tr r="F21" s="2"/>
      </tp>
      <tp t="s">
        <v>#N/A N/A</v>
        <stp/>
        <stp>BDH|6438705124365867029</stp>
        <tr r="AI21" s="2"/>
      </tp>
      <tp t="s">
        <v>#N/A N/A</v>
        <stp/>
        <stp>BDH|3201650562713712690</stp>
        <tr r="E13" s="2"/>
      </tp>
      <tp t="s">
        <v>#N/A N/A</v>
        <stp/>
        <stp>BDH|1103219558528635851</stp>
        <tr r="G19" s="2"/>
      </tp>
      <tp t="s">
        <v>#N/A N/A</v>
        <stp/>
        <stp>BDH|1923797080271816907</stp>
        <tr r="AG10" s="2"/>
      </tp>
      <tp t="s">
        <v>#N/A N/A</v>
        <stp/>
        <stp>BDH|7907510926695166370</stp>
        <tr r="AK26" s="2"/>
      </tp>
      <tp t="s">
        <v>#N/A N/A</v>
        <stp/>
        <stp>BDH|2349285564553232341</stp>
        <tr r="AK13" s="2"/>
      </tp>
      <tp t="s">
        <v>#N/A N/A</v>
        <stp/>
        <stp>BDH|2071078182759447587</stp>
        <tr r="F22" s="4"/>
      </tp>
      <tp t="s">
        <v>#N/A N/A</v>
        <stp/>
        <stp>BDH|9084298688780932565</stp>
        <tr r="AN18" s="4"/>
      </tp>
      <tp t="s">
        <v>#N/A N/A</v>
        <stp/>
        <stp>BDH|5930330358532815747</stp>
        <tr r="G21" s="2"/>
      </tp>
      <tp t="s">
        <v>#N/A N/A</v>
        <stp/>
        <stp>BDH|1188131182168839668</stp>
        <tr r="K8" s="4"/>
      </tp>
      <tp t="s">
        <v>#N/A N/A</v>
        <stp/>
        <stp>BDH|6074758226922992748</stp>
        <tr r="AA21" s="2"/>
      </tp>
      <tp t="s">
        <v>#N/A N/A</v>
        <stp/>
        <stp>BDH|2989574712337456763</stp>
        <tr r="D17" s="2"/>
      </tp>
      <tp t="s">
        <v>#N/A N/A</v>
        <stp/>
        <stp>BDP|4791314733890824228</stp>
        <tr r="Z17" s="3"/>
      </tp>
      <tp t="s">
        <v>#N/A N/A</v>
        <stp/>
        <stp>BDP|1836338147837037732</stp>
        <tr r="P9" s="3"/>
      </tp>
      <tp t="s">
        <v>#N/A N/A</v>
        <stp/>
        <stp>BDH|4461867556679953623</stp>
        <tr r="G21" s="4"/>
      </tp>
      <tp t="s">
        <v>#N/A N/A</v>
        <stp/>
        <stp>BDH|3859206302552210575</stp>
        <tr r="E25" s="4"/>
      </tp>
      <tp t="s">
        <v>#N/A N/A</v>
        <stp/>
        <stp>BDH|4995979583372416166</stp>
        <tr r="Z26" s="4"/>
      </tp>
      <tp t="s">
        <v>#N/A N/A</v>
        <stp/>
        <stp>BDH|9428506317908455387</stp>
        <tr r="S18" s="2"/>
      </tp>
      <tp t="s">
        <v>#N/A N/A</v>
        <stp/>
        <stp>BDH|1795527658706847195</stp>
        <tr r="P26" s="2"/>
      </tp>
      <tp t="s">
        <v>#N/A N/A</v>
        <stp/>
        <stp>BDH|4846462614784520339</stp>
        <tr r="AN17" s="4"/>
      </tp>
      <tp t="s">
        <v>#N/A N/A</v>
        <stp/>
        <stp>BDH|1899415108003503086</stp>
        <tr r="G28" s="4"/>
      </tp>
      <tp t="s">
        <v>#N/A N/A</v>
        <stp/>
        <stp>BDH|4420190575626508205</stp>
        <tr r="R16" s="2"/>
      </tp>
      <tp t="s">
        <v>#N/A N/A</v>
        <stp/>
        <stp>BDH|4816973370164429861</stp>
        <tr r="AB26" s="4"/>
      </tp>
      <tp t="s">
        <v>#N/A N/A</v>
        <stp/>
        <stp>BDH|2186232318865506227</stp>
        <tr r="AP21" s="4"/>
      </tp>
      <tp t="s">
        <v>#N/A N/A</v>
        <stp/>
        <stp>BDH|6160071256996866356</stp>
        <tr r="AA21" s="4"/>
      </tp>
      <tp t="s">
        <v>#N/A N/A</v>
        <stp/>
        <stp>BDP|6427134731810710230</stp>
        <tr r="H12" s="3"/>
      </tp>
      <tp t="s">
        <v>#N/A N/A</v>
        <stp/>
        <stp>BDH|5564657223453944487</stp>
        <tr r="AN13" s="2"/>
      </tp>
      <tp t="s">
        <v>#N/A N/A</v>
        <stp/>
        <stp>BDH|3172520512819723845</stp>
        <tr r="W9" s="2"/>
      </tp>
      <tp t="s">
        <v>#N/A N/A</v>
        <stp/>
        <stp>BDH|2735151005933505601</stp>
        <tr r="V7" s="4"/>
      </tp>
      <tp t="s">
        <v>#N/A N/A</v>
        <stp/>
        <stp>BDH|8768953122864676153</stp>
        <tr r="AJ22" s="4"/>
      </tp>
      <tp t="s">
        <v>#N/A N/A</v>
        <stp/>
        <stp>BDH|4082775075803117134</stp>
        <tr r="E16" s="2"/>
      </tp>
      <tp t="s">
        <v>#N/A N/A</v>
        <stp/>
        <stp>BDH|9050607495802189245</stp>
        <tr r="I16" s="2"/>
      </tp>
      <tp t="s">
        <v>#N/A N/A</v>
        <stp/>
        <stp>BDH|8263056296111196601</stp>
        <tr r="AJ7" s="2"/>
      </tp>
      <tp t="s">
        <v>#N/A N/A</v>
        <stp/>
        <stp>BDH|2560251704576723039</stp>
        <tr r="AM8" s="2"/>
      </tp>
      <tp t="s">
        <v>#N/A N/A</v>
        <stp/>
        <stp>BDH|4124038830320261106</stp>
        <tr r="Y6" s="4"/>
      </tp>
      <tp t="s">
        <v>#N/A N/A</v>
        <stp/>
        <stp>BDP|7996142688508684028</stp>
        <tr r="X9" s="3"/>
      </tp>
      <tp t="s">
        <v>#N/A N/A</v>
        <stp/>
        <stp>BDH|9889648364398978705</stp>
        <tr r="E22" s="4"/>
      </tp>
      <tp t="s">
        <v>#N/A N/A</v>
        <stp/>
        <stp>BDH|2309272451306576513</stp>
        <tr r="N9" s="4"/>
      </tp>
      <tp t="s">
        <v>#N/A N/A</v>
        <stp/>
        <stp>BDH|2871083201213724773</stp>
        <tr r="AO9" s="2"/>
      </tp>
      <tp t="s">
        <v>#N/A N/A</v>
        <stp/>
        <stp>BDH|4419012597583483876</stp>
        <tr r="AD9" s="4"/>
      </tp>
      <tp t="s">
        <v>#N/A N/A</v>
        <stp/>
        <stp>BDH|1381442936653301334</stp>
        <tr r="U10" s="2"/>
      </tp>
      <tp t="s">
        <v>#N/A N/A</v>
        <stp/>
        <stp>BDH|5362704061517473503</stp>
        <tr r="AE28" s="4"/>
      </tp>
      <tp t="s">
        <v>#N/A N/A</v>
        <stp/>
        <stp>BDP|7820946527532460886</stp>
        <tr r="J16" s="3"/>
      </tp>
      <tp t="s">
        <v>#N/A N/A</v>
        <stp/>
        <stp>BDH|4511260395868608171</stp>
        <tr r="X26" s="2"/>
      </tp>
      <tp t="s">
        <v>#N/A N/A</v>
        <stp/>
        <stp>BDH|8581219040950345803</stp>
        <tr r="H10" s="4"/>
      </tp>
      <tp t="s">
        <v>#N/A N/A</v>
        <stp/>
        <stp>BDH|1401209951721078119</stp>
        <tr r="AA6" s="4"/>
      </tp>
      <tp t="s">
        <v>#N/A N/A</v>
        <stp/>
        <stp>BDH|3310482062371973640</stp>
        <tr r="AM18" s="2"/>
      </tp>
      <tp t="s">
        <v>#N/A N/A</v>
        <stp/>
        <stp>BDH|6932247872343802630</stp>
        <tr r="AP9" s="4"/>
      </tp>
      <tp t="s">
        <v>#N/A N/A</v>
        <stp/>
        <stp>BDH|3611329932771143429</stp>
        <tr r="U26" s="2"/>
      </tp>
      <tp t="s">
        <v>#N/A N/A</v>
        <stp/>
        <stp>BDH|50350996406636790</stp>
        <tr r="AH14" s="2"/>
      </tp>
      <tp t="s">
        <v>#N/A N/A</v>
        <stp/>
        <stp>BDH|3410145578214201607</stp>
        <tr r="AC24" s="2"/>
      </tp>
      <tp t="s">
        <v>#N/A N/A</v>
        <stp/>
        <stp>BDH|9446929312794967279</stp>
        <tr r="Q18" s="2"/>
      </tp>
      <tp t="s">
        <v>#N/A N/A</v>
        <stp/>
        <stp>BDP|5230255130822566193</stp>
        <tr r="T13" s="3"/>
      </tp>
      <tp t="s">
        <v>#N/A N/A</v>
        <stp/>
        <stp>BDH|6091189633680812384</stp>
        <tr r="E14" s="4"/>
      </tp>
      <tp t="s">
        <v>#N/A N/A</v>
        <stp/>
        <stp>BDH|9427886767917768777</stp>
        <tr r="AJ25" s="2"/>
      </tp>
      <tp t="s">
        <v>#N/A N/A</v>
        <stp/>
        <stp>BDP|9041394414784737838</stp>
        <tr r="AL10" s="3"/>
      </tp>
      <tp t="s">
        <v>#N/A N/A</v>
        <stp/>
        <stp>BDH|1775464249464561241</stp>
        <tr r="AD8" s="2"/>
      </tp>
      <tp t="s">
        <v>#N/A N/A</v>
        <stp/>
        <stp>BDH|3573814398275342067</stp>
        <tr r="AD18" s="2"/>
      </tp>
      <tp t="s">
        <v>#N/A N/A</v>
        <stp/>
        <stp>BDH|3938183418795163115</stp>
        <tr r="F13" s="2"/>
      </tp>
    </main>
    <main first="bofaddin.rtdserver">
      <tp t="s">
        <v>#N/A N/A</v>
        <stp/>
        <stp>BDP|8104796432373331872</stp>
        <tr r="AO12" s="3"/>
      </tp>
      <tp t="s">
        <v>#N/A N/A</v>
        <stp/>
        <stp>BDH|4217186228539925955</stp>
        <tr r="AO20" s="4"/>
      </tp>
      <tp t="s">
        <v>#N/A N/A</v>
        <stp/>
        <stp>BDH|4675211371950963611</stp>
        <tr r="M13" s="2"/>
      </tp>
      <tp t="s">
        <v>#N/A N/A</v>
        <stp/>
        <stp>BDP|2076843407454740980</stp>
        <tr r="N16" s="3"/>
      </tp>
      <tp t="s">
        <v>#N/A N/A</v>
        <stp/>
        <stp>BDH|6007130977653026483</stp>
        <tr r="H20" s="2"/>
      </tp>
      <tp t="s">
        <v>#N/A N/A</v>
        <stp/>
        <stp>BDH|5004073705240717299</stp>
        <tr r="AP13" s="2"/>
      </tp>
      <tp t="s">
        <v>#N/A N/A</v>
        <stp/>
        <stp>BDH|5006755428747686073</stp>
        <tr r="AO26" s="4"/>
      </tp>
      <tp t="s">
        <v>#N/A N/A</v>
        <stp/>
        <stp>BDP|8341736160066911843</stp>
        <tr r="K9" s="3"/>
      </tp>
      <tp t="s">
        <v>#N/A N/A</v>
        <stp/>
        <stp>BDH|4443937186291510397</stp>
        <tr r="AL20" s="2"/>
      </tp>
      <tp t="s">
        <v>#N/A N/A</v>
        <stp/>
        <stp>BDH|1962352532536137024</stp>
        <tr r="AA17" s="4"/>
      </tp>
      <tp t="s">
        <v>#N/A N/A</v>
        <stp/>
        <stp>BDP|2741918177412419977</stp>
        <tr r="AJ17" s="3"/>
      </tp>
      <tp t="s">
        <v>#N/A N/A</v>
        <stp/>
        <stp>BDH|6766954786534536437</stp>
        <tr r="X8" s="2"/>
      </tp>
      <tp t="s">
        <v>#N/A N/A</v>
        <stp/>
        <stp>BDH|4593251834631791318</stp>
        <tr r="H25" s="2"/>
      </tp>
      <tp t="s">
        <v>#N/A N/A</v>
        <stp/>
        <stp>BDP|5633057175373539604</stp>
        <tr r="T12" s="3"/>
      </tp>
      <tp t="s">
        <v>#N/A N/A</v>
        <stp/>
        <stp>BDH|3557068615286257374</stp>
        <tr r="AN13" s="4"/>
      </tp>
      <tp t="s">
        <v>#N/A N/A</v>
        <stp/>
        <stp>BDH|7470806774366779976</stp>
        <tr r="AG6" s="4"/>
      </tp>
      <tp t="s">
        <v>#N/A N/A</v>
        <stp/>
        <stp>BDH|1226086508360162634</stp>
        <tr r="W13" s="4"/>
      </tp>
      <tp t="s">
        <v>#N/A N/A</v>
        <stp/>
        <stp>BDH|9303753780116620706</stp>
        <tr r="AC16" s="2"/>
      </tp>
      <tp t="s">
        <v>#N/A N/A</v>
        <stp/>
        <stp>BDH|9093135040013769845</stp>
        <tr r="D18" s="2"/>
      </tp>
      <tp t="s">
        <v>#N/A N/A</v>
        <stp/>
        <stp>BDP|9433034476121625865</stp>
        <tr r="AB16" s="3"/>
      </tp>
      <tp t="s">
        <v>#N/A N/A</v>
        <stp/>
        <stp>BDH|2051666408947693498</stp>
        <tr r="AF24" s="4"/>
      </tp>
      <tp t="s">
        <v>#N/A N/A</v>
        <stp/>
        <stp>BDP|3755079652264689522</stp>
        <tr r="X13" s="3"/>
      </tp>
      <tp t="s">
        <v>#N/A N/A</v>
        <stp/>
        <stp>BDH|4611677191635596939</stp>
        <tr r="L9" s="2"/>
      </tp>
      <tp t="s">
        <v>#N/A N/A</v>
        <stp/>
        <stp>BDH|1761799349605888094</stp>
        <tr r="U26" s="4"/>
      </tp>
      <tp t="s">
        <v>#N/A N/A</v>
        <stp/>
        <stp>BDH|5007661506770021460</stp>
        <tr r="Q17" s="4"/>
      </tp>
      <tp t="s">
        <v>#N/A N/A</v>
        <stp/>
        <stp>BDH|5986961369209152411</stp>
        <tr r="AP25" s="4"/>
      </tp>
      <tp t="s">
        <v>#N/A N/A</v>
        <stp/>
        <stp>BDH|8721939278174931529</stp>
        <tr r="AH25" s="4"/>
      </tp>
      <tp t="s">
        <v>#N/A N/A</v>
        <stp/>
        <stp>BDH|1919982400937485820</stp>
        <tr r="H8" s="4"/>
      </tp>
      <tp t="s">
        <v>#N/A N/A</v>
        <stp/>
        <stp>BDH|8750938281299159732</stp>
        <tr r="X18" s="2"/>
      </tp>
      <tp t="s">
        <v>#N/A N/A</v>
        <stp/>
        <stp>BDH|5656922805608274374</stp>
        <tr r="P17" s="4"/>
      </tp>
      <tp t="s">
        <v>#N/A N/A</v>
        <stp/>
        <stp>BDH|8293758731313526877</stp>
        <tr r="F10" s="4"/>
      </tp>
      <tp t="s">
        <v>#N/A N/A</v>
        <stp/>
        <stp>BDH|6166232863182617739</stp>
        <tr r="AL24" s="2"/>
      </tp>
      <tp t="s">
        <v>#N/A N/A</v>
        <stp/>
        <stp>BDH|9511079228329674580</stp>
        <tr r="AH26" s="2"/>
      </tp>
      <tp t="s">
        <v>#N/A N/A</v>
        <stp/>
        <stp>BDH|3502146241098106944</stp>
        <tr r="P19" s="2"/>
      </tp>
      <tp t="s">
        <v>#N/A N/A</v>
        <stp/>
        <stp>BDH|8460408014243570904</stp>
        <tr r="AO14" s="2"/>
      </tp>
      <tp t="s">
        <v>#N/A N/A</v>
        <stp/>
        <stp>BDH|7772842181028684813</stp>
        <tr r="H12" s="4"/>
      </tp>
      <tp t="s">
        <v>#N/A N/A</v>
        <stp/>
        <stp>BDH|4558747611964024157</stp>
        <tr r="V9" s="2"/>
      </tp>
      <tp t="s">
        <v>#N/A N/A</v>
        <stp/>
        <stp>BDH|8932760605567881886</stp>
        <tr r="V26" s="4"/>
      </tp>
      <tp t="s">
        <v>#N/A N/A</v>
        <stp/>
        <stp>BDP|1290538378030423369</stp>
        <tr r="C12" s="3"/>
      </tp>
      <tp t="s">
        <v>#N/A N/A</v>
        <stp/>
        <stp>BDP|8010966069140679721</stp>
        <tr r="AN13" s="3"/>
      </tp>
      <tp t="s">
        <v>#N/A N/A</v>
        <stp/>
        <stp>BDH|4669841393811970438</stp>
        <tr r="G13" s="4"/>
      </tp>
      <tp t="s">
        <v>#N/A N/A</v>
        <stp/>
        <stp>BDH|8093990754842708615</stp>
        <tr r="T13" s="2"/>
      </tp>
      <tp t="s">
        <v>#N/A N/A</v>
        <stp/>
        <stp>BDH|5864465139500824243</stp>
        <tr r="AO26" s="2"/>
      </tp>
      <tp t="s">
        <v>#N/A N/A</v>
        <stp/>
        <stp>BDH|5566540765624748288</stp>
        <tr r="AF9" s="4"/>
      </tp>
      <tp t="s">
        <v>#N/A N/A</v>
        <stp/>
        <stp>BDH|5833265399497709987</stp>
        <tr r="AI20" s="4"/>
      </tp>
      <tp t="s">
        <v>#N/A N/A</v>
        <stp/>
        <stp>BDH|2831195285073912853</stp>
        <tr r="AG19" s="2"/>
      </tp>
      <tp t="s">
        <v>#N/A N/A</v>
        <stp/>
        <stp>BDH|5180423321733829028</stp>
        <tr r="E20" s="2"/>
      </tp>
      <tp t="s">
        <v>#N/A N/A</v>
        <stp/>
        <stp>BDH|3204639518646038210</stp>
        <tr r="C26" s="2"/>
      </tp>
      <tp t="s">
        <v>#N/A N/A</v>
        <stp/>
        <stp>BDH|5874833648228247183</stp>
        <tr r="T24" s="4"/>
      </tp>
      <tp t="s">
        <v>#N/A N/A</v>
        <stp/>
        <stp>BDH|2186720879931718345</stp>
        <tr r="E13" s="4"/>
      </tp>
      <tp t="s">
        <v>#N/A N/A</v>
        <stp/>
        <stp>BDH|4116712776587820373</stp>
        <tr r="F16" s="4"/>
      </tp>
      <tp t="s">
        <v>#N/A N/A</v>
        <stp/>
        <stp>BDH|6295782075701551732</stp>
        <tr r="D18" s="4"/>
      </tp>
      <tp t="s">
        <v>#N/A N/A</v>
        <stp/>
        <stp>BDH|1158191262851215766</stp>
        <tr r="AM26" s="4"/>
      </tp>
      <tp t="s">
        <v>#N/A N/A</v>
        <stp/>
        <stp>BDP|6812738876850417650</stp>
        <tr r="AC13" s="3"/>
      </tp>
      <tp t="s">
        <v>#N/A N/A</v>
        <stp/>
        <stp>BDH|3021790819952836748</stp>
        <tr r="H6" s="4"/>
      </tp>
      <tp t="s">
        <v>#N/A N/A</v>
        <stp/>
        <stp>BDH|5133434584408355190</stp>
        <tr r="C7" s="4"/>
      </tp>
      <tp t="s">
        <v>#N/A N/A</v>
        <stp/>
        <stp>BDH|1573399260337900394</stp>
        <tr r="V8" s="4"/>
      </tp>
      <tp t="s">
        <v>#N/A N/A</v>
        <stp/>
        <stp>BDH|8663992713525694567</stp>
        <tr r="P21" s="4"/>
      </tp>
      <tp t="s">
        <v>#N/A N/A</v>
        <stp/>
        <stp>BDH|9012638297726138093</stp>
        <tr r="AA20" s="4"/>
      </tp>
      <tp t="s">
        <v>#N/A N/A</v>
        <stp/>
        <stp>BDP|1986974913519401041</stp>
        <tr r="R16" s="3"/>
      </tp>
      <tp t="s">
        <v>#N/A N/A</v>
        <stp/>
        <stp>BDH|6961804492704647307</stp>
        <tr r="AD13" s="2"/>
      </tp>
      <tp t="s">
        <v>#N/A N/A</v>
        <stp/>
        <stp>BDH|1228764289169323733</stp>
        <tr r="AJ6" s="4"/>
      </tp>
      <tp t="s">
        <v>#N/A N/A</v>
        <stp/>
        <stp>BDH|5135092737624536278</stp>
        <tr r="K25" s="4"/>
      </tp>
      <tp t="s">
        <v>#N/A N/A</v>
        <stp/>
        <stp>BDH|4685740575616242285</stp>
        <tr r="AI14" s="4"/>
      </tp>
      <tp t="s">
        <v>#N/A N/A</v>
        <stp/>
        <stp>BDP|4155460521811221361</stp>
        <tr r="AB12" s="3"/>
      </tp>
      <tp t="s">
        <v>#N/A N/A</v>
        <stp/>
        <stp>BDH|8356905594290339861</stp>
        <tr r="L17" s="2"/>
      </tp>
      <tp t="s">
        <v>#N/A N/A</v>
        <stp/>
        <stp>BDP|1816051830893943173</stp>
        <tr r="V9" s="3"/>
      </tp>
      <tp t="s">
        <v>#N/A N/A</v>
        <stp/>
        <stp>BDH|5165815120249005634</stp>
        <tr r="V22" s="4"/>
      </tp>
      <tp t="s">
        <v>#N/A N/A</v>
        <stp/>
        <stp>BDH|4729714173242524607</stp>
        <tr r="S8" s="4"/>
      </tp>
      <tp t="s">
        <v>#N/A N/A</v>
        <stp/>
        <stp>BDH|6016015059005044683</stp>
        <tr r="AA9" s="2"/>
      </tp>
      <tp t="s">
        <v>#N/A N/A</v>
        <stp/>
        <stp>BDH|3331756511703716606</stp>
        <tr r="Z20" s="2"/>
      </tp>
      <tp t="s">
        <v>#N/A N/A</v>
        <stp/>
        <stp>BDH|6736351246659381878</stp>
        <tr r="E24" s="4"/>
      </tp>
      <tp t="s">
        <v>#N/A N/A</v>
        <stp/>
        <stp>BDH|7801134119347109033</stp>
        <tr r="AF9" s="2"/>
      </tp>
      <tp t="s">
        <v>#N/A N/A</v>
        <stp/>
        <stp>BDH|3508147602600527264</stp>
        <tr r="AO22" s="4"/>
      </tp>
      <tp t="s">
        <v>#N/A N/A</v>
        <stp/>
        <stp>BDH|9196133531433401870</stp>
        <tr r="X17" s="2"/>
      </tp>
      <tp t="s">
        <v>#N/A N/A</v>
        <stp/>
        <stp>BDH|9920312318079542247</stp>
        <tr r="N14" s="4"/>
      </tp>
      <tp t="s">
        <v>#N/A N/A</v>
        <stp/>
        <stp>BDH|2927209838605758673</stp>
        <tr r="F21" s="4"/>
      </tp>
      <tp t="s">
        <v>#N/A N/A</v>
        <stp/>
        <stp>BDH|9275476567843405873</stp>
        <tr r="AG7" s="4"/>
      </tp>
      <tp t="s">
        <v>#N/A N/A</v>
        <stp/>
        <stp>BDP|8728367146217290833</stp>
        <tr r="AP13" s="3"/>
      </tp>
      <tp t="s">
        <v>#N/A N/A</v>
        <stp/>
        <stp>BDH|7276407671183593708</stp>
        <tr r="AB16" s="4"/>
      </tp>
      <tp t="s">
        <v>#N/A N/A</v>
        <stp/>
        <stp>BDH|9456813105486485729</stp>
        <tr r="V25" s="4"/>
      </tp>
      <tp t="s">
        <v>#N/A N/A</v>
        <stp/>
        <stp>BDH|6972485874277210219</stp>
        <tr r="AI28" s="4"/>
      </tp>
      <tp t="s">
        <v>#N/A N/A</v>
        <stp/>
        <stp>BDH|4579282565696889664</stp>
        <tr r="J24" s="2"/>
      </tp>
      <tp t="s">
        <v>#N/A N/A</v>
        <stp/>
        <stp>BDH|3453006564842489736</stp>
        <tr r="AD26" s="4"/>
      </tp>
      <tp t="s">
        <v>#N/A N/A</v>
        <stp/>
        <stp>BDH|5620808682251284420</stp>
        <tr r="AP25" s="2"/>
      </tp>
      <tp t="s">
        <v>#N/A N/A</v>
        <stp/>
        <stp>BDH|1234564544785083548</stp>
        <tr r="F9" s="4"/>
      </tp>
      <tp t="s">
        <v>#N/A N/A</v>
        <stp/>
        <stp>BDH|6733247599739649485</stp>
        <tr r="Y26" s="4"/>
      </tp>
    </main>
    <main first="bofaddin.rtdserver">
      <tp t="s">
        <v>#N/A N/A</v>
        <stp/>
        <stp>BDP|1909600493317845883</stp>
        <tr r="D17" s="3"/>
      </tp>
      <tp t="s">
        <v>#N/A N/A</v>
        <stp/>
        <stp>BDH|4986746858813752482</stp>
        <tr r="AH18" s="2"/>
      </tp>
      <tp t="s">
        <v>#N/A N/A</v>
        <stp/>
        <stp>BDH|7872009220160659443</stp>
        <tr r="N10" s="4"/>
      </tp>
      <tp t="s">
        <v>#N/A N/A</v>
        <stp/>
        <stp>BDH|1279672095789387695</stp>
        <tr r="M24" s="4"/>
      </tp>
      <tp t="s">
        <v>#N/A N/A</v>
        <stp/>
        <stp>BDH|1981977468707548892</stp>
        <tr r="H25" s="4"/>
      </tp>
      <tp t="s">
        <v>#N/A N/A</v>
        <stp/>
        <stp>BDH|3246233252242006781</stp>
        <tr r="AA20" s="2"/>
      </tp>
      <tp t="s">
        <v>#N/A N/A</v>
        <stp/>
        <stp>BDH|7228243190378534589</stp>
        <tr r="AB24" s="4"/>
      </tp>
      <tp t="s">
        <v>#N/A N/A</v>
        <stp/>
        <stp>BDH|6259812899972820491</stp>
        <tr r="AG17" s="2"/>
      </tp>
      <tp t="s">
        <v>#N/A N/A</v>
        <stp/>
        <stp>BDH|5017755125401384086</stp>
        <tr r="T12" s="4"/>
      </tp>
      <tp t="s">
        <v>#N/A N/A</v>
        <stp/>
        <stp>BDH|7317380773391283329</stp>
        <tr r="I24" s="2"/>
      </tp>
      <tp t="s">
        <v>#N/A N/A</v>
        <stp/>
        <stp>BDH|8404314510372483994</stp>
        <tr r="D17" s="4"/>
      </tp>
      <tp t="s">
        <v>#N/A N/A</v>
        <stp/>
        <stp>BDH|1551175789449728049</stp>
        <tr r="E26" s="2"/>
      </tp>
      <tp t="s">
        <v>#N/A N/A</v>
        <stp/>
        <stp>BDP|7916199379165352536</stp>
        <tr r="V10" s="3"/>
      </tp>
      <tp t="s">
        <v>#N/A N/A</v>
        <stp/>
        <stp>BDH|6053723625844830663</stp>
        <tr r="X13" s="2"/>
      </tp>
      <tp t="s">
        <v>#N/A N/A</v>
        <stp/>
        <stp>BDP|1137351562366186395</stp>
        <tr r="AF10" s="3"/>
      </tp>
      <tp t="s">
        <v>#N/A N/A</v>
        <stp/>
        <stp>BDH|2716599266069450921</stp>
        <tr r="M26" s="2"/>
      </tp>
      <tp t="s">
        <v>#N/A N/A</v>
        <stp/>
        <stp>BDH|6846100943244448603</stp>
        <tr r="W17" s="2"/>
      </tp>
      <tp t="s">
        <v>#N/A N/A</v>
        <stp/>
        <stp>BDH|5706736169084055121</stp>
        <tr r="K17" s="2"/>
      </tp>
      <tp t="s">
        <v>#N/A N/A</v>
        <stp/>
        <stp>BDH|7456418545296706089</stp>
        <tr r="Q13" s="4"/>
      </tp>
      <tp t="s">
        <v>#N/A N/A</v>
        <stp/>
        <stp>BDH|3449336052482245688</stp>
        <tr r="AL21" s="4"/>
      </tp>
      <tp t="s">
        <v>#N/A N/A</v>
        <stp/>
        <stp>BDH|5511590731346608472</stp>
        <tr r="C21" s="2"/>
      </tp>
      <tp t="s">
        <v>#N/A N/A</v>
        <stp/>
        <stp>BDH|1787294667701345567</stp>
        <tr r="R8" s="4"/>
      </tp>
      <tp t="s">
        <v>#N/A N/A</v>
        <stp/>
        <stp>BDH|4355283284989675648</stp>
        <tr r="AM10" s="4"/>
      </tp>
      <tp t="s">
        <v>#N/A N/A</v>
        <stp/>
        <stp>BDH|5498342222144676191</stp>
        <tr r="K6" s="4"/>
      </tp>
      <tp t="s">
        <v>#N/A N/A</v>
        <stp/>
        <stp>BDH|7508462338464095561</stp>
        <tr r="R21" s="4"/>
      </tp>
      <tp t="s">
        <v>#N/A N/A</v>
        <stp/>
        <stp>BDP|5813196476351648333</stp>
        <tr r="AP16" s="3"/>
      </tp>
      <tp t="s">
        <v>#N/A N/A</v>
        <stp/>
        <stp>BDH|8551305229701930976</stp>
        <tr r="F26" s="4"/>
      </tp>
      <tp t="s">
        <v>#N/A N/A</v>
        <stp/>
        <stp>BDH|3310014805375364764</stp>
        <tr r="AE13" s="4"/>
      </tp>
      <tp t="s">
        <v>#N/A N/A</v>
        <stp/>
        <stp>BDH|4771359400053030501</stp>
        <tr r="X19" s="2"/>
      </tp>
    </main>
    <main first="bofaddin.rtdserver">
      <tp t="s">
        <v>#N/A N/A</v>
        <stp/>
        <stp>BDH|5984383277137185740</stp>
        <tr r="D26" s="2"/>
      </tp>
      <tp t="s">
        <v>#N/A N/A</v>
        <stp/>
        <stp>BDH|1686377521526457778</stp>
        <tr r="L25" s="2"/>
      </tp>
      <tp t="s">
        <v>#N/A N/A</v>
        <stp/>
        <stp>BDH|5686082845946957611</stp>
        <tr r="H26" s="2"/>
      </tp>
      <tp t="s">
        <v>#N/A N/A</v>
        <stp/>
        <stp>BDH|4491564037131234242</stp>
        <tr r="AH8" s="4"/>
      </tp>
      <tp t="s">
        <v>#N/A N/A</v>
        <stp/>
        <stp>BDH|1939768338896540225</stp>
        <tr r="X20" s="2"/>
      </tp>
      <tp t="s">
        <v>#N/A N/A</v>
        <stp/>
        <stp>BDH|2960806736058739096</stp>
        <tr r="AO18" s="4"/>
      </tp>
      <tp t="s">
        <v>#N/A N/A</v>
        <stp/>
        <stp>BDH|9839996853577759343</stp>
        <tr r="AM20" s="2"/>
      </tp>
      <tp t="s">
        <v>#N/A N/A</v>
        <stp/>
        <stp>BDH|1583647640595551752</stp>
        <tr r="H16" s="2"/>
      </tp>
      <tp t="s">
        <v>#N/A N/A</v>
        <stp/>
        <stp>BDH|6501777171986152135</stp>
        <tr r="N19" s="2"/>
      </tp>
      <tp t="s">
        <v>#N/A N/A</v>
        <stp/>
        <stp>BDH|1018314391749002361</stp>
        <tr r="F7" s="4"/>
      </tp>
      <tp t="s">
        <v>#N/A N/A</v>
        <stp/>
        <stp>BDH|7897738944506868316</stp>
        <tr r="T24" s="2"/>
      </tp>
      <tp t="s">
        <v>#N/A N/A</v>
        <stp/>
        <stp>BDH|5946171466846653581</stp>
        <tr r="E16" s="4"/>
      </tp>
      <tp t="s">
        <v>#N/A N/A</v>
        <stp/>
        <stp>BDH|1083706776825586556</stp>
        <tr r="AI26" s="4"/>
      </tp>
      <tp t="s">
        <v>#N/A N/A</v>
        <stp/>
        <stp>BDH|1892036378741047651</stp>
        <tr r="AB25" s="4"/>
      </tp>
      <tp t="s">
        <v>#N/A N/A</v>
        <stp/>
        <stp>BDH|5733514734027760522</stp>
        <tr r="R10" s="2"/>
      </tp>
      <tp t="s">
        <v>#N/A N/A</v>
        <stp/>
        <stp>BDH|7553639715964379571</stp>
        <tr r="AB12" s="4"/>
      </tp>
      <tp t="s">
        <v>#N/A N/A</v>
        <stp/>
        <stp>BDH|6240714321216776428</stp>
        <tr r="S24" s="4"/>
      </tp>
      <tp t="s">
        <v>#N/A N/A</v>
        <stp/>
        <stp>BDH|7160647717473319269</stp>
        <tr r="J7" s="2"/>
      </tp>
      <tp t="s">
        <v>#N/A N/A</v>
        <stp/>
        <stp>BDH|6180920978201553890</stp>
        <tr r="F19" s="2"/>
      </tp>
      <tp t="s">
        <v>#N/A N/A</v>
        <stp/>
        <stp>BDH|5564913482165068028</stp>
        <tr r="J19" s="2"/>
      </tp>
      <tp t="s">
        <v>#N/A N/A</v>
        <stp/>
        <stp>BDP|2835297395540508847</stp>
        <tr r="F16" s="3"/>
      </tp>
      <tp t="s">
        <v>#N/A N/A</v>
        <stp/>
        <stp>BDH|5600680011573352093</stp>
        <tr r="S12" s="4"/>
      </tp>
      <tp t="s">
        <v>#N/A N/A</v>
        <stp/>
        <stp>BDH|7401725553286379234</stp>
        <tr r="AO21" s="4"/>
      </tp>
      <tp t="s">
        <v>#N/A N/A</v>
        <stp/>
        <stp>BDH|7748153529194754195</stp>
        <tr r="I21" s="4"/>
      </tp>
      <tp t="s">
        <v>#N/A N/A</v>
        <stp/>
        <stp>BDH|1354727257947689558</stp>
        <tr r="W25" s="2"/>
      </tp>
    </main>
    <main first="bofaddin.rtdserver">
      <tp t="s">
        <v>#N/A N/A</v>
        <stp/>
        <stp>BDH|4229560624189358896</stp>
        <tr r="S9" s="2"/>
      </tp>
      <tp t="s">
        <v>#N/A N/A</v>
        <stp/>
        <stp>BDH|4383018548377900591</stp>
        <tr r="AN25" s="2"/>
      </tp>
      <tp t="s">
        <v>#N/A N/A</v>
        <stp/>
        <stp>BDH|5020373929607124151</stp>
        <tr r="E10" s="4"/>
      </tp>
      <tp t="s">
        <v>#N/A N/A</v>
        <stp/>
        <stp>BDH|6545496839236858579</stp>
        <tr r="AH17" s="2"/>
      </tp>
      <tp t="s">
        <v>#N/A N/A</v>
        <stp/>
        <stp>BDH|7644738484463247993</stp>
        <tr r="AJ24" s="4"/>
      </tp>
      <tp t="s">
        <v>#N/A N/A</v>
        <stp/>
        <stp>BDH|2267245268977578307</stp>
        <tr r="M28" s="4"/>
      </tp>
      <tp t="s">
        <v>#N/A N/A</v>
        <stp/>
        <stp>BDH|8619370200278879118</stp>
        <tr r="N25" s="4"/>
      </tp>
      <tp t="s">
        <v>#N/A N/A</v>
        <stp/>
        <stp>BDH|5967680591989069186</stp>
        <tr r="J21" s="2"/>
      </tp>
      <tp t="s">
        <v>#N/A N/A</v>
        <stp/>
        <stp>BDP|7827508869007002189</stp>
        <tr r="C9" s="3"/>
      </tp>
      <tp t="s">
        <v>#N/A N/A</v>
        <stp/>
        <stp>BDP|2887618937485140014</stp>
        <tr r="AN17" s="3"/>
      </tp>
      <tp t="s">
        <v>#N/A N/A</v>
        <stp/>
        <stp>BDH|4116907098234001274</stp>
        <tr r="AC18" s="4"/>
      </tp>
      <tp t="s">
        <v>#N/A N/A</v>
        <stp/>
        <stp>BDH|6778926051278841024</stp>
        <tr r="O17" s="2"/>
      </tp>
      <tp t="s">
        <v>#N/A N/A</v>
        <stp/>
        <stp>BDH|7836628687342784948</stp>
        <tr r="AG20" s="4"/>
      </tp>
      <tp t="s">
        <v>#N/A N/A</v>
        <stp/>
        <stp>BDH|5394258623465381281</stp>
        <tr r="H28" s="4"/>
      </tp>
      <tp t="s">
        <v>#N/A N/A</v>
        <stp/>
        <stp>BDH|5902912883253596507</stp>
        <tr r="AH10" s="4"/>
      </tp>
      <tp t="s">
        <v>#N/A N/A</v>
        <stp/>
        <stp>BDP|9065672676019993373</stp>
        <tr r="N9" s="3"/>
      </tp>
      <tp t="s">
        <v>#N/A N/A</v>
        <stp/>
        <stp>BDH|5531395841765458561</stp>
        <tr r="H17" s="4"/>
      </tp>
      <tp t="s">
        <v>#N/A N/A</v>
        <stp/>
        <stp>BDH|6607329620771899432</stp>
        <tr r="AC8" s="4"/>
      </tp>
      <tp t="s">
        <v>#N/A N/A</v>
        <stp/>
        <stp>BDH|6034449829032422063</stp>
        <tr r="Q12" s="4"/>
      </tp>
      <tp t="s">
        <v>#N/A N/A</v>
        <stp/>
        <stp>BDH|6285528076914385294</stp>
        <tr r="K24" s="2"/>
      </tp>
      <tp t="s">
        <v>#N/A N/A</v>
        <stp/>
        <stp>BDH|8697330393456891620</stp>
        <tr r="L18" s="2"/>
      </tp>
      <tp t="s">
        <v>#N/A N/A</v>
        <stp/>
        <stp>BDH|2731788566284575507</stp>
        <tr r="I10" s="2"/>
      </tp>
      <tp t="s">
        <v>#N/A N/A</v>
        <stp/>
        <stp>BDH|9257728984584180098</stp>
        <tr r="AA18" s="4"/>
      </tp>
      <tp t="s">
        <v>#N/A N/A</v>
        <stp/>
        <stp>BDH|2083038889650461837</stp>
        <tr r="Z18" s="2"/>
      </tp>
      <tp t="s">
        <v>#N/A N/A</v>
        <stp/>
        <stp>BDH|2411602258774449756</stp>
        <tr r="U8" s="4"/>
      </tp>
      <tp t="s">
        <v>#N/A N/A</v>
        <stp/>
        <stp>BDH|8199525787256925104</stp>
        <tr r="Q7" s="2"/>
      </tp>
      <tp t="s">
        <v>#N/A N/A</v>
        <stp/>
        <stp>BDH|6541223753413887011</stp>
        <tr r="AN18" s="2"/>
      </tp>
      <tp t="s">
        <v>#N/A N/A</v>
        <stp/>
        <stp>BDH|7421334258132007129</stp>
        <tr r="J9" s="4"/>
      </tp>
      <tp t="s">
        <v>#N/A N/A</v>
        <stp/>
        <stp>BDP|9860885276930692427</stp>
        <tr r="AI16" s="3"/>
      </tp>
      <tp t="s">
        <v>#N/A N/A</v>
        <stp/>
        <stp>BDH|6285981975882888858</stp>
        <tr r="AD14" s="2"/>
      </tp>
      <tp t="s">
        <v>#N/A N/A</v>
        <stp/>
        <stp>BDH|4746357690399078502</stp>
        <tr r="AF25" s="4"/>
      </tp>
      <tp t="s">
        <v>#N/A N/A</v>
        <stp/>
        <stp>BDH|1225294873766253081</stp>
        <tr r="AL20" s="4"/>
      </tp>
      <tp t="s">
        <v>#N/A N/A</v>
        <stp/>
        <stp>BDH|3003417812390180402</stp>
        <tr r="AA22" s="4"/>
      </tp>
      <tp t="s">
        <v>#N/A N/A</v>
        <stp/>
        <stp>BDH|3894054415875339584</stp>
        <tr r="H9" s="4"/>
      </tp>
      <tp t="s">
        <v>#N/A N/A</v>
        <stp/>
        <stp>BDH|6905625512014291780</stp>
        <tr r="AN7" s="2"/>
      </tp>
      <tp t="s">
        <v>#N/A N/A</v>
        <stp/>
        <stp>BDH|2686746416005166358</stp>
        <tr r="AD21" s="2"/>
      </tp>
      <tp t="s">
        <v>#N/A N/A</v>
        <stp/>
        <stp>BDH|2934490314240157557</stp>
        <tr r="K26" s="2"/>
      </tp>
      <tp t="s">
        <v>#N/A N/A</v>
        <stp/>
        <stp>BDH|7585432853877679332</stp>
        <tr r="I26" s="4"/>
      </tp>
      <tp t="s">
        <v>#N/A N/A</v>
        <stp/>
        <stp>BDH|9875892748864192389</stp>
        <tr r="AB8" s="4"/>
      </tp>
      <tp t="s">
        <v>#N/A N/A</v>
        <stp/>
        <stp>BDH|7369435081570552953</stp>
        <tr r="AH6" s="4"/>
      </tp>
      <tp t="s">
        <v>#N/A N/A</v>
        <stp/>
        <stp>BDH|4787432242740729603</stp>
        <tr r="F20" s="2"/>
      </tp>
      <tp t="s">
        <v>#N/A N/A</v>
        <stp/>
        <stp>BDH|3032758136731247407</stp>
        <tr r="AN12" s="4"/>
      </tp>
      <tp t="s">
        <v>#N/A N/A</v>
        <stp/>
        <stp>BDH|6481973525826535953</stp>
        <tr r="Y12" s="4"/>
      </tp>
      <tp t="s">
        <v>#N/A N/A</v>
        <stp/>
        <stp>BDH|7555312672444000506</stp>
        <tr r="N17" s="4"/>
      </tp>
      <tp t="s">
        <v>#N/A N/A</v>
        <stp/>
        <stp>BDH|4541524257541449724</stp>
        <tr r="AC13" s="2"/>
      </tp>
      <tp t="s">
        <v>#N/A N/A</v>
        <stp/>
        <stp>BDH|8220536571019412123</stp>
        <tr r="AJ9" s="4"/>
      </tp>
      <tp t="s">
        <v>#N/A N/A</v>
        <stp/>
        <stp>BDH|6042250967511473114</stp>
        <tr r="AM6" s="4"/>
      </tp>
      <tp t="s">
        <v>#N/A N/A</v>
        <stp/>
        <stp>BDH|6285299826881297588</stp>
        <tr r="R12" s="4"/>
      </tp>
      <tp t="s">
        <v>#N/A N/A</v>
        <stp/>
        <stp>BDH|4016660979852143593</stp>
        <tr r="AO16" s="4"/>
      </tp>
      <tp t="s">
        <v>#N/A N/A</v>
        <stp/>
        <stp>BDP|3585203965975405005</stp>
        <tr r="AG10" s="3"/>
      </tp>
      <tp t="s">
        <v>#N/A N/A</v>
        <stp/>
        <stp>BDH|9706433570608776073</stp>
        <tr r="U18" s="2"/>
      </tp>
      <tp t="s">
        <v>#N/A N/A</v>
        <stp/>
        <stp>BDH|7872182114890922599</stp>
        <tr r="AG26" s="2"/>
      </tp>
      <tp t="s">
        <v>#N/A N/A</v>
        <stp/>
        <stp>BDH|9542227834248401238</stp>
        <tr r="AE14" s="4"/>
      </tp>
      <tp t="s">
        <v>#N/A N/A</v>
        <stp/>
        <stp>BDH|7682914039638313784</stp>
        <tr r="AA9" s="4"/>
      </tp>
      <tp t="s">
        <v>#N/A N/A</v>
        <stp/>
        <stp>BDH|6189544625016267574</stp>
        <tr r="C17" s="2"/>
      </tp>
      <tp t="s">
        <v>#N/A N/A</v>
        <stp/>
        <stp>BDP|5657044966074556490</stp>
        <tr r="V16" s="3"/>
      </tp>
      <tp t="s">
        <v>#N/A N/A</v>
        <stp/>
        <stp>BDP|3612578709121599457</stp>
        <tr r="H17" s="3"/>
      </tp>
      <tp t="s">
        <v>#N/A N/A</v>
        <stp/>
        <stp>BDH|6443214842502867173</stp>
        <tr r="G17" s="4"/>
      </tp>
      <tp t="s">
        <v>#N/A N/A</v>
        <stp/>
        <stp>BDH|3010385405392365162</stp>
        <tr r="N21" s="2"/>
      </tp>
      <tp t="s">
        <v>#N/A N/A</v>
        <stp/>
        <stp>BDH|2055205268587932294</stp>
        <tr r="Z9" s="2"/>
      </tp>
      <tp t="s">
        <v>#N/A N/A</v>
        <stp/>
        <stp>BDP|1401252836210956376</stp>
        <tr r="D13" s="3"/>
      </tp>
      <tp t="s">
        <v>#N/A N/A</v>
        <stp/>
        <stp>BDH|5058515410656959419</stp>
        <tr r="Z14" s="4"/>
      </tp>
      <tp t="s">
        <v>#N/A N/A</v>
        <stp/>
        <stp>BDH|7294179715377970376</stp>
        <tr r="J6" s="4"/>
      </tp>
      <tp t="s">
        <v>#N/A N/A</v>
        <stp/>
        <stp>BDH|1129401621630972466</stp>
        <tr r="AF20" s="4"/>
      </tp>
      <tp t="s">
        <v>#N/A N/A</v>
        <stp/>
        <stp>BDH|6112258249145073624</stp>
        <tr r="G10" s="2"/>
      </tp>
      <tp t="s">
        <v>#N/A N/A</v>
        <stp/>
        <stp>BDP|1096183250141220766</stp>
        <tr r="X17" s="3"/>
      </tp>
      <tp t="s">
        <v>#N/A N/A</v>
        <stp/>
        <stp>BDH|5754167941416587592</stp>
        <tr r="Q14" s="4"/>
      </tp>
      <tp t="s">
        <v>#N/A N/A</v>
        <stp/>
        <stp>BDP|7513069524897927135</stp>
        <tr r="M10" s="3"/>
      </tp>
      <tp t="s">
        <v>#N/A N/A</v>
        <stp/>
        <stp>BDH|5240391541244636514</stp>
        <tr r="O25" s="4"/>
      </tp>
      <tp t="s">
        <v>#N/A N/A</v>
        <stp/>
        <stp>BDH|5532072899119336657</stp>
        <tr r="T26" s="4"/>
      </tp>
      <tp t="s">
        <v>#N/A N/A</v>
        <stp/>
        <stp>BDH|3778610525083185703</stp>
        <tr r="AJ21" s="2"/>
      </tp>
      <tp t="s">
        <v>#N/A N/A</v>
        <stp/>
        <stp>BDH|7798513590861342965</stp>
        <tr r="G9" s="4"/>
      </tp>
      <tp t="s">
        <v>#N/A N/A</v>
        <stp/>
        <stp>BDH|7779446266350074661</stp>
        <tr r="G14" s="2"/>
      </tp>
      <tp t="s">
        <v>#N/A N/A</v>
        <stp/>
        <stp>BDH|8337094750007801911</stp>
        <tr r="Y14" s="4"/>
      </tp>
      <tp t="s">
        <v>#N/A N/A</v>
        <stp/>
        <stp>BDH|3897758325710388588</stp>
        <tr r="AO24" s="4"/>
      </tp>
      <tp t="s">
        <v>#N/A N/A</v>
        <stp/>
        <stp>BDH|1803580297366638826</stp>
        <tr r="O19" s="2"/>
      </tp>
      <tp t="s">
        <v>#N/A N/A</v>
        <stp/>
        <stp>BDH|9308727652619558158</stp>
        <tr r="L25" s="4"/>
      </tp>
      <tp t="s">
        <v>#N/A N/A</v>
        <stp/>
        <stp>BDP|7545375663849170804</stp>
        <tr r="Z9" s="3"/>
      </tp>
      <tp t="s">
        <v>#N/A N/A</v>
        <stp/>
        <stp>BDP|7008984349540634974</stp>
        <tr r="V12" s="3"/>
      </tp>
      <tp t="s">
        <v>#N/A N/A</v>
        <stp/>
        <stp>BDH|1999201096891729883</stp>
        <tr r="N20" s="4"/>
      </tp>
      <tp t="s">
        <v>#N/A N/A</v>
        <stp/>
        <stp>BDH|2072440243921329040</stp>
        <tr r="AJ13" s="2"/>
      </tp>
      <tp t="s">
        <v>#N/A N/A</v>
        <stp/>
        <stp>BDH|1544527633612490603</stp>
        <tr r="Z10" s="2"/>
      </tp>
      <tp t="s">
        <v>#N/A N/A</v>
        <stp/>
        <stp>BDP|7482623092483366866</stp>
        <tr r="AN16" s="3"/>
      </tp>
      <tp t="s">
        <v>#N/A N/A</v>
        <stp/>
        <stp>BDH|7302711220475705445</stp>
        <tr r="D21" s="2"/>
      </tp>
      <tp t="s">
        <v>#N/A N/A</v>
        <stp/>
        <stp>BDH|6136700106385733717</stp>
        <tr r="V10" s="2"/>
      </tp>
      <tp t="s">
        <v>#N/A N/A</v>
        <stp/>
        <stp>BDH|6661652601593370002</stp>
        <tr r="G7" s="4"/>
      </tp>
      <tp t="s">
        <v>#N/A N/A</v>
        <stp/>
        <stp>BDH|5139677279275986278</stp>
        <tr r="H10" s="2"/>
      </tp>
      <tp t="s">
        <v>#N/A N/A</v>
        <stp/>
        <stp>BDH|5752060863449794946</stp>
        <tr r="X10" s="2"/>
      </tp>
      <tp t="s">
        <v>#N/A N/A</v>
        <stp/>
        <stp>BDP|9772138392176409442</stp>
        <tr r="J17" s="3"/>
      </tp>
      <tp t="s">
        <v>#N/A N/A</v>
        <stp/>
        <stp>BDH|4556658447954444159</stp>
        <tr r="AA28" s="4"/>
      </tp>
      <tp t="s">
        <v>#N/A N/A</v>
        <stp/>
        <stp>BDH|3910245262884129083</stp>
        <tr r="AB21" s="2"/>
      </tp>
      <tp t="s">
        <v>#N/A N/A</v>
        <stp/>
        <stp>BDH|2113539326043442560</stp>
        <tr r="S13" s="2"/>
      </tp>
      <tp t="s">
        <v>#N/A N/A</v>
        <stp/>
        <stp>BDH|7253257021630715460</stp>
        <tr r="AF6" s="4"/>
      </tp>
      <tp t="s">
        <v>#N/A N/A</v>
        <stp/>
        <stp>BDP|1492214052660024536</stp>
        <tr r="H9" s="3"/>
      </tp>
      <tp t="s">
        <v>#N/A N/A</v>
        <stp/>
        <stp>BDH|4085467370855468164</stp>
        <tr r="AJ20" s="4"/>
      </tp>
      <tp t="s">
        <v>#N/A N/A</v>
        <stp/>
        <stp>BDH|6446171970265695619</stp>
        <tr r="H13" s="4"/>
      </tp>
      <tp t="s">
        <v>#N/A N/A</v>
        <stp/>
        <stp>BDH|4397021116845768340</stp>
        <tr r="AM18" s="4"/>
      </tp>
      <tp t="s">
        <v>#N/A N/A</v>
        <stp/>
        <stp>BDH|7610395614381798787</stp>
        <tr r="P8" s="4"/>
      </tp>
      <tp t="s">
        <v>#N/A N/A</v>
        <stp/>
        <stp>BDH|3765974485346635779</stp>
        <tr r="Q13" s="2"/>
      </tp>
      <tp t="s">
        <v>#N/A N/A</v>
        <stp/>
        <stp>BDP|3283903285030476165</stp>
        <tr r="AA17" s="3"/>
      </tp>
      <tp t="s">
        <v>#N/A N/A</v>
        <stp/>
        <stp>BDH|47518646287357849</stp>
        <tr r="D22" s="4"/>
      </tp>
    </main>
    <main first="bofaddin.rtdserver">
      <tp t="s">
        <v>#N/A N/A</v>
        <stp/>
        <stp>BDP|96483099254349841</stp>
        <tr r="AF9" s="3"/>
      </tp>
    </main>
    <main first="bofaddin.rtdserver">
      <tp t="s">
        <v>#N/A N/A</v>
        <stp/>
        <stp>BDH|484114111622176786</stp>
        <tr r="H18" s="4"/>
      </tp>
      <tp t="s">
        <v>#N/A N/A</v>
        <stp/>
        <stp>BDP|210359055615282689</stp>
        <tr r="AD17" s="3"/>
      </tp>
      <tp t="s">
        <v>#N/A N/A</v>
        <stp/>
        <stp>BDH|623744877564564180</stp>
        <tr r="S14" s="4"/>
      </tp>
      <tp t="s">
        <v>#N/A N/A</v>
        <stp/>
        <stp>BDH|356169577774338747</stp>
        <tr r="L7" s="4"/>
      </tp>
      <tp t="s">
        <v>#N/A N/A</v>
        <stp/>
        <stp>BDH|587011235465862384</stp>
        <tr r="AO21" s="2"/>
      </tp>
      <tp t="s">
        <v>#N/A N/A</v>
        <stp/>
        <stp>BDH|179210209871883606</stp>
        <tr r="L12" s="4"/>
      </tp>
      <tp t="s">
        <v>#N/A N/A</v>
        <stp/>
        <stp>BDH|748511033930423331</stp>
        <tr r="U18" s="4"/>
      </tp>
      <tp t="s">
        <v>#N/A N/A</v>
        <stp/>
        <stp>BDH|860804982324911108</stp>
        <tr r="J8" s="4"/>
      </tp>
      <tp t="s">
        <v>#N/A N/A</v>
        <stp/>
        <stp>BDH|841561055312528619</stp>
        <tr r="AG18" s="4"/>
      </tp>
      <tp t="s">
        <v>#N/A N/A</v>
        <stp/>
        <stp>BDH|506227301536463080</stp>
        <tr r="S16" s="4"/>
      </tp>
      <tp t="s">
        <v>#N/A N/A</v>
        <stp/>
        <stp>BDH|517424407050204034</stp>
        <tr r="S7" s="2"/>
      </tp>
      <tp t="s">
        <v>#N/A N/A</v>
        <stp/>
        <stp>BDH|604683509267652530</stp>
        <tr r="AM7" s="2"/>
      </tp>
      <tp t="s">
        <v>#N/A N/A</v>
        <stp/>
        <stp>BDH|829646422249858959</stp>
        <tr r="C20" s="4"/>
      </tp>
      <tp t="s">
        <v>#N/A N/A</v>
        <stp/>
        <stp>BDH|776131744064873648</stp>
        <tr r="G16" s="2"/>
      </tp>
      <tp t="s">
        <v>#N/A N/A</v>
        <stp/>
        <stp>BDH|842903982485687321</stp>
        <tr r="U16" s="4"/>
      </tp>
      <tp t="s">
        <v>#N/A N/A</v>
        <stp/>
        <stp>BDH|408622543715096008</stp>
        <tr r="Y7" s="2"/>
      </tp>
      <tp t="s">
        <v>#N/A N/A</v>
        <stp/>
        <stp>BDH|680786426361894366</stp>
        <tr r="J16" s="2"/>
      </tp>
      <tp t="s">
        <v>#N/A N/A</v>
        <stp/>
        <stp>BDP|758991978210391922</stp>
        <tr r="E9" s="3"/>
      </tp>
    </main>
    <main first="bofaddin.rtdserver">
      <tp t="s">
        <v>#N/A N/A</v>
        <stp/>
        <stp>BDH|389464577146293388</stp>
        <tr r="AF26" s="2"/>
      </tp>
      <tp t="s">
        <v>#N/A N/A</v>
        <stp/>
        <stp>BDH|731807931924680997</stp>
        <tr r="F24" s="2"/>
      </tp>
      <tp t="s">
        <v>#N/A N/A</v>
        <stp/>
        <stp>BDP|565998054129629358</stp>
        <tr r="T10" s="3"/>
      </tp>
      <tp t="s">
        <v>#N/A N/A</v>
        <stp/>
        <stp>BDH|773678703535589502</stp>
        <tr r="P18" s="2"/>
      </tp>
      <tp t="s">
        <v>#N/A N/A</v>
        <stp/>
        <stp>BDH|462262838657968024</stp>
        <tr r="Q20" s="2"/>
      </tp>
      <tp t="s">
        <v>#N/A N/A</v>
        <stp/>
        <stp>BDH|216546884622242932</stp>
        <tr r="W14" s="2"/>
      </tp>
    </main>
    <main first="bofaddin.rtdserver">
      <tp t="s">
        <v>#N/A N/A</v>
        <stp/>
        <stp>BDH|231551720080478612</stp>
        <tr r="AI18" s="2"/>
      </tp>
    </main>
    <main first="bofaddin.rtdserver">
      <tp t="s">
        <v>#N/A N/A</v>
        <stp/>
        <stp>BDH|346583364010277335</stp>
        <tr r="AO8" s="2"/>
      </tp>
      <tp t="s">
        <v>#N/A N/A</v>
        <stp/>
        <stp>BDH|988253335962128309</stp>
        <tr r="AA17" s="2"/>
      </tp>
      <tp t="s">
        <v>#N/A N/A</v>
        <stp/>
        <stp>BDP|332043045571039583</stp>
        <tr r="M13" s="3"/>
      </tp>
      <tp t="s">
        <v>#N/A N/A</v>
        <stp/>
        <stp>BDH|867516808043243664</stp>
        <tr r="AC19" s="2"/>
      </tp>
      <tp t="s">
        <v>#N/A N/A</v>
        <stp/>
        <stp>BDH|437808701980180825</stp>
        <tr r="F16" s="2"/>
      </tp>
      <tp t="s">
        <v>#N/A N/A</v>
        <stp/>
        <stp>BDH|663532164396514566</stp>
        <tr r="O9" s="2"/>
      </tp>
      <tp t="s">
        <v>#N/A N/A</v>
        <stp/>
        <stp>BDH|277659542066430423</stp>
        <tr r="E21" s="4"/>
      </tp>
    </main>
    <main first="bofaddin.rtdserver">
      <tp t="s">
        <v>#N/A N/A</v>
        <stp/>
        <stp>BDP|950166814611243278</stp>
        <tr r="AM16" s="3"/>
      </tp>
      <tp t="s">
        <v>#N/A N/A</v>
        <stp/>
        <stp>BDP|375981482876674400</stp>
        <tr r="Z13" s="3"/>
      </tp>
      <tp t="s">
        <v>#N/A N/A</v>
        <stp/>
        <stp>BDP|508003012844587661</stp>
        <tr r="AO13" s="3"/>
      </tp>
      <tp t="s">
        <v>#N/A N/A</v>
        <stp/>
        <stp>BDH|970398904823468365</stp>
        <tr r="U13" s="2"/>
      </tp>
      <tp t="s">
        <v>#N/A N/A</v>
        <stp/>
        <stp>BDH|384446123375181025</stp>
        <tr r="AE20" s="4"/>
      </tp>
      <tp t="s">
        <v>#N/A N/A</v>
        <stp/>
        <stp>BDH|825628789149228405</stp>
        <tr r="R17" s="2"/>
      </tp>
      <tp t="s">
        <v>#N/A N/A</v>
        <stp/>
        <stp>BDH|115231795738789012</stp>
        <tr r="AI6" s="4"/>
      </tp>
      <tp t="s">
        <v>#N/A N/A</v>
        <stp/>
        <stp>BDH|742800280715653602</stp>
        <tr r="M8" s="2"/>
      </tp>
    </main>
    <main first="bofaddin.rtdserver">
      <tp t="s">
        <v>#N/A N/A</v>
        <stp/>
        <stp>BDH|494676711540822562</stp>
        <tr r="E21" s="2"/>
      </tp>
      <tp t="s">
        <v>#N/A N/A</v>
        <stp/>
        <stp>BDH|964706473281984381</stp>
        <tr r="W20" s="2"/>
      </tp>
      <tp t="s">
        <v>#N/A N/A</v>
        <stp/>
        <stp>BDH|580235230440382328</stp>
        <tr r="AI17" s="4"/>
      </tp>
      <tp t="s">
        <v>#N/A N/A</v>
        <stp/>
        <stp>BDH|502040683163455974</stp>
        <tr r="AG17" s="4"/>
      </tp>
    </main>
    <main first="bofaddin.rtdserver">
      <tp t="s">
        <v>#N/A N/A</v>
        <stp/>
        <stp>BDP|294511951039849427</stp>
        <tr r="AP17" s="3"/>
      </tp>
      <tp t="s">
        <v>#N/A N/A</v>
        <stp/>
        <stp>BDH|999801873461644361</stp>
        <tr r="AI13" s="4"/>
      </tp>
      <tp t="s">
        <v>#N/A N/A</v>
        <stp/>
        <stp>BDH|588194837426585981</stp>
        <tr r="AC8" s="2"/>
      </tp>
      <tp t="s">
        <v>#N/A N/A</v>
        <stp/>
        <stp>BDH|246323426295833987</stp>
        <tr r="AK17" s="2"/>
      </tp>
      <tp t="s">
        <v>#N/A N/A</v>
        <stp/>
        <stp>BDH|540888099239368500</stp>
        <tr r="Q17" s="2"/>
      </tp>
      <tp t="s">
        <v>#N/A N/A</v>
        <stp/>
        <stp>BDP|728569766027227942</stp>
        <tr r="L10" s="3"/>
      </tp>
      <tp t="s">
        <v>#N/A N/A</v>
        <stp/>
        <stp>BDH|236535098741784124</stp>
        <tr r="U14" s="2"/>
      </tp>
    </main>
    <main first="bofaddin.rtdserver">
      <tp t="s">
        <v>#N/A N/A</v>
        <stp/>
        <stp>BDH|450273727219547586</stp>
        <tr r="E18" s="2"/>
      </tp>
    </main>
    <main first="bofaddin.rtdserver">
      <tp t="s">
        <v>#N/A N/A</v>
        <stp/>
        <stp>BDH|732501255417443897</stp>
        <tr r="E28" s="4"/>
      </tp>
    </main>
    <main first="bofaddin.rtdserver">
      <tp t="s">
        <v>#N/A N/A</v>
        <stp/>
        <stp>BDH|365064389836564115</stp>
        <tr r="AP13" s="4"/>
      </tp>
      <tp t="s">
        <v>#N/A N/A</v>
        <stp/>
        <stp>BDH|515584367914777856</stp>
        <tr r="Q7" s="4"/>
      </tp>
      <tp t="s">
        <v>#N/A N/A</v>
        <stp/>
        <stp>BDH|673847169141925076</stp>
        <tr r="AH13" s="4"/>
      </tp>
    </main>
    <main first="bofaddin.rtdserver">
      <tp t="s">
        <v>#N/A N/A</v>
        <stp/>
        <stp>BDH|233033367818880061</stp>
        <tr r="AI8" s="2"/>
      </tp>
      <tp t="s">
        <v>#N/A N/A</v>
        <stp/>
        <stp>BDH|497321086427538208</stp>
        <tr r="AI7" s="4"/>
      </tp>
      <tp t="s">
        <v>#N/A N/A</v>
        <stp/>
        <stp>BDP|237678438263953871</stp>
        <tr r="Q12" s="3"/>
      </tp>
      <tp t="s">
        <v>#N/A N/A</v>
        <stp/>
        <stp>BDH|520426391145602632</stp>
        <tr r="AF10" s="2"/>
      </tp>
    </main>
    <main first="bofaddin.rtdserver">
      <tp t="s">
        <v>#N/A N/A</v>
        <stp/>
        <stp>BDH|346641128404468977</stp>
        <tr r="X6" s="4"/>
      </tp>
      <tp t="s">
        <v>#N/A N/A</v>
        <stp/>
        <stp>BDH|404509797962147766</stp>
        <tr r="U12" s="4"/>
      </tp>
      <tp t="s">
        <v>#N/A N/A</v>
        <stp/>
        <stp>BDP|481211626661763839</stp>
        <tr r="E17" s="3"/>
      </tp>
      <tp t="s">
        <v>#N/A N/A</v>
        <stp/>
        <stp>BDH|770776314457448874</stp>
        <tr r="V16" s="2"/>
      </tp>
      <tp t="s">
        <v>#N/A N/A</v>
        <stp/>
        <stp>BDH|684270288042899013</stp>
        <tr r="Z7" s="4"/>
      </tp>
      <tp t="s">
        <v>#N/A N/A</v>
        <stp/>
        <stp>BDH|537337114742349816</stp>
        <tr r="S14" s="2"/>
      </tp>
      <tp t="s">
        <v>#N/A N/A</v>
        <stp/>
        <stp>BDH|181165610559589133</stp>
        <tr r="AB28" s="4"/>
      </tp>
    </main>
    <main first="bofaddin.rtdserver">
      <tp t="s">
        <v>#N/A N/A</v>
        <stp/>
        <stp>BDP|944777194777695218</stp>
        <tr r="AM10" s="3"/>
      </tp>
      <tp t="s">
        <v>#N/A N/A</v>
        <stp/>
        <stp>BDP|179994598752087946</stp>
        <tr r="H10" s="3"/>
      </tp>
      <tp t="s">
        <v>#N/A N/A</v>
        <stp/>
        <stp>BDP|513470955072350809</stp>
        <tr r="W10" s="3"/>
      </tp>
      <tp t="s">
        <v>#N/A N/A</v>
        <stp/>
        <stp>BDP|257638090304212065</stp>
        <tr r="M12" s="3"/>
      </tp>
      <tp t="s">
        <v>#N/A N/A</v>
        <stp/>
        <stp>BDH|422552513828914786</stp>
        <tr r="M17" s="2"/>
      </tp>
    </main>
    <main first="bofaddin.rtdserver">
      <tp t="s">
        <v>#N/A N/A</v>
        <stp/>
        <stp>BDH|421274592301639071</stp>
        <tr r="P16" s="2"/>
      </tp>
      <tp t="s">
        <v>#N/A N/A</v>
        <stp/>
        <stp>BDH|644341172447712941</stp>
        <tr r="AK14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"/>
  <sheetViews>
    <sheetView workbookViewId="0">
      <selection activeCell="O37" sqref="O37"/>
    </sheetView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11" t="s">
        <v>2</v>
      </c>
      <c r="B4" s="11"/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2" t="s">
        <v>9</v>
      </c>
      <c r="J4" s="12" t="s">
        <v>10</v>
      </c>
      <c r="K4" s="12" t="s">
        <v>11</v>
      </c>
      <c r="L4" s="12" t="s">
        <v>12</v>
      </c>
      <c r="M4" s="12" t="s">
        <v>13</v>
      </c>
      <c r="N4" s="12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2" t="s">
        <v>25</v>
      </c>
      <c r="Z4" s="12" t="s">
        <v>26</v>
      </c>
      <c r="AA4" s="12" t="s">
        <v>27</v>
      </c>
      <c r="AB4" s="12" t="s">
        <v>28</v>
      </c>
      <c r="AC4" s="12" t="s">
        <v>29</v>
      </c>
      <c r="AD4" s="12" t="s">
        <v>30</v>
      </c>
      <c r="AE4" s="12" t="s">
        <v>31</v>
      </c>
      <c r="AF4" s="12" t="s">
        <v>32</v>
      </c>
      <c r="AG4" s="12" t="s">
        <v>33</v>
      </c>
      <c r="AH4" s="12" t="s">
        <v>34</v>
      </c>
      <c r="AI4" s="12" t="s">
        <v>35</v>
      </c>
      <c r="AJ4" s="12" t="s">
        <v>36</v>
      </c>
      <c r="AK4" s="12" t="s">
        <v>37</v>
      </c>
      <c r="AL4" s="12" t="s">
        <v>38</v>
      </c>
      <c r="AM4" s="12" t="s">
        <v>39</v>
      </c>
      <c r="AN4" s="12" t="s">
        <v>40</v>
      </c>
      <c r="AO4" s="12" t="s">
        <v>41</v>
      </c>
      <c r="AP4" s="12" t="s">
        <v>42</v>
      </c>
    </row>
    <row r="5" spans="1:42" x14ac:dyDescent="0.25">
      <c r="A5" s="17" t="s">
        <v>43</v>
      </c>
      <c r="B5" s="17"/>
      <c r="C5" s="13" t="s">
        <v>44</v>
      </c>
      <c r="D5" s="13" t="s">
        <v>45</v>
      </c>
      <c r="E5" s="13" t="s">
        <v>46</v>
      </c>
      <c r="F5" s="13" t="s">
        <v>47</v>
      </c>
      <c r="G5" s="13" t="s">
        <v>48</v>
      </c>
      <c r="H5" s="13" t="s">
        <v>49</v>
      </c>
      <c r="I5" s="13" t="s">
        <v>50</v>
      </c>
      <c r="J5" s="13" t="s">
        <v>51</v>
      </c>
      <c r="K5" s="13" t="s">
        <v>52</v>
      </c>
      <c r="L5" s="13" t="s">
        <v>53</v>
      </c>
      <c r="M5" s="13" t="s">
        <v>54</v>
      </c>
      <c r="N5" s="13" t="s">
        <v>55</v>
      </c>
      <c r="O5" s="13" t="s">
        <v>56</v>
      </c>
      <c r="P5" s="13" t="s">
        <v>57</v>
      </c>
      <c r="Q5" s="13" t="s">
        <v>58</v>
      </c>
      <c r="R5" s="13" t="s">
        <v>59</v>
      </c>
      <c r="S5" s="13" t="s">
        <v>60</v>
      </c>
      <c r="T5" s="13" t="s">
        <v>61</v>
      </c>
      <c r="U5" s="13" t="s">
        <v>62</v>
      </c>
      <c r="V5" s="13" t="s">
        <v>63</v>
      </c>
      <c r="W5" s="13" t="s">
        <v>64</v>
      </c>
      <c r="X5" s="13" t="s">
        <v>65</v>
      </c>
      <c r="Y5" s="13" t="s">
        <v>66</v>
      </c>
      <c r="Z5" s="13" t="s">
        <v>67</v>
      </c>
      <c r="AA5" s="13" t="s">
        <v>68</v>
      </c>
      <c r="AB5" s="13" t="s">
        <v>69</v>
      </c>
      <c r="AC5" s="13" t="s">
        <v>70</v>
      </c>
      <c r="AD5" s="13" t="s">
        <v>71</v>
      </c>
      <c r="AE5" s="13" t="s">
        <v>72</v>
      </c>
      <c r="AF5" s="13" t="s">
        <v>73</v>
      </c>
      <c r="AG5" s="13" t="s">
        <v>74</v>
      </c>
      <c r="AH5" s="13" t="s">
        <v>75</v>
      </c>
      <c r="AI5" s="13" t="s">
        <v>76</v>
      </c>
      <c r="AJ5" s="13" t="s">
        <v>77</v>
      </c>
      <c r="AK5" s="13" t="s">
        <v>78</v>
      </c>
      <c r="AL5" s="13" t="s">
        <v>79</v>
      </c>
      <c r="AM5" s="13" t="s">
        <v>80</v>
      </c>
      <c r="AN5" s="13" t="s">
        <v>81</v>
      </c>
      <c r="AO5" s="13" t="s">
        <v>82</v>
      </c>
      <c r="AP5" s="13" t="s">
        <v>83</v>
      </c>
    </row>
    <row r="6" spans="1:42" x14ac:dyDescent="0.25">
      <c r="A6" s="14" t="s">
        <v>84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x14ac:dyDescent="0.25">
      <c r="A7" s="18" t="s">
        <v>85</v>
      </c>
      <c r="B7" s="18" t="s">
        <v>86</v>
      </c>
      <c r="C7" s="21">
        <f>_xll.BDH("AKAM US Equity","RETURN_COM_EQY","FQ2 2011","FQ2 2011","Currency=USD","Period=FQ","BEST_FPERIOD_OVERRIDE=FQ","FILING_STATUS=MR","FA_ADJUSTED=GAAP","Sort=A","Dates=H","DateFormat=P","Fill=—","Direction=H","UseDPDF=Y")</f>
        <v>9.0806000000000004</v>
      </c>
      <c r="D7" s="21">
        <f>_xll.BDH("AKAM US Equity","RETURN_COM_EQY","FQ3 2011","FQ3 2011","Currency=USD","Period=FQ","BEST_FPERIOD_OVERRIDE=FQ","FILING_STATUS=MR","FA_ADJUSTED=GAAP","Sort=A","Dates=H","DateFormat=P","Fill=—","Direction=H","UseDPDF=Y")</f>
        <v>9.3033999999999999</v>
      </c>
      <c r="E7" s="21">
        <f>_xll.BDH("AKAM US Equity","RETURN_COM_EQY","FQ4 2011","FQ4 2011","Currency=USD","Period=FQ","BEST_FPERIOD_OVERRIDE=FQ","FILING_STATUS=MR","FA_ADJUSTED=GAAP","Sort=A","Dates=H","DateFormat=P","Fill=—","Direction=H","UseDPDF=Y")</f>
        <v>9.2713999999999999</v>
      </c>
      <c r="F7" s="21">
        <f>_xll.BDH("AKAM US Equity","RETURN_COM_EQY","FQ1 2012","FQ1 2012","Currency=USD","Period=FQ","BEST_FPERIOD_OVERRIDE=FQ","FILING_STATUS=MR","FA_ADJUSTED=GAAP","Sort=A","Dates=H","DateFormat=P","Fill=—","Direction=H","UseDPDF=Y")</f>
        <v>8.7734000000000005</v>
      </c>
      <c r="G7" s="21">
        <f>_xll.BDH("AKAM US Equity","RETURN_COM_EQY","FQ2 2012","FQ2 2012","Currency=USD","Period=FQ","BEST_FPERIOD_OVERRIDE=FQ","FILING_STATUS=MR","FA_ADJUSTED=GAAP","Sort=A","Dates=H","DateFormat=P","Fill=—","Direction=H","UseDPDF=Y")</f>
        <v>8.5452999999999992</v>
      </c>
      <c r="H7" s="21">
        <f>_xll.BDH("AKAM US Equity","RETURN_COM_EQY","FQ3 2012","FQ3 2012","Currency=USD","Period=FQ","BEST_FPERIOD_OVERRIDE=FQ","FILING_STATUS=MR","FA_ADJUSTED=GAAP","Sort=A","Dates=H","DateFormat=P","Fill=—","Direction=H","UseDPDF=Y")</f>
        <v>8.9357000000000006</v>
      </c>
      <c r="I7" s="21">
        <f>_xll.BDH("AKAM US Equity","RETURN_COM_EQY","FQ4 2012","FQ4 2012","Currency=USD","Period=FQ","BEST_FPERIOD_OVERRIDE=FQ","FILING_STATUS=MR","FA_ADJUSTED=GAAP","Sort=A","Dates=H","DateFormat=P","Fill=—","Direction=H","UseDPDF=Y")</f>
        <v>9.0620999999999992</v>
      </c>
      <c r="J7" s="21">
        <f>_xll.BDH("AKAM US Equity","RETURN_COM_EQY","FQ1 2013","FQ1 2013","Currency=USD","Period=FQ","BEST_FPERIOD_OVERRIDE=FQ","FILING_STATUS=MR","FA_ADJUSTED=GAAP","Sort=A","Dates=H","DateFormat=P","Fill=—","Direction=H","UseDPDF=Y")</f>
        <v>10.1287</v>
      </c>
      <c r="K7" s="21">
        <f>_xll.BDH("AKAM US Equity","RETURN_COM_EQY","FQ2 2013","FQ2 2013","Currency=USD","Period=FQ","BEST_FPERIOD_OVERRIDE=FQ","FILING_STATUS=MR","FA_ADJUSTED=GAAP","Sort=A","Dates=H","DateFormat=P","Fill=—","Direction=H","UseDPDF=Y")</f>
        <v>10.719799999999999</v>
      </c>
      <c r="L7" s="21">
        <f>_xll.BDH("AKAM US Equity","RETURN_COM_EQY","FQ3 2013","FQ3 2013","Currency=USD","Period=FQ","BEST_FPERIOD_OVERRIDE=FQ","FILING_STATUS=MR","FA_ADJUSTED=GAAP","Sort=A","Dates=H","DateFormat=P","Fill=—","Direction=H","UseDPDF=Y")</f>
        <v>11.7188</v>
      </c>
      <c r="M7" s="21">
        <f>_xll.BDH("AKAM US Equity","RETURN_COM_EQY","FQ4 2013","FQ4 2013","Currency=USD","Period=FQ","BEST_FPERIOD_OVERRIDE=FQ","FILING_STATUS=MR","FA_ADJUSTED=GAAP","Sort=A","Dates=H","DateFormat=P","Fill=—","Direction=H","UseDPDF=Y")</f>
        <v>11.798</v>
      </c>
      <c r="N7" s="21">
        <f>_xll.BDH("AKAM US Equity","RETURN_COM_EQY","FQ1 2014","FQ1 2014","Currency=USD","Period=FQ","BEST_FPERIOD_OVERRIDE=FQ","FILING_STATUS=MR","FA_ADJUSTED=GAAP","Sort=A","Dates=H","DateFormat=P","Fill=—","Direction=H","UseDPDF=Y")</f>
        <v>11.5678</v>
      </c>
      <c r="O7" s="21">
        <f>_xll.BDH("AKAM US Equity","RETURN_COM_EQY","FQ2 2014","FQ2 2014","Currency=USD","Period=FQ","BEST_FPERIOD_OVERRIDE=FQ","FILING_STATUS=MR","FA_ADJUSTED=GAAP","Sort=A","Dates=H","DateFormat=P","Fill=—","Direction=H","UseDPDF=Y")</f>
        <v>11.714700000000001</v>
      </c>
      <c r="P7" s="21">
        <f>_xll.BDH("AKAM US Equity","RETURN_COM_EQY","FQ3 2014","FQ3 2014","Currency=USD","Period=FQ","BEST_FPERIOD_OVERRIDE=FQ","FILING_STATUS=MR","FA_ADJUSTED=GAAP","Sort=A","Dates=H","DateFormat=P","Fill=—","Direction=H","UseDPDF=Y")</f>
        <v>11.766299999999999</v>
      </c>
      <c r="Q7" s="21">
        <f>_xll.BDH("AKAM US Equity","RETURN_COM_EQY","FQ4 2014","FQ4 2014","Currency=USD","Period=FQ","BEST_FPERIOD_OVERRIDE=FQ","FILING_STATUS=MR","FA_ADJUSTED=GAAP","Sort=A","Dates=H","DateFormat=P","Fill=—","Direction=H","UseDPDF=Y")</f>
        <v>11.980700000000001</v>
      </c>
      <c r="R7" s="21">
        <f>_xll.BDH("AKAM US Equity","RETURN_COM_EQY","FQ1 2015","FQ1 2015","Currency=USD","Period=FQ","BEST_FPERIOD_OVERRIDE=FQ","FILING_STATUS=MR","FA_ADJUSTED=GAAP","Sort=A","Dates=H","DateFormat=P","Fill=—","Direction=H","UseDPDF=Y")</f>
        <v>11.9039</v>
      </c>
      <c r="S7" s="21">
        <f>_xll.BDH("AKAM US Equity","RETURN_COM_EQY","FQ2 2015","FQ2 2015","Currency=USD","Period=FQ","BEST_FPERIOD_OVERRIDE=FQ","FILING_STATUS=MR","FA_ADJUSTED=GAAP","Sort=A","Dates=H","DateFormat=P","Fill=—","Direction=H","UseDPDF=Y")</f>
        <v>11.4543</v>
      </c>
      <c r="T7" s="21">
        <f>_xll.BDH("AKAM US Equity","RETURN_COM_EQY","FQ3 2015","FQ3 2015","Currency=USD","Period=FQ","BEST_FPERIOD_OVERRIDE=FQ","FILING_STATUS=MR","FA_ADJUSTED=GAAP","Sort=A","Dates=H","DateFormat=P","Fill=—","Direction=H","UseDPDF=Y")</f>
        <v>11.125400000000001</v>
      </c>
      <c r="U7" s="21">
        <f>_xll.BDH("AKAM US Equity","RETURN_COM_EQY","FQ4 2015","FQ4 2015","Currency=USD","Period=FQ","BEST_FPERIOD_OVERRIDE=FQ","FILING_STATUS=MR","FA_ADJUSTED=GAAP","Sort=A","Dates=H","DateFormat=P","Fill=—","Direction=H","UseDPDF=Y")</f>
        <v>10.5966</v>
      </c>
      <c r="V7" s="21">
        <f>_xll.BDH("AKAM US Equity","RETURN_COM_EQY","FQ1 2016","FQ1 2016","Currency=USD","Period=FQ","BEST_FPERIOD_OVERRIDE=FQ","FILING_STATUS=MR","FA_ADJUSTED=GAAP","Sort=A","Dates=H","DateFormat=P","Fill=—","Direction=H","UseDPDF=Y")</f>
        <v>10.4513</v>
      </c>
      <c r="W7" s="21">
        <f>_xll.BDH("AKAM US Equity","RETURN_COM_EQY","FQ2 2016","FQ2 2016","Currency=USD","Period=FQ","BEST_FPERIOD_OVERRIDE=FQ","FILING_STATUS=MR","FA_ADJUSTED=GAAP","Sort=A","Dates=H","DateFormat=P","Fill=—","Direction=H","UseDPDF=Y")</f>
        <v>10.4895</v>
      </c>
      <c r="X7" s="21">
        <f>_xll.BDH("AKAM US Equity","RETURN_COM_EQY","FQ3 2016","FQ3 2016","Currency=USD","Period=FQ","BEST_FPERIOD_OVERRIDE=FQ","FILING_STATUS=MR","FA_ADJUSTED=GAAP","Sort=A","Dates=H","DateFormat=P","Fill=—","Direction=H","UseDPDF=Y")</f>
        <v>10.0059</v>
      </c>
      <c r="Y7" s="21">
        <f>_xll.BDH("AKAM US Equity","RETURN_COM_EQY","FQ4 2016","FQ4 2016","Currency=USD","Period=FQ","BEST_FPERIOD_OVERRIDE=FQ","FILING_STATUS=MR","FA_ADJUSTED=GAAP","Sort=A","Dates=H","DateFormat=P","Fill=—","Direction=H","UseDPDF=Y")</f>
        <v>9.9643999999999995</v>
      </c>
      <c r="Z7" s="21">
        <f>_xll.BDH("AKAM US Equity","RETURN_COM_EQY","FQ1 2017","FQ1 2017","Currency=USD","Period=FQ","BEST_FPERIOD_OVERRIDE=FQ","FILING_STATUS=MR","FA_ADJUSTED=GAAP","Sort=A","Dates=H","DateFormat=P","Fill=—","Direction=H","UseDPDF=Y")</f>
        <v>9.9137000000000004</v>
      </c>
      <c r="AA7" s="21">
        <f>_xll.BDH("AKAM US Equity","RETURN_COM_EQY","FQ2 2017","FQ2 2017","Currency=USD","Period=FQ","BEST_FPERIOD_OVERRIDE=FQ","FILING_STATUS=MR","FA_ADJUSTED=GAAP","Sort=A","Dates=H","DateFormat=P","Fill=—","Direction=H","UseDPDF=Y")</f>
        <v>9.2882999999999996</v>
      </c>
      <c r="AB7" s="21">
        <f>_xll.BDH("AKAM US Equity","RETURN_COM_EQY","FQ3 2017","FQ3 2017","Currency=USD","Period=FQ","BEST_FPERIOD_OVERRIDE=FQ","FILING_STATUS=MR","FA_ADJUSTED=GAAP","Sort=A","Dates=H","DateFormat=P","Fill=—","Direction=H","UseDPDF=Y")</f>
        <v>8.9072999999999993</v>
      </c>
      <c r="AC7" s="21">
        <f>_xll.BDH("AKAM US Equity","RETURN_COM_EQY","FQ4 2017","FQ4 2017","Currency=USD","Period=FQ","BEST_FPERIOD_OVERRIDE=FQ","FILING_STATUS=MR","FA_ADJUSTED=GAAP","Sort=A","Dates=H","DateFormat=P","Fill=—","Direction=H","UseDPDF=Y")</f>
        <v>6.7640000000000002</v>
      </c>
      <c r="AD7" s="21">
        <f>_xll.BDH("AKAM US Equity","RETURN_COM_EQY","FQ1 2018","FQ1 2018","Currency=USD","Period=FQ","BEST_FPERIOD_OVERRIDE=FQ","FILING_STATUS=MR","FA_ADJUSTED=GAAP","Sort=A","Dates=H","DateFormat=P","Fill=—","Direction=H","UseDPDF=Y")</f>
        <v>6.0768000000000004</v>
      </c>
      <c r="AE7" s="21">
        <f>_xll.BDH("AKAM US Equity","RETURN_COM_EQY","FQ2 2018","FQ2 2018","Currency=USD","Period=FQ","BEST_FPERIOD_OVERRIDE=FQ","FILING_STATUS=MR","FA_ADJUSTED=GAAP","Sort=A","Dates=H","DateFormat=P","Fill=—","Direction=H","UseDPDF=Y")</f>
        <v>5.5910000000000002</v>
      </c>
      <c r="AF7" s="21">
        <f>_xll.BDH("AKAM US Equity","RETURN_COM_EQY","FQ3 2018","FQ3 2018","Currency=USD","Period=FQ","BEST_FPERIOD_OVERRIDE=FQ","FILING_STATUS=MR","FA_ADJUSTED=GAAP","Sort=A","Dates=H","DateFormat=P","Fill=—","Direction=H","UseDPDF=Y")</f>
        <v>7.2144000000000004</v>
      </c>
      <c r="AG7" s="21">
        <f>_xll.BDH("AKAM US Equity","RETURN_COM_EQY","FQ4 2018","FQ4 2018","Currency=USD","Period=FQ","BEST_FPERIOD_OVERRIDE=FQ","FILING_STATUS=MR","FA_ADJUSTED=GAAP","Sort=A","Dates=H","DateFormat=P","Fill=—","Direction=H","UseDPDF=Y")</f>
        <v>9.1045999999999996</v>
      </c>
      <c r="AH7" s="21">
        <f>_xll.BDH("AKAM US Equity","RETURN_COM_EQY","FQ1 2019","FQ1 2019","Currency=USD","Period=FQ","BEST_FPERIOD_OVERRIDE=FQ","FILING_STATUS=MR","FA_ADJUSTED=GAAP","Sort=A","Dates=H","DateFormat=P","Fill=—","Direction=H","UseDPDF=Y")</f>
        <v>10.549200000000001</v>
      </c>
      <c r="AI7" s="21">
        <f>_xll.BDH("AKAM US Equity","RETURN_COM_EQY","FQ2 2019","FQ2 2019","Currency=USD","Period=FQ","BEST_FPERIOD_OVERRIDE=FQ","FILING_STATUS=MR","FA_ADJUSTED=GAAP","Sort=A","Dates=H","DateFormat=P","Fill=—","Direction=H","UseDPDF=Y")</f>
        <v>12.357900000000001</v>
      </c>
      <c r="AJ7" s="21">
        <f>_xll.BDH("AKAM US Equity","RETURN_COM_EQY","FQ3 2019","FQ3 2019","Currency=USD","Period=FQ","BEST_FPERIOD_OVERRIDE=FQ","FILING_STATUS=MR","FA_ADJUSTED=GAAP","Sort=A","Dates=H","DateFormat=P","Fill=—","Direction=H","UseDPDF=Y")</f>
        <v>13.608000000000001</v>
      </c>
      <c r="AK7" s="21">
        <f>_xll.BDH("AKAM US Equity","RETURN_COM_EQY","FQ4 2019","FQ4 2019","Currency=USD","Period=FQ","BEST_FPERIOD_OVERRIDE=FQ","FILING_STATUS=MR","FA_ADJUSTED=GAAP","Sort=A","Dates=H","DateFormat=P","Fill=—","Direction=H","UseDPDF=Y")</f>
        <v>13.957599999999999</v>
      </c>
      <c r="AL7" s="21">
        <f>_xll.BDH("AKAM US Equity","RETURN_COM_EQY","FQ1 2020","FQ1 2020","Currency=USD","Period=FQ","BEST_FPERIOD_OVERRIDE=FQ","FILING_STATUS=MR","FA_ADJUSTED=GAAP","Sort=A","Dates=H","DateFormat=P","Fill=—","Direction=H","UseDPDF=Y")</f>
        <v>14.206200000000001</v>
      </c>
      <c r="AM7" s="21">
        <f>_xll.BDH("AKAM US Equity","RETURN_COM_EQY","FQ2 2020","FQ2 2020","Currency=USD","Period=FQ","BEST_FPERIOD_OVERRIDE=FQ","FILING_STATUS=MR","FA_ADJUSTED=GAAP","Sort=A","Dates=H","DateFormat=P","Fill=—","Direction=H","UseDPDF=Y")</f>
        <v>14.852600000000001</v>
      </c>
      <c r="AN7" s="21">
        <f>_xll.BDH("AKAM US Equity","RETURN_COM_EQY","FQ3 2020","FQ3 2020","Currency=USD","Period=FQ","BEST_FPERIOD_OVERRIDE=FQ","FILING_STATUS=MR","FA_ADJUSTED=GAAP","Sort=A","Dates=H","DateFormat=P","Fill=—","Direction=H","UseDPDF=Y")</f>
        <v>14.792199999999999</v>
      </c>
      <c r="AO7" s="21">
        <f>_xll.BDH("AKAM US Equity","RETURN_COM_EQY","FQ4 2020","FQ4 2020","Currency=USD","Period=FQ","BEST_FPERIOD_OVERRIDE=FQ","FILING_STATUS=MR","FA_ADJUSTED=GAAP","Sort=A","Dates=H","DateFormat=P","Fill=—","Direction=H","UseDPDF=Y")</f>
        <v>14.0861</v>
      </c>
      <c r="AP7" s="21">
        <f>_xll.BDH("AKAM US Equity","RETURN_COM_EQY","FQ1 2021","FQ1 2021","Currency=USD","Period=FQ","BEST_FPERIOD_OVERRIDE=FQ","FILING_STATUS=MR","FA_ADJUSTED=GAAP","Sort=A","Dates=H","DateFormat=P","Fill=—","Direction=H","UseDPDF=Y")</f>
        <v>14.751899999999999</v>
      </c>
    </row>
    <row r="8" spans="1:42" x14ac:dyDescent="0.25">
      <c r="A8" s="18" t="s">
        <v>87</v>
      </c>
      <c r="B8" s="18" t="s">
        <v>88</v>
      </c>
      <c r="C8" s="21">
        <f>_xll.BDH("AKAM US Equity","RETURN_ON_ASSET","FQ2 2011","FQ2 2011","Currency=USD","Period=FQ","BEST_FPERIOD_OVERRIDE=FQ","FILING_STATUS=MR","FA_ADJUSTED=GAAP","Sort=A","Dates=H","DateFormat=P","Fill=—","Direction=H","UseDPDF=Y")</f>
        <v>8.2809000000000008</v>
      </c>
      <c r="D8" s="21">
        <f>_xll.BDH("AKAM US Equity","RETURN_ON_ASSET","FQ3 2011","FQ3 2011","Currency=USD","Period=FQ","BEST_FPERIOD_OVERRIDE=FQ","FILING_STATUS=MR","FA_ADJUSTED=GAAP","Sort=A","Dates=H","DateFormat=P","Fill=—","Direction=H","UseDPDF=Y")</f>
        <v>8.4708000000000006</v>
      </c>
      <c r="E8" s="21">
        <f>_xll.BDH("AKAM US Equity","RETURN_ON_ASSET","FQ4 2011","FQ4 2011","Currency=USD","Period=FQ","BEST_FPERIOD_OVERRIDE=FQ","FILING_STATUS=MR","FA_ADJUSTED=GAAP","Sort=A","Dates=H","DateFormat=P","Fill=—","Direction=H","UseDPDF=Y")</f>
        <v>8.5524000000000004</v>
      </c>
      <c r="F8" s="21">
        <f>_xll.BDH("AKAM US Equity","RETURN_ON_ASSET","FQ1 2012","FQ1 2012","Currency=USD","Period=FQ","BEST_FPERIOD_OVERRIDE=FQ","FILING_STATUS=MR","FA_ADJUSTED=GAAP","Sort=A","Dates=H","DateFormat=P","Fill=—","Direction=H","UseDPDF=Y")</f>
        <v>8.0816999999999997</v>
      </c>
      <c r="G8" s="21">
        <f>_xll.BDH("AKAM US Equity","RETURN_ON_ASSET","FQ2 2012","FQ2 2012","Currency=USD","Period=FQ","BEST_FPERIOD_OVERRIDE=FQ","FILING_STATUS=MR","FA_ADJUSTED=GAAP","Sort=A","Dates=H","DateFormat=P","Fill=—","Direction=H","UseDPDF=Y")</f>
        <v>7.8285999999999998</v>
      </c>
      <c r="H8" s="21">
        <f>_xll.BDH("AKAM US Equity","RETURN_ON_ASSET","FQ3 2012","FQ3 2012","Currency=USD","Period=FQ","BEST_FPERIOD_OVERRIDE=FQ","FILING_STATUS=MR","FA_ADJUSTED=GAAP","Sort=A","Dates=H","DateFormat=P","Fill=—","Direction=H","UseDPDF=Y")</f>
        <v>8.0876000000000001</v>
      </c>
      <c r="I8" s="21">
        <f>_xll.BDH("AKAM US Equity","RETURN_ON_ASSET","FQ4 2012","FQ4 2012","Currency=USD","Period=FQ","BEST_FPERIOD_OVERRIDE=FQ","FILING_STATUS=MR","FA_ADJUSTED=GAAP","Sort=A","Dates=H","DateFormat=P","Fill=—","Direction=H","UseDPDF=Y")</f>
        <v>8.2484000000000002</v>
      </c>
      <c r="J8" s="21">
        <f>_xll.BDH("AKAM US Equity","RETURN_ON_ASSET","FQ1 2013","FQ1 2013","Currency=USD","Period=FQ","BEST_FPERIOD_OVERRIDE=FQ","FILING_STATUS=MR","FA_ADJUSTED=GAAP","Sort=A","Dates=H","DateFormat=P","Fill=—","Direction=H","UseDPDF=Y")</f>
        <v>9.1783999999999999</v>
      </c>
      <c r="K8" s="21">
        <f>_xll.BDH("AKAM US Equity","RETURN_ON_ASSET","FQ2 2013","FQ2 2013","Currency=USD","Period=FQ","BEST_FPERIOD_OVERRIDE=FQ","FILING_STATUS=MR","FA_ADJUSTED=GAAP","Sort=A","Dates=H","DateFormat=P","Fill=—","Direction=H","UseDPDF=Y")</f>
        <v>9.6659000000000006</v>
      </c>
      <c r="L8" s="21">
        <f>_xll.BDH("AKAM US Equity","RETURN_ON_ASSET","FQ3 2013","FQ3 2013","Currency=USD","Period=FQ","BEST_FPERIOD_OVERRIDE=FQ","FILING_STATUS=MR","FA_ADJUSTED=GAAP","Sort=A","Dates=H","DateFormat=P","Fill=—","Direction=H","UseDPDF=Y")</f>
        <v>10.376099999999999</v>
      </c>
      <c r="M8" s="21">
        <f>_xll.BDH("AKAM US Equity","RETURN_ON_ASSET","FQ4 2013","FQ4 2013","Currency=USD","Period=FQ","BEST_FPERIOD_OVERRIDE=FQ","FILING_STATUS=MR","FA_ADJUSTED=GAAP","Sort=A","Dates=H","DateFormat=P","Fill=—","Direction=H","UseDPDF=Y")</f>
        <v>10.5603</v>
      </c>
      <c r="N8" s="21">
        <f>_xll.BDH("AKAM US Equity","RETURN_ON_ASSET","FQ1 2014","FQ1 2014","Currency=USD","Period=FQ","BEST_FPERIOD_OVERRIDE=FQ","FILING_STATUS=MR","FA_ADJUSTED=GAAP","Sort=A","Dates=H","DateFormat=P","Fill=—","Direction=H","UseDPDF=Y")</f>
        <v>9.3614999999999995</v>
      </c>
      <c r="O8" s="21">
        <f>_xll.BDH("AKAM US Equity","RETURN_ON_ASSET","FQ2 2014","FQ2 2014","Currency=USD","Period=FQ","BEST_FPERIOD_OVERRIDE=FQ","FILING_STATUS=MR","FA_ADJUSTED=GAAP","Sort=A","Dates=H","DateFormat=P","Fill=—","Direction=H","UseDPDF=Y")</f>
        <v>9.4177999999999997</v>
      </c>
      <c r="P8" s="21">
        <f>_xll.BDH("AKAM US Equity","RETURN_ON_ASSET","FQ3 2014","FQ3 2014","Currency=USD","Period=FQ","BEST_FPERIOD_OVERRIDE=FQ","FILING_STATUS=MR","FA_ADJUSTED=GAAP","Sort=A","Dates=H","DateFormat=P","Fill=—","Direction=H","UseDPDF=Y")</f>
        <v>9.4130000000000003</v>
      </c>
      <c r="Q8" s="21">
        <f>_xll.BDH("AKAM US Equity","RETURN_ON_ASSET","FQ4 2014","FQ4 2014","Currency=USD","Period=FQ","BEST_FPERIOD_OVERRIDE=FQ","FILING_STATUS=MR","FA_ADJUSTED=GAAP","Sort=A","Dates=H","DateFormat=P","Fill=—","Direction=H","UseDPDF=Y")</f>
        <v>9.5973000000000006</v>
      </c>
      <c r="R8" s="21">
        <f>_xll.BDH("AKAM US Equity","RETURN_ON_ASSET","FQ1 2015","FQ1 2015","Currency=USD","Period=FQ","BEST_FPERIOD_OVERRIDE=FQ","FILING_STATUS=MR","FA_ADJUSTED=GAAP","Sort=A","Dates=H","DateFormat=P","Fill=—","Direction=H","UseDPDF=Y")</f>
        <v>8.8734000000000002</v>
      </c>
      <c r="S8" s="21">
        <f>_xll.BDH("AKAM US Equity","RETURN_ON_ASSET","FQ2 2015","FQ2 2015","Currency=USD","Period=FQ","BEST_FPERIOD_OVERRIDE=FQ","FILING_STATUS=MR","FA_ADJUSTED=GAAP","Sort=A","Dates=H","DateFormat=P","Fill=—","Direction=H","UseDPDF=Y")</f>
        <v>8.4359000000000002</v>
      </c>
      <c r="T8" s="21">
        <f>_xll.BDH("AKAM US Equity","RETURN_ON_ASSET","FQ3 2015","FQ3 2015","Currency=USD","Period=FQ","BEST_FPERIOD_OVERRIDE=FQ","FILING_STATUS=MR","FA_ADJUSTED=GAAP","Sort=A","Dates=H","DateFormat=P","Fill=—","Direction=H","UseDPDF=Y")</f>
        <v>8.2121999999999993</v>
      </c>
      <c r="U8" s="21">
        <f>_xll.BDH("AKAM US Equity","RETURN_ON_ASSET","FQ4 2015","FQ4 2015","Currency=USD","Period=FQ","BEST_FPERIOD_OVERRIDE=FQ","FILING_STATUS=MR","FA_ADJUSTED=GAAP","Sort=A","Dates=H","DateFormat=P","Fill=—","Direction=H","UseDPDF=Y")</f>
        <v>7.8552</v>
      </c>
      <c r="V8" s="21">
        <f>_xll.BDH("AKAM US Equity","RETURN_ON_ASSET","FQ1 2016","FQ1 2016","Currency=USD","Period=FQ","BEST_FPERIOD_OVERRIDE=FQ","FILING_STATUS=MR","FA_ADJUSTED=GAAP","Sort=A","Dates=H","DateFormat=P","Fill=—","Direction=H","UseDPDF=Y")</f>
        <v>7.7965999999999998</v>
      </c>
      <c r="W8" s="21">
        <f>_xll.BDH("AKAM US Equity","RETURN_ON_ASSET","FQ2 2016","FQ2 2016","Currency=USD","Period=FQ","BEST_FPERIOD_OVERRIDE=FQ","FILING_STATUS=MR","FA_ADJUSTED=GAAP","Sort=A","Dates=H","DateFormat=P","Fill=—","Direction=H","UseDPDF=Y")</f>
        <v>7.7362000000000002</v>
      </c>
      <c r="X8" s="21">
        <f>_xll.BDH("AKAM US Equity","RETURN_ON_ASSET","FQ3 2016","FQ3 2016","Currency=USD","Period=FQ","BEST_FPERIOD_OVERRIDE=FQ","FILING_STATUS=MR","FA_ADJUSTED=GAAP","Sort=A","Dates=H","DateFormat=P","Fill=—","Direction=H","UseDPDF=Y")</f>
        <v>7.3295000000000003</v>
      </c>
      <c r="Y8" s="21">
        <f>_xll.BDH("AKAM US Equity","RETURN_ON_ASSET","FQ4 2016","FQ4 2016","Currency=USD","Period=FQ","BEST_FPERIOD_OVERRIDE=FQ","FILING_STATUS=MR","FA_ADJUSTED=GAAP","Sort=A","Dates=H","DateFormat=P","Fill=—","Direction=H","UseDPDF=Y")</f>
        <v>7.3906999999999998</v>
      </c>
      <c r="Z8" s="21">
        <f>_xll.BDH("AKAM US Equity","RETURN_ON_ASSET","FQ1 2017","FQ1 2017","Currency=USD","Period=FQ","BEST_FPERIOD_OVERRIDE=FQ","FILING_STATUS=MR","FA_ADJUSTED=GAAP","Sort=A","Dates=H","DateFormat=P","Fill=—","Direction=H","UseDPDF=Y")</f>
        <v>7.3167999999999997</v>
      </c>
      <c r="AA8" s="21">
        <f>_xll.BDH("AKAM US Equity","RETURN_ON_ASSET","FQ2 2017","FQ2 2017","Currency=USD","Period=FQ","BEST_FPERIOD_OVERRIDE=FQ","FILING_STATUS=MR","FA_ADJUSTED=GAAP","Sort=A","Dates=H","DateFormat=P","Fill=—","Direction=H","UseDPDF=Y")</f>
        <v>6.8269000000000002</v>
      </c>
      <c r="AB8" s="21">
        <f>_xll.BDH("AKAM US Equity","RETURN_ON_ASSET","FQ3 2017","FQ3 2017","Currency=USD","Period=FQ","BEST_FPERIOD_OVERRIDE=FQ","FILING_STATUS=MR","FA_ADJUSTED=GAAP","Sort=A","Dates=H","DateFormat=P","Fill=—","Direction=H","UseDPDF=Y")</f>
        <v>6.4739000000000004</v>
      </c>
      <c r="AC8" s="21">
        <f>_xll.BDH("AKAM US Equity","RETURN_ON_ASSET","FQ4 2017","FQ4 2017","Currency=USD","Period=FQ","BEST_FPERIOD_OVERRIDE=FQ","FILING_STATUS=MR","FA_ADJUSTED=GAAP","Sort=A","Dates=H","DateFormat=P","Fill=—","Direction=H","UseDPDF=Y")</f>
        <v>4.9382999999999999</v>
      </c>
      <c r="AD8" s="21">
        <f>_xll.BDH("AKAM US Equity","RETURN_ON_ASSET","FQ1 2018","FQ1 2018","Currency=USD","Period=FQ","BEST_FPERIOD_OVERRIDE=FQ","FILING_STATUS=MR","FA_ADJUSTED=GAAP","Sort=A","Dates=H","DateFormat=P","Fill=—","Direction=H","UseDPDF=Y")</f>
        <v>4.4193999999999996</v>
      </c>
      <c r="AE8" s="21">
        <f>_xll.BDH("AKAM US Equity","RETURN_ON_ASSET","FQ2 2018","FQ2 2018","Currency=USD","Period=FQ","BEST_FPERIOD_OVERRIDE=FQ","FILING_STATUS=MR","FA_ADJUSTED=GAAP","Sort=A","Dates=H","DateFormat=P","Fill=—","Direction=H","UseDPDF=Y")</f>
        <v>3.7292000000000001</v>
      </c>
      <c r="AF8" s="21">
        <f>_xll.BDH("AKAM US Equity","RETURN_ON_ASSET","FQ3 2018","FQ3 2018","Currency=USD","Period=FQ","BEST_FPERIOD_OVERRIDE=FQ","FILING_STATUS=MR","FA_ADJUSTED=GAAP","Sort=A","Dates=H","DateFormat=P","Fill=—","Direction=H","UseDPDF=Y")</f>
        <v>4.6972000000000005</v>
      </c>
      <c r="AG8" s="21">
        <f>_xll.BDH("AKAM US Equity","RETURN_ON_ASSET","FQ4 2018","FQ4 2018","Currency=USD","Period=FQ","BEST_FPERIOD_OVERRIDE=FQ","FILING_STATUS=MR","FA_ADJUSTED=GAAP","Sort=A","Dates=H","DateFormat=P","Fill=—","Direction=H","UseDPDF=Y")</f>
        <v>5.9020999999999999</v>
      </c>
      <c r="AH8" s="21">
        <f>_xll.BDH("AKAM US Equity","RETURN_ON_ASSET","FQ1 2019","FQ1 2019","Currency=USD","Period=FQ","BEST_FPERIOD_OVERRIDE=FQ","FILING_STATUS=MR","FA_ADJUSTED=GAAP","Sort=A","Dates=H","DateFormat=P","Fill=—","Direction=H","UseDPDF=Y")</f>
        <v>7.1287000000000003</v>
      </c>
      <c r="AI8" s="21">
        <f>_xll.BDH("AKAM US Equity","RETURN_ON_ASSET","FQ2 2019","FQ2 2019","Currency=USD","Period=FQ","BEST_FPERIOD_OVERRIDE=FQ","FILING_STATUS=MR","FA_ADJUSTED=GAAP","Sort=A","Dates=H","DateFormat=P","Fill=—","Direction=H","UseDPDF=Y")</f>
        <v>7.7210000000000001</v>
      </c>
      <c r="AJ8" s="21">
        <f>_xll.BDH("AKAM US Equity","RETURN_ON_ASSET","FQ3 2019","FQ3 2019","Currency=USD","Period=FQ","BEST_FPERIOD_OVERRIDE=FQ","FILING_STATUS=MR","FA_ADJUSTED=GAAP","Sort=A","Dates=H","DateFormat=P","Fill=—","Direction=H","UseDPDF=Y")</f>
        <v>7.7286999999999999</v>
      </c>
      <c r="AK8" s="21">
        <f>_xll.BDH("AKAM US Equity","RETURN_ON_ASSET","FQ4 2019","FQ4 2019","Currency=USD","Period=FQ","BEST_FPERIOD_OVERRIDE=FQ","FILING_STATUS=MR","FA_ADJUSTED=GAAP","Sort=A","Dates=H","DateFormat=P","Fill=—","Direction=H","UseDPDF=Y")</f>
        <v>7.6677999999999997</v>
      </c>
      <c r="AL8" s="21">
        <f>_xll.BDH("AKAM US Equity","RETURN_ON_ASSET","FQ1 2020","FQ1 2020","Currency=USD","Period=FQ","BEST_FPERIOD_OVERRIDE=FQ","FILING_STATUS=MR","FA_ADJUSTED=GAAP","Sort=A","Dates=H","DateFormat=P","Fill=—","Direction=H","UseDPDF=Y")</f>
        <v>8.1455000000000002</v>
      </c>
      <c r="AM8" s="21">
        <f>_xll.BDH("AKAM US Equity","RETURN_ON_ASSET","FQ2 2020","FQ2 2020","Currency=USD","Period=FQ","BEST_FPERIOD_OVERRIDE=FQ","FILING_STATUS=MR","FA_ADJUSTED=GAAP","Sort=A","Dates=H","DateFormat=P","Fill=—","Direction=H","UseDPDF=Y")</f>
        <v>8.6258999999999997</v>
      </c>
      <c r="AN8" s="21">
        <f>_xll.BDH("AKAM US Equity","RETURN_ON_ASSET","FQ3 2020","FQ3 2020","Currency=USD","Period=FQ","BEST_FPERIOD_OVERRIDE=FQ","FILING_STATUS=MR","FA_ADJUSTED=GAAP","Sort=A","Dates=H","DateFormat=P","Fill=—","Direction=H","UseDPDF=Y")</f>
        <v>8.1141000000000005</v>
      </c>
      <c r="AO8" s="21">
        <f>_xll.BDH("AKAM US Equity","RETURN_ON_ASSET","FQ4 2020","FQ4 2020","Currency=USD","Period=FQ","BEST_FPERIOD_OVERRIDE=FQ","FILING_STATUS=MR","FA_ADJUSTED=GAAP","Sort=A","Dates=H","DateFormat=P","Fill=—","Direction=H","UseDPDF=Y")</f>
        <v>7.5425000000000004</v>
      </c>
      <c r="AP8" s="21">
        <f>_xll.BDH("AKAM US Equity","RETURN_ON_ASSET","FQ1 2021","FQ1 2021","Currency=USD","Period=FQ","BEST_FPERIOD_OVERRIDE=FQ","FILING_STATUS=MR","FA_ADJUSTED=GAAP","Sort=A","Dates=H","DateFormat=P","Fill=—","Direction=H","UseDPDF=Y")</f>
        <v>7.9859999999999998</v>
      </c>
    </row>
    <row r="9" spans="1:42" x14ac:dyDescent="0.25">
      <c r="A9" s="18" t="s">
        <v>89</v>
      </c>
      <c r="B9" s="18" t="s">
        <v>90</v>
      </c>
      <c r="C9" s="21" t="str">
        <f>_xll.BDH("AKAM US Equity","RETURN_ON_CAP","FQ2 2011","FQ2 2011","Currency=USD","Period=FQ","BEST_FPERIOD_OVERRIDE=FQ","FILING_STATUS=MR","FA_ADJUSTED=GAAP","Sort=A","Dates=H","DateFormat=P","Fill=—","Direction=H","UseDPDF=Y")</f>
        <v>—</v>
      </c>
      <c r="D9" s="21" t="str">
        <f>_xll.BDH("AKAM US Equity","RETURN_ON_CAP","FQ3 2011","FQ3 2011","Currency=USD","Period=FQ","BEST_FPERIOD_OVERRIDE=FQ","FILING_STATUS=MR","FA_ADJUSTED=GAAP","Sort=A","Dates=H","DateFormat=P","Fill=—","Direction=H","UseDPDF=Y")</f>
        <v>—</v>
      </c>
      <c r="E9" s="21" t="str">
        <f>_xll.BDH("AKAM US Equity","RETURN_ON_CAP","FQ4 2011","FQ4 2011","Currency=USD","Period=FQ","BEST_FPERIOD_OVERRIDE=FQ","FILING_STATUS=MR","FA_ADJUSTED=GAAP","Sort=A","Dates=H","DateFormat=P","Fill=—","Direction=H","UseDPDF=Y")</f>
        <v>—</v>
      </c>
      <c r="F9" s="21" t="str">
        <f>_xll.BDH("AKAM US Equity","RETURN_ON_CAP","FQ1 2012","FQ1 2012","Currency=USD","Period=FQ","BEST_FPERIOD_OVERRIDE=FQ","FILING_STATUS=MR","FA_ADJUSTED=GAAP","Sort=A","Dates=H","DateFormat=P","Fill=—","Direction=H","UseDPDF=Y")</f>
        <v>—</v>
      </c>
      <c r="G9" s="21" t="str">
        <f>_xll.BDH("AKAM US Equity","RETURN_ON_CAP","FQ2 2012","FQ2 2012","Currency=USD","Period=FQ","BEST_FPERIOD_OVERRIDE=FQ","FILING_STATUS=MR","FA_ADJUSTED=GAAP","Sort=A","Dates=H","DateFormat=P","Fill=—","Direction=H","UseDPDF=Y")</f>
        <v>—</v>
      </c>
      <c r="H9" s="21" t="str">
        <f>_xll.BDH("AKAM US Equity","RETURN_ON_CAP","FQ3 2012","FQ3 2012","Currency=USD","Period=FQ","BEST_FPERIOD_OVERRIDE=FQ","FILING_STATUS=MR","FA_ADJUSTED=GAAP","Sort=A","Dates=H","DateFormat=P","Fill=—","Direction=H","UseDPDF=Y")</f>
        <v>—</v>
      </c>
      <c r="I9" s="21" t="str">
        <f>_xll.BDH("AKAM US Equity","RETURN_ON_CAP","FQ4 2012","FQ4 2012","Currency=USD","Period=FQ","BEST_FPERIOD_OVERRIDE=FQ","FILING_STATUS=MR","FA_ADJUSTED=GAAP","Sort=A","Dates=H","DateFormat=P","Fill=—","Direction=H","UseDPDF=Y")</f>
        <v>—</v>
      </c>
      <c r="J9" s="21" t="str">
        <f>_xll.BDH("AKAM US Equity","RETURN_ON_CAP","FQ1 2013","FQ1 2013","Currency=USD","Period=FQ","BEST_FPERIOD_OVERRIDE=FQ","FILING_STATUS=MR","FA_ADJUSTED=GAAP","Sort=A","Dates=H","DateFormat=P","Fill=—","Direction=H","UseDPDF=Y")</f>
        <v>—</v>
      </c>
      <c r="K9" s="21" t="str">
        <f>_xll.BDH("AKAM US Equity","RETURN_ON_CAP","FQ2 2013","FQ2 2013","Currency=USD","Period=FQ","BEST_FPERIOD_OVERRIDE=FQ","FILING_STATUS=MR","FA_ADJUSTED=GAAP","Sort=A","Dates=H","DateFormat=P","Fill=—","Direction=H","UseDPDF=Y")</f>
        <v>—</v>
      </c>
      <c r="L9" s="21" t="str">
        <f>_xll.BDH("AKAM US Equity","RETURN_ON_CAP","FQ3 2013","FQ3 2013","Currency=USD","Period=FQ","BEST_FPERIOD_OVERRIDE=FQ","FILING_STATUS=MR","FA_ADJUSTED=GAAP","Sort=A","Dates=H","DateFormat=P","Fill=—","Direction=H","UseDPDF=Y")</f>
        <v>—</v>
      </c>
      <c r="M9" s="21">
        <f>_xll.BDH("AKAM US Equity","RETURN_ON_CAP","FQ4 2013","FQ4 2013","Currency=USD","Period=FQ","BEST_FPERIOD_OVERRIDE=FQ","FILING_STATUS=MR","FA_ADJUSTED=GAAP","Sort=A","Dates=H","DateFormat=P","Fill=—","Direction=H","UseDPDF=Y")</f>
        <v>11.798</v>
      </c>
      <c r="N9" s="21">
        <f>_xll.BDH("AKAM US Equity","RETURN_ON_CAP","FQ1 2014","FQ1 2014","Currency=USD","Period=FQ","BEST_FPERIOD_OVERRIDE=FQ","FILING_STATUS=MR","FA_ADJUSTED=GAAP","Sort=A","Dates=H","DateFormat=P","Fill=—","Direction=H","UseDPDF=Y")</f>
        <v>10.4124</v>
      </c>
      <c r="O9" s="21">
        <f>_xll.BDH("AKAM US Equity","RETURN_ON_CAP","FQ2 2014","FQ2 2014","Currency=USD","Period=FQ","BEST_FPERIOD_OVERRIDE=FQ","FILING_STATUS=MR","FA_ADJUSTED=GAAP","Sort=A","Dates=H","DateFormat=P","Fill=—","Direction=H","UseDPDF=Y")</f>
        <v>10.6678</v>
      </c>
      <c r="P9" s="21">
        <f>_xll.BDH("AKAM US Equity","RETURN_ON_CAP","FQ3 2014","FQ3 2014","Currency=USD","Period=FQ","BEST_FPERIOD_OVERRIDE=FQ","FILING_STATUS=MR","FA_ADJUSTED=GAAP","Sort=A","Dates=H","DateFormat=P","Fill=—","Direction=H","UseDPDF=Y")</f>
        <v>10.838100000000001</v>
      </c>
      <c r="Q9" s="21">
        <f>_xll.BDH("AKAM US Equity","RETURN_ON_CAP","FQ4 2014","FQ4 2014","Currency=USD","Period=FQ","BEST_FPERIOD_OVERRIDE=FQ","FILING_STATUS=MR","FA_ADJUSTED=GAAP","Sort=A","Dates=H","DateFormat=P","Fill=—","Direction=H","UseDPDF=Y")</f>
        <v>11.1564</v>
      </c>
      <c r="R9" s="21">
        <f>_xll.BDH("AKAM US Equity","RETURN_ON_CAP","FQ1 2015","FQ1 2015","Currency=USD","Period=FQ","BEST_FPERIOD_OVERRIDE=FQ","FILING_STATUS=MR","FA_ADJUSTED=GAAP","Sort=A","Dates=H","DateFormat=P","Fill=—","Direction=H","UseDPDF=Y")</f>
        <v>10.202199999999999</v>
      </c>
      <c r="S9" s="21">
        <f>_xll.BDH("AKAM US Equity","RETURN_ON_CAP","FQ2 2015","FQ2 2015","Currency=USD","Period=FQ","BEST_FPERIOD_OVERRIDE=FQ","FILING_STATUS=MR","FA_ADJUSTED=GAAP","Sort=A","Dates=H","DateFormat=P","Fill=—","Direction=H","UseDPDF=Y")</f>
        <v>9.8480000000000008</v>
      </c>
      <c r="T9" s="21">
        <f>_xll.BDH("AKAM US Equity","RETURN_ON_CAP","FQ3 2015","FQ3 2015","Currency=USD","Period=FQ","BEST_FPERIOD_OVERRIDE=FQ","FILING_STATUS=MR","FA_ADJUSTED=GAAP","Sort=A","Dates=H","DateFormat=P","Fill=—","Direction=H","UseDPDF=Y")</f>
        <v>9.5902999999999992</v>
      </c>
      <c r="U9" s="21">
        <f>_xll.BDH("AKAM US Equity","RETURN_ON_CAP","FQ4 2015","FQ4 2015","Currency=USD","Period=FQ","BEST_FPERIOD_OVERRIDE=FQ","FILING_STATUS=MR","FA_ADJUSTED=GAAP","Sort=A","Dates=H","DateFormat=P","Fill=—","Direction=H","UseDPDF=Y")</f>
        <v>9.1766000000000005</v>
      </c>
      <c r="V9" s="21">
        <f>_xll.BDH("AKAM US Equity","RETURN_ON_CAP","FQ1 2016","FQ1 2016","Currency=USD","Period=FQ","BEST_FPERIOD_OVERRIDE=FQ","FILING_STATUS=MR","FA_ADJUSTED=GAAP","Sort=A","Dates=H","DateFormat=P","Fill=—","Direction=H","UseDPDF=Y")</f>
        <v>9.0524000000000004</v>
      </c>
      <c r="W9" s="21">
        <f>_xll.BDH("AKAM US Equity","RETURN_ON_CAP","FQ2 2016","FQ2 2016","Currency=USD","Period=FQ","BEST_FPERIOD_OVERRIDE=FQ","FILING_STATUS=MR","FA_ADJUSTED=GAAP","Sort=A","Dates=H","DateFormat=P","Fill=—","Direction=H","UseDPDF=Y")</f>
        <v>9.0914999999999999</v>
      </c>
      <c r="X9" s="21">
        <f>_xll.BDH("AKAM US Equity","RETURN_ON_CAP","FQ3 2016","FQ3 2016","Currency=USD","Period=FQ","BEST_FPERIOD_OVERRIDE=FQ","FILING_STATUS=MR","FA_ADJUSTED=GAAP","Sort=A","Dates=H","DateFormat=P","Fill=—","Direction=H","UseDPDF=Y")</f>
        <v>8.6762999999999995</v>
      </c>
      <c r="Y9" s="21">
        <f>_xll.BDH("AKAM US Equity","RETURN_ON_CAP","FQ4 2016","FQ4 2016","Currency=USD","Period=FQ","BEST_FPERIOD_OVERRIDE=FQ","FILING_STATUS=MR","FA_ADJUSTED=GAAP","Sort=A","Dates=H","DateFormat=P","Fill=—","Direction=H","UseDPDF=Y")</f>
        <v>8.6529000000000007</v>
      </c>
      <c r="Z9" s="21">
        <f>_xll.BDH("AKAM US Equity","RETURN_ON_CAP","FQ1 2017","FQ1 2017","Currency=USD","Period=FQ","BEST_FPERIOD_OVERRIDE=FQ","FILING_STATUS=MR","FA_ADJUSTED=GAAP","Sort=A","Dates=H","DateFormat=P","Fill=—","Direction=H","UseDPDF=Y")</f>
        <v>8.6073000000000004</v>
      </c>
      <c r="AA9" s="21">
        <f>_xll.BDH("AKAM US Equity","RETURN_ON_CAP","FQ2 2017","FQ2 2017","Currency=USD","Period=FQ","BEST_FPERIOD_OVERRIDE=FQ","FILING_STATUS=MR","FA_ADJUSTED=GAAP","Sort=A","Dates=H","DateFormat=P","Fill=—","Direction=H","UseDPDF=Y")</f>
        <v>8.0838999999999999</v>
      </c>
      <c r="AB9" s="21">
        <f>_xll.BDH("AKAM US Equity","RETURN_ON_CAP","FQ3 2017","FQ3 2017","Currency=USD","Period=FQ","BEST_FPERIOD_OVERRIDE=FQ","FILING_STATUS=MR","FA_ADJUSTED=GAAP","Sort=A","Dates=H","DateFormat=P","Fill=—","Direction=H","UseDPDF=Y")</f>
        <v>7.7591999999999999</v>
      </c>
      <c r="AC9" s="21">
        <f>_xll.BDH("AKAM US Equity","RETURN_ON_CAP","FQ4 2017","FQ4 2017","Currency=USD","Period=FQ","BEST_FPERIOD_OVERRIDE=FQ","FILING_STATUS=MR","FA_ADJUSTED=GAAP","Sort=A","Dates=H","DateFormat=P","Fill=—","Direction=H","UseDPDF=Y")</f>
        <v>5.9855</v>
      </c>
      <c r="AD9" s="21">
        <f>_xll.BDH("AKAM US Equity","RETURN_ON_CAP","FQ1 2018","FQ1 2018","Currency=USD","Period=FQ","BEST_FPERIOD_OVERRIDE=FQ","FILING_STATUS=MR","FA_ADJUSTED=GAAP","Sort=A","Dates=H","DateFormat=P","Fill=—","Direction=H","UseDPDF=Y")</f>
        <v>5.4226999999999999</v>
      </c>
      <c r="AE9" s="21">
        <f>_xll.BDH("AKAM US Equity","RETURN_ON_CAP","FQ2 2018","FQ2 2018","Currency=USD","Period=FQ","BEST_FPERIOD_OVERRIDE=FQ","FILING_STATUS=MR","FA_ADJUSTED=GAAP","Sort=A","Dates=H","DateFormat=P","Fill=—","Direction=H","UseDPDF=Y")</f>
        <v>4.6337999999999999</v>
      </c>
      <c r="AF9" s="21">
        <f>_xll.BDH("AKAM US Equity","RETURN_ON_CAP","FQ3 2018","FQ3 2018","Currency=USD","Period=FQ","BEST_FPERIOD_OVERRIDE=FQ","FILING_STATUS=MR","FA_ADJUSTED=GAAP","Sort=A","Dates=H","DateFormat=P","Fill=—","Direction=H","UseDPDF=Y")</f>
        <v>6.0591999999999997</v>
      </c>
      <c r="AG9" s="21">
        <f>_xll.BDH("AKAM US Equity","RETURN_ON_CAP","FQ4 2018","FQ4 2018","Currency=USD","Period=FQ","BEST_FPERIOD_OVERRIDE=FQ","FILING_STATUS=MR","FA_ADJUSTED=GAAP","Sort=A","Dates=H","DateFormat=P","Fill=—","Direction=H","UseDPDF=Y")</f>
        <v>7.6543000000000001</v>
      </c>
      <c r="AH9" s="21">
        <f>_xll.BDH("AKAM US Equity","RETURN_ON_CAP","FQ1 2019","FQ1 2019","Currency=USD","Period=FQ","BEST_FPERIOD_OVERRIDE=FQ","FILING_STATUS=MR","FA_ADJUSTED=GAAP","Sort=A","Dates=H","DateFormat=P","Fill=—","Direction=H","UseDPDF=Y")</f>
        <v>9.1778999999999993</v>
      </c>
      <c r="AI9" s="21">
        <f>_xll.BDH("AKAM US Equity","RETURN_ON_CAP","FQ2 2019","FQ2 2019","Currency=USD","Period=FQ","BEST_FPERIOD_OVERRIDE=FQ","FILING_STATUS=MR","FA_ADJUSTED=GAAP","Sort=A","Dates=H","DateFormat=P","Fill=—","Direction=H","UseDPDF=Y")</f>
        <v>9.6422000000000008</v>
      </c>
      <c r="AJ9" s="21">
        <f>_xll.BDH("AKAM US Equity","RETURN_ON_CAP","FQ3 2019","FQ3 2019","Currency=USD","Period=FQ","BEST_FPERIOD_OVERRIDE=FQ","FILING_STATUS=MR","FA_ADJUSTED=GAAP","Sort=A","Dates=H","DateFormat=P","Fill=—","Direction=H","UseDPDF=Y")</f>
        <v>9.5021000000000004</v>
      </c>
      <c r="AK9" s="21">
        <f>_xll.BDH("AKAM US Equity","RETURN_ON_CAP","FQ4 2019","FQ4 2019","Currency=USD","Period=FQ","BEST_FPERIOD_OVERRIDE=FQ","FILING_STATUS=MR","FA_ADJUSTED=GAAP","Sort=A","Dates=H","DateFormat=P","Fill=—","Direction=H","UseDPDF=Y")</f>
        <v>9.4290000000000003</v>
      </c>
      <c r="AL9" s="21">
        <f>_xll.BDH("AKAM US Equity","RETURN_ON_CAP","FQ1 2020","FQ1 2020","Currency=USD","Period=FQ","BEST_FPERIOD_OVERRIDE=FQ","FILING_STATUS=MR","FA_ADJUSTED=GAAP","Sort=A","Dates=H","DateFormat=P","Fill=—","Direction=H","UseDPDF=Y")</f>
        <v>9.9794999999999998</v>
      </c>
      <c r="AM9" s="21">
        <f>_xll.BDH("AKAM US Equity","RETURN_ON_CAP","FQ2 2020","FQ2 2020","Currency=USD","Period=FQ","BEST_FPERIOD_OVERRIDE=FQ","FILING_STATUS=MR","FA_ADJUSTED=GAAP","Sort=A","Dates=H","DateFormat=P","Fill=—","Direction=H","UseDPDF=Y")</f>
        <v>10.6579</v>
      </c>
      <c r="AN9" s="21">
        <f>_xll.BDH("AKAM US Equity","RETURN_ON_CAP","FQ3 2020","FQ3 2020","Currency=USD","Period=FQ","BEST_FPERIOD_OVERRIDE=FQ","FILING_STATUS=MR","FA_ADJUSTED=GAAP","Sort=A","Dates=H","DateFormat=P","Fill=—","Direction=H","UseDPDF=Y")</f>
        <v>9.9867000000000008</v>
      </c>
      <c r="AO9" s="21">
        <f>_xll.BDH("AKAM US Equity","RETURN_ON_CAP","FQ4 2020","FQ4 2020","Currency=USD","Period=FQ","BEST_FPERIOD_OVERRIDE=FQ","FILING_STATUS=MR","FA_ADJUSTED=GAAP","Sort=A","Dates=H","DateFormat=P","Fill=—","Direction=H","UseDPDF=Y")</f>
        <v>9.2984000000000009</v>
      </c>
      <c r="AP9" s="21">
        <f>_xll.BDH("AKAM US Equity","RETURN_ON_CAP","FQ1 2021","FQ1 2021","Currency=USD","Period=FQ","BEST_FPERIOD_OVERRIDE=FQ","FILING_STATUS=MR","FA_ADJUSTED=GAAP","Sort=A","Dates=H","DateFormat=P","Fill=—","Direction=H","UseDPDF=Y")</f>
        <v>9.7137999999999991</v>
      </c>
    </row>
    <row r="10" spans="1:42" x14ac:dyDescent="0.25">
      <c r="A10" s="18" t="s">
        <v>91</v>
      </c>
      <c r="B10" s="18" t="s">
        <v>92</v>
      </c>
      <c r="C10" s="21">
        <f>_xll.BDH("AKAM US Equity","RETURN_ON_INV_CAPITAL","FQ2 2011","FQ2 2011","Currency=USD","Period=FQ","BEST_FPERIOD_OVERRIDE=FQ","FILING_STATUS=MR","FA_ADJUSTED=GAAP","Sort=A","Dates=H","DateFormat=P","Fill=—","Direction=H","UseDPDF=Y")</f>
        <v>8.6700999999999997</v>
      </c>
      <c r="D10" s="21">
        <f>_xll.BDH("AKAM US Equity","RETURN_ON_INV_CAPITAL","FQ3 2011","FQ3 2011","Currency=USD","Period=FQ","BEST_FPERIOD_OVERRIDE=FQ","FILING_STATUS=MR","FA_ADJUSTED=GAAP","Sort=A","Dates=H","DateFormat=P","Fill=—","Direction=H","UseDPDF=Y")</f>
        <v>8.8575999999999997</v>
      </c>
      <c r="E10" s="21">
        <f>_xll.BDH("AKAM US Equity","RETURN_ON_INV_CAPITAL","FQ4 2011","FQ4 2011","Currency=USD","Period=FQ","BEST_FPERIOD_OVERRIDE=FQ","FILING_STATUS=MR","FA_ADJUSTED=GAAP","Sort=A","Dates=H","DateFormat=P","Fill=—","Direction=H","UseDPDF=Y")</f>
        <v>8.7268000000000008</v>
      </c>
      <c r="F10" s="21">
        <f>_xll.BDH("AKAM US Equity","RETURN_ON_INV_CAPITAL","FQ1 2012","FQ1 2012","Currency=USD","Period=FQ","BEST_FPERIOD_OVERRIDE=FQ","FILING_STATUS=MR","FA_ADJUSTED=GAAP","Sort=A","Dates=H","DateFormat=P","Fill=—","Direction=H","UseDPDF=Y")</f>
        <v>8.2408000000000001</v>
      </c>
      <c r="G10" s="21">
        <f>_xll.BDH("AKAM US Equity","RETURN_ON_INV_CAPITAL","FQ2 2012","FQ2 2012","Currency=USD","Period=FQ","BEST_FPERIOD_OVERRIDE=FQ","FILING_STATUS=MR","FA_ADJUSTED=GAAP","Sort=A","Dates=H","DateFormat=P","Fill=—","Direction=H","UseDPDF=Y")</f>
        <v>8.0272000000000006</v>
      </c>
      <c r="H10" s="21">
        <f>_xll.BDH("AKAM US Equity","RETURN_ON_INV_CAPITAL","FQ3 2012","FQ3 2012","Currency=USD","Period=FQ","BEST_FPERIOD_OVERRIDE=FQ","FILING_STATUS=MR","FA_ADJUSTED=GAAP","Sort=A","Dates=H","DateFormat=P","Fill=—","Direction=H","UseDPDF=Y")</f>
        <v>8.4220000000000006</v>
      </c>
      <c r="I10" s="21">
        <f>_xll.BDH("AKAM US Equity","RETURN_ON_INV_CAPITAL","FQ4 2012","FQ4 2012","Currency=USD","Period=FQ","BEST_FPERIOD_OVERRIDE=FQ","FILING_STATUS=MR","FA_ADJUSTED=GAAP","Sort=A","Dates=H","DateFormat=P","Fill=—","Direction=H","UseDPDF=Y")</f>
        <v>8.7827000000000002</v>
      </c>
      <c r="J10" s="21">
        <f>_xll.BDH("AKAM US Equity","RETURN_ON_INV_CAPITAL","FQ1 2013","FQ1 2013","Currency=USD","Period=FQ","BEST_FPERIOD_OVERRIDE=FQ","FILING_STATUS=MR","FA_ADJUSTED=GAAP","Sort=A","Dates=H","DateFormat=P","Fill=—","Direction=H","UseDPDF=Y")</f>
        <v>9.7545000000000002</v>
      </c>
      <c r="K10" s="21">
        <f>_xll.BDH("AKAM US Equity","RETURN_ON_INV_CAPITAL","FQ2 2013","FQ2 2013","Currency=USD","Period=FQ","BEST_FPERIOD_OVERRIDE=FQ","FILING_STATUS=MR","FA_ADJUSTED=GAAP","Sort=A","Dates=H","DateFormat=P","Fill=—","Direction=H","UseDPDF=Y")</f>
        <v>10.3322</v>
      </c>
      <c r="L10" s="21">
        <f>_xll.BDH("AKAM US Equity","RETURN_ON_INV_CAPITAL","FQ3 2013","FQ3 2013","Currency=USD","Period=FQ","BEST_FPERIOD_OVERRIDE=FQ","FILING_STATUS=MR","FA_ADJUSTED=GAAP","Sort=A","Dates=H","DateFormat=P","Fill=—","Direction=H","UseDPDF=Y")</f>
        <v>11.4316</v>
      </c>
      <c r="M10" s="21">
        <f>_xll.BDH("AKAM US Equity","RETURN_ON_INV_CAPITAL","FQ4 2013","FQ4 2013","Currency=USD","Period=FQ","BEST_FPERIOD_OVERRIDE=FQ","FILING_STATUS=MR","FA_ADJUSTED=GAAP","Sort=A","Dates=H","DateFormat=P","Fill=—","Direction=H","UseDPDF=Y")</f>
        <v>11.4939</v>
      </c>
      <c r="N10" s="21">
        <f>_xll.BDH("AKAM US Equity","RETURN_ON_INV_CAPITAL","FQ1 2014","FQ1 2014","Currency=USD","Period=FQ","BEST_FPERIOD_OVERRIDE=FQ","FILING_STATUS=MR","FA_ADJUSTED=GAAP","Sort=A","Dates=H","DateFormat=P","Fill=—","Direction=H","UseDPDF=Y")</f>
        <v>10.145899999999999</v>
      </c>
      <c r="O10" s="21">
        <f>_xll.BDH("AKAM US Equity","RETURN_ON_INV_CAPITAL","FQ2 2014","FQ2 2014","Currency=USD","Period=FQ","BEST_FPERIOD_OVERRIDE=FQ","FILING_STATUS=MR","FA_ADJUSTED=GAAP","Sort=A","Dates=H","DateFormat=P","Fill=—","Direction=H","UseDPDF=Y")</f>
        <v>10.369199999999999</v>
      </c>
      <c r="P10" s="21">
        <f>_xll.BDH("AKAM US Equity","RETURN_ON_INV_CAPITAL","FQ3 2014","FQ3 2014","Currency=USD","Period=FQ","BEST_FPERIOD_OVERRIDE=FQ","FILING_STATUS=MR","FA_ADJUSTED=GAAP","Sort=A","Dates=H","DateFormat=P","Fill=—","Direction=H","UseDPDF=Y")</f>
        <v>10.6797</v>
      </c>
      <c r="Q10" s="21">
        <f>_xll.BDH("AKAM US Equity","RETURN_ON_INV_CAPITAL","FQ4 2014","FQ4 2014","Currency=USD","Period=FQ","BEST_FPERIOD_OVERRIDE=FQ","FILING_STATUS=MR","FA_ADJUSTED=GAAP","Sort=A","Dates=H","DateFormat=P","Fill=—","Direction=H","UseDPDF=Y")</f>
        <v>10.8194</v>
      </c>
      <c r="R10" s="21">
        <f>_xll.BDH("AKAM US Equity","RETURN_ON_INV_CAPITAL","FQ1 2015","FQ1 2015","Currency=USD","Period=FQ","BEST_FPERIOD_OVERRIDE=FQ","FILING_STATUS=MR","FA_ADJUSTED=GAAP","Sort=A","Dates=H","DateFormat=P","Fill=—","Direction=H","UseDPDF=Y")</f>
        <v>9.9295000000000009</v>
      </c>
      <c r="S10" s="21">
        <f>_xll.BDH("AKAM US Equity","RETURN_ON_INV_CAPITAL","FQ2 2015","FQ2 2015","Currency=USD","Period=FQ","BEST_FPERIOD_OVERRIDE=FQ","FILING_STATUS=MR","FA_ADJUSTED=GAAP","Sort=A","Dates=H","DateFormat=P","Fill=—","Direction=H","UseDPDF=Y")</f>
        <v>9.5722000000000005</v>
      </c>
      <c r="T10" s="21">
        <f>_xll.BDH("AKAM US Equity","RETURN_ON_INV_CAPITAL","FQ3 2015","FQ3 2015","Currency=USD","Period=FQ","BEST_FPERIOD_OVERRIDE=FQ","FILING_STATUS=MR","FA_ADJUSTED=GAAP","Sort=A","Dates=H","DateFormat=P","Fill=—","Direction=H","UseDPDF=Y")</f>
        <v>9.3312000000000008</v>
      </c>
      <c r="U10" s="21">
        <f>_xll.BDH("AKAM US Equity","RETURN_ON_INV_CAPITAL","FQ4 2015","FQ4 2015","Currency=USD","Period=FQ","BEST_FPERIOD_OVERRIDE=FQ","FILING_STATUS=MR","FA_ADJUSTED=GAAP","Sort=A","Dates=H","DateFormat=P","Fill=—","Direction=H","UseDPDF=Y")</f>
        <v>8.8559999999999999</v>
      </c>
      <c r="V10" s="21">
        <f>_xll.BDH("AKAM US Equity","RETURN_ON_INV_CAPITAL","FQ1 2016","FQ1 2016","Currency=USD","Period=FQ","BEST_FPERIOD_OVERRIDE=FQ","FILING_STATUS=MR","FA_ADJUSTED=GAAP","Sort=A","Dates=H","DateFormat=P","Fill=—","Direction=H","UseDPDF=Y")</f>
        <v>8.8203999999999994</v>
      </c>
      <c r="W10" s="21">
        <f>_xll.BDH("AKAM US Equity","RETURN_ON_INV_CAPITAL","FQ2 2016","FQ2 2016","Currency=USD","Period=FQ","BEST_FPERIOD_OVERRIDE=FQ","FILING_STATUS=MR","FA_ADJUSTED=GAAP","Sort=A","Dates=H","DateFormat=P","Fill=—","Direction=H","UseDPDF=Y")</f>
        <v>8.8175000000000008</v>
      </c>
      <c r="X10" s="21">
        <f>_xll.BDH("AKAM US Equity","RETURN_ON_INV_CAPITAL","FQ3 2016","FQ3 2016","Currency=USD","Period=FQ","BEST_FPERIOD_OVERRIDE=FQ","FILING_STATUS=MR","FA_ADJUSTED=GAAP","Sort=A","Dates=H","DateFormat=P","Fill=—","Direction=H","UseDPDF=Y")</f>
        <v>8.3849999999999998</v>
      </c>
      <c r="Y10" s="21">
        <f>_xll.BDH("AKAM US Equity","RETURN_ON_INV_CAPITAL","FQ4 2016","FQ4 2016","Currency=USD","Period=FQ","BEST_FPERIOD_OVERRIDE=FQ","FILING_STATUS=MR","FA_ADJUSTED=GAAP","Sort=A","Dates=H","DateFormat=P","Fill=—","Direction=H","UseDPDF=Y")</f>
        <v>8.1908999999999992</v>
      </c>
      <c r="Z10" s="21">
        <f>_xll.BDH("AKAM US Equity","RETURN_ON_INV_CAPITAL","FQ1 2017","FQ1 2017","Currency=USD","Period=FQ","BEST_FPERIOD_OVERRIDE=FQ","FILING_STATUS=MR","FA_ADJUSTED=GAAP","Sort=A","Dates=H","DateFormat=P","Fill=—","Direction=H","UseDPDF=Y")</f>
        <v>8.2073999999999998</v>
      </c>
      <c r="AA10" s="21">
        <f>_xll.BDH("AKAM US Equity","RETURN_ON_INV_CAPITAL","FQ2 2017","FQ2 2017","Currency=USD","Period=FQ","BEST_FPERIOD_OVERRIDE=FQ","FILING_STATUS=MR","FA_ADJUSTED=GAAP","Sort=A","Dates=H","DateFormat=P","Fill=—","Direction=H","UseDPDF=Y")</f>
        <v>7.6931000000000003</v>
      </c>
      <c r="AB10" s="21">
        <f>_xll.BDH("AKAM US Equity","RETURN_ON_INV_CAPITAL","FQ3 2017","FQ3 2017","Currency=USD","Period=FQ","BEST_FPERIOD_OVERRIDE=FQ","FILING_STATUS=MR","FA_ADJUSTED=GAAP","Sort=A","Dates=H","DateFormat=P","Fill=—","Direction=H","UseDPDF=Y")</f>
        <v>7.3878000000000004</v>
      </c>
      <c r="AC10" s="21">
        <f>_xll.BDH("AKAM US Equity","RETURN_ON_INV_CAPITAL","FQ4 2017","FQ4 2017","Currency=USD","Period=FQ","BEST_FPERIOD_OVERRIDE=FQ","FILING_STATUS=MR","FA_ADJUSTED=GAAP","Sort=A","Dates=H","DateFormat=P","Fill=—","Direction=H","UseDPDF=Y")</f>
        <v>5.5833000000000004</v>
      </c>
      <c r="AD10" s="21">
        <f>_xll.BDH("AKAM US Equity","RETURN_ON_INV_CAPITAL","FQ1 2018","FQ1 2018","Currency=USD","Period=FQ","BEST_FPERIOD_OVERRIDE=FQ","FILING_STATUS=MR","FA_ADJUSTED=GAAP","Sort=A","Dates=H","DateFormat=P","Fill=—","Direction=H","UseDPDF=Y")</f>
        <v>5.0751999999999997</v>
      </c>
      <c r="AE10" s="21">
        <f>_xll.BDH("AKAM US Equity","RETURN_ON_INV_CAPITAL","FQ2 2018","FQ2 2018","Currency=USD","Period=FQ","BEST_FPERIOD_OVERRIDE=FQ","FILING_STATUS=MR","FA_ADJUSTED=GAAP","Sort=A","Dates=H","DateFormat=P","Fill=—","Direction=H","UseDPDF=Y")</f>
        <v>4.3408999999999995</v>
      </c>
      <c r="AF10" s="21">
        <f>_xll.BDH("AKAM US Equity","RETURN_ON_INV_CAPITAL","FQ3 2018","FQ3 2018","Currency=USD","Period=FQ","BEST_FPERIOD_OVERRIDE=FQ","FILING_STATUS=MR","FA_ADJUSTED=GAAP","Sort=A","Dates=H","DateFormat=P","Fill=—","Direction=H","UseDPDF=Y")</f>
        <v>5.6273</v>
      </c>
      <c r="AG10" s="21">
        <f>_xll.BDH("AKAM US Equity","RETURN_ON_INV_CAPITAL","FQ4 2018","FQ4 2018","Currency=USD","Period=FQ","BEST_FPERIOD_OVERRIDE=FQ","FILING_STATUS=MR","FA_ADJUSTED=GAAP","Sort=A","Dates=H","DateFormat=P","Fill=—","Direction=H","UseDPDF=Y")</f>
        <v>7.1513999999999998</v>
      </c>
      <c r="AH10" s="21">
        <f>_xll.BDH("AKAM US Equity","RETURN_ON_INV_CAPITAL","FQ1 2019","FQ1 2019","Currency=USD","Period=FQ","BEST_FPERIOD_OVERRIDE=FQ","FILING_STATUS=MR","FA_ADJUSTED=GAAP","Sort=A","Dates=H","DateFormat=P","Fill=—","Direction=H","UseDPDF=Y")</f>
        <v>8.6340000000000003</v>
      </c>
      <c r="AI10" s="21">
        <f>_xll.BDH("AKAM US Equity","RETURN_ON_INV_CAPITAL","FQ2 2019","FQ2 2019","Currency=USD","Period=FQ","BEST_FPERIOD_OVERRIDE=FQ","FILING_STATUS=MR","FA_ADJUSTED=GAAP","Sort=A","Dates=H","DateFormat=P","Fill=—","Direction=H","UseDPDF=Y")</f>
        <v>9.1052</v>
      </c>
      <c r="AJ10" s="21">
        <f>_xll.BDH("AKAM US Equity","RETURN_ON_INV_CAPITAL","FQ3 2019","FQ3 2019","Currency=USD","Period=FQ","BEST_FPERIOD_OVERRIDE=FQ","FILING_STATUS=MR","FA_ADJUSTED=GAAP","Sort=A","Dates=H","DateFormat=P","Fill=—","Direction=H","UseDPDF=Y")</f>
        <v>9.0081000000000007</v>
      </c>
      <c r="AK10" s="21">
        <f>_xll.BDH("AKAM US Equity","RETURN_ON_INV_CAPITAL","FQ4 2019","FQ4 2019","Currency=USD","Period=FQ","BEST_FPERIOD_OVERRIDE=FQ","FILING_STATUS=MR","FA_ADJUSTED=GAAP","Sort=A","Dates=H","DateFormat=P","Fill=—","Direction=H","UseDPDF=Y")</f>
        <v>8.8917000000000002</v>
      </c>
      <c r="AL10" s="21">
        <f>_xll.BDH("AKAM US Equity","RETURN_ON_INV_CAPITAL","FQ1 2020","FQ1 2020","Currency=USD","Period=FQ","BEST_FPERIOD_OVERRIDE=FQ","FILING_STATUS=MR","FA_ADJUSTED=GAAP","Sort=A","Dates=H","DateFormat=P","Fill=—","Direction=H","UseDPDF=Y")</f>
        <v>9.5663999999999998</v>
      </c>
      <c r="AM10" s="21">
        <f>_xll.BDH("AKAM US Equity","RETURN_ON_INV_CAPITAL","FQ2 2020","FQ2 2020","Currency=USD","Period=FQ","BEST_FPERIOD_OVERRIDE=FQ","FILING_STATUS=MR","FA_ADJUSTED=GAAP","Sort=A","Dates=H","DateFormat=P","Fill=—","Direction=H","UseDPDF=Y")</f>
        <v>10.1831</v>
      </c>
      <c r="AN10" s="21">
        <f>_xll.BDH("AKAM US Equity","RETURN_ON_INV_CAPITAL","FQ3 2020","FQ3 2020","Currency=USD","Period=FQ","BEST_FPERIOD_OVERRIDE=FQ","FILING_STATUS=MR","FA_ADJUSTED=GAAP","Sort=A","Dates=H","DateFormat=P","Fill=—","Direction=H","UseDPDF=Y")</f>
        <v>9.6705000000000005</v>
      </c>
      <c r="AO10" s="21">
        <f>_xll.BDH("AKAM US Equity","RETURN_ON_INV_CAPITAL","FQ4 2020","FQ4 2020","Currency=USD","Period=FQ","BEST_FPERIOD_OVERRIDE=FQ","FILING_STATUS=MR","FA_ADJUSTED=GAAP","Sort=A","Dates=H","DateFormat=P","Fill=—","Direction=H","UseDPDF=Y")</f>
        <v>8.9580000000000002</v>
      </c>
      <c r="AP10" s="21">
        <f>_xll.BDH("AKAM US Equity","RETURN_ON_INV_CAPITAL","FQ1 2021","FQ1 2021","Currency=USD","Period=FQ","BEST_FPERIOD_OVERRIDE=FQ","FILING_STATUS=MR","FA_ADJUSTED=GAAP","Sort=A","Dates=H","DateFormat=P","Fill=—","Direction=H","UseDPDF=Y")</f>
        <v>9.4134999999999991</v>
      </c>
    </row>
    <row r="11" spans="1:42" x14ac:dyDescent="0.25">
      <c r="A11" s="18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1:42" x14ac:dyDescent="0.25">
      <c r="A12" s="14" t="s">
        <v>93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</row>
    <row r="13" spans="1:42" x14ac:dyDescent="0.25">
      <c r="A13" s="18" t="s">
        <v>94</v>
      </c>
      <c r="B13" s="18" t="s">
        <v>95</v>
      </c>
      <c r="C13" s="21">
        <f>_xll.BDH("AKAM US Equity","GROSS_MARGIN","FQ2 2011","FQ2 2011","Currency=USD","Period=FQ","BEST_FPERIOD_OVERRIDE=FQ","FILING_STATUS=MR","FA_ADJUSTED=GAAP","Sort=A","Dates=H","DateFormat=P","Fill=—","Direction=H","UseDPDF=Y")</f>
        <v>67.635199999999998</v>
      </c>
      <c r="D13" s="21">
        <f>_xll.BDH("AKAM US Equity","GROSS_MARGIN","FQ3 2011","FQ3 2011","Currency=USD","Period=FQ","BEST_FPERIOD_OVERRIDE=FQ","FILING_STATUS=MR","FA_ADJUSTED=GAAP","Sort=A","Dates=H","DateFormat=P","Fill=—","Direction=H","UseDPDF=Y")</f>
        <v>66.903700000000001</v>
      </c>
      <c r="E13" s="21">
        <f>_xll.BDH("AKAM US Equity","GROSS_MARGIN","FQ4 2011","FQ4 2011","Currency=USD","Period=FQ","BEST_FPERIOD_OVERRIDE=FQ","FILING_STATUS=MR","FA_ADJUSTED=GAAP","Sort=A","Dates=H","DateFormat=P","Fill=—","Direction=H","UseDPDF=Y")</f>
        <v>68.325199999999995</v>
      </c>
      <c r="F13" s="21">
        <f>_xll.BDH("AKAM US Equity","GROSS_MARGIN","FQ1 2012","FQ1 2012","Currency=USD","Period=FQ","BEST_FPERIOD_OVERRIDE=FQ","FILING_STATUS=MR","FA_ADJUSTED=GAAP","Sort=A","Dates=H","DateFormat=P","Fill=—","Direction=H","UseDPDF=Y")</f>
        <v>60.893500000000003</v>
      </c>
      <c r="G13" s="21">
        <f>_xll.BDH("AKAM US Equity","GROSS_MARGIN","FQ2 2012","FQ2 2012","Currency=USD","Period=FQ","BEST_FPERIOD_OVERRIDE=FQ","FILING_STATUS=MR","FA_ADJUSTED=GAAP","Sort=A","Dates=H","DateFormat=P","Fill=—","Direction=H","UseDPDF=Y")</f>
        <v>60.381</v>
      </c>
      <c r="H13" s="21">
        <f>_xll.BDH("AKAM US Equity","GROSS_MARGIN","FQ3 2012","FQ3 2012","Currency=USD","Period=FQ","BEST_FPERIOD_OVERRIDE=FQ","FILING_STATUS=MR","FA_ADJUSTED=GAAP","Sort=A","Dates=H","DateFormat=P","Fill=—","Direction=H","UseDPDF=Y")</f>
        <v>61.131500000000003</v>
      </c>
      <c r="I13" s="21">
        <f>_xll.BDH("AKAM US Equity","GROSS_MARGIN","FQ4 2012","FQ4 2012","Currency=USD","Period=FQ","BEST_FPERIOD_OVERRIDE=FQ","FILING_STATUS=MR","FA_ADJUSTED=GAAP","Sort=A","Dates=H","DateFormat=P","Fill=—","Direction=H","UseDPDF=Y")</f>
        <v>63.084299999999999</v>
      </c>
      <c r="J13" s="21">
        <f>_xll.BDH("AKAM US Equity","GROSS_MARGIN","FQ1 2013","FQ1 2013","Currency=USD","Period=FQ","BEST_FPERIOD_OVERRIDE=FQ","FILING_STATUS=MR","FA_ADJUSTED=GAAP","Sort=A","Dates=H","DateFormat=P","Fill=—","Direction=H","UseDPDF=Y")</f>
        <v>67.288899999999998</v>
      </c>
      <c r="K13" s="21">
        <f>_xll.BDH("AKAM US Equity","GROSS_MARGIN","FQ2 2013","FQ2 2013","Currency=USD","Period=FQ","BEST_FPERIOD_OVERRIDE=FQ","FILING_STATUS=MR","FA_ADJUSTED=GAAP","Sort=A","Dates=H","DateFormat=P","Fill=—","Direction=H","UseDPDF=Y")</f>
        <v>67.018500000000003</v>
      </c>
      <c r="L13" s="21">
        <f>_xll.BDH("AKAM US Equity","GROSS_MARGIN","FQ3 2013","FQ3 2013","Currency=USD","Period=FQ","BEST_FPERIOD_OVERRIDE=FQ","FILING_STATUS=MR","FA_ADJUSTED=GAAP","Sort=A","Dates=H","DateFormat=P","Fill=—","Direction=H","UseDPDF=Y")</f>
        <v>66.639099999999999</v>
      </c>
      <c r="M13" s="21">
        <f>_xll.BDH("AKAM US Equity","GROSS_MARGIN","FQ4 2013","FQ4 2013","Currency=USD","Period=FQ","BEST_FPERIOD_OVERRIDE=FQ","FILING_STATUS=MR","FA_ADJUSTED=GAAP","Sort=A","Dates=H","DateFormat=P","Fill=—","Direction=H","UseDPDF=Y")</f>
        <v>69.275899999999993</v>
      </c>
      <c r="N13" s="21">
        <f>_xll.BDH("AKAM US Equity","GROSS_MARGIN","FQ1 2014","FQ1 2014","Currency=USD","Period=FQ","BEST_FPERIOD_OVERRIDE=FQ","FILING_STATUS=MR","FA_ADJUSTED=GAAP","Sort=A","Dates=H","DateFormat=P","Fill=—","Direction=H","UseDPDF=Y")</f>
        <v>69.214699999999993</v>
      </c>
      <c r="O13" s="21">
        <f>_xll.BDH("AKAM US Equity","GROSS_MARGIN","FQ2 2014","FQ2 2014","Currency=USD","Period=FQ","BEST_FPERIOD_OVERRIDE=FQ","FILING_STATUS=MR","FA_ADJUSTED=GAAP","Sort=A","Dates=H","DateFormat=P","Fill=—","Direction=H","UseDPDF=Y")</f>
        <v>68.632999999999996</v>
      </c>
      <c r="P13" s="21">
        <f>_xll.BDH("AKAM US Equity","GROSS_MARGIN","FQ3 2014","FQ3 2014","Currency=USD","Period=FQ","BEST_FPERIOD_OVERRIDE=FQ","FILING_STATUS=MR","FA_ADJUSTED=GAAP","Sort=A","Dates=H","DateFormat=P","Fill=—","Direction=H","UseDPDF=Y")</f>
        <v>68.112700000000004</v>
      </c>
      <c r="Q13" s="21">
        <f>_xll.BDH("AKAM US Equity","GROSS_MARGIN","FQ4 2014","FQ4 2014","Currency=USD","Period=FQ","BEST_FPERIOD_OVERRIDE=FQ","FILING_STATUS=MR","FA_ADJUSTED=GAAP","Sort=A","Dates=H","DateFormat=P","Fill=—","Direction=H","UseDPDF=Y")</f>
        <v>69.568799999999996</v>
      </c>
      <c r="R13" s="21">
        <f>_xll.BDH("AKAM US Equity","GROSS_MARGIN","FQ1 2015","FQ1 2015","Currency=USD","Period=FQ","BEST_FPERIOD_OVERRIDE=FQ","FILING_STATUS=MR","FA_ADJUSTED=GAAP","Sort=A","Dates=H","DateFormat=P","Fill=—","Direction=H","UseDPDF=Y")</f>
        <v>67.8476</v>
      </c>
      <c r="S13" s="21">
        <f>_xll.BDH("AKAM US Equity","GROSS_MARGIN","FQ2 2015","FQ2 2015","Currency=USD","Period=FQ","BEST_FPERIOD_OVERRIDE=FQ","FILING_STATUS=MR","FA_ADJUSTED=GAAP","Sort=A","Dates=H","DateFormat=P","Fill=—","Direction=H","UseDPDF=Y")</f>
        <v>66.727900000000005</v>
      </c>
      <c r="T13" s="21">
        <f>_xll.BDH("AKAM US Equity","GROSS_MARGIN","FQ3 2015","FQ3 2015","Currency=USD","Period=FQ","BEST_FPERIOD_OVERRIDE=FQ","FILING_STATUS=MR","FA_ADJUSTED=GAAP","Sort=A","Dates=H","DateFormat=P","Fill=—","Direction=H","UseDPDF=Y")</f>
        <v>66.752399999999994</v>
      </c>
      <c r="U13" s="21">
        <f>_xll.BDH("AKAM US Equity","GROSS_MARGIN","FQ4 2015","FQ4 2015","Currency=USD","Period=FQ","BEST_FPERIOD_OVERRIDE=FQ","FILING_STATUS=MR","FA_ADJUSTED=GAAP","Sort=A","Dates=H","DateFormat=P","Fill=—","Direction=H","UseDPDF=Y")</f>
        <v>66.639200000000002</v>
      </c>
      <c r="V13" s="21">
        <f>_xll.BDH("AKAM US Equity","GROSS_MARGIN","FQ1 2016","FQ1 2016","Currency=USD","Period=FQ","BEST_FPERIOD_OVERRIDE=FQ","FILING_STATUS=MR","FA_ADJUSTED=GAAP","Sort=A","Dates=H","DateFormat=P","Fill=—","Direction=H","UseDPDF=Y")</f>
        <v>65.698899999999995</v>
      </c>
      <c r="W13" s="21">
        <f>_xll.BDH("AKAM US Equity","GROSS_MARGIN","FQ2 2016","FQ2 2016","Currency=USD","Period=FQ","BEST_FPERIOD_OVERRIDE=FQ","FILING_STATUS=MR","FA_ADJUSTED=GAAP","Sort=A","Dates=H","DateFormat=P","Fill=—","Direction=H","UseDPDF=Y")</f>
        <v>63.938099999999999</v>
      </c>
      <c r="X13" s="21">
        <f>_xll.BDH("AKAM US Equity","GROSS_MARGIN","FQ3 2016","FQ3 2016","Currency=USD","Period=FQ","BEST_FPERIOD_OVERRIDE=FQ","FILING_STATUS=MR","FA_ADJUSTED=GAAP","Sort=A","Dates=H","DateFormat=P","Fill=—","Direction=H","UseDPDF=Y")</f>
        <v>64.992400000000004</v>
      </c>
      <c r="Y13" s="21">
        <f>_xll.BDH("AKAM US Equity","GROSS_MARGIN","FQ4 2016","FQ4 2016","Currency=USD","Period=FQ","BEST_FPERIOD_OVERRIDE=FQ","FILING_STATUS=MR","FA_ADJUSTED=GAAP","Sort=A","Dates=H","DateFormat=P","Fill=—","Direction=H","UseDPDF=Y")</f>
        <v>66.974999999999994</v>
      </c>
      <c r="Z13" s="21">
        <f>_xll.BDH("AKAM US Equity","GROSS_MARGIN","FQ1 2017","FQ1 2017","Currency=USD","Period=FQ","BEST_FPERIOD_OVERRIDE=FQ","FILING_STATUS=MR","FA_ADJUSTED=GAAP","Sort=A","Dates=H","DateFormat=P","Fill=—","Direction=H","UseDPDF=Y")</f>
        <v>65.728899999999996</v>
      </c>
      <c r="AA13" s="21">
        <f>_xll.BDH("AKAM US Equity","GROSS_MARGIN","FQ2 2017","FQ2 2017","Currency=USD","Period=FQ","BEST_FPERIOD_OVERRIDE=FQ","FILING_STATUS=MR","FA_ADJUSTED=GAAP","Sort=A","Dates=H","DateFormat=P","Fill=—","Direction=H","UseDPDF=Y")</f>
        <v>64.564400000000006</v>
      </c>
      <c r="AB13" s="21">
        <f>_xll.BDH("AKAM US Equity","GROSS_MARGIN","FQ3 2017","FQ3 2017","Currency=USD","Period=FQ","BEST_FPERIOD_OVERRIDE=FQ","FILING_STATUS=MR","FA_ADJUSTED=GAAP","Sort=A","Dates=H","DateFormat=P","Fill=—","Direction=H","UseDPDF=Y")</f>
        <v>63.889200000000002</v>
      </c>
      <c r="AC13" s="21">
        <f>_xll.BDH("AKAM US Equity","GROSS_MARGIN","FQ4 2017","FQ4 2017","Currency=USD","Period=FQ","BEST_FPERIOD_OVERRIDE=FQ","FILING_STATUS=MR","FA_ADJUSTED=GAAP","Sort=A","Dates=H","DateFormat=P","Fill=—","Direction=H","UseDPDF=Y")</f>
        <v>65.079700000000003</v>
      </c>
      <c r="AD13" s="21">
        <f>_xll.BDH("AKAM US Equity","GROSS_MARGIN","FQ1 2018","FQ1 2018","Currency=USD","Period=FQ","BEST_FPERIOD_OVERRIDE=FQ","FILING_STATUS=MR","FA_ADJUSTED=GAAP","Sort=A","Dates=H","DateFormat=P","Fill=—","Direction=H","UseDPDF=Y")</f>
        <v>64.884600000000006</v>
      </c>
      <c r="AE13" s="21">
        <f>_xll.BDH("AKAM US Equity","GROSS_MARGIN","FQ2 2018","FQ2 2018","Currency=USD","Period=FQ","BEST_FPERIOD_OVERRIDE=FQ","FILING_STATUS=MR","FA_ADJUSTED=GAAP","Sort=A","Dates=H","DateFormat=P","Fill=—","Direction=H","UseDPDF=Y")</f>
        <v>64.468699999999998</v>
      </c>
      <c r="AF13" s="21">
        <f>_xll.BDH("AKAM US Equity","GROSS_MARGIN","FQ3 2018","FQ3 2018","Currency=USD","Period=FQ","BEST_FPERIOD_OVERRIDE=FQ","FILING_STATUS=MR","FA_ADJUSTED=GAAP","Sort=A","Dates=H","DateFormat=P","Fill=—","Direction=H","UseDPDF=Y")</f>
        <v>64.271799999999999</v>
      </c>
      <c r="AG13" s="21">
        <f>_xll.BDH("AKAM US Equity","GROSS_MARGIN","FQ4 2018","FQ4 2018","Currency=USD","Period=FQ","BEST_FPERIOD_OVERRIDE=FQ","FILING_STATUS=MR","FA_ADJUSTED=GAAP","Sort=A","Dates=H","DateFormat=P","Fill=—","Direction=H","UseDPDF=Y")</f>
        <v>65.805999999999997</v>
      </c>
      <c r="AH13" s="21">
        <f>_xll.BDH("AKAM US Equity","GROSS_MARGIN","FQ1 2019","FQ1 2019","Currency=USD","Period=FQ","BEST_FPERIOD_OVERRIDE=FQ","FILING_STATUS=MR","FA_ADJUSTED=GAAP","Sort=A","Dates=H","DateFormat=P","Fill=—","Direction=H","UseDPDF=Y")</f>
        <v>65.924899999999994</v>
      </c>
      <c r="AI13" s="21">
        <f>_xll.BDH("AKAM US Equity","GROSS_MARGIN","FQ2 2019","FQ2 2019","Currency=USD","Period=FQ","BEST_FPERIOD_OVERRIDE=FQ","FILING_STATUS=MR","FA_ADJUSTED=GAAP","Sort=A","Dates=H","DateFormat=P","Fill=—","Direction=H","UseDPDF=Y")</f>
        <v>65.650000000000006</v>
      </c>
      <c r="AJ13" s="21">
        <f>_xll.BDH("AKAM US Equity","GROSS_MARGIN","FQ3 2019","FQ3 2019","Currency=USD","Period=FQ","BEST_FPERIOD_OVERRIDE=FQ","FILING_STATUS=MR","FA_ADJUSTED=GAAP","Sort=A","Dates=H","DateFormat=P","Fill=—","Direction=H","UseDPDF=Y")</f>
        <v>65.215699999999998</v>
      </c>
      <c r="AK13" s="21">
        <f>_xll.BDH("AKAM US Equity","GROSS_MARGIN","FQ4 2019","FQ4 2019","Currency=USD","Period=FQ","BEST_FPERIOD_OVERRIDE=FQ","FILING_STATUS=MR","FA_ADJUSTED=GAAP","Sort=A","Dates=H","DateFormat=P","Fill=—","Direction=H","UseDPDF=Y")</f>
        <v>66.617999999999995</v>
      </c>
      <c r="AL13" s="21">
        <f>_xll.BDH("AKAM US Equity","GROSS_MARGIN","FQ1 2020","FQ1 2020","Currency=USD","Period=FQ","BEST_FPERIOD_OVERRIDE=FQ","FILING_STATUS=MR","FA_ADJUSTED=GAAP","Sort=A","Dates=H","DateFormat=P","Fill=—","Direction=H","UseDPDF=Y")</f>
        <v>64.859200000000001</v>
      </c>
      <c r="AM13" s="21">
        <f>_xll.BDH("AKAM US Equity","GROSS_MARGIN","FQ2 2020","FQ2 2020","Currency=USD","Period=FQ","BEST_FPERIOD_OVERRIDE=FQ","FILING_STATUS=MR","FA_ADJUSTED=GAAP","Sort=A","Dates=H","DateFormat=P","Fill=—","Direction=H","UseDPDF=Y")</f>
        <v>65.169399999999996</v>
      </c>
      <c r="AN13" s="21">
        <f>_xll.BDH("AKAM US Equity","GROSS_MARGIN","FQ3 2020","FQ3 2020","Currency=USD","Period=FQ","BEST_FPERIOD_OVERRIDE=FQ","FILING_STATUS=MR","FA_ADJUSTED=GAAP","Sort=A","Dates=H","DateFormat=P","Fill=—","Direction=H","UseDPDF=Y")</f>
        <v>64.250399999999999</v>
      </c>
      <c r="AO13" s="21">
        <f>_xll.BDH("AKAM US Equity","GROSS_MARGIN","FQ4 2020","FQ4 2020","Currency=USD","Period=FQ","BEST_FPERIOD_OVERRIDE=FQ","FILING_STATUS=MR","FA_ADJUSTED=GAAP","Sort=A","Dates=H","DateFormat=P","Fill=—","Direction=H","UseDPDF=Y")</f>
        <v>64.096500000000006</v>
      </c>
      <c r="AP13" s="21">
        <f>_xll.BDH("AKAM US Equity","GROSS_MARGIN","FQ1 2021","FQ1 2021","Currency=USD","Period=FQ","BEST_FPERIOD_OVERRIDE=FQ","FILING_STATUS=MR","FA_ADJUSTED=GAAP","Sort=A","Dates=H","DateFormat=P","Fill=—","Direction=H","UseDPDF=Y")</f>
        <v>63.606999999999999</v>
      </c>
    </row>
    <row r="14" spans="1:42" x14ac:dyDescent="0.25">
      <c r="A14" s="18" t="s">
        <v>96</v>
      </c>
      <c r="B14" s="18" t="s">
        <v>97</v>
      </c>
      <c r="C14" s="21">
        <f>_xll.BDH("AKAM US Equity","EBITDA_TO_REVENUE","FQ2 2011","FQ2 2011","Currency=USD","Period=FQ","BEST_FPERIOD_OVERRIDE=FQ","FILING_STATUS=MR","FA_ADJUSTED=GAAP","Sort=A","Dates=H","DateFormat=P","Fill=—","Direction=H","UseDPDF=Y")</f>
        <v>41.360799999999998</v>
      </c>
      <c r="D14" s="21">
        <f>_xll.BDH("AKAM US Equity","EBITDA_TO_REVENUE","FQ3 2011","FQ3 2011","Currency=USD","Period=FQ","BEST_FPERIOD_OVERRIDE=FQ","FILING_STATUS=MR","FA_ADJUSTED=GAAP","Sort=A","Dates=H","DateFormat=P","Fill=—","Direction=H","UseDPDF=Y")</f>
        <v>37.996000000000002</v>
      </c>
      <c r="E14" s="21">
        <f>_xll.BDH("AKAM US Equity","EBITDA_TO_REVENUE","FQ4 2011","FQ4 2011","Currency=USD","Period=FQ","BEST_FPERIOD_OVERRIDE=FQ","FILING_STATUS=MR","FA_ADJUSTED=GAAP","Sort=A","Dates=H","DateFormat=P","Fill=—","Direction=H","UseDPDF=Y")</f>
        <v>37.989100000000001</v>
      </c>
      <c r="F14" s="21">
        <f>_xll.BDH("AKAM US Equity","EBITDA_TO_REVENUE","FQ1 2012","FQ1 2012","Currency=USD","Period=FQ","BEST_FPERIOD_OVERRIDE=FQ","FILING_STATUS=MR","FA_ADJUSTED=GAAP","Sort=A","Dates=H","DateFormat=P","Fill=—","Direction=H","UseDPDF=Y")</f>
        <v>36.692399999999999</v>
      </c>
      <c r="G14" s="21">
        <f>_xll.BDH("AKAM US Equity","EBITDA_TO_REVENUE","FQ2 2012","FQ2 2012","Currency=USD","Period=FQ","BEST_FPERIOD_OVERRIDE=FQ","FILING_STATUS=MR","FA_ADJUSTED=GAAP","Sort=A","Dates=H","DateFormat=P","Fill=—","Direction=H","UseDPDF=Y")</f>
        <v>35.351900000000001</v>
      </c>
      <c r="H14" s="21">
        <f>_xll.BDH("AKAM US Equity","EBITDA_TO_REVENUE","FQ3 2012","FQ3 2012","Currency=USD","Period=FQ","BEST_FPERIOD_OVERRIDE=FQ","FILING_STATUS=MR","FA_ADJUSTED=GAAP","Sort=A","Dates=H","DateFormat=P","Fill=—","Direction=H","UseDPDF=Y")</f>
        <v>38.693300000000001</v>
      </c>
      <c r="I14" s="21">
        <f>_xll.BDH("AKAM US Equity","EBITDA_TO_REVENUE","FQ4 2012","FQ4 2012","Currency=USD","Period=FQ","BEST_FPERIOD_OVERRIDE=FQ","FILING_STATUS=MR","FA_ADJUSTED=GAAP","Sort=A","Dates=H","DateFormat=P","Fill=—","Direction=H","UseDPDF=Y")</f>
        <v>39.880699999999997</v>
      </c>
      <c r="J14" s="21">
        <f>_xll.BDH("AKAM US Equity","EBITDA_TO_REVENUE","FQ1 2013","FQ1 2013","Currency=USD","Period=FQ","BEST_FPERIOD_OVERRIDE=FQ","FILING_STATUS=MR","FA_ADJUSTED=GAAP","Sort=A","Dates=H","DateFormat=P","Fill=—","Direction=H","UseDPDF=Y")</f>
        <v>39.006799999999998</v>
      </c>
      <c r="K14" s="21">
        <f>_xll.BDH("AKAM US Equity","EBITDA_TO_REVENUE","FQ2 2013","FQ2 2013","Currency=USD","Period=FQ","BEST_FPERIOD_OVERRIDE=FQ","FILING_STATUS=MR","FA_ADJUSTED=GAAP","Sort=A","Dates=H","DateFormat=P","Fill=—","Direction=H","UseDPDF=Y")</f>
        <v>37.457500000000003</v>
      </c>
      <c r="L14" s="21">
        <f>_xll.BDH("AKAM US Equity","EBITDA_TO_REVENUE","FQ3 2013","FQ3 2013","Currency=USD","Period=FQ","BEST_FPERIOD_OVERRIDE=FQ","FILING_STATUS=MR","FA_ADJUSTED=GAAP","Sort=A","Dates=H","DateFormat=P","Fill=—","Direction=H","UseDPDF=Y")</f>
        <v>37.260899999999999</v>
      </c>
      <c r="M14" s="21">
        <f>_xll.BDH("AKAM US Equity","EBITDA_TO_REVENUE","FQ4 2013","FQ4 2013","Currency=USD","Period=FQ","BEST_FPERIOD_OVERRIDE=FQ","FILING_STATUS=MR","FA_ADJUSTED=GAAP","Sort=A","Dates=H","DateFormat=P","Fill=—","Direction=H","UseDPDF=Y")</f>
        <v>38.0137</v>
      </c>
      <c r="N14" s="21">
        <f>_xll.BDH("AKAM US Equity","EBITDA_TO_REVENUE","FQ1 2014","FQ1 2014","Currency=USD","Period=FQ","BEST_FPERIOD_OVERRIDE=FQ","FILING_STATUS=MR","FA_ADJUSTED=GAAP","Sort=A","Dates=H","DateFormat=P","Fill=—","Direction=H","UseDPDF=Y")</f>
        <v>38.448099999999997</v>
      </c>
      <c r="O14" s="21">
        <f>_xll.BDH("AKAM US Equity","EBITDA_TO_REVENUE","FQ2 2014","FQ2 2014","Currency=USD","Period=FQ","BEST_FPERIOD_OVERRIDE=FQ","FILING_STATUS=MR","FA_ADJUSTED=GAAP","Sort=A","Dates=H","DateFormat=P","Fill=—","Direction=H","UseDPDF=Y")</f>
        <v>35.935000000000002</v>
      </c>
      <c r="P14" s="21">
        <f>_xll.BDH("AKAM US Equity","EBITDA_TO_REVENUE","FQ3 2014","FQ3 2014","Currency=USD","Period=FQ","BEST_FPERIOD_OVERRIDE=FQ","FILING_STATUS=MR","FA_ADJUSTED=GAAP","Sort=A","Dates=H","DateFormat=P","Fill=—","Direction=H","UseDPDF=Y")</f>
        <v>37.6783</v>
      </c>
      <c r="Q14" s="21">
        <f>_xll.BDH("AKAM US Equity","EBITDA_TO_REVENUE","FQ4 2014","FQ4 2014","Currency=USD","Period=FQ","BEST_FPERIOD_OVERRIDE=FQ","FILING_STATUS=MR","FA_ADJUSTED=GAAP","Sort=A","Dates=H","DateFormat=P","Fill=—","Direction=H","UseDPDF=Y")</f>
        <v>38.009900000000002</v>
      </c>
      <c r="R14" s="21">
        <f>_xll.BDH("AKAM US Equity","EBITDA_TO_REVENUE","FQ1 2015","FQ1 2015","Currency=USD","Period=FQ","BEST_FPERIOD_OVERRIDE=FQ","FILING_STATUS=MR","FA_ADJUSTED=GAAP","Sort=A","Dates=H","DateFormat=P","Fill=—","Direction=H","UseDPDF=Y")</f>
        <v>36.461100000000002</v>
      </c>
      <c r="S14" s="21">
        <f>_xll.BDH("AKAM US Equity","EBITDA_TO_REVENUE","FQ2 2015","FQ2 2015","Currency=USD","Period=FQ","BEST_FPERIOD_OVERRIDE=FQ","FILING_STATUS=MR","FA_ADJUSTED=GAAP","Sort=A","Dates=H","DateFormat=P","Fill=—","Direction=H","UseDPDF=Y")</f>
        <v>33.334800000000001</v>
      </c>
      <c r="T14" s="21">
        <f>_xll.BDH("AKAM US Equity","EBITDA_TO_REVENUE","FQ3 2015","FQ3 2015","Currency=USD","Period=FQ","BEST_FPERIOD_OVERRIDE=FQ","FILING_STATUS=MR","FA_ADJUSTED=GAAP","Sort=A","Dates=H","DateFormat=P","Fill=—","Direction=H","UseDPDF=Y")</f>
        <v>34.566899999999997</v>
      </c>
      <c r="U14" s="21">
        <f>_xll.BDH("AKAM US Equity","EBITDA_TO_REVENUE","FQ4 2015","FQ4 2015","Currency=USD","Period=FQ","BEST_FPERIOD_OVERRIDE=FQ","FILING_STATUS=MR","FA_ADJUSTED=GAAP","Sort=A","Dates=H","DateFormat=P","Fill=—","Direction=H","UseDPDF=Y")</f>
        <v>35.052399999999999</v>
      </c>
      <c r="V14" s="21">
        <f>_xll.BDH("AKAM US Equity","EBITDA_TO_REVENUE","FQ1 2016","FQ1 2016","Currency=USD","Period=FQ","BEST_FPERIOD_OVERRIDE=FQ","FILING_STATUS=MR","FA_ADJUSTED=GAAP","Sort=A","Dates=H","DateFormat=P","Fill=—","Direction=H","UseDPDF=Y")</f>
        <v>34.310299999999998</v>
      </c>
      <c r="W14" s="21">
        <f>_xll.BDH("AKAM US Equity","EBITDA_TO_REVENUE","FQ2 2016","FQ2 2016","Currency=USD","Period=FQ","BEST_FPERIOD_OVERRIDE=FQ","FILING_STATUS=MR","FA_ADJUSTED=GAAP","Sort=A","Dates=H","DateFormat=P","Fill=—","Direction=H","UseDPDF=Y")</f>
        <v>34.134300000000003</v>
      </c>
      <c r="X14" s="21">
        <f>_xll.BDH("AKAM US Equity","EBITDA_TO_REVENUE","FQ3 2016","FQ3 2016","Currency=USD","Period=FQ","BEST_FPERIOD_OVERRIDE=FQ","FILING_STATUS=MR","FA_ADJUSTED=GAAP","Sort=A","Dates=H","DateFormat=P","Fill=—","Direction=H","UseDPDF=Y")</f>
        <v>33.605199999999996</v>
      </c>
      <c r="Y14" s="21">
        <f>_xll.BDH("AKAM US Equity","EBITDA_TO_REVENUE","FQ4 2016","FQ4 2016","Currency=USD","Period=FQ","BEST_FPERIOD_OVERRIDE=FQ","FILING_STATUS=MR","FA_ADJUSTED=GAAP","Sort=A","Dates=H","DateFormat=P","Fill=—","Direction=H","UseDPDF=Y")</f>
        <v>33.6845</v>
      </c>
      <c r="Z14" s="21">
        <f>_xll.BDH("AKAM US Equity","EBITDA_TO_REVENUE","FQ1 2017","FQ1 2017","Currency=USD","Period=FQ","BEST_FPERIOD_OVERRIDE=FQ","FILING_STATUS=MR","FA_ADJUSTED=GAAP","Sort=A","Dates=H","DateFormat=P","Fill=—","Direction=H","UseDPDF=Y")</f>
        <v>31.962199999999999</v>
      </c>
      <c r="AA14" s="21">
        <f>_xll.BDH("AKAM US Equity","EBITDA_TO_REVENUE","FQ2 2017","FQ2 2017","Currency=USD","Period=FQ","BEST_FPERIOD_OVERRIDE=FQ","FILING_STATUS=MR","FA_ADJUSTED=GAAP","Sort=A","Dates=H","DateFormat=P","Fill=—","Direction=H","UseDPDF=Y")</f>
        <v>28.852699999999999</v>
      </c>
      <c r="AB14" s="21">
        <f>_xll.BDH("AKAM US Equity","EBITDA_TO_REVENUE","FQ3 2017","FQ3 2017","Currency=USD","Period=FQ","BEST_FPERIOD_OVERRIDE=FQ","FILING_STATUS=MR","FA_ADJUSTED=GAAP","Sort=A","Dates=H","DateFormat=P","Fill=—","Direction=H","UseDPDF=Y")</f>
        <v>30.175999999999998</v>
      </c>
      <c r="AC14" s="21">
        <f>_xll.BDH("AKAM US Equity","EBITDA_TO_REVENUE","FQ4 2017","FQ4 2017","Currency=USD","Period=FQ","BEST_FPERIOD_OVERRIDE=FQ","FILING_STATUS=MR","FA_ADJUSTED=GAAP","Sort=A","Dates=H","DateFormat=P","Fill=—","Direction=H","UseDPDF=Y")</f>
        <v>19.971299999999999</v>
      </c>
      <c r="AD14" s="21">
        <f>_xll.BDH("AKAM US Equity","EBITDA_TO_REVENUE","FQ1 2018","FQ1 2018","Currency=USD","Period=FQ","BEST_FPERIOD_OVERRIDE=FQ","FILING_STATUS=MR","FA_ADJUSTED=GAAP","Sort=A","Dates=H","DateFormat=P","Fill=—","Direction=H","UseDPDF=Y")</f>
        <v>25.818100000000001</v>
      </c>
      <c r="AE14" s="21">
        <f>_xll.BDH("AKAM US Equity","EBITDA_TO_REVENUE","FQ2 2018","FQ2 2018","Currency=USD","Period=FQ","BEST_FPERIOD_OVERRIDE=FQ","FILING_STATUS=MR","FA_ADJUSTED=GAAP","Sort=A","Dates=H","DateFormat=P","Fill=—","Direction=H","UseDPDF=Y")</f>
        <v>24.6568</v>
      </c>
      <c r="AF14" s="21">
        <f>_xll.BDH("AKAM US Equity","EBITDA_TO_REVENUE","FQ3 2018","FQ3 2018","Currency=USD","Period=FQ","BEST_FPERIOD_OVERRIDE=FQ","FILING_STATUS=MR","FA_ADJUSTED=GAAP","Sort=A","Dates=H","DateFormat=P","Fill=—","Direction=H","UseDPDF=Y")</f>
        <v>33.506700000000002</v>
      </c>
      <c r="AG14" s="21">
        <f>_xll.BDH("AKAM US Equity","EBITDA_TO_REVENUE","FQ4 2018","FQ4 2018","Currency=USD","Period=FQ","BEST_FPERIOD_OVERRIDE=FQ","FILING_STATUS=MR","FA_ADJUSTED=GAAP","Sort=A","Dates=H","DateFormat=P","Fill=—","Direction=H","UseDPDF=Y")</f>
        <v>33.164299999999997</v>
      </c>
      <c r="AH14" s="21">
        <f>_xll.BDH("AKAM US Equity","EBITDA_TO_REVENUE","FQ1 2019","FQ1 2019","Currency=USD","Period=FQ","BEST_FPERIOD_OVERRIDE=FQ","FILING_STATUS=MR","FA_ADJUSTED=GAAP","Sort=A","Dates=H","DateFormat=P","Fill=—","Direction=H","UseDPDF=Y")</f>
        <v>39.563000000000002</v>
      </c>
      <c r="AI14" s="21">
        <f>_xll.BDH("AKAM US Equity","EBITDA_TO_REVENUE","FQ2 2019","FQ2 2019","Currency=USD","Period=FQ","BEST_FPERIOD_OVERRIDE=FQ","FILING_STATUS=MR","FA_ADJUSTED=GAAP","Sort=A","Dates=H","DateFormat=P","Fill=—","Direction=H","UseDPDF=Y")</f>
        <v>39.575699999999998</v>
      </c>
      <c r="AJ14" s="21">
        <f>_xll.BDH("AKAM US Equity","EBITDA_TO_REVENUE","FQ3 2019","FQ3 2019","Currency=USD","Period=FQ","BEST_FPERIOD_OVERRIDE=FQ","FILING_STATUS=MR","FA_ADJUSTED=GAAP","Sort=A","Dates=H","DateFormat=P","Fill=—","Direction=H","UseDPDF=Y")</f>
        <v>40.950600000000001</v>
      </c>
      <c r="AK14" s="21">
        <f>_xll.BDH("AKAM US Equity","EBITDA_TO_REVENUE","FQ4 2019","FQ4 2019","Currency=USD","Period=FQ","BEST_FPERIOD_OVERRIDE=FQ","FILING_STATUS=MR","FA_ADJUSTED=GAAP","Sort=A","Dates=H","DateFormat=P","Fill=—","Direction=H","UseDPDF=Y")</f>
        <v>38.221800000000002</v>
      </c>
      <c r="AL14" s="21">
        <f>_xll.BDH("AKAM US Equity","EBITDA_TO_REVENUE","FQ1 2020","FQ1 2020","Currency=USD","Period=FQ","BEST_FPERIOD_OVERRIDE=FQ","FILING_STATUS=MR","FA_ADJUSTED=GAAP","Sort=A","Dates=H","DateFormat=P","Fill=—","Direction=H","UseDPDF=Y")</f>
        <v>35.135100000000001</v>
      </c>
      <c r="AM14" s="21">
        <f>_xll.BDH("AKAM US Equity","EBITDA_TO_REVENUE","FQ2 2020","FQ2 2020","Currency=USD","Period=FQ","BEST_FPERIOD_OVERRIDE=FQ","FILING_STATUS=MR","FA_ADJUSTED=GAAP","Sort=A","Dates=H","DateFormat=P","Fill=—","Direction=H","UseDPDF=Y")</f>
        <v>38.505499999999998</v>
      </c>
      <c r="AN14" s="21">
        <f>_xll.BDH("AKAM US Equity","EBITDA_TO_REVENUE","FQ3 2020","FQ3 2020","Currency=USD","Period=FQ","BEST_FPERIOD_OVERRIDE=FQ","FILING_STATUS=MR","FA_ADJUSTED=GAAP","Sort=A","Dates=H","DateFormat=P","Fill=—","Direction=H","UseDPDF=Y")</f>
        <v>37.844799999999999</v>
      </c>
      <c r="AO14" s="21">
        <f>_xll.BDH("AKAM US Equity","EBITDA_TO_REVENUE","FQ4 2020","FQ4 2020","Currency=USD","Period=FQ","BEST_FPERIOD_OVERRIDE=FQ","FILING_STATUS=MR","FA_ADJUSTED=GAAP","Sort=A","Dates=H","DateFormat=P","Fill=—","Direction=H","UseDPDF=Y")</f>
        <v>30.997199999999999</v>
      </c>
      <c r="AP14" s="21">
        <f>_xll.BDH("AKAM US Equity","EBITDA_TO_REVENUE","FQ1 2021","FQ1 2021","Currency=USD","Period=FQ","BEST_FPERIOD_OVERRIDE=FQ","FILING_STATUS=MR","FA_ADJUSTED=GAAP","Sort=A","Dates=H","DateFormat=P","Fill=—","Direction=H","UseDPDF=Y")</f>
        <v>37.241300000000003</v>
      </c>
    </row>
    <row r="15" spans="1:42" x14ac:dyDescent="0.25">
      <c r="A15" s="19" t="s">
        <v>98</v>
      </c>
      <c r="B15" s="19" t="s">
        <v>97</v>
      </c>
      <c r="C15" s="23">
        <v>10.653134122894301</v>
      </c>
      <c r="D15" s="23">
        <v>0.79012394671185404</v>
      </c>
      <c r="E15" s="23">
        <v>-3.0257924390288302</v>
      </c>
      <c r="F15" s="23">
        <v>-11.088969726200199</v>
      </c>
      <c r="G15" s="23">
        <v>-14.528082209533</v>
      </c>
      <c r="H15" s="23">
        <v>1.83513011028162</v>
      </c>
      <c r="I15" s="23">
        <v>4.9792484044184402</v>
      </c>
      <c r="J15" s="23">
        <v>6.3077223411949097</v>
      </c>
      <c r="K15" s="23">
        <v>5.9560431105419802</v>
      </c>
      <c r="L15" s="23">
        <v>-3.7018139121543401</v>
      </c>
      <c r="M15" s="23">
        <v>-4.6815376861489399</v>
      </c>
      <c r="N15" s="23">
        <v>-1.4322807077092601</v>
      </c>
      <c r="O15" s="23">
        <v>-4.0646669150371304</v>
      </c>
      <c r="P15" s="23">
        <v>1.1202809506506699</v>
      </c>
      <c r="Q15" s="23">
        <v>-1.00121877208839E-2</v>
      </c>
      <c r="R15" s="23">
        <v>-5.1679689322667004</v>
      </c>
      <c r="S15" s="23">
        <v>-7.2357108034311999</v>
      </c>
      <c r="T15" s="23">
        <v>-8.2579151294000503</v>
      </c>
      <c r="U15" s="23">
        <v>-7.7808381529594604</v>
      </c>
      <c r="V15" s="23">
        <v>-5.8990538829907404</v>
      </c>
      <c r="W15" s="23">
        <v>2.3982105434339802</v>
      </c>
      <c r="X15" s="23">
        <v>-2.7822510677988901</v>
      </c>
      <c r="Y15" s="23">
        <v>-3.90251697046061</v>
      </c>
      <c r="Z15" s="23">
        <v>-6.84357131171764</v>
      </c>
      <c r="AA15" s="23">
        <v>-15.472827703973101</v>
      </c>
      <c r="AB15" s="23">
        <v>-10.2042828893797</v>
      </c>
      <c r="AC15" s="23">
        <v>-40.7106388220108</v>
      </c>
      <c r="AD15" s="23">
        <v>-19.223004656277801</v>
      </c>
      <c r="AE15" s="23">
        <v>-14.5426229861603</v>
      </c>
      <c r="AF15" s="23">
        <v>11.0374642787291</v>
      </c>
      <c r="AG15" s="23">
        <v>66.059930909845207</v>
      </c>
      <c r="AH15" s="23">
        <v>53.237440751410098</v>
      </c>
      <c r="AI15" s="23">
        <v>60.506401972423298</v>
      </c>
      <c r="AJ15" s="23">
        <v>22.2161962234198</v>
      </c>
      <c r="AK15" s="23">
        <v>15.249634833481601</v>
      </c>
      <c r="AL15" s="23">
        <v>-11.192190164182101</v>
      </c>
      <c r="AM15" s="23">
        <v>-2.7041894188414202</v>
      </c>
      <c r="AN15" s="23">
        <v>-7.5840680015948001</v>
      </c>
      <c r="AO15" s="23">
        <v>-18.901777416843199</v>
      </c>
      <c r="AP15" s="23">
        <v>5.9945443674159797</v>
      </c>
    </row>
    <row r="16" spans="1:42" x14ac:dyDescent="0.25">
      <c r="A16" s="18" t="s">
        <v>99</v>
      </c>
      <c r="B16" s="18" t="s">
        <v>100</v>
      </c>
      <c r="C16" s="21">
        <f>_xll.BDH("AKAM US Equity","OPER_MARGIN","FQ2 2011","FQ2 2011","Currency=USD","Period=FQ","BEST_FPERIOD_OVERRIDE=FQ","FILING_STATUS=MR","FA_ADJUSTED=GAAP","Sort=A","Dates=H","DateFormat=P","Fill=—","Direction=H","UseDPDF=Y")</f>
        <v>26.438600000000001</v>
      </c>
      <c r="D16" s="21">
        <f>_xll.BDH("AKAM US Equity","OPER_MARGIN","FQ3 2011","FQ3 2011","Currency=USD","Period=FQ","BEST_FPERIOD_OVERRIDE=FQ","FILING_STATUS=MR","FA_ADJUSTED=GAAP","Sort=A","Dates=H","DateFormat=P","Fill=—","Direction=H","UseDPDF=Y")</f>
        <v>23.179600000000001</v>
      </c>
      <c r="E16" s="21">
        <f>_xll.BDH("AKAM US Equity","OPER_MARGIN","FQ4 2011","FQ4 2011","Currency=USD","Period=FQ","BEST_FPERIOD_OVERRIDE=FQ","FILING_STATUS=MR","FA_ADJUSTED=GAAP","Sort=A","Dates=H","DateFormat=P","Fill=—","Direction=H","UseDPDF=Y")</f>
        <v>24.5061</v>
      </c>
      <c r="F16" s="21">
        <f>_xll.BDH("AKAM US Equity","OPER_MARGIN","FQ1 2012","FQ1 2012","Currency=USD","Period=FQ","BEST_FPERIOD_OVERRIDE=FQ","FILING_STATUS=MR","FA_ADJUSTED=GAAP","Sort=A","Dates=H","DateFormat=P","Fill=—","Direction=H","UseDPDF=Y")</f>
        <v>22.4071</v>
      </c>
      <c r="G16" s="21">
        <f>_xll.BDH("AKAM US Equity","OPER_MARGIN","FQ2 2012","FQ2 2012","Currency=USD","Period=FQ","BEST_FPERIOD_OVERRIDE=FQ","FILING_STATUS=MR","FA_ADJUSTED=GAAP","Sort=A","Dates=H","DateFormat=P","Fill=—","Direction=H","UseDPDF=Y")</f>
        <v>20.226299999999998</v>
      </c>
      <c r="H16" s="21">
        <f>_xll.BDH("AKAM US Equity","OPER_MARGIN","FQ3 2012","FQ3 2012","Currency=USD","Period=FQ","BEST_FPERIOD_OVERRIDE=FQ","FILING_STATUS=MR","FA_ADJUSTED=GAAP","Sort=A","Dates=H","DateFormat=P","Fill=—","Direction=H","UseDPDF=Y")</f>
        <v>23.212900000000001</v>
      </c>
      <c r="I16" s="21">
        <f>_xll.BDH("AKAM US Equity","OPER_MARGIN","FQ4 2012","FQ4 2012","Currency=USD","Period=FQ","BEST_FPERIOD_OVERRIDE=FQ","FILING_STATUS=MR","FA_ADJUSTED=GAAP","Sort=A","Dates=H","DateFormat=P","Fill=—","Direction=H","UseDPDF=Y")</f>
        <v>25.336099999999998</v>
      </c>
      <c r="J16" s="21">
        <f>_xll.BDH("AKAM US Equity","OPER_MARGIN","FQ1 2013","FQ1 2013","Currency=USD","Period=FQ","BEST_FPERIOD_OVERRIDE=FQ","FILING_STATUS=MR","FA_ADJUSTED=GAAP","Sort=A","Dates=H","DateFormat=P","Fill=—","Direction=H","UseDPDF=Y")</f>
        <v>27.493300000000001</v>
      </c>
      <c r="K16" s="21">
        <f>_xll.BDH("AKAM US Equity","OPER_MARGIN","FQ2 2013","FQ2 2013","Currency=USD","Period=FQ","BEST_FPERIOD_OVERRIDE=FQ","FILING_STATUS=MR","FA_ADJUSTED=GAAP","Sort=A","Dates=H","DateFormat=P","Fill=—","Direction=H","UseDPDF=Y")</f>
        <v>25.787199999999999</v>
      </c>
      <c r="L16" s="21">
        <f>_xll.BDH("AKAM US Equity","OPER_MARGIN","FQ3 2013","FQ3 2013","Currency=USD","Period=FQ","BEST_FPERIOD_OVERRIDE=FQ","FILING_STATUS=MR","FA_ADJUSTED=GAAP","Sort=A","Dates=H","DateFormat=P","Fill=—","Direction=H","UseDPDF=Y")</f>
        <v>25.1449</v>
      </c>
      <c r="M16" s="21">
        <f>_xll.BDH("AKAM US Equity","OPER_MARGIN","FQ4 2013","FQ4 2013","Currency=USD","Period=FQ","BEST_FPERIOD_OVERRIDE=FQ","FILING_STATUS=MR","FA_ADJUSTED=GAAP","Sort=A","Dates=H","DateFormat=P","Fill=—","Direction=H","UseDPDF=Y")</f>
        <v>26.550799999999999</v>
      </c>
      <c r="N16" s="21">
        <f>_xll.BDH("AKAM US Equity","OPER_MARGIN","FQ1 2014","FQ1 2014","Currency=USD","Period=FQ","BEST_FPERIOD_OVERRIDE=FQ","FILING_STATUS=MR","FA_ADJUSTED=GAAP","Sort=A","Dates=H","DateFormat=P","Fill=—","Direction=H","UseDPDF=Y")</f>
        <v>26.647500000000001</v>
      </c>
      <c r="O16" s="21">
        <f>_xll.BDH("AKAM US Equity","OPER_MARGIN","FQ2 2014","FQ2 2014","Currency=USD","Period=FQ","BEST_FPERIOD_OVERRIDE=FQ","FILING_STATUS=MR","FA_ADJUSTED=GAAP","Sort=A","Dates=H","DateFormat=P","Fill=—","Direction=H","UseDPDF=Y")</f>
        <v>23.601400000000002</v>
      </c>
      <c r="P16" s="21">
        <f>_xll.BDH("AKAM US Equity","OPER_MARGIN","FQ3 2014","FQ3 2014","Currency=USD","Period=FQ","BEST_FPERIOD_OVERRIDE=FQ","FILING_STATUS=MR","FA_ADJUSTED=GAAP","Sort=A","Dates=H","DateFormat=P","Fill=—","Direction=H","UseDPDF=Y")</f>
        <v>24.142299999999999</v>
      </c>
      <c r="Q16" s="21">
        <f>_xll.BDH("AKAM US Equity","OPER_MARGIN","FQ4 2014","FQ4 2014","Currency=USD","Period=FQ","BEST_FPERIOD_OVERRIDE=FQ","FILING_STATUS=MR","FA_ADJUSTED=GAAP","Sort=A","Dates=H","DateFormat=P","Fill=—","Direction=H","UseDPDF=Y")</f>
        <v>25.374500000000001</v>
      </c>
      <c r="R16" s="21">
        <f>_xll.BDH("AKAM US Equity","OPER_MARGIN","FQ1 2015","FQ1 2015","Currency=USD","Period=FQ","BEST_FPERIOD_OVERRIDE=FQ","FILING_STATUS=MR","FA_ADJUSTED=GAAP","Sort=A","Dates=H","DateFormat=P","Fill=—","Direction=H","UseDPDF=Y")</f>
        <v>23.0793</v>
      </c>
      <c r="S16" s="21">
        <f>_xll.BDH("AKAM US Equity","OPER_MARGIN","FQ2 2015","FQ2 2015","Currency=USD","Period=FQ","BEST_FPERIOD_OVERRIDE=FQ","FILING_STATUS=MR","FA_ADJUSTED=GAAP","Sort=A","Dates=H","DateFormat=P","Fill=—","Direction=H","UseDPDF=Y")</f>
        <v>19.651499999999999</v>
      </c>
      <c r="T16" s="21">
        <f>_xll.BDH("AKAM US Equity","OPER_MARGIN","FQ3 2015","FQ3 2015","Currency=USD","Period=FQ","BEST_FPERIOD_OVERRIDE=FQ","FILING_STATUS=MR","FA_ADJUSTED=GAAP","Sort=A","Dates=H","DateFormat=P","Fill=—","Direction=H","UseDPDF=Y")</f>
        <v>20.995000000000001</v>
      </c>
      <c r="U16" s="21">
        <f>_xll.BDH("AKAM US Equity","OPER_MARGIN","FQ4 2015","FQ4 2015","Currency=USD","Period=FQ","BEST_FPERIOD_OVERRIDE=FQ","FILING_STATUS=MR","FA_ADJUSTED=GAAP","Sort=A","Dates=H","DateFormat=P","Fill=—","Direction=H","UseDPDF=Y")</f>
        <v>21.182400000000001</v>
      </c>
      <c r="V16" s="21">
        <f>_xll.BDH("AKAM US Equity","OPER_MARGIN","FQ1 2016","FQ1 2016","Currency=USD","Period=FQ","BEST_FPERIOD_OVERRIDE=FQ","FILING_STATUS=MR","FA_ADJUSTED=GAAP","Sort=A","Dates=H","DateFormat=P","Fill=—","Direction=H","UseDPDF=Y")</f>
        <v>20.101099999999999</v>
      </c>
      <c r="W16" s="21">
        <f>_xll.BDH("AKAM US Equity","OPER_MARGIN","FQ2 2016","FQ2 2016","Currency=USD","Period=FQ","BEST_FPERIOD_OVERRIDE=FQ","FILING_STATUS=MR","FA_ADJUSTED=GAAP","Sort=A","Dates=H","DateFormat=P","Fill=—","Direction=H","UseDPDF=Y")</f>
        <v>19.2577</v>
      </c>
      <c r="X16" s="21">
        <f>_xll.BDH("AKAM US Equity","OPER_MARGIN","FQ3 2016","FQ3 2016","Currency=USD","Period=FQ","BEST_FPERIOD_OVERRIDE=FQ","FILING_STATUS=MR","FA_ADJUSTED=GAAP","Sort=A","Dates=H","DateFormat=P","Fill=—","Direction=H","UseDPDF=Y")</f>
        <v>19.1357</v>
      </c>
      <c r="Y16" s="21">
        <f>_xll.BDH("AKAM US Equity","OPER_MARGIN","FQ4 2016","FQ4 2016","Currency=USD","Period=FQ","BEST_FPERIOD_OVERRIDE=FQ","FILING_STATUS=MR","FA_ADJUSTED=GAAP","Sort=A","Dates=H","DateFormat=P","Fill=—","Direction=H","UseDPDF=Y")</f>
        <v>20.049499999999998</v>
      </c>
      <c r="Z16" s="21">
        <f>_xll.BDH("AKAM US Equity","OPER_MARGIN","FQ1 2017","FQ1 2017","Currency=USD","Period=FQ","BEST_FPERIOD_OVERRIDE=FQ","FILING_STATUS=MR","FA_ADJUSTED=GAAP","Sort=A","Dates=H","DateFormat=P","Fill=—","Direction=H","UseDPDF=Y")</f>
        <v>17.5471</v>
      </c>
      <c r="AA16" s="21">
        <f>_xll.BDH("AKAM US Equity","OPER_MARGIN","FQ2 2017","FQ2 2017","Currency=USD","Period=FQ","BEST_FPERIOD_OVERRIDE=FQ","FILING_STATUS=MR","FA_ADJUSTED=GAAP","Sort=A","Dates=H","DateFormat=P","Fill=—","Direction=H","UseDPDF=Y")</f>
        <v>14.1282</v>
      </c>
      <c r="AB16" s="21">
        <f>_xll.BDH("AKAM US Equity","OPER_MARGIN","FQ3 2017","FQ3 2017","Currency=USD","Period=FQ","BEST_FPERIOD_OVERRIDE=FQ","FILING_STATUS=MR","FA_ADJUSTED=GAAP","Sort=A","Dates=H","DateFormat=P","Fill=—","Direction=H","UseDPDF=Y")</f>
        <v>14.6136</v>
      </c>
      <c r="AC16" s="21">
        <f>_xll.BDH("AKAM US Equity","OPER_MARGIN","FQ4 2017","FQ4 2017","Currency=USD","Period=FQ","BEST_FPERIOD_OVERRIDE=FQ","FILING_STATUS=MR","FA_ADJUSTED=GAAP","Sort=A","Dates=H","DateFormat=P","Fill=—","Direction=H","UseDPDF=Y")</f>
        <v>4.8762999999999996</v>
      </c>
      <c r="AD16" s="21">
        <f>_xll.BDH("AKAM US Equity","OPER_MARGIN","FQ1 2018","FQ1 2018","Currency=USD","Period=FQ","BEST_FPERIOD_OVERRIDE=FQ","FILING_STATUS=MR","FA_ADJUSTED=GAAP","Sort=A","Dates=H","DateFormat=P","Fill=—","Direction=H","UseDPDF=Y")</f>
        <v>10.251899999999999</v>
      </c>
      <c r="AE16" s="21">
        <f>_xll.BDH("AKAM US Equity","OPER_MARGIN","FQ2 2018","FQ2 2018","Currency=USD","Period=FQ","BEST_FPERIOD_OVERRIDE=FQ","FILING_STATUS=MR","FA_ADJUSTED=GAAP","Sort=A","Dates=H","DateFormat=P","Fill=—","Direction=H","UseDPDF=Y")</f>
        <v>8.6181000000000001</v>
      </c>
      <c r="AF16" s="21">
        <f>_xll.BDH("AKAM US Equity","OPER_MARGIN","FQ3 2018","FQ3 2018","Currency=USD","Period=FQ","BEST_FPERIOD_OVERRIDE=FQ","FILING_STATUS=MR","FA_ADJUSTED=GAAP","Sort=A","Dates=H","DateFormat=P","Fill=—","Direction=H","UseDPDF=Y")</f>
        <v>17.403199999999998</v>
      </c>
      <c r="AG16" s="21">
        <f>_xll.BDH("AKAM US Equity","OPER_MARGIN","FQ4 2018","FQ4 2018","Currency=USD","Period=FQ","BEST_FPERIOD_OVERRIDE=FQ","FILING_STATUS=MR","FA_ADJUSTED=GAAP","Sort=A","Dates=H","DateFormat=P","Fill=—","Direction=H","UseDPDF=Y")</f>
        <v>16.862100000000002</v>
      </c>
      <c r="AH16" s="21">
        <f>_xll.BDH("AKAM US Equity","OPER_MARGIN","FQ1 2019","FQ1 2019","Currency=USD","Period=FQ","BEST_FPERIOD_OVERRIDE=FQ","FILING_STATUS=MR","FA_ADJUSTED=GAAP","Sort=A","Dates=H","DateFormat=P","Fill=—","Direction=H","UseDPDF=Y")</f>
        <v>19.040800000000001</v>
      </c>
      <c r="AI16" s="21">
        <f>_xll.BDH("AKAM US Equity","OPER_MARGIN","FQ2 2019","FQ2 2019","Currency=USD","Period=FQ","BEST_FPERIOD_OVERRIDE=FQ","FILING_STATUS=MR","FA_ADJUSTED=GAAP","Sort=A","Dates=H","DateFormat=P","Fill=—","Direction=H","UseDPDF=Y")</f>
        <v>19.2578</v>
      </c>
      <c r="AJ16" s="21">
        <f>_xll.BDH("AKAM US Equity","OPER_MARGIN","FQ3 2019","FQ3 2019","Currency=USD","Period=FQ","BEST_FPERIOD_OVERRIDE=FQ","FILING_STATUS=MR","FA_ADJUSTED=GAAP","Sort=A","Dates=H","DateFormat=P","Fill=—","Direction=H","UseDPDF=Y")</f>
        <v>20.184100000000001</v>
      </c>
      <c r="AK16" s="21">
        <f>_xll.BDH("AKAM US Equity","OPER_MARGIN","FQ4 2019","FQ4 2019","Currency=USD","Period=FQ","BEST_FPERIOD_OVERRIDE=FQ","FILING_STATUS=MR","FA_ADJUSTED=GAAP","Sort=A","Dates=H","DateFormat=P","Fill=—","Direction=H","UseDPDF=Y")</f>
        <v>17.526</v>
      </c>
      <c r="AL16" s="21">
        <f>_xll.BDH("AKAM US Equity","OPER_MARGIN","FQ1 2020","FQ1 2020","Currency=USD","Period=FQ","BEST_FPERIOD_OVERRIDE=FQ","FILING_STATUS=MR","FA_ADJUSTED=GAAP","Sort=A","Dates=H","DateFormat=P","Fill=—","Direction=H","UseDPDF=Y")</f>
        <v>19.930599999999998</v>
      </c>
      <c r="AM16" s="21">
        <f>_xll.BDH("AKAM US Equity","OPER_MARGIN","FQ2 2020","FQ2 2020","Currency=USD","Period=FQ","BEST_FPERIOD_OVERRIDE=FQ","FILING_STATUS=MR","FA_ADJUSTED=GAAP","Sort=A","Dates=H","DateFormat=P","Fill=—","Direction=H","UseDPDF=Y")</f>
        <v>23.9619</v>
      </c>
      <c r="AN16" s="21">
        <f>_xll.BDH("AKAM US Equity","OPER_MARGIN","FQ3 2020","FQ3 2020","Currency=USD","Period=FQ","BEST_FPERIOD_OVERRIDE=FQ","FILING_STATUS=MR","FA_ADJUSTED=GAAP","Sort=A","Dates=H","DateFormat=P","Fill=—","Direction=H","UseDPDF=Y")</f>
        <v>22.8491</v>
      </c>
      <c r="AO16" s="21">
        <f>_xll.BDH("AKAM US Equity","OPER_MARGIN","FQ4 2020","FQ4 2020","Currency=USD","Period=FQ","BEST_FPERIOD_OVERRIDE=FQ","FILING_STATUS=MR","FA_ADJUSTED=GAAP","Sort=A","Dates=H","DateFormat=P","Fill=—","Direction=H","UseDPDF=Y")</f>
        <v>15.9068</v>
      </c>
      <c r="AP16" s="21">
        <f>_xll.BDH("AKAM US Equity","OPER_MARGIN","FQ1 2021","FQ1 2021","Currency=USD","Period=FQ","BEST_FPERIOD_OVERRIDE=FQ","FILING_STATUS=MR","FA_ADJUSTED=GAAP","Sort=A","Dates=H","DateFormat=P","Fill=—","Direction=H","UseDPDF=Y")</f>
        <v>21.6402</v>
      </c>
    </row>
    <row r="17" spans="1:42" x14ac:dyDescent="0.25">
      <c r="A17" s="18" t="s">
        <v>101</v>
      </c>
      <c r="B17" s="18" t="s">
        <v>102</v>
      </c>
      <c r="C17" s="21">
        <f>_xll.BDH("AKAM US Equity","INCREMENTAL_OPERATING_MARGIN","FQ2 2011","FQ2 2011","Currency=USD","Period=FQ","BEST_FPERIOD_OVERRIDE=FQ","FILING_STATUS=MR","FA_ADJUSTED=GAAP","Sort=A","Dates=H","DateFormat=P","Fill=—","Direction=H","UseDPDF=Y")</f>
        <v>51.760300000000001</v>
      </c>
      <c r="D17" s="21">
        <f>_xll.BDH("AKAM US Equity","INCREMENTAL_OPERATING_MARGIN","FQ3 2011","FQ3 2011","Currency=USD","Period=FQ","BEST_FPERIOD_OVERRIDE=FQ","FILING_STATUS=MR","FA_ADJUSTED=GAAP","Sort=A","Dates=H","DateFormat=P","Fill=—","Direction=H","UseDPDF=Y")</f>
        <v>22.2258</v>
      </c>
      <c r="E17" s="21">
        <f>_xll.BDH("AKAM US Equity","INCREMENTAL_OPERATING_MARGIN","FQ4 2011","FQ4 2011","Currency=USD","Period=FQ","BEST_FPERIOD_OVERRIDE=FQ","FILING_STATUS=MR","FA_ADJUSTED=GAAP","Sort=A","Dates=H","DateFormat=P","Fill=—","Direction=H","UseDPDF=Y")</f>
        <v>17.8992</v>
      </c>
      <c r="F17" s="21" t="str">
        <f>_xll.BDH("AKAM US Equity","INCREMENTAL_OPERATING_MARGIN","FQ1 2012","FQ1 2012","Currency=USD","Period=FQ","BEST_FPERIOD_OVERRIDE=FQ","FILING_STATUS=MR","FA_ADJUSTED=GAAP","Sort=A","Dates=H","DateFormat=P","Fill=—","Direction=H","UseDPDF=Y")</f>
        <v>—</v>
      </c>
      <c r="G17" s="21" t="str">
        <f>_xll.BDH("AKAM US Equity","INCREMENTAL_OPERATING_MARGIN","FQ2 2012","FQ2 2012","Currency=USD","Period=FQ","BEST_FPERIOD_OVERRIDE=FQ","FILING_STATUS=MR","FA_ADJUSTED=GAAP","Sort=A","Dates=H","DateFormat=P","Fill=—","Direction=H","UseDPDF=Y")</f>
        <v>—</v>
      </c>
      <c r="H17" s="21">
        <f>_xll.BDH("AKAM US Equity","INCREMENTAL_OPERATING_MARGIN","FQ3 2012","FQ3 2012","Currency=USD","Period=FQ","BEST_FPERIOD_OVERRIDE=FQ","FILING_STATUS=MR","FA_ADJUSTED=GAAP","Sort=A","Dates=H","DateFormat=P","Fill=—","Direction=H","UseDPDF=Y")</f>
        <v>23.360900000000001</v>
      </c>
      <c r="I17" s="21">
        <f>_xll.BDH("AKAM US Equity","INCREMENTAL_OPERATING_MARGIN","FQ4 2012","FQ4 2012","Currency=USD","Period=FQ","BEST_FPERIOD_OVERRIDE=FQ","FILING_STATUS=MR","FA_ADJUSTED=GAAP","Sort=A","Dates=H","DateFormat=P","Fill=—","Direction=H","UseDPDF=Y")</f>
        <v>30.3</v>
      </c>
      <c r="J17" s="21">
        <f>_xll.BDH("AKAM US Equity","INCREMENTAL_OPERATING_MARGIN","FQ1 2013","FQ1 2013","Currency=USD","Period=FQ","BEST_FPERIOD_OVERRIDE=FQ","FILING_STATUS=MR","FA_ADJUSTED=GAAP","Sort=A","Dates=H","DateFormat=P","Fill=—","Direction=H","UseDPDF=Y")</f>
        <v>60.926400000000001</v>
      </c>
      <c r="K17" s="21">
        <f>_xll.BDH("AKAM US Equity","INCREMENTAL_OPERATING_MARGIN","FQ2 2013","FQ2 2013","Currency=USD","Period=FQ","BEST_FPERIOD_OVERRIDE=FQ","FILING_STATUS=MR","FA_ADJUSTED=GAAP","Sort=A","Dates=H","DateFormat=P","Fill=—","Direction=H","UseDPDF=Y")</f>
        <v>65.153800000000004</v>
      </c>
      <c r="L17" s="21">
        <f>_xll.BDH("AKAM US Equity","INCREMENTAL_OPERATING_MARGIN","FQ3 2013","FQ3 2013","Currency=USD","Period=FQ","BEST_FPERIOD_OVERRIDE=FQ","FILING_STATUS=MR","FA_ADJUSTED=GAAP","Sort=A","Dates=H","DateFormat=P","Fill=—","Direction=H","UseDPDF=Y")</f>
        <v>38.364100000000001</v>
      </c>
      <c r="M17" s="21">
        <f>_xll.BDH("AKAM US Equity","INCREMENTAL_OPERATING_MARGIN","FQ4 2013","FQ4 2013","Currency=USD","Period=FQ","BEST_FPERIOD_OVERRIDE=FQ","FILING_STATUS=MR","FA_ADJUSTED=GAAP","Sort=A","Dates=H","DateFormat=P","Fill=—","Direction=H","UseDPDF=Y")</f>
        <v>34.449599999999997</v>
      </c>
      <c r="N17" s="21">
        <f>_xll.BDH("AKAM US Equity","INCREMENTAL_OPERATING_MARGIN","FQ1 2014","FQ1 2014","Currency=USD","Period=FQ","BEST_FPERIOD_OVERRIDE=FQ","FILING_STATUS=MR","FA_ADJUSTED=GAAP","Sort=A","Dates=H","DateFormat=P","Fill=—","Direction=H","UseDPDF=Y")</f>
        <v>23.004799999999999</v>
      </c>
      <c r="O17" s="21">
        <f>_xll.BDH("AKAM US Equity","INCREMENTAL_OPERATING_MARGIN","FQ2 2014","FQ2 2014","Currency=USD","Period=FQ","BEST_FPERIOD_OVERRIDE=FQ","FILING_STATUS=MR","FA_ADJUSTED=GAAP","Sort=A","Dates=H","DateFormat=P","Fill=—","Direction=H","UseDPDF=Y")</f>
        <v>15.162000000000001</v>
      </c>
      <c r="P17" s="21">
        <f>_xll.BDH("AKAM US Equity","INCREMENTAL_OPERATING_MARGIN","FQ3 2014","FQ3 2014","Currency=USD","Period=FQ","BEST_FPERIOD_OVERRIDE=FQ","FILING_STATUS=MR","FA_ADJUSTED=GAAP","Sort=A","Dates=H","DateFormat=P","Fill=—","Direction=H","UseDPDF=Y")</f>
        <v>20.261700000000001</v>
      </c>
      <c r="Q17" s="21">
        <f>_xll.BDH("AKAM US Equity","INCREMENTAL_OPERATING_MARGIN","FQ4 2014","FQ4 2014","Currency=USD","Period=FQ","BEST_FPERIOD_OVERRIDE=FQ","FILING_STATUS=MR","FA_ADJUSTED=GAAP","Sort=A","Dates=H","DateFormat=P","Fill=—","Direction=H","UseDPDF=Y")</f>
        <v>20.2622</v>
      </c>
      <c r="R17" s="21">
        <f>_xll.BDH("AKAM US Equity","INCREMENTAL_OPERATING_MARGIN","FQ1 2015","FQ1 2015","Currency=USD","Period=FQ","BEST_FPERIOD_OVERRIDE=FQ","FILING_STATUS=MR","FA_ADJUSTED=GAAP","Sort=A","Dates=H","DateFormat=P","Fill=—","Direction=H","UseDPDF=Y")</f>
        <v>0.92290000000000005</v>
      </c>
      <c r="S17" s="21" t="str">
        <f>_xll.BDH("AKAM US Equity","INCREMENTAL_OPERATING_MARGIN","FQ2 2015","FQ2 2015","Currency=USD","Period=FQ","BEST_FPERIOD_OVERRIDE=FQ","FILING_STATUS=MR","FA_ADJUSTED=GAAP","Sort=A","Dates=H","DateFormat=P","Fill=—","Direction=H","UseDPDF=Y")</f>
        <v>—</v>
      </c>
      <c r="T17" s="21" t="str">
        <f>_xll.BDH("AKAM US Equity","INCREMENTAL_OPERATING_MARGIN","FQ3 2015","FQ3 2015","Currency=USD","Period=FQ","BEST_FPERIOD_OVERRIDE=FQ","FILING_STATUS=MR","FA_ADJUSTED=GAAP","Sort=A","Dates=H","DateFormat=P","Fill=—","Direction=H","UseDPDF=Y")</f>
        <v>—</v>
      </c>
      <c r="U17" s="21" t="str">
        <f>_xll.BDH("AKAM US Equity","INCREMENTAL_OPERATING_MARGIN","FQ4 2015","FQ4 2015","Currency=USD","Period=FQ","BEST_FPERIOD_OVERRIDE=FQ","FILING_STATUS=MR","FA_ADJUSTED=GAAP","Sort=A","Dates=H","DateFormat=P","Fill=—","Direction=H","UseDPDF=Y")</f>
        <v>—</v>
      </c>
      <c r="V17" s="21" t="str">
        <f>_xll.BDH("AKAM US Equity","INCREMENTAL_OPERATING_MARGIN","FQ1 2016","FQ1 2016","Currency=USD","Period=FQ","BEST_FPERIOD_OVERRIDE=FQ","FILING_STATUS=MR","FA_ADJUSTED=GAAP","Sort=A","Dates=H","DateFormat=P","Fill=—","Direction=H","UseDPDF=Y")</f>
        <v>—</v>
      </c>
      <c r="W17" s="21">
        <f>_xll.BDH("AKAM US Equity","INCREMENTAL_OPERATING_MARGIN","FQ2 2016","FQ2 2016","Currency=USD","Period=FQ","BEST_FPERIOD_OVERRIDE=FQ","FILING_STATUS=MR","FA_ADJUSTED=GAAP","Sort=A","Dates=H","DateFormat=P","Fill=—","Direction=H","UseDPDF=Y")</f>
        <v>12.4793</v>
      </c>
      <c r="X17" s="21" t="str">
        <f>_xll.BDH("AKAM US Equity","INCREMENTAL_OPERATING_MARGIN","FQ3 2016","FQ3 2016","Currency=USD","Period=FQ","BEST_FPERIOD_OVERRIDE=FQ","FILING_STATUS=MR","FA_ADJUSTED=GAAP","Sort=A","Dates=H","DateFormat=P","Fill=—","Direction=H","UseDPDF=Y")</f>
        <v>—</v>
      </c>
      <c r="Y17" s="21">
        <f>_xll.BDH("AKAM US Equity","INCREMENTAL_OPERATING_MARGIN","FQ4 2016","FQ4 2016","Currency=USD","Period=FQ","BEST_FPERIOD_OVERRIDE=FQ","FILING_STATUS=MR","FA_ADJUSTED=GAAP","Sort=A","Dates=H","DateFormat=P","Fill=—","Direction=H","UseDPDF=Y")</f>
        <v>2.2995000000000001</v>
      </c>
      <c r="Z17" s="21" t="str">
        <f>_xll.BDH("AKAM US Equity","INCREMENTAL_OPERATING_MARGIN","FQ1 2017","FQ1 2017","Currency=USD","Period=FQ","BEST_FPERIOD_OVERRIDE=FQ","FILING_STATUS=MR","FA_ADJUSTED=GAAP","Sort=A","Dates=H","DateFormat=P","Fill=—","Direction=H","UseDPDF=Y")</f>
        <v>—</v>
      </c>
      <c r="AA17" s="21" t="str">
        <f>_xll.BDH("AKAM US Equity","INCREMENTAL_OPERATING_MARGIN","FQ2 2017","FQ2 2017","Currency=USD","Period=FQ","BEST_FPERIOD_OVERRIDE=FQ","FILING_STATUS=MR","FA_ADJUSTED=GAAP","Sort=A","Dates=H","DateFormat=P","Fill=—","Direction=H","UseDPDF=Y")</f>
        <v>—</v>
      </c>
      <c r="AB17" s="21" t="str">
        <f>_xll.BDH("AKAM US Equity","INCREMENTAL_OPERATING_MARGIN","FQ3 2017","FQ3 2017","Currency=USD","Period=FQ","BEST_FPERIOD_OVERRIDE=FQ","FILING_STATUS=MR","FA_ADJUSTED=GAAP","Sort=A","Dates=H","DateFormat=P","Fill=—","Direction=H","UseDPDF=Y")</f>
        <v>—</v>
      </c>
      <c r="AC17" s="21" t="str">
        <f>_xll.BDH("AKAM US Equity","INCREMENTAL_OPERATING_MARGIN","FQ4 2017","FQ4 2017","Currency=USD","Period=FQ","BEST_FPERIOD_OVERRIDE=FQ","FILING_STATUS=MR","FA_ADJUSTED=GAAP","Sort=A","Dates=H","DateFormat=P","Fill=—","Direction=H","UseDPDF=Y")</f>
        <v>—</v>
      </c>
      <c r="AD17" s="21" t="str">
        <f>_xll.BDH("AKAM US Equity","INCREMENTAL_OPERATING_MARGIN","FQ1 2018","FQ1 2018","Currency=USD","Period=FQ","BEST_FPERIOD_OVERRIDE=FQ","FILING_STATUS=MR","FA_ADJUSTED=GAAP","Sort=A","Dates=H","DateFormat=P","Fill=—","Direction=H","UseDPDF=Y")</f>
        <v>—</v>
      </c>
      <c r="AE17" s="21" t="str">
        <f>_xll.BDH("AKAM US Equity","INCREMENTAL_OPERATING_MARGIN","FQ2 2018","FQ2 2018","Currency=USD","Period=FQ","BEST_FPERIOD_OVERRIDE=FQ","FILING_STATUS=MR","FA_ADJUSTED=GAAP","Sort=A","Dates=H","DateFormat=P","Fill=—","Direction=H","UseDPDF=Y")</f>
        <v>—</v>
      </c>
      <c r="AF17" s="21">
        <f>_xll.BDH("AKAM US Equity","INCREMENTAL_OPERATING_MARGIN","FQ3 2018","FQ3 2018","Currency=USD","Period=FQ","BEST_FPERIOD_OVERRIDE=FQ","FILING_STATUS=MR","FA_ADJUSTED=GAAP","Sort=A","Dates=H","DateFormat=P","Fill=—","Direction=H","UseDPDF=Y")</f>
        <v>55.9529</v>
      </c>
      <c r="AG17" s="21">
        <f>_xll.BDH("AKAM US Equity","INCREMENTAL_OPERATING_MARGIN","FQ4 2018","FQ4 2018","Currency=USD","Period=FQ","BEST_FPERIOD_OVERRIDE=FQ","FILING_STATUS=MR","FA_ADJUSTED=GAAP","Sort=A","Dates=H","DateFormat=P","Fill=—","Direction=H","UseDPDF=Y")</f>
        <v>160.63800000000001</v>
      </c>
      <c r="AH17" s="21">
        <f>_xll.BDH("AKAM US Equity","INCREMENTAL_OPERATING_MARGIN","FQ1 2019","FQ1 2019","Currency=USD","Period=FQ","BEST_FPERIOD_OVERRIDE=FQ","FILING_STATUS=MR","FA_ADJUSTED=GAAP","Sort=A","Dates=H","DateFormat=P","Fill=—","Direction=H","UseDPDF=Y")</f>
        <v>174.5924</v>
      </c>
      <c r="AI17" s="21">
        <f>_xll.BDH("AKAM US Equity","INCREMENTAL_OPERATING_MARGIN","FQ2 2019","FQ2 2019","Currency=USD","Period=FQ","BEST_FPERIOD_OVERRIDE=FQ","FILING_STATUS=MR","FA_ADJUSTED=GAAP","Sort=A","Dates=H","DateFormat=P","Fill=—","Direction=H","UseDPDF=Y")</f>
        <v>185.9033</v>
      </c>
      <c r="AJ17" s="21">
        <f>_xll.BDH("AKAM US Equity","INCREMENTAL_OPERATING_MARGIN","FQ3 2019","FQ3 2019","Currency=USD","Period=FQ","BEST_FPERIOD_OVERRIDE=FQ","FILING_STATUS=MR","FA_ADJUSTED=GAAP","Sort=A","Dates=H","DateFormat=P","Fill=—","Direction=H","UseDPDF=Y")</f>
        <v>66.408500000000004</v>
      </c>
      <c r="AK17" s="21">
        <f>_xll.BDH("AKAM US Equity","INCREMENTAL_OPERATING_MARGIN","FQ4 2019","FQ4 2019","Currency=USD","Period=FQ","BEST_FPERIOD_OVERRIDE=FQ","FILING_STATUS=MR","FA_ADJUSTED=GAAP","Sort=A","Dates=H","DateFormat=P","Fill=—","Direction=H","UseDPDF=Y")</f>
        <v>25.5854</v>
      </c>
      <c r="AL17" s="21">
        <f>_xll.BDH("AKAM US Equity","INCREMENTAL_OPERATING_MARGIN","FQ1 2020","FQ1 2020","Currency=USD","Period=FQ","BEST_FPERIOD_OVERRIDE=FQ","FILING_STATUS=MR","FA_ADJUSTED=GAAP","Sort=A","Dates=H","DateFormat=P","Fill=—","Direction=H","UseDPDF=Y")</f>
        <v>30.807700000000001</v>
      </c>
      <c r="AM17" s="21">
        <f>_xll.BDH("AKAM US Equity","INCREMENTAL_OPERATING_MARGIN","FQ2 2020","FQ2 2020","Currency=USD","Period=FQ","BEST_FPERIOD_OVERRIDE=FQ","FILING_STATUS=MR","FA_ADJUSTED=GAAP","Sort=A","Dates=H","DateFormat=P","Fill=—","Direction=H","UseDPDF=Y")</f>
        <v>60.9621</v>
      </c>
      <c r="AN17" s="21">
        <f>_xll.BDH("AKAM US Equity","INCREMENTAL_OPERATING_MARGIN","FQ3 2020","FQ3 2020","Currency=USD","Period=FQ","BEST_FPERIOD_OVERRIDE=FQ","FILING_STATUS=MR","FA_ADJUSTED=GAAP","Sort=A","Dates=H","DateFormat=P","Fill=—","Direction=H","UseDPDF=Y")</f>
        <v>45.662199999999999</v>
      </c>
      <c r="AO17" s="21" t="str">
        <f>_xll.BDH("AKAM US Equity","INCREMENTAL_OPERATING_MARGIN","FQ4 2020","FQ4 2020","Currency=USD","Period=FQ","BEST_FPERIOD_OVERRIDE=FQ","FILING_STATUS=MR","FA_ADJUSTED=GAAP","Sort=A","Dates=H","DateFormat=P","Fill=—","Direction=H","UseDPDF=Y")</f>
        <v>—</v>
      </c>
      <c r="AP17" s="21">
        <f>_xll.BDH("AKAM US Equity","INCREMENTAL_OPERATING_MARGIN","FQ1 2021","FQ1 2021","Currency=USD","Period=FQ","BEST_FPERIOD_OVERRIDE=FQ","FILING_STATUS=MR","FA_ADJUSTED=GAAP","Sort=A","Dates=H","DateFormat=P","Fill=—","Direction=H","UseDPDF=Y")</f>
        <v>38.305700000000002</v>
      </c>
    </row>
    <row r="18" spans="1:42" x14ac:dyDescent="0.25">
      <c r="A18" s="18" t="s">
        <v>103</v>
      </c>
      <c r="B18" s="18" t="s">
        <v>104</v>
      </c>
      <c r="C18" s="21">
        <f>_xll.BDH("AKAM US Equity","PRETAX_INC_TO_NET_SALES","FQ2 2011","FQ2 2011","Currency=USD","Period=FQ","BEST_FPERIOD_OVERRIDE=FQ","FILING_STATUS=MR","FA_ADJUSTED=GAAP","Sort=A","Dates=H","DateFormat=P","Fill=—","Direction=H","UseDPDF=Y")</f>
        <v>27.517700000000001</v>
      </c>
      <c r="D18" s="21">
        <f>_xll.BDH("AKAM US Equity","PRETAX_INC_TO_NET_SALES","FQ3 2011","FQ3 2011","Currency=USD","Period=FQ","BEST_FPERIOD_OVERRIDE=FQ","FILING_STATUS=MR","FA_ADJUSTED=GAAP","Sort=A","Dates=H","DateFormat=P","Fill=—","Direction=H","UseDPDF=Y")</f>
        <v>24.177900000000001</v>
      </c>
      <c r="E18" s="21">
        <f>_xll.BDH("AKAM US Equity","PRETAX_INC_TO_NET_SALES","FQ4 2011","FQ4 2011","Currency=USD","Period=FQ","BEST_FPERIOD_OVERRIDE=FQ","FILING_STATUS=MR","FA_ADJUSTED=GAAP","Sort=A","Dates=H","DateFormat=P","Fill=—","Direction=H","UseDPDF=Y")</f>
        <v>27.229900000000001</v>
      </c>
      <c r="F18" s="21">
        <f>_xll.BDH("AKAM US Equity","PRETAX_INC_TO_NET_SALES","FQ1 2012","FQ1 2012","Currency=USD","Period=FQ","BEST_FPERIOD_OVERRIDE=FQ","FILING_STATUS=MR","FA_ADJUSTED=GAAP","Sort=A","Dates=H","DateFormat=P","Fill=—","Direction=H","UseDPDF=Y")</f>
        <v>22.784300000000002</v>
      </c>
      <c r="G18" s="21">
        <f>_xll.BDH("AKAM US Equity","PRETAX_INC_TO_NET_SALES","FQ2 2012","FQ2 2012","Currency=USD","Period=FQ","BEST_FPERIOD_OVERRIDE=FQ","FILING_STATUS=MR","FA_ADJUSTED=GAAP","Sort=A","Dates=H","DateFormat=P","Fill=—","Direction=H","UseDPDF=Y")</f>
        <v>21.058499999999999</v>
      </c>
      <c r="H18" s="21">
        <f>_xll.BDH("AKAM US Equity","PRETAX_INC_TO_NET_SALES","FQ3 2012","FQ3 2012","Currency=USD","Period=FQ","BEST_FPERIOD_OVERRIDE=FQ","FILING_STATUS=MR","FA_ADJUSTED=GAAP","Sort=A","Dates=H","DateFormat=P","Fill=—","Direction=H","UseDPDF=Y")</f>
        <v>23.604399999999998</v>
      </c>
      <c r="I18" s="21">
        <f>_xll.BDH("AKAM US Equity","PRETAX_INC_TO_NET_SALES","FQ4 2012","FQ4 2012","Currency=USD","Period=FQ","BEST_FPERIOD_OVERRIDE=FQ","FILING_STATUS=MR","FA_ADJUSTED=GAAP","Sort=A","Dates=H","DateFormat=P","Fill=—","Direction=H","UseDPDF=Y")</f>
        <v>25.809799999999999</v>
      </c>
      <c r="J18" s="21">
        <f>_xll.BDH("AKAM US Equity","PRETAX_INC_TO_NET_SALES","FQ1 2013","FQ1 2013","Currency=USD","Period=FQ","BEST_FPERIOD_OVERRIDE=FQ","FILING_STATUS=MR","FA_ADJUSTED=GAAP","Sort=A","Dates=H","DateFormat=P","Fill=—","Direction=H","UseDPDF=Y")</f>
        <v>27.894300000000001</v>
      </c>
      <c r="K18" s="21">
        <f>_xll.BDH("AKAM US Equity","PRETAX_INC_TO_NET_SALES","FQ2 2013","FQ2 2013","Currency=USD","Period=FQ","BEST_FPERIOD_OVERRIDE=FQ","FILING_STATUS=MR","FA_ADJUSTED=GAAP","Sort=A","Dates=H","DateFormat=P","Fill=—","Direction=H","UseDPDF=Y")</f>
        <v>26.268000000000001</v>
      </c>
      <c r="L18" s="21">
        <f>_xll.BDH("AKAM US Equity","PRETAX_INC_TO_NET_SALES","FQ3 2013","FQ3 2013","Currency=USD","Period=FQ","BEST_FPERIOD_OVERRIDE=FQ","FILING_STATUS=MR","FA_ADJUSTED=GAAP","Sort=A","Dates=H","DateFormat=P","Fill=—","Direction=H","UseDPDF=Y")</f>
        <v>25.436199999999999</v>
      </c>
      <c r="M18" s="21">
        <f>_xll.BDH("AKAM US Equity","PRETAX_INC_TO_NET_SALES","FQ4 2013","FQ4 2013","Currency=USD","Period=FQ","BEST_FPERIOD_OVERRIDE=FQ","FILING_STATUS=MR","FA_ADJUSTED=GAAP","Sort=A","Dates=H","DateFormat=P","Fill=—","Direction=H","UseDPDF=Y")</f>
        <v>26.812000000000001</v>
      </c>
      <c r="N18" s="21">
        <f>_xll.BDH("AKAM US Equity","PRETAX_INC_TO_NET_SALES","FQ1 2014","FQ1 2014","Currency=USD","Period=FQ","BEST_FPERIOD_OVERRIDE=FQ","FILING_STATUS=MR","FA_ADJUSTED=GAAP","Sort=A","Dates=H","DateFormat=P","Fill=—","Direction=H","UseDPDF=Y")</f>
        <v>26.386700000000001</v>
      </c>
      <c r="O18" s="21">
        <f>_xll.BDH("AKAM US Equity","PRETAX_INC_TO_NET_SALES","FQ2 2014","FQ2 2014","Currency=USD","Period=FQ","BEST_FPERIOD_OVERRIDE=FQ","FILING_STATUS=MR","FA_ADJUSTED=GAAP","Sort=A","Dates=H","DateFormat=P","Fill=—","Direction=H","UseDPDF=Y")</f>
        <v>22.8294</v>
      </c>
      <c r="P18" s="21">
        <f>_xll.BDH("AKAM US Equity","PRETAX_INC_TO_NET_SALES","FQ3 2014","FQ3 2014","Currency=USD","Period=FQ","BEST_FPERIOD_OVERRIDE=FQ","FILING_STATUS=MR","FA_ADJUSTED=GAAP","Sort=A","Dates=H","DateFormat=P","Fill=—","Direction=H","UseDPDF=Y")</f>
        <v>23.6082</v>
      </c>
      <c r="Q18" s="21">
        <f>_xll.BDH("AKAM US Equity","PRETAX_INC_TO_NET_SALES","FQ4 2014","FQ4 2014","Currency=USD","Period=FQ","BEST_FPERIOD_OVERRIDE=FQ","FILING_STATUS=MR","FA_ADJUSTED=GAAP","Sort=A","Dates=H","DateFormat=P","Fill=—","Direction=H","UseDPDF=Y")</f>
        <v>24.959600000000002</v>
      </c>
      <c r="R18" s="21">
        <f>_xll.BDH("AKAM US Equity","PRETAX_INC_TO_NET_SALES","FQ1 2015","FQ1 2015","Currency=USD","Period=FQ","BEST_FPERIOD_OVERRIDE=FQ","FILING_STATUS=MR","FA_ADJUSTED=GAAP","Sort=A","Dates=H","DateFormat=P","Fill=—","Direction=H","UseDPDF=Y")</f>
        <v>22.722999999999999</v>
      </c>
      <c r="S18" s="21">
        <f>_xll.BDH("AKAM US Equity","PRETAX_INC_TO_NET_SALES","FQ2 2015","FQ2 2015","Currency=USD","Period=FQ","BEST_FPERIOD_OVERRIDE=FQ","FILING_STATUS=MR","FA_ADJUSTED=GAAP","Sort=A","Dates=H","DateFormat=P","Fill=—","Direction=H","UseDPDF=Y")</f>
        <v>18.959399999999999</v>
      </c>
      <c r="T18" s="21">
        <f>_xll.BDH("AKAM US Equity","PRETAX_INC_TO_NET_SALES","FQ3 2015","FQ3 2015","Currency=USD","Period=FQ","BEST_FPERIOD_OVERRIDE=FQ","FILING_STATUS=MR","FA_ADJUSTED=GAAP","Sort=A","Dates=H","DateFormat=P","Fill=—","Direction=H","UseDPDF=Y")</f>
        <v>20.686</v>
      </c>
      <c r="U18" s="21">
        <f>_xll.BDH("AKAM US Equity","PRETAX_INC_TO_NET_SALES","FQ4 2015","FQ4 2015","Currency=USD","Period=FQ","BEST_FPERIOD_OVERRIDE=FQ","FILING_STATUS=MR","FA_ADJUSTED=GAAP","Sort=A","Dates=H","DateFormat=P","Fill=—","Direction=H","UseDPDF=Y")</f>
        <v>20.8017</v>
      </c>
      <c r="V18" s="21">
        <f>_xll.BDH("AKAM US Equity","PRETAX_INC_TO_NET_SALES","FQ1 2016","FQ1 2016","Currency=USD","Period=FQ","BEST_FPERIOD_OVERRIDE=FQ","FILING_STATUS=MR","FA_ADJUSTED=GAAP","Sort=A","Dates=H","DateFormat=P","Fill=—","Direction=H","UseDPDF=Y")</f>
        <v>19.832999999999998</v>
      </c>
      <c r="W18" s="21">
        <f>_xll.BDH("AKAM US Equity","PRETAX_INC_TO_NET_SALES","FQ2 2016","FQ2 2016","Currency=USD","Period=FQ","BEST_FPERIOD_OVERRIDE=FQ","FILING_STATUS=MR","FA_ADJUSTED=GAAP","Sort=A","Dates=H","DateFormat=P","Fill=—","Direction=H","UseDPDF=Y")</f>
        <v>19.112400000000001</v>
      </c>
      <c r="X18" s="21">
        <f>_xll.BDH("AKAM US Equity","PRETAX_INC_TO_NET_SALES","FQ3 2016","FQ3 2016","Currency=USD","Period=FQ","BEST_FPERIOD_OVERRIDE=FQ","FILING_STATUS=MR","FA_ADJUSTED=GAAP","Sort=A","Dates=H","DateFormat=P","Fill=—","Direction=H","UseDPDF=Y")</f>
        <v>19.122199999999999</v>
      </c>
      <c r="Y18" s="21">
        <f>_xll.BDH("AKAM US Equity","PRETAX_INC_TO_NET_SALES","FQ4 2016","FQ4 2016","Currency=USD","Period=FQ","BEST_FPERIOD_OVERRIDE=FQ","FILING_STATUS=MR","FA_ADJUSTED=GAAP","Sort=A","Dates=H","DateFormat=P","Fill=—","Direction=H","UseDPDF=Y")</f>
        <v>20.420200000000001</v>
      </c>
      <c r="Z18" s="21">
        <f>_xll.BDH("AKAM US Equity","PRETAX_INC_TO_NET_SALES","FQ1 2017","FQ1 2017","Currency=USD","Period=FQ","BEST_FPERIOD_OVERRIDE=FQ","FILING_STATUS=MR","FA_ADJUSTED=GAAP","Sort=A","Dates=H","DateFormat=P","Fill=—","Direction=H","UseDPDF=Y")</f>
        <v>17.4377</v>
      </c>
      <c r="AA18" s="21">
        <f>_xll.BDH("AKAM US Equity","PRETAX_INC_TO_NET_SALES","FQ2 2017","FQ2 2017","Currency=USD","Period=FQ","BEST_FPERIOD_OVERRIDE=FQ","FILING_STATUS=MR","FA_ADJUSTED=GAAP","Sort=A","Dates=H","DateFormat=P","Fill=—","Direction=H","UseDPDF=Y")</f>
        <v>14.1609</v>
      </c>
      <c r="AB18" s="21">
        <f>_xll.BDH("AKAM US Equity","PRETAX_INC_TO_NET_SALES","FQ3 2017","FQ3 2017","Currency=USD","Period=FQ","BEST_FPERIOD_OVERRIDE=FQ","FILING_STATUS=MR","FA_ADJUSTED=GAAP","Sort=A","Dates=H","DateFormat=P","Fill=—","Direction=H","UseDPDF=Y")</f>
        <v>14.6539</v>
      </c>
      <c r="AC18" s="21">
        <f>_xll.BDH("AKAM US Equity","PRETAX_INC_TO_NET_SALES","FQ4 2017","FQ4 2017","Currency=USD","Period=FQ","BEST_FPERIOD_OVERRIDE=FQ","FILING_STATUS=MR","FA_ADJUSTED=GAAP","Sort=A","Dates=H","DateFormat=P","Fill=—","Direction=H","UseDPDF=Y")</f>
        <v>4.8929999999999998</v>
      </c>
      <c r="AD18" s="21">
        <f>_xll.BDH("AKAM US Equity","PRETAX_INC_TO_NET_SALES","FQ1 2018","FQ1 2018","Currency=USD","Period=FQ","BEST_FPERIOD_OVERRIDE=FQ","FILING_STATUS=MR","FA_ADJUSTED=GAAP","Sort=A","Dates=H","DateFormat=P","Fill=—","Direction=H","UseDPDF=Y")</f>
        <v>10.1227</v>
      </c>
      <c r="AE18" s="21">
        <f>_xll.BDH("AKAM US Equity","PRETAX_INC_TO_NET_SALES","FQ2 2018","FQ2 2018","Currency=USD","Period=FQ","BEST_FPERIOD_OVERRIDE=FQ","FILING_STATUS=MR","FA_ADJUSTED=GAAP","Sort=A","Dates=H","DateFormat=P","Fill=—","Direction=H","UseDPDF=Y")</f>
        <v>7.7785000000000002</v>
      </c>
      <c r="AF18" s="21">
        <f>_xll.BDH("AKAM US Equity","PRETAX_INC_TO_NET_SALES","FQ3 2018","FQ3 2018","Currency=USD","Period=FQ","BEST_FPERIOD_OVERRIDE=FQ","FILING_STATUS=MR","FA_ADJUSTED=GAAP","Sort=A","Dates=H","DateFormat=P","Fill=—","Direction=H","UseDPDF=Y")</f>
        <v>16.542000000000002</v>
      </c>
      <c r="AG18" s="21">
        <f>_xll.BDH("AKAM US Equity","PRETAX_INC_TO_NET_SALES","FQ4 2018","FQ4 2018","Currency=USD","Period=FQ","BEST_FPERIOD_OVERRIDE=FQ","FILING_STATUS=MR","FA_ADJUSTED=GAAP","Sort=A","Dates=H","DateFormat=P","Fill=—","Direction=H","UseDPDF=Y")</f>
        <v>15.8507</v>
      </c>
      <c r="AH18" s="21">
        <f>_xll.BDH("AKAM US Equity","PRETAX_INC_TO_NET_SALES","FQ1 2019","FQ1 2019","Currency=USD","Period=FQ","BEST_FPERIOD_OVERRIDE=FQ","FILING_STATUS=MR","FA_ADJUSTED=GAAP","Sort=A","Dates=H","DateFormat=P","Fill=—","Direction=H","UseDPDF=Y")</f>
        <v>18.6205</v>
      </c>
      <c r="AI18" s="21">
        <f>_xll.BDH("AKAM US Equity","PRETAX_INC_TO_NET_SALES","FQ2 2019","FQ2 2019","Currency=USD","Period=FQ","BEST_FPERIOD_OVERRIDE=FQ","FILING_STATUS=MR","FA_ADJUSTED=GAAP","Sort=A","Dates=H","DateFormat=P","Fill=—","Direction=H","UseDPDF=Y")</f>
        <v>18.8871</v>
      </c>
      <c r="AJ18" s="21">
        <f>_xll.BDH("AKAM US Equity","PRETAX_INC_TO_NET_SALES","FQ3 2019","FQ3 2019","Currency=USD","Period=FQ","BEST_FPERIOD_OVERRIDE=FQ","FILING_STATUS=MR","FA_ADJUSTED=GAAP","Sort=A","Dates=H","DateFormat=P","Fill=—","Direction=H","UseDPDF=Y")</f>
        <v>19.483799999999999</v>
      </c>
      <c r="AK18" s="21">
        <f>_xll.BDH("AKAM US Equity","PRETAX_INC_TO_NET_SALES","FQ4 2019","FQ4 2019","Currency=USD","Period=FQ","BEST_FPERIOD_OVERRIDE=FQ","FILING_STATUS=MR","FA_ADJUSTED=GAAP","Sort=A","Dates=H","DateFormat=P","Fill=—","Direction=H","UseDPDF=Y")</f>
        <v>16.764199999999999</v>
      </c>
      <c r="AL18" s="21">
        <f>_xll.BDH("AKAM US Equity","PRETAX_INC_TO_NET_SALES","FQ1 2020","FQ1 2020","Currency=USD","Period=FQ","BEST_FPERIOD_OVERRIDE=FQ","FILING_STATUS=MR","FA_ADJUSTED=GAAP","Sort=A","Dates=H","DateFormat=P","Fill=—","Direction=H","UseDPDF=Y")</f>
        <v>18.063500000000001</v>
      </c>
      <c r="AM18" s="21">
        <f>_xll.BDH("AKAM US Equity","PRETAX_INC_TO_NET_SALES","FQ2 2020","FQ2 2020","Currency=USD","Period=FQ","BEST_FPERIOD_OVERRIDE=FQ","FILING_STATUS=MR","FA_ADJUSTED=GAAP","Sort=A","Dates=H","DateFormat=P","Fill=—","Direction=H","UseDPDF=Y")</f>
        <v>22.785399999999999</v>
      </c>
      <c r="AN18" s="21">
        <f>_xll.BDH("AKAM US Equity","PRETAX_INC_TO_NET_SALES","FQ3 2020","FQ3 2020","Currency=USD","Period=FQ","BEST_FPERIOD_OVERRIDE=FQ","FILING_STATUS=MR","FA_ADJUSTED=GAAP","Sort=A","Dates=H","DateFormat=P","Fill=—","Direction=H","UseDPDF=Y")</f>
        <v>21.1874</v>
      </c>
      <c r="AO18" s="21">
        <f>_xll.BDH("AKAM US Equity","PRETAX_INC_TO_NET_SALES","FQ4 2020","FQ4 2020","Currency=USD","Period=FQ","BEST_FPERIOD_OVERRIDE=FQ","FILING_STATUS=MR","FA_ADJUSTED=GAAP","Sort=A","Dates=H","DateFormat=P","Fill=—","Direction=H","UseDPDF=Y")</f>
        <v>15.238300000000001</v>
      </c>
      <c r="AP18" s="21">
        <f>_xll.BDH("AKAM US Equity","PRETAX_INC_TO_NET_SALES","FQ1 2021","FQ1 2021","Currency=USD","Period=FQ","BEST_FPERIOD_OVERRIDE=FQ","FILING_STATUS=MR","FA_ADJUSTED=GAAP","Sort=A","Dates=H","DateFormat=P","Fill=—","Direction=H","UseDPDF=Y")</f>
        <v>19.970300000000002</v>
      </c>
    </row>
    <row r="19" spans="1:42" x14ac:dyDescent="0.25">
      <c r="A19" s="18" t="s">
        <v>105</v>
      </c>
      <c r="B19" s="18" t="s">
        <v>106</v>
      </c>
      <c r="C19" s="21">
        <f>_xll.BDH("AKAM US Equity","INC_BEF_XO_ITEMS_TO_NET_SALES","FQ2 2011","FQ2 2011","Currency=USD","Period=FQ","BEST_FPERIOD_OVERRIDE=FQ","FILING_STATUS=MR","FA_ADJUSTED=GAAP","Sort=A","Dates=H","DateFormat=P","Fill=—","Direction=H","UseDPDF=Y")</f>
        <v>17.300699999999999</v>
      </c>
      <c r="D19" s="21">
        <f>_xll.BDH("AKAM US Equity","INC_BEF_XO_ITEMS_TO_NET_SALES","FQ3 2011","FQ3 2011","Currency=USD","Period=FQ","BEST_FPERIOD_OVERRIDE=FQ","FILING_STATUS=MR","FA_ADJUSTED=GAAP","Sort=A","Dates=H","DateFormat=P","Fill=—","Direction=H","UseDPDF=Y")</f>
        <v>15.0023</v>
      </c>
      <c r="E19" s="21">
        <f>_xll.BDH("AKAM US Equity","INC_BEF_XO_ITEMS_TO_NET_SALES","FQ4 2011","FQ4 2011","Currency=USD","Period=FQ","BEST_FPERIOD_OVERRIDE=FQ","FILING_STATUS=MR","FA_ADJUSTED=GAAP","Sort=A","Dates=H","DateFormat=P","Fill=—","Direction=H","UseDPDF=Y")</f>
        <v>18.558399999999999</v>
      </c>
      <c r="F19" s="21">
        <f>_xll.BDH("AKAM US Equity","INC_BEF_XO_ITEMS_TO_NET_SALES","FQ1 2012","FQ1 2012","Currency=USD","Period=FQ","BEST_FPERIOD_OVERRIDE=FQ","FILING_STATUS=MR","FA_ADJUSTED=GAAP","Sort=A","Dates=H","DateFormat=P","Fill=—","Direction=H","UseDPDF=Y")</f>
        <v>13.5318</v>
      </c>
      <c r="G19" s="21">
        <f>_xll.BDH("AKAM US Equity","INC_BEF_XO_ITEMS_TO_NET_SALES","FQ2 2012","FQ2 2012","Currency=USD","Period=FQ","BEST_FPERIOD_OVERRIDE=FQ","FILING_STATUS=MR","FA_ADJUSTED=GAAP","Sort=A","Dates=H","DateFormat=P","Fill=—","Direction=H","UseDPDF=Y")</f>
        <v>13.3529</v>
      </c>
      <c r="H19" s="21">
        <f>_xll.BDH("AKAM US Equity","INC_BEF_XO_ITEMS_TO_NET_SALES","FQ3 2012","FQ3 2012","Currency=USD","Period=FQ","BEST_FPERIOD_OVERRIDE=FQ","FILING_STATUS=MR","FA_ADJUSTED=GAAP","Sort=A","Dates=H","DateFormat=P","Fill=—","Direction=H","UseDPDF=Y")</f>
        <v>13.967000000000001</v>
      </c>
      <c r="I19" s="21">
        <f>_xll.BDH("AKAM US Equity","INC_BEF_XO_ITEMS_TO_NET_SALES","FQ4 2012","FQ4 2012","Currency=USD","Period=FQ","BEST_FPERIOD_OVERRIDE=FQ","FILING_STATUS=MR","FA_ADJUSTED=GAAP","Sort=A","Dates=H","DateFormat=P","Fill=—","Direction=H","UseDPDF=Y")</f>
        <v>18.072800000000001</v>
      </c>
      <c r="J19" s="21">
        <f>_xll.BDH("AKAM US Equity","INC_BEF_XO_ITEMS_TO_NET_SALES","FQ1 2013","FQ1 2013","Currency=USD","Period=FQ","BEST_FPERIOD_OVERRIDE=FQ","FILING_STATUS=MR","FA_ADJUSTED=GAAP","Sort=A","Dates=H","DateFormat=P","Fill=—","Direction=H","UseDPDF=Y")</f>
        <v>19.423400000000001</v>
      </c>
      <c r="K19" s="21">
        <f>_xll.BDH("AKAM US Equity","INC_BEF_XO_ITEMS_TO_NET_SALES","FQ2 2013","FQ2 2013","Currency=USD","Period=FQ","BEST_FPERIOD_OVERRIDE=FQ","FILING_STATUS=MR","FA_ADJUSTED=GAAP","Sort=A","Dates=H","DateFormat=P","Fill=—","Direction=H","UseDPDF=Y")</f>
        <v>16.369700000000002</v>
      </c>
      <c r="L19" s="21">
        <f>_xll.BDH("AKAM US Equity","INC_BEF_XO_ITEMS_TO_NET_SALES","FQ3 2013","FQ3 2013","Currency=USD","Period=FQ","BEST_FPERIOD_OVERRIDE=FQ","FILING_STATUS=MR","FA_ADJUSTED=GAAP","Sort=A","Dates=H","DateFormat=P","Fill=—","Direction=H","UseDPDF=Y")</f>
        <v>20.1511</v>
      </c>
      <c r="M19" s="21">
        <f>_xll.BDH("AKAM US Equity","INC_BEF_XO_ITEMS_TO_NET_SALES","FQ4 2013","FQ4 2013","Currency=USD","Period=FQ","BEST_FPERIOD_OVERRIDE=FQ","FILING_STATUS=MR","FA_ADJUSTED=GAAP","Sort=A","Dates=H","DateFormat=P","Fill=—","Direction=H","UseDPDF=Y")</f>
        <v>18.429500000000001</v>
      </c>
      <c r="N19" s="21">
        <f>_xll.BDH("AKAM US Equity","INC_BEF_XO_ITEMS_TO_NET_SALES","FQ1 2014","FQ1 2014","Currency=USD","Period=FQ","BEST_FPERIOD_OVERRIDE=FQ","FILING_STATUS=MR","FA_ADJUSTED=GAAP","Sort=A","Dates=H","DateFormat=P","Fill=—","Direction=H","UseDPDF=Y")</f>
        <v>16.052900000000001</v>
      </c>
      <c r="O19" s="21">
        <f>_xll.BDH("AKAM US Equity","INC_BEF_XO_ITEMS_TO_NET_SALES","FQ2 2014","FQ2 2014","Currency=USD","Period=FQ","BEST_FPERIOD_OVERRIDE=FQ","FILING_STATUS=MR","FA_ADJUSTED=GAAP","Sort=A","Dates=H","DateFormat=P","Fill=—","Direction=H","UseDPDF=Y")</f>
        <v>15.3111</v>
      </c>
      <c r="P19" s="21">
        <f>_xll.BDH("AKAM US Equity","INC_BEF_XO_ITEMS_TO_NET_SALES","FQ3 2014","FQ3 2014","Currency=USD","Period=FQ","BEST_FPERIOD_OVERRIDE=FQ","FILING_STATUS=MR","FA_ADJUSTED=GAAP","Sort=A","Dates=H","DateFormat=P","Fill=—","Direction=H","UseDPDF=Y")</f>
        <v>18.302700000000002</v>
      </c>
      <c r="Q19" s="21">
        <f>_xll.BDH("AKAM US Equity","INC_BEF_XO_ITEMS_TO_NET_SALES","FQ4 2014","FQ4 2014","Currency=USD","Period=FQ","BEST_FPERIOD_OVERRIDE=FQ","FILING_STATUS=MR","FA_ADJUSTED=GAAP","Sort=A","Dates=H","DateFormat=P","Fill=—","Direction=H","UseDPDF=Y")</f>
        <v>18.106999999999999</v>
      </c>
      <c r="R19" s="21">
        <f>_xll.BDH("AKAM US Equity","INC_BEF_XO_ITEMS_TO_NET_SALES","FQ1 2015","FQ1 2015","Currency=USD","Period=FQ","BEST_FPERIOD_OVERRIDE=FQ","FILING_STATUS=MR","FA_ADJUSTED=GAAP","Sort=A","Dates=H","DateFormat=P","Fill=—","Direction=H","UseDPDF=Y")</f>
        <v>14.765599999999999</v>
      </c>
      <c r="S19" s="21">
        <f>_xll.BDH("AKAM US Equity","INC_BEF_XO_ITEMS_TO_NET_SALES","FQ2 2015","FQ2 2015","Currency=USD","Period=FQ","BEST_FPERIOD_OVERRIDE=FQ","FILING_STATUS=MR","FA_ADJUSTED=GAAP","Sort=A","Dates=H","DateFormat=P","Fill=—","Direction=H","UseDPDF=Y")</f>
        <v>12.4278</v>
      </c>
      <c r="T19" s="21">
        <f>_xll.BDH("AKAM US Equity","INC_BEF_XO_ITEMS_TO_NET_SALES","FQ3 2015","FQ3 2015","Currency=USD","Period=FQ","BEST_FPERIOD_OVERRIDE=FQ","FILING_STATUS=MR","FA_ADJUSTED=GAAP","Sort=A","Dates=H","DateFormat=P","Fill=—","Direction=H","UseDPDF=Y")</f>
        <v>15.977399999999999</v>
      </c>
      <c r="U19" s="21">
        <f>_xll.BDH("AKAM US Equity","INC_BEF_XO_ITEMS_TO_NET_SALES","FQ4 2015","FQ4 2015","Currency=USD","Period=FQ","BEST_FPERIOD_OVERRIDE=FQ","FILING_STATUS=MR","FA_ADJUSTED=GAAP","Sort=A","Dates=H","DateFormat=P","Fill=—","Direction=H","UseDPDF=Y")</f>
        <v>15.266999999999999</v>
      </c>
      <c r="V19" s="21">
        <f>_xll.BDH("AKAM US Equity","INC_BEF_XO_ITEMS_TO_NET_SALES","FQ1 2016","FQ1 2016","Currency=USD","Period=FQ","BEST_FPERIOD_OVERRIDE=FQ","FILING_STATUS=MR","FA_ADJUSTED=GAAP","Sort=A","Dates=H","DateFormat=P","Fill=—","Direction=H","UseDPDF=Y")</f>
        <v>13.185600000000001</v>
      </c>
      <c r="W19" s="21">
        <f>_xll.BDH("AKAM US Equity","INC_BEF_XO_ITEMS_TO_NET_SALES","FQ2 2016","FQ2 2016","Currency=USD","Period=FQ","BEST_FPERIOD_OVERRIDE=FQ","FILING_STATUS=MR","FA_ADJUSTED=GAAP","Sort=A","Dates=H","DateFormat=P","Fill=—","Direction=H","UseDPDF=Y")</f>
        <v>12.870200000000001</v>
      </c>
      <c r="X19" s="21">
        <f>_xll.BDH("AKAM US Equity","INC_BEF_XO_ITEMS_TO_NET_SALES","FQ3 2016","FQ3 2016","Currency=USD","Period=FQ","BEST_FPERIOD_OVERRIDE=FQ","FILING_STATUS=MR","FA_ADJUSTED=GAAP","Sort=A","Dates=H","DateFormat=P","Fill=—","Direction=H","UseDPDF=Y")</f>
        <v>13.0123</v>
      </c>
      <c r="Y19" s="21">
        <f>_xll.BDH("AKAM US Equity","INC_BEF_XO_ITEMS_TO_NET_SALES","FQ4 2016","FQ4 2016","Currency=USD","Period=FQ","BEST_FPERIOD_OVERRIDE=FQ","FILING_STATUS=MR","FA_ADJUSTED=GAAP","Sort=A","Dates=H","DateFormat=P","Fill=—","Direction=H","UseDPDF=Y")</f>
        <v>14.8735</v>
      </c>
      <c r="Z19" s="21">
        <f>_xll.BDH("AKAM US Equity","INC_BEF_XO_ITEMS_TO_NET_SALES","FQ1 2017","FQ1 2017","Currency=USD","Period=FQ","BEST_FPERIOD_OVERRIDE=FQ","FILING_STATUS=MR","FA_ADJUSTED=GAAP","Sort=A","Dates=H","DateFormat=P","Fill=—","Direction=H","UseDPDF=Y")</f>
        <v>12.4244</v>
      </c>
      <c r="AA19" s="21">
        <f>_xll.BDH("AKAM US Equity","INC_BEF_XO_ITEMS_TO_NET_SALES","FQ2 2017","FQ2 2017","Currency=USD","Period=FQ","BEST_FPERIOD_OVERRIDE=FQ","FILING_STATUS=MR","FA_ADJUSTED=GAAP","Sort=A","Dates=H","DateFormat=P","Fill=—","Direction=H","UseDPDF=Y")</f>
        <v>9.3675999999999995</v>
      </c>
      <c r="AB19" s="21">
        <f>_xll.BDH("AKAM US Equity","INC_BEF_XO_ITEMS_TO_NET_SALES","FQ3 2017","FQ3 2017","Currency=USD","Period=FQ","BEST_FPERIOD_OVERRIDE=FQ","FILING_STATUS=MR","FA_ADJUSTED=GAAP","Sort=A","Dates=H","DateFormat=P","Fill=—","Direction=H","UseDPDF=Y")</f>
        <v>10.2349</v>
      </c>
      <c r="AC19" s="21">
        <f>_xll.BDH("AKAM US Equity","INC_BEF_XO_ITEMS_TO_NET_SALES","FQ4 2017","FQ4 2017","Currency=USD","Period=FQ","BEST_FPERIOD_OVERRIDE=FQ","FILING_STATUS=MR","FA_ADJUSTED=GAAP","Sort=A","Dates=H","DateFormat=P","Fill=—","Direction=H","UseDPDF=Y")</f>
        <v>4.1794000000000002</v>
      </c>
      <c r="AD19" s="21">
        <f>_xll.BDH("AKAM US Equity","INC_BEF_XO_ITEMS_TO_NET_SALES","FQ1 2018","FQ1 2018","Currency=USD","Period=FQ","BEST_FPERIOD_OVERRIDE=FQ","FILING_STATUS=MR","FA_ADJUSTED=GAAP","Sort=A","Dates=H","DateFormat=P","Fill=—","Direction=H","UseDPDF=Y")</f>
        <v>8.0322999999999993</v>
      </c>
      <c r="AE19" s="21">
        <f>_xll.BDH("AKAM US Equity","INC_BEF_XO_ITEMS_TO_NET_SALES","FQ2 2018","FQ2 2018","Currency=USD","Period=FQ","BEST_FPERIOD_OVERRIDE=FQ","FILING_STATUS=MR","FA_ADJUSTED=GAAP","Sort=A","Dates=H","DateFormat=P","Fill=—","Direction=H","UseDPDF=Y")</f>
        <v>6.4972000000000003</v>
      </c>
      <c r="AF19" s="21">
        <f>_xll.BDH("AKAM US Equity","INC_BEF_XO_ITEMS_TO_NET_SALES","FQ3 2018","FQ3 2018","Currency=USD","Period=FQ","BEST_FPERIOD_OVERRIDE=FQ","FILING_STATUS=MR","FA_ADJUSTED=GAAP","Sort=A","Dates=H","DateFormat=P","Fill=—","Direction=H","UseDPDF=Y")</f>
        <v>16.066099999999999</v>
      </c>
      <c r="AG19" s="21">
        <f>_xll.BDH("AKAM US Equity","INC_BEF_XO_ITEMS_TO_NET_SALES","FQ4 2018","FQ4 2018","Currency=USD","Period=FQ","BEST_FPERIOD_OVERRIDE=FQ","FILING_STATUS=MR","FA_ADJUSTED=GAAP","Sort=A","Dates=H","DateFormat=P","Fill=—","Direction=H","UseDPDF=Y")</f>
        <v>13.1791</v>
      </c>
      <c r="AH19" s="21">
        <f>_xll.BDH("AKAM US Equity","INC_BEF_XO_ITEMS_TO_NET_SALES","FQ1 2019","FQ1 2019","Currency=USD","Period=FQ","BEST_FPERIOD_OVERRIDE=FQ","FILING_STATUS=MR","FA_ADJUSTED=GAAP","Sort=A","Dates=H","DateFormat=P","Fill=—","Direction=H","UseDPDF=Y")</f>
        <v>15.1633</v>
      </c>
      <c r="AI19" s="21">
        <f>_xll.BDH("AKAM US Equity","INC_BEF_XO_ITEMS_TO_NET_SALES","FQ2 2019","FQ2 2019","Currency=USD","Period=FQ","BEST_FPERIOD_OVERRIDE=FQ","FILING_STATUS=MR","FA_ADJUSTED=GAAP","Sort=A","Dates=H","DateFormat=P","Fill=—","Direction=H","UseDPDF=Y")</f>
        <v>16.156500000000001</v>
      </c>
      <c r="AJ19" s="21">
        <f>_xll.BDH("AKAM US Equity","INC_BEF_XO_ITEMS_TO_NET_SALES","FQ3 2019","FQ3 2019","Currency=USD","Period=FQ","BEST_FPERIOD_OVERRIDE=FQ","FILING_STATUS=MR","FA_ADJUSTED=GAAP","Sort=A","Dates=H","DateFormat=P","Fill=—","Direction=H","UseDPDF=Y")</f>
        <v>19.423500000000001</v>
      </c>
      <c r="AK19" s="21">
        <f>_xll.BDH("AKAM US Equity","INC_BEF_XO_ITEMS_TO_NET_SALES","FQ4 2019","FQ4 2019","Currency=USD","Period=FQ","BEST_FPERIOD_OVERRIDE=FQ","FILING_STATUS=MR","FA_ADJUSTED=GAAP","Sort=A","Dates=H","DateFormat=P","Fill=—","Direction=H","UseDPDF=Y")</f>
        <v>15.425000000000001</v>
      </c>
      <c r="AL19" s="21">
        <f>_xll.BDH("AKAM US Equity","INC_BEF_XO_ITEMS_TO_NET_SALES","FQ1 2020","FQ1 2020","Currency=USD","Period=FQ","BEST_FPERIOD_OVERRIDE=FQ","FILING_STATUS=MR","FA_ADJUSTED=GAAP","Sort=A","Dates=H","DateFormat=P","Fill=—","Direction=H","UseDPDF=Y")</f>
        <v>16.112200000000001</v>
      </c>
      <c r="AM19" s="21">
        <f>_xll.BDH("AKAM US Equity","INC_BEF_XO_ITEMS_TO_NET_SALES","FQ2 2020","FQ2 2020","Currency=USD","Period=FQ","BEST_FPERIOD_OVERRIDE=FQ","FILING_STATUS=MR","FA_ADJUSTED=GAAP","Sort=A","Dates=H","DateFormat=P","Fill=—","Direction=H","UseDPDF=Y")</f>
        <v>20.373999999999999</v>
      </c>
      <c r="AN19" s="21">
        <f>_xll.BDH("AKAM US Equity","INC_BEF_XO_ITEMS_TO_NET_SALES","FQ3 2020","FQ3 2020","Currency=USD","Period=FQ","BEST_FPERIOD_OVERRIDE=FQ","FILING_STATUS=MR","FA_ADJUSTED=GAAP","Sort=A","Dates=H","DateFormat=P","Fill=—","Direction=H","UseDPDF=Y")</f>
        <v>20.006799999999998</v>
      </c>
      <c r="AO19" s="21">
        <f>_xll.BDH("AKAM US Equity","INC_BEF_XO_ITEMS_TO_NET_SALES","FQ4 2020","FQ4 2020","Currency=USD","Period=FQ","BEST_FPERIOD_OVERRIDE=FQ","FILING_STATUS=MR","FA_ADJUSTED=GAAP","Sort=A","Dates=H","DateFormat=P","Fill=—","Direction=H","UseDPDF=Y")</f>
        <v>13.3962</v>
      </c>
      <c r="AP19" s="21">
        <f>_xll.BDH("AKAM US Equity","INC_BEF_XO_ITEMS_TO_NET_SALES","FQ1 2021","FQ1 2021","Currency=USD","Period=FQ","BEST_FPERIOD_OVERRIDE=FQ","FILING_STATUS=MR","FA_ADJUSTED=GAAP","Sort=A","Dates=H","DateFormat=P","Fill=—","Direction=H","UseDPDF=Y")</f>
        <v>18.4756</v>
      </c>
    </row>
    <row r="20" spans="1:42" x14ac:dyDescent="0.25">
      <c r="A20" s="18" t="s">
        <v>107</v>
      </c>
      <c r="B20" s="18" t="s">
        <v>108</v>
      </c>
      <c r="C20" s="21">
        <f>_xll.BDH("AKAM US Equity","PROF_MARGIN","FQ2 2011","FQ2 2011","Currency=USD","Period=FQ","BEST_FPERIOD_OVERRIDE=FQ","FILING_STATUS=MR","FA_ADJUSTED=GAAP","Sort=A","Dates=H","DateFormat=P","Fill=—","Direction=H","UseDPDF=Y")</f>
        <v>17.300699999999999</v>
      </c>
      <c r="D20" s="21">
        <f>_xll.BDH("AKAM US Equity","PROF_MARGIN","FQ3 2011","FQ3 2011","Currency=USD","Period=FQ","BEST_FPERIOD_OVERRIDE=FQ","FILING_STATUS=MR","FA_ADJUSTED=GAAP","Sort=A","Dates=H","DateFormat=P","Fill=—","Direction=H","UseDPDF=Y")</f>
        <v>15.0023</v>
      </c>
      <c r="E20" s="21">
        <f>_xll.BDH("AKAM US Equity","PROF_MARGIN","FQ4 2011","FQ4 2011","Currency=USD","Period=FQ","BEST_FPERIOD_OVERRIDE=FQ","FILING_STATUS=MR","FA_ADJUSTED=GAAP","Sort=A","Dates=H","DateFormat=P","Fill=—","Direction=H","UseDPDF=Y")</f>
        <v>18.558399999999999</v>
      </c>
      <c r="F20" s="21">
        <f>_xll.BDH("AKAM US Equity","PROF_MARGIN","FQ1 2012","FQ1 2012","Currency=USD","Period=FQ","BEST_FPERIOD_OVERRIDE=FQ","FILING_STATUS=MR","FA_ADJUSTED=GAAP","Sort=A","Dates=H","DateFormat=P","Fill=—","Direction=H","UseDPDF=Y")</f>
        <v>13.5318</v>
      </c>
      <c r="G20" s="21">
        <f>_xll.BDH("AKAM US Equity","PROF_MARGIN","FQ2 2012","FQ2 2012","Currency=USD","Period=FQ","BEST_FPERIOD_OVERRIDE=FQ","FILING_STATUS=MR","FA_ADJUSTED=GAAP","Sort=A","Dates=H","DateFormat=P","Fill=—","Direction=H","UseDPDF=Y")</f>
        <v>13.3529</v>
      </c>
      <c r="H20" s="21">
        <f>_xll.BDH("AKAM US Equity","PROF_MARGIN","FQ3 2012","FQ3 2012","Currency=USD","Period=FQ","BEST_FPERIOD_OVERRIDE=FQ","FILING_STATUS=MR","FA_ADJUSTED=GAAP","Sort=A","Dates=H","DateFormat=P","Fill=—","Direction=H","UseDPDF=Y")</f>
        <v>13.967000000000001</v>
      </c>
      <c r="I20" s="21">
        <f>_xll.BDH("AKAM US Equity","PROF_MARGIN","FQ4 2012","FQ4 2012","Currency=USD","Period=FQ","BEST_FPERIOD_OVERRIDE=FQ","FILING_STATUS=MR","FA_ADJUSTED=GAAP","Sort=A","Dates=H","DateFormat=P","Fill=—","Direction=H","UseDPDF=Y")</f>
        <v>18.072800000000001</v>
      </c>
      <c r="J20" s="21">
        <f>_xll.BDH("AKAM US Equity","PROF_MARGIN","FQ1 2013","FQ1 2013","Currency=USD","Period=FQ","BEST_FPERIOD_OVERRIDE=FQ","FILING_STATUS=MR","FA_ADJUSTED=GAAP","Sort=A","Dates=H","DateFormat=P","Fill=—","Direction=H","UseDPDF=Y")</f>
        <v>19.423400000000001</v>
      </c>
      <c r="K20" s="21">
        <f>_xll.BDH("AKAM US Equity","PROF_MARGIN","FQ2 2013","FQ2 2013","Currency=USD","Period=FQ","BEST_FPERIOD_OVERRIDE=FQ","FILING_STATUS=MR","FA_ADJUSTED=GAAP","Sort=A","Dates=H","DateFormat=P","Fill=—","Direction=H","UseDPDF=Y")</f>
        <v>16.369700000000002</v>
      </c>
      <c r="L20" s="21">
        <f>_xll.BDH("AKAM US Equity","PROF_MARGIN","FQ3 2013","FQ3 2013","Currency=USD","Period=FQ","BEST_FPERIOD_OVERRIDE=FQ","FILING_STATUS=MR","FA_ADJUSTED=GAAP","Sort=A","Dates=H","DateFormat=P","Fill=—","Direction=H","UseDPDF=Y")</f>
        <v>20.1511</v>
      </c>
      <c r="M20" s="21">
        <f>_xll.BDH("AKAM US Equity","PROF_MARGIN","FQ4 2013","FQ4 2013","Currency=USD","Period=FQ","BEST_FPERIOD_OVERRIDE=FQ","FILING_STATUS=MR","FA_ADJUSTED=GAAP","Sort=A","Dates=H","DateFormat=P","Fill=—","Direction=H","UseDPDF=Y")</f>
        <v>18.429500000000001</v>
      </c>
      <c r="N20" s="21">
        <f>_xll.BDH("AKAM US Equity","PROF_MARGIN","FQ1 2014","FQ1 2014","Currency=USD","Period=FQ","BEST_FPERIOD_OVERRIDE=FQ","FILING_STATUS=MR","FA_ADJUSTED=GAAP","Sort=A","Dates=H","DateFormat=P","Fill=—","Direction=H","UseDPDF=Y")</f>
        <v>16.052900000000001</v>
      </c>
      <c r="O20" s="21">
        <f>_xll.BDH("AKAM US Equity","PROF_MARGIN","FQ2 2014","FQ2 2014","Currency=USD","Period=FQ","BEST_FPERIOD_OVERRIDE=FQ","FILING_STATUS=MR","FA_ADJUSTED=GAAP","Sort=A","Dates=H","DateFormat=P","Fill=—","Direction=H","UseDPDF=Y")</f>
        <v>15.3111</v>
      </c>
      <c r="P20" s="21">
        <f>_xll.BDH("AKAM US Equity","PROF_MARGIN","FQ3 2014","FQ3 2014","Currency=USD","Period=FQ","BEST_FPERIOD_OVERRIDE=FQ","FILING_STATUS=MR","FA_ADJUSTED=GAAP","Sort=A","Dates=H","DateFormat=P","Fill=—","Direction=H","UseDPDF=Y")</f>
        <v>18.302700000000002</v>
      </c>
      <c r="Q20" s="21">
        <f>_xll.BDH("AKAM US Equity","PROF_MARGIN","FQ4 2014","FQ4 2014","Currency=USD","Period=FQ","BEST_FPERIOD_OVERRIDE=FQ","FILING_STATUS=MR","FA_ADJUSTED=GAAP","Sort=A","Dates=H","DateFormat=P","Fill=—","Direction=H","UseDPDF=Y")</f>
        <v>18.106999999999999</v>
      </c>
      <c r="R20" s="21">
        <f>_xll.BDH("AKAM US Equity","PROF_MARGIN","FQ1 2015","FQ1 2015","Currency=USD","Period=FQ","BEST_FPERIOD_OVERRIDE=FQ","FILING_STATUS=MR","FA_ADJUSTED=GAAP","Sort=A","Dates=H","DateFormat=P","Fill=—","Direction=H","UseDPDF=Y")</f>
        <v>14.765599999999999</v>
      </c>
      <c r="S20" s="21">
        <f>_xll.BDH("AKAM US Equity","PROF_MARGIN","FQ2 2015","FQ2 2015","Currency=USD","Period=FQ","BEST_FPERIOD_OVERRIDE=FQ","FILING_STATUS=MR","FA_ADJUSTED=GAAP","Sort=A","Dates=H","DateFormat=P","Fill=—","Direction=H","UseDPDF=Y")</f>
        <v>12.4278</v>
      </c>
      <c r="T20" s="21">
        <f>_xll.BDH("AKAM US Equity","PROF_MARGIN","FQ3 2015","FQ3 2015","Currency=USD","Period=FQ","BEST_FPERIOD_OVERRIDE=FQ","FILING_STATUS=MR","FA_ADJUSTED=GAAP","Sort=A","Dates=H","DateFormat=P","Fill=—","Direction=H","UseDPDF=Y")</f>
        <v>15.977399999999999</v>
      </c>
      <c r="U20" s="21">
        <f>_xll.BDH("AKAM US Equity","PROF_MARGIN","FQ4 2015","FQ4 2015","Currency=USD","Period=FQ","BEST_FPERIOD_OVERRIDE=FQ","FILING_STATUS=MR","FA_ADJUSTED=GAAP","Sort=A","Dates=H","DateFormat=P","Fill=—","Direction=H","UseDPDF=Y")</f>
        <v>15.266999999999999</v>
      </c>
      <c r="V20" s="21">
        <f>_xll.BDH("AKAM US Equity","PROF_MARGIN","FQ1 2016","FQ1 2016","Currency=USD","Period=FQ","BEST_FPERIOD_OVERRIDE=FQ","FILING_STATUS=MR","FA_ADJUSTED=GAAP","Sort=A","Dates=H","DateFormat=P","Fill=—","Direction=H","UseDPDF=Y")</f>
        <v>13.185600000000001</v>
      </c>
      <c r="W20" s="21">
        <f>_xll.BDH("AKAM US Equity","PROF_MARGIN","FQ2 2016","FQ2 2016","Currency=USD","Period=FQ","BEST_FPERIOD_OVERRIDE=FQ","FILING_STATUS=MR","FA_ADJUSTED=GAAP","Sort=A","Dates=H","DateFormat=P","Fill=—","Direction=H","UseDPDF=Y")</f>
        <v>12.870200000000001</v>
      </c>
      <c r="X20" s="21">
        <f>_xll.BDH("AKAM US Equity","PROF_MARGIN","FQ3 2016","FQ3 2016","Currency=USD","Period=FQ","BEST_FPERIOD_OVERRIDE=FQ","FILING_STATUS=MR","FA_ADJUSTED=GAAP","Sort=A","Dates=H","DateFormat=P","Fill=—","Direction=H","UseDPDF=Y")</f>
        <v>13.0123</v>
      </c>
      <c r="Y20" s="21">
        <f>_xll.BDH("AKAM US Equity","PROF_MARGIN","FQ4 2016","FQ4 2016","Currency=USD","Period=FQ","BEST_FPERIOD_OVERRIDE=FQ","FILING_STATUS=MR","FA_ADJUSTED=GAAP","Sort=A","Dates=H","DateFormat=P","Fill=—","Direction=H","UseDPDF=Y")</f>
        <v>14.8735</v>
      </c>
      <c r="Z20" s="21">
        <f>_xll.BDH("AKAM US Equity","PROF_MARGIN","FQ1 2017","FQ1 2017","Currency=USD","Period=FQ","BEST_FPERIOD_OVERRIDE=FQ","FILING_STATUS=MR","FA_ADJUSTED=GAAP","Sort=A","Dates=H","DateFormat=P","Fill=—","Direction=H","UseDPDF=Y")</f>
        <v>12.4244</v>
      </c>
      <c r="AA20" s="21">
        <f>_xll.BDH("AKAM US Equity","PROF_MARGIN","FQ2 2017","FQ2 2017","Currency=USD","Period=FQ","BEST_FPERIOD_OVERRIDE=FQ","FILING_STATUS=MR","FA_ADJUSTED=GAAP","Sort=A","Dates=H","DateFormat=P","Fill=—","Direction=H","UseDPDF=Y")</f>
        <v>9.3675999999999995</v>
      </c>
      <c r="AB20" s="21">
        <f>_xll.BDH("AKAM US Equity","PROF_MARGIN","FQ3 2017","FQ3 2017","Currency=USD","Period=FQ","BEST_FPERIOD_OVERRIDE=FQ","FILING_STATUS=MR","FA_ADJUSTED=GAAP","Sort=A","Dates=H","DateFormat=P","Fill=—","Direction=H","UseDPDF=Y")</f>
        <v>10.2349</v>
      </c>
      <c r="AC20" s="21">
        <f>_xll.BDH("AKAM US Equity","PROF_MARGIN","FQ4 2017","FQ4 2017","Currency=USD","Period=FQ","BEST_FPERIOD_OVERRIDE=FQ","FILING_STATUS=MR","FA_ADJUSTED=GAAP","Sort=A","Dates=H","DateFormat=P","Fill=—","Direction=H","UseDPDF=Y")</f>
        <v>4.1794000000000002</v>
      </c>
      <c r="AD20" s="21">
        <f>_xll.BDH("AKAM US Equity","PROF_MARGIN","FQ1 2018","FQ1 2018","Currency=USD","Period=FQ","BEST_FPERIOD_OVERRIDE=FQ","FILING_STATUS=MR","FA_ADJUSTED=GAAP","Sort=A","Dates=H","DateFormat=P","Fill=—","Direction=H","UseDPDF=Y")</f>
        <v>8.0322999999999993</v>
      </c>
      <c r="AE20" s="21">
        <f>_xll.BDH("AKAM US Equity","PROF_MARGIN","FQ2 2018","FQ2 2018","Currency=USD","Period=FQ","BEST_FPERIOD_OVERRIDE=FQ","FILING_STATUS=MR","FA_ADJUSTED=GAAP","Sort=A","Dates=H","DateFormat=P","Fill=—","Direction=H","UseDPDF=Y")</f>
        <v>6.4972000000000003</v>
      </c>
      <c r="AF20" s="21">
        <f>_xll.BDH("AKAM US Equity","PROF_MARGIN","FQ3 2018","FQ3 2018","Currency=USD","Period=FQ","BEST_FPERIOD_OVERRIDE=FQ","FILING_STATUS=MR","FA_ADJUSTED=GAAP","Sort=A","Dates=H","DateFormat=P","Fill=—","Direction=H","UseDPDF=Y")</f>
        <v>16.066099999999999</v>
      </c>
      <c r="AG20" s="21">
        <f>_xll.BDH("AKAM US Equity","PROF_MARGIN","FQ4 2018","FQ4 2018","Currency=USD","Period=FQ","BEST_FPERIOD_OVERRIDE=FQ","FILING_STATUS=MR","FA_ADJUSTED=GAAP","Sort=A","Dates=H","DateFormat=P","Fill=—","Direction=H","UseDPDF=Y")</f>
        <v>13.1791</v>
      </c>
      <c r="AH20" s="21">
        <f>_xll.BDH("AKAM US Equity","PROF_MARGIN","FQ1 2019","FQ1 2019","Currency=USD","Period=FQ","BEST_FPERIOD_OVERRIDE=FQ","FILING_STATUS=MR","FA_ADJUSTED=GAAP","Sort=A","Dates=H","DateFormat=P","Fill=—","Direction=H","UseDPDF=Y")</f>
        <v>15.1633</v>
      </c>
      <c r="AI20" s="21">
        <f>_xll.BDH("AKAM US Equity","PROF_MARGIN","FQ2 2019","FQ2 2019","Currency=USD","Period=FQ","BEST_FPERIOD_OVERRIDE=FQ","FILING_STATUS=MR","FA_ADJUSTED=GAAP","Sort=A","Dates=H","DateFormat=P","Fill=—","Direction=H","UseDPDF=Y")</f>
        <v>16.156500000000001</v>
      </c>
      <c r="AJ20" s="21">
        <f>_xll.BDH("AKAM US Equity","PROF_MARGIN","FQ3 2019","FQ3 2019","Currency=USD","Period=FQ","BEST_FPERIOD_OVERRIDE=FQ","FILING_STATUS=MR","FA_ADJUSTED=GAAP","Sort=A","Dates=H","DateFormat=P","Fill=—","Direction=H","UseDPDF=Y")</f>
        <v>19.423500000000001</v>
      </c>
      <c r="AK20" s="21">
        <f>_xll.BDH("AKAM US Equity","PROF_MARGIN","FQ4 2019","FQ4 2019","Currency=USD","Period=FQ","BEST_FPERIOD_OVERRIDE=FQ","FILING_STATUS=MR","FA_ADJUSTED=GAAP","Sort=A","Dates=H","DateFormat=P","Fill=—","Direction=H","UseDPDF=Y")</f>
        <v>15.425000000000001</v>
      </c>
      <c r="AL20" s="21">
        <f>_xll.BDH("AKAM US Equity","PROF_MARGIN","FQ1 2020","FQ1 2020","Currency=USD","Period=FQ","BEST_FPERIOD_OVERRIDE=FQ","FILING_STATUS=MR","FA_ADJUSTED=GAAP","Sort=A","Dates=H","DateFormat=P","Fill=—","Direction=H","UseDPDF=Y")</f>
        <v>16.112200000000001</v>
      </c>
      <c r="AM20" s="21">
        <f>_xll.BDH("AKAM US Equity","PROF_MARGIN","FQ2 2020","FQ2 2020","Currency=USD","Period=FQ","BEST_FPERIOD_OVERRIDE=FQ","FILING_STATUS=MR","FA_ADJUSTED=GAAP","Sort=A","Dates=H","DateFormat=P","Fill=—","Direction=H","UseDPDF=Y")</f>
        <v>20.373999999999999</v>
      </c>
      <c r="AN20" s="21">
        <f>_xll.BDH("AKAM US Equity","PROF_MARGIN","FQ3 2020","FQ3 2020","Currency=USD","Period=FQ","BEST_FPERIOD_OVERRIDE=FQ","FILING_STATUS=MR","FA_ADJUSTED=GAAP","Sort=A","Dates=H","DateFormat=P","Fill=—","Direction=H","UseDPDF=Y")</f>
        <v>20.006799999999998</v>
      </c>
      <c r="AO20" s="21">
        <f>_xll.BDH("AKAM US Equity","PROF_MARGIN","FQ4 2020","FQ4 2020","Currency=USD","Period=FQ","BEST_FPERIOD_OVERRIDE=FQ","FILING_STATUS=MR","FA_ADJUSTED=GAAP","Sort=A","Dates=H","DateFormat=P","Fill=—","Direction=H","UseDPDF=Y")</f>
        <v>13.3962</v>
      </c>
      <c r="AP20" s="21">
        <f>_xll.BDH("AKAM US Equity","PROF_MARGIN","FQ1 2021","FQ1 2021","Currency=USD","Period=FQ","BEST_FPERIOD_OVERRIDE=FQ","FILING_STATUS=MR","FA_ADJUSTED=GAAP","Sort=A","Dates=H","DateFormat=P","Fill=—","Direction=H","UseDPDF=Y")</f>
        <v>18.4756</v>
      </c>
    </row>
    <row r="21" spans="1:42" x14ac:dyDescent="0.25">
      <c r="A21" s="18" t="s">
        <v>109</v>
      </c>
      <c r="B21" s="18" t="s">
        <v>110</v>
      </c>
      <c r="C21" s="21">
        <f>_xll.BDH("AKAM US Equity","NET_INCOME_TO_COMMON_MARGIN","FQ2 2011","FQ2 2011","Currency=USD","Period=FQ","BEST_FPERIOD_OVERRIDE=FQ","FILING_STATUS=MR","FA_ADJUSTED=GAAP","Sort=A","Dates=H","DateFormat=P","Fill=—","Direction=H","UseDPDF=Y")</f>
        <v>17.300699999999999</v>
      </c>
      <c r="D21" s="21">
        <f>_xll.BDH("AKAM US Equity","NET_INCOME_TO_COMMON_MARGIN","FQ3 2011","FQ3 2011","Currency=USD","Period=FQ","BEST_FPERIOD_OVERRIDE=FQ","FILING_STATUS=MR","FA_ADJUSTED=GAAP","Sort=A","Dates=H","DateFormat=P","Fill=—","Direction=H","UseDPDF=Y")</f>
        <v>15.0023</v>
      </c>
      <c r="E21" s="21">
        <f>_xll.BDH("AKAM US Equity","NET_INCOME_TO_COMMON_MARGIN","FQ4 2011","FQ4 2011","Currency=USD","Period=FQ","BEST_FPERIOD_OVERRIDE=FQ","FILING_STATUS=MR","FA_ADJUSTED=GAAP","Sort=A","Dates=H","DateFormat=P","Fill=—","Direction=H","UseDPDF=Y")</f>
        <v>18.558399999999999</v>
      </c>
      <c r="F21" s="21">
        <f>_xll.BDH("AKAM US Equity","NET_INCOME_TO_COMMON_MARGIN","FQ1 2012","FQ1 2012","Currency=USD","Period=FQ","BEST_FPERIOD_OVERRIDE=FQ","FILING_STATUS=MR","FA_ADJUSTED=GAAP","Sort=A","Dates=H","DateFormat=P","Fill=—","Direction=H","UseDPDF=Y")</f>
        <v>13.5318</v>
      </c>
      <c r="G21" s="21">
        <f>_xll.BDH("AKAM US Equity","NET_INCOME_TO_COMMON_MARGIN","FQ2 2012","FQ2 2012","Currency=USD","Period=FQ","BEST_FPERIOD_OVERRIDE=FQ","FILING_STATUS=MR","FA_ADJUSTED=GAAP","Sort=A","Dates=H","DateFormat=P","Fill=—","Direction=H","UseDPDF=Y")</f>
        <v>13.3529</v>
      </c>
      <c r="H21" s="21">
        <f>_xll.BDH("AKAM US Equity","NET_INCOME_TO_COMMON_MARGIN","FQ3 2012","FQ3 2012","Currency=USD","Period=FQ","BEST_FPERIOD_OVERRIDE=FQ","FILING_STATUS=MR","FA_ADJUSTED=GAAP","Sort=A","Dates=H","DateFormat=P","Fill=—","Direction=H","UseDPDF=Y")</f>
        <v>13.967000000000001</v>
      </c>
      <c r="I21" s="21">
        <f>_xll.BDH("AKAM US Equity","NET_INCOME_TO_COMMON_MARGIN","FQ4 2012","FQ4 2012","Currency=USD","Period=FQ","BEST_FPERIOD_OVERRIDE=FQ","FILING_STATUS=MR","FA_ADJUSTED=GAAP","Sort=A","Dates=H","DateFormat=P","Fill=—","Direction=H","UseDPDF=Y")</f>
        <v>18.072800000000001</v>
      </c>
      <c r="J21" s="21">
        <f>_xll.BDH("AKAM US Equity","NET_INCOME_TO_COMMON_MARGIN","FQ1 2013","FQ1 2013","Currency=USD","Period=FQ","BEST_FPERIOD_OVERRIDE=FQ","FILING_STATUS=MR","FA_ADJUSTED=GAAP","Sort=A","Dates=H","DateFormat=P","Fill=—","Direction=H","UseDPDF=Y")</f>
        <v>19.423400000000001</v>
      </c>
      <c r="K21" s="21">
        <f>_xll.BDH("AKAM US Equity","NET_INCOME_TO_COMMON_MARGIN","FQ2 2013","FQ2 2013","Currency=USD","Period=FQ","BEST_FPERIOD_OVERRIDE=FQ","FILING_STATUS=MR","FA_ADJUSTED=GAAP","Sort=A","Dates=H","DateFormat=P","Fill=—","Direction=H","UseDPDF=Y")</f>
        <v>16.369700000000002</v>
      </c>
      <c r="L21" s="21">
        <f>_xll.BDH("AKAM US Equity","NET_INCOME_TO_COMMON_MARGIN","FQ3 2013","FQ3 2013","Currency=USD","Period=FQ","BEST_FPERIOD_OVERRIDE=FQ","FILING_STATUS=MR","FA_ADJUSTED=GAAP","Sort=A","Dates=H","DateFormat=P","Fill=—","Direction=H","UseDPDF=Y")</f>
        <v>20.1511</v>
      </c>
      <c r="M21" s="21">
        <f>_xll.BDH("AKAM US Equity","NET_INCOME_TO_COMMON_MARGIN","FQ4 2013","FQ4 2013","Currency=USD","Period=FQ","BEST_FPERIOD_OVERRIDE=FQ","FILING_STATUS=MR","FA_ADJUSTED=GAAP","Sort=A","Dates=H","DateFormat=P","Fill=—","Direction=H","UseDPDF=Y")</f>
        <v>18.429500000000001</v>
      </c>
      <c r="N21" s="21">
        <f>_xll.BDH("AKAM US Equity","NET_INCOME_TO_COMMON_MARGIN","FQ1 2014","FQ1 2014","Currency=USD","Period=FQ","BEST_FPERIOD_OVERRIDE=FQ","FILING_STATUS=MR","FA_ADJUSTED=GAAP","Sort=A","Dates=H","DateFormat=P","Fill=—","Direction=H","UseDPDF=Y")</f>
        <v>16.052900000000001</v>
      </c>
      <c r="O21" s="21">
        <f>_xll.BDH("AKAM US Equity","NET_INCOME_TO_COMMON_MARGIN","FQ2 2014","FQ2 2014","Currency=USD","Period=FQ","BEST_FPERIOD_OVERRIDE=FQ","FILING_STATUS=MR","FA_ADJUSTED=GAAP","Sort=A","Dates=H","DateFormat=P","Fill=—","Direction=H","UseDPDF=Y")</f>
        <v>15.3111</v>
      </c>
      <c r="P21" s="21">
        <f>_xll.BDH("AKAM US Equity","NET_INCOME_TO_COMMON_MARGIN","FQ3 2014","FQ3 2014","Currency=USD","Period=FQ","BEST_FPERIOD_OVERRIDE=FQ","FILING_STATUS=MR","FA_ADJUSTED=GAAP","Sort=A","Dates=H","DateFormat=P","Fill=—","Direction=H","UseDPDF=Y")</f>
        <v>18.302700000000002</v>
      </c>
      <c r="Q21" s="21">
        <f>_xll.BDH("AKAM US Equity","NET_INCOME_TO_COMMON_MARGIN","FQ4 2014","FQ4 2014","Currency=USD","Period=FQ","BEST_FPERIOD_OVERRIDE=FQ","FILING_STATUS=MR","FA_ADJUSTED=GAAP","Sort=A","Dates=H","DateFormat=P","Fill=—","Direction=H","UseDPDF=Y")</f>
        <v>18.106999999999999</v>
      </c>
      <c r="R21" s="21">
        <f>_xll.BDH("AKAM US Equity","NET_INCOME_TO_COMMON_MARGIN","FQ1 2015","FQ1 2015","Currency=USD","Period=FQ","BEST_FPERIOD_OVERRIDE=FQ","FILING_STATUS=MR","FA_ADJUSTED=GAAP","Sort=A","Dates=H","DateFormat=P","Fill=—","Direction=H","UseDPDF=Y")</f>
        <v>14.765599999999999</v>
      </c>
      <c r="S21" s="21">
        <f>_xll.BDH("AKAM US Equity","NET_INCOME_TO_COMMON_MARGIN","FQ2 2015","FQ2 2015","Currency=USD","Period=FQ","BEST_FPERIOD_OVERRIDE=FQ","FILING_STATUS=MR","FA_ADJUSTED=GAAP","Sort=A","Dates=H","DateFormat=P","Fill=—","Direction=H","UseDPDF=Y")</f>
        <v>12.4278</v>
      </c>
      <c r="T21" s="21">
        <f>_xll.BDH("AKAM US Equity","NET_INCOME_TO_COMMON_MARGIN","FQ3 2015","FQ3 2015","Currency=USD","Period=FQ","BEST_FPERIOD_OVERRIDE=FQ","FILING_STATUS=MR","FA_ADJUSTED=GAAP","Sort=A","Dates=H","DateFormat=P","Fill=—","Direction=H","UseDPDF=Y")</f>
        <v>15.977399999999999</v>
      </c>
      <c r="U21" s="21">
        <f>_xll.BDH("AKAM US Equity","NET_INCOME_TO_COMMON_MARGIN","FQ4 2015","FQ4 2015","Currency=USD","Period=FQ","BEST_FPERIOD_OVERRIDE=FQ","FILING_STATUS=MR","FA_ADJUSTED=GAAP","Sort=A","Dates=H","DateFormat=P","Fill=—","Direction=H","UseDPDF=Y")</f>
        <v>15.266999999999999</v>
      </c>
      <c r="V21" s="21">
        <f>_xll.BDH("AKAM US Equity","NET_INCOME_TO_COMMON_MARGIN","FQ1 2016","FQ1 2016","Currency=USD","Period=FQ","BEST_FPERIOD_OVERRIDE=FQ","FILING_STATUS=MR","FA_ADJUSTED=GAAP","Sort=A","Dates=H","DateFormat=P","Fill=—","Direction=H","UseDPDF=Y")</f>
        <v>13.185600000000001</v>
      </c>
      <c r="W21" s="21">
        <f>_xll.BDH("AKAM US Equity","NET_INCOME_TO_COMMON_MARGIN","FQ2 2016","FQ2 2016","Currency=USD","Period=FQ","BEST_FPERIOD_OVERRIDE=FQ","FILING_STATUS=MR","FA_ADJUSTED=GAAP","Sort=A","Dates=H","DateFormat=P","Fill=—","Direction=H","UseDPDF=Y")</f>
        <v>12.870200000000001</v>
      </c>
      <c r="X21" s="21">
        <f>_xll.BDH("AKAM US Equity","NET_INCOME_TO_COMMON_MARGIN","FQ3 2016","FQ3 2016","Currency=USD","Period=FQ","BEST_FPERIOD_OVERRIDE=FQ","FILING_STATUS=MR","FA_ADJUSTED=GAAP","Sort=A","Dates=H","DateFormat=P","Fill=—","Direction=H","UseDPDF=Y")</f>
        <v>13.0123</v>
      </c>
      <c r="Y21" s="21">
        <f>_xll.BDH("AKAM US Equity","NET_INCOME_TO_COMMON_MARGIN","FQ4 2016","FQ4 2016","Currency=USD","Period=FQ","BEST_FPERIOD_OVERRIDE=FQ","FILING_STATUS=MR","FA_ADJUSTED=GAAP","Sort=A","Dates=H","DateFormat=P","Fill=—","Direction=H","UseDPDF=Y")</f>
        <v>14.8735</v>
      </c>
      <c r="Z21" s="21">
        <f>_xll.BDH("AKAM US Equity","NET_INCOME_TO_COMMON_MARGIN","FQ1 2017","FQ1 2017","Currency=USD","Period=FQ","BEST_FPERIOD_OVERRIDE=FQ","FILING_STATUS=MR","FA_ADJUSTED=GAAP","Sort=A","Dates=H","DateFormat=P","Fill=—","Direction=H","UseDPDF=Y")</f>
        <v>12.4244</v>
      </c>
      <c r="AA21" s="21">
        <f>_xll.BDH("AKAM US Equity","NET_INCOME_TO_COMMON_MARGIN","FQ2 2017","FQ2 2017","Currency=USD","Period=FQ","BEST_FPERIOD_OVERRIDE=FQ","FILING_STATUS=MR","FA_ADJUSTED=GAAP","Sort=A","Dates=H","DateFormat=P","Fill=—","Direction=H","UseDPDF=Y")</f>
        <v>9.3675999999999995</v>
      </c>
      <c r="AB21" s="21">
        <f>_xll.BDH("AKAM US Equity","NET_INCOME_TO_COMMON_MARGIN","FQ3 2017","FQ3 2017","Currency=USD","Period=FQ","BEST_FPERIOD_OVERRIDE=FQ","FILING_STATUS=MR","FA_ADJUSTED=GAAP","Sort=A","Dates=H","DateFormat=P","Fill=—","Direction=H","UseDPDF=Y")</f>
        <v>10.2349</v>
      </c>
      <c r="AC21" s="21">
        <f>_xll.BDH("AKAM US Equity","NET_INCOME_TO_COMMON_MARGIN","FQ4 2017","FQ4 2017","Currency=USD","Period=FQ","BEST_FPERIOD_OVERRIDE=FQ","FILING_STATUS=MR","FA_ADJUSTED=GAAP","Sort=A","Dates=H","DateFormat=P","Fill=—","Direction=H","UseDPDF=Y")</f>
        <v>4.1794000000000002</v>
      </c>
      <c r="AD21" s="21">
        <f>_xll.BDH("AKAM US Equity","NET_INCOME_TO_COMMON_MARGIN","FQ1 2018","FQ1 2018","Currency=USD","Period=FQ","BEST_FPERIOD_OVERRIDE=FQ","FILING_STATUS=MR","FA_ADJUSTED=GAAP","Sort=A","Dates=H","DateFormat=P","Fill=—","Direction=H","UseDPDF=Y")</f>
        <v>8.0322999999999993</v>
      </c>
      <c r="AE21" s="21">
        <f>_xll.BDH("AKAM US Equity","NET_INCOME_TO_COMMON_MARGIN","FQ2 2018","FQ2 2018","Currency=USD","Period=FQ","BEST_FPERIOD_OVERRIDE=FQ","FILING_STATUS=MR","FA_ADJUSTED=GAAP","Sort=A","Dates=H","DateFormat=P","Fill=—","Direction=H","UseDPDF=Y")</f>
        <v>6.4972000000000003</v>
      </c>
      <c r="AF21" s="21">
        <f>_xll.BDH("AKAM US Equity","NET_INCOME_TO_COMMON_MARGIN","FQ3 2018","FQ3 2018","Currency=USD","Period=FQ","BEST_FPERIOD_OVERRIDE=FQ","FILING_STATUS=MR","FA_ADJUSTED=GAAP","Sort=A","Dates=H","DateFormat=P","Fill=—","Direction=H","UseDPDF=Y")</f>
        <v>16.066099999999999</v>
      </c>
      <c r="AG21" s="21">
        <f>_xll.BDH("AKAM US Equity","NET_INCOME_TO_COMMON_MARGIN","FQ4 2018","FQ4 2018","Currency=USD","Period=FQ","BEST_FPERIOD_OVERRIDE=FQ","FILING_STATUS=MR","FA_ADJUSTED=GAAP","Sort=A","Dates=H","DateFormat=P","Fill=—","Direction=H","UseDPDF=Y")</f>
        <v>13.1791</v>
      </c>
      <c r="AH21" s="21">
        <f>_xll.BDH("AKAM US Equity","NET_INCOME_TO_COMMON_MARGIN","FQ1 2019","FQ1 2019","Currency=USD","Period=FQ","BEST_FPERIOD_OVERRIDE=FQ","FILING_STATUS=MR","FA_ADJUSTED=GAAP","Sort=A","Dates=H","DateFormat=P","Fill=—","Direction=H","UseDPDF=Y")</f>
        <v>15.1633</v>
      </c>
      <c r="AI21" s="21">
        <f>_xll.BDH("AKAM US Equity","NET_INCOME_TO_COMMON_MARGIN","FQ2 2019","FQ2 2019","Currency=USD","Period=FQ","BEST_FPERIOD_OVERRIDE=FQ","FILING_STATUS=MR","FA_ADJUSTED=GAAP","Sort=A","Dates=H","DateFormat=P","Fill=—","Direction=H","UseDPDF=Y")</f>
        <v>16.156500000000001</v>
      </c>
      <c r="AJ21" s="21">
        <f>_xll.BDH("AKAM US Equity","NET_INCOME_TO_COMMON_MARGIN","FQ3 2019","FQ3 2019","Currency=USD","Period=FQ","BEST_FPERIOD_OVERRIDE=FQ","FILING_STATUS=MR","FA_ADJUSTED=GAAP","Sort=A","Dates=H","DateFormat=P","Fill=—","Direction=H","UseDPDF=Y")</f>
        <v>19.423500000000001</v>
      </c>
      <c r="AK21" s="21">
        <f>_xll.BDH("AKAM US Equity","NET_INCOME_TO_COMMON_MARGIN","FQ4 2019","FQ4 2019","Currency=USD","Period=FQ","BEST_FPERIOD_OVERRIDE=FQ","FILING_STATUS=MR","FA_ADJUSTED=GAAP","Sort=A","Dates=H","DateFormat=P","Fill=—","Direction=H","UseDPDF=Y")</f>
        <v>15.425000000000001</v>
      </c>
      <c r="AL21" s="21">
        <f>_xll.BDH("AKAM US Equity","NET_INCOME_TO_COMMON_MARGIN","FQ1 2020","FQ1 2020","Currency=USD","Period=FQ","BEST_FPERIOD_OVERRIDE=FQ","FILING_STATUS=MR","FA_ADJUSTED=GAAP","Sort=A","Dates=H","DateFormat=P","Fill=—","Direction=H","UseDPDF=Y")</f>
        <v>16.112200000000001</v>
      </c>
      <c r="AM21" s="21">
        <f>_xll.BDH("AKAM US Equity","NET_INCOME_TO_COMMON_MARGIN","FQ2 2020","FQ2 2020","Currency=USD","Period=FQ","BEST_FPERIOD_OVERRIDE=FQ","FILING_STATUS=MR","FA_ADJUSTED=GAAP","Sort=A","Dates=H","DateFormat=P","Fill=—","Direction=H","UseDPDF=Y")</f>
        <v>20.373999999999999</v>
      </c>
      <c r="AN21" s="21">
        <f>_xll.BDH("AKAM US Equity","NET_INCOME_TO_COMMON_MARGIN","FQ3 2020","FQ3 2020","Currency=USD","Period=FQ","BEST_FPERIOD_OVERRIDE=FQ","FILING_STATUS=MR","FA_ADJUSTED=GAAP","Sort=A","Dates=H","DateFormat=P","Fill=—","Direction=H","UseDPDF=Y")</f>
        <v>20.006799999999998</v>
      </c>
      <c r="AO21" s="21">
        <f>_xll.BDH("AKAM US Equity","NET_INCOME_TO_COMMON_MARGIN","FQ4 2020","FQ4 2020","Currency=USD","Period=FQ","BEST_FPERIOD_OVERRIDE=FQ","FILING_STATUS=MR","FA_ADJUSTED=GAAP","Sort=A","Dates=H","DateFormat=P","Fill=—","Direction=H","UseDPDF=Y")</f>
        <v>13.3962</v>
      </c>
      <c r="AP21" s="21">
        <f>_xll.BDH("AKAM US Equity","NET_INCOME_TO_COMMON_MARGIN","FQ1 2021","FQ1 2021","Currency=USD","Period=FQ","BEST_FPERIOD_OVERRIDE=FQ","FILING_STATUS=MR","FA_ADJUSTED=GAAP","Sort=A","Dates=H","DateFormat=P","Fill=—","Direction=H","UseDPDF=Y")</f>
        <v>18.4756</v>
      </c>
    </row>
    <row r="22" spans="1:42" x14ac:dyDescent="0.25">
      <c r="A22" s="18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</row>
    <row r="23" spans="1:42" x14ac:dyDescent="0.25">
      <c r="A23" s="14" t="s">
        <v>111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</row>
    <row r="24" spans="1:42" x14ac:dyDescent="0.25">
      <c r="A24" s="18" t="s">
        <v>112</v>
      </c>
      <c r="B24" s="18" t="s">
        <v>113</v>
      </c>
      <c r="C24" s="21">
        <f>_xll.BDH("AKAM US Equity","EFF_TAX_RATE","FQ2 2011","FQ2 2011","Currency=USD","Period=FQ","BEST_FPERIOD_OVERRIDE=FQ","FILING_STATUS=MR","FA_ADJUSTED=GAAP","Sort=A","Dates=H","DateFormat=P","Fill=—","Direction=H","UseDPDF=Y")</f>
        <v>37.128900000000002</v>
      </c>
      <c r="D24" s="21">
        <f>_xll.BDH("AKAM US Equity","EFF_TAX_RATE","FQ3 2011","FQ3 2011","Currency=USD","Period=FQ","BEST_FPERIOD_OVERRIDE=FQ","FILING_STATUS=MR","FA_ADJUSTED=GAAP","Sort=A","Dates=H","DateFormat=P","Fill=—","Direction=H","UseDPDF=Y")</f>
        <v>37.950299999999999</v>
      </c>
      <c r="E24" s="21">
        <f>_xll.BDH("AKAM US Equity","EFF_TAX_RATE","FQ4 2011","FQ4 2011","Currency=USD","Period=FQ","BEST_FPERIOD_OVERRIDE=FQ","FILING_STATUS=MR","FA_ADJUSTED=GAAP","Sort=A","Dates=H","DateFormat=P","Fill=—","Direction=H","UseDPDF=Y")</f>
        <v>31.845400000000001</v>
      </c>
      <c r="F24" s="21">
        <f>_xll.BDH("AKAM US Equity","EFF_TAX_RATE","FQ1 2012","FQ1 2012","Currency=USD","Period=FQ","BEST_FPERIOD_OVERRIDE=FQ","FILING_STATUS=MR","FA_ADJUSTED=GAAP","Sort=A","Dates=H","DateFormat=P","Fill=—","Direction=H","UseDPDF=Y")</f>
        <v>40.609200000000001</v>
      </c>
      <c r="G24" s="21">
        <f>_xll.BDH("AKAM US Equity","EFF_TAX_RATE","FQ2 2012","FQ2 2012","Currency=USD","Period=FQ","BEST_FPERIOD_OVERRIDE=FQ","FILING_STATUS=MR","FA_ADJUSTED=GAAP","Sort=A","Dates=H","DateFormat=P","Fill=—","Direction=H","UseDPDF=Y")</f>
        <v>36.591299999999997</v>
      </c>
      <c r="H24" s="21">
        <f>_xll.BDH("AKAM US Equity","EFF_TAX_RATE","FQ3 2012","FQ3 2012","Currency=USD","Period=FQ","BEST_FPERIOD_OVERRIDE=FQ","FILING_STATUS=MR","FA_ADJUSTED=GAAP","Sort=A","Dates=H","DateFormat=P","Fill=—","Direction=H","UseDPDF=Y")</f>
        <v>40.828800000000001</v>
      </c>
      <c r="I24" s="21">
        <f>_xll.BDH("AKAM US Equity","EFF_TAX_RATE","FQ4 2012","FQ4 2012","Currency=USD","Period=FQ","BEST_FPERIOD_OVERRIDE=FQ","FILING_STATUS=MR","FA_ADJUSTED=GAAP","Sort=A","Dates=H","DateFormat=P","Fill=—","Direction=H","UseDPDF=Y")</f>
        <v>29.977</v>
      </c>
      <c r="J24" s="21">
        <f>_xll.BDH("AKAM US Equity","EFF_TAX_RATE","FQ1 2013","FQ1 2013","Currency=USD","Period=FQ","BEST_FPERIOD_OVERRIDE=FQ","FILING_STATUS=MR","FA_ADJUSTED=GAAP","Sort=A","Dates=H","DateFormat=P","Fill=—","Direction=H","UseDPDF=Y")</f>
        <v>30.367999999999999</v>
      </c>
      <c r="K24" s="21">
        <f>_xll.BDH("AKAM US Equity","EFF_TAX_RATE","FQ2 2013","FQ2 2013","Currency=USD","Period=FQ","BEST_FPERIOD_OVERRIDE=FQ","FILING_STATUS=MR","FA_ADJUSTED=GAAP","Sort=A","Dates=H","DateFormat=P","Fill=—","Direction=H","UseDPDF=Y")</f>
        <v>37.681899999999999</v>
      </c>
      <c r="L24" s="21">
        <f>_xll.BDH("AKAM US Equity","EFF_TAX_RATE","FQ3 2013","FQ3 2013","Currency=USD","Period=FQ","BEST_FPERIOD_OVERRIDE=FQ","FILING_STATUS=MR","FA_ADJUSTED=GAAP","Sort=A","Dates=H","DateFormat=P","Fill=—","Direction=H","UseDPDF=Y")</f>
        <v>20.777999999999999</v>
      </c>
      <c r="M24" s="21">
        <f>_xll.BDH("AKAM US Equity","EFF_TAX_RATE","FQ4 2013","FQ4 2013","Currency=USD","Period=FQ","BEST_FPERIOD_OVERRIDE=FQ","FILING_STATUS=MR","FA_ADJUSTED=GAAP","Sort=A","Dates=H","DateFormat=P","Fill=—","Direction=H","UseDPDF=Y")</f>
        <v>31.263999999999999</v>
      </c>
      <c r="N24" s="21">
        <f>_xll.BDH("AKAM US Equity","EFF_TAX_RATE","FQ1 2014","FQ1 2014","Currency=USD","Period=FQ","BEST_FPERIOD_OVERRIDE=FQ","FILING_STATUS=MR","FA_ADJUSTED=GAAP","Sort=A","Dates=H","DateFormat=P","Fill=—","Direction=H","UseDPDF=Y")</f>
        <v>39.162999999999997</v>
      </c>
      <c r="O24" s="21">
        <f>_xll.BDH("AKAM US Equity","EFF_TAX_RATE","FQ2 2014","FQ2 2014","Currency=USD","Period=FQ","BEST_FPERIOD_OVERRIDE=FQ","FILING_STATUS=MR","FA_ADJUSTED=GAAP","Sort=A","Dates=H","DateFormat=P","Fill=—","Direction=H","UseDPDF=Y")</f>
        <v>32.9328</v>
      </c>
      <c r="P24" s="21">
        <f>_xll.BDH("AKAM US Equity","EFF_TAX_RATE","FQ3 2014","FQ3 2014","Currency=USD","Period=FQ","BEST_FPERIOD_OVERRIDE=FQ","FILING_STATUS=MR","FA_ADJUSTED=GAAP","Sort=A","Dates=H","DateFormat=P","Fill=—","Direction=H","UseDPDF=Y")</f>
        <v>22.473400000000002</v>
      </c>
      <c r="Q24" s="21">
        <f>_xll.BDH("AKAM US Equity","EFF_TAX_RATE","FQ4 2014","FQ4 2014","Currency=USD","Period=FQ","BEST_FPERIOD_OVERRIDE=FQ","FILING_STATUS=MR","FA_ADJUSTED=GAAP","Sort=A","Dates=H","DateFormat=P","Fill=—","Direction=H","UseDPDF=Y")</f>
        <v>27.454699999999999</v>
      </c>
      <c r="R24" s="21">
        <f>_xll.BDH("AKAM US Equity","EFF_TAX_RATE","FQ1 2015","FQ1 2015","Currency=USD","Period=FQ","BEST_FPERIOD_OVERRIDE=FQ","FILING_STATUS=MR","FA_ADJUSTED=GAAP","Sort=A","Dates=H","DateFormat=P","Fill=—","Direction=H","UseDPDF=Y")</f>
        <v>35.019399999999997</v>
      </c>
      <c r="S24" s="21">
        <f>_xll.BDH("AKAM US Equity","EFF_TAX_RATE","FQ2 2015","FQ2 2015","Currency=USD","Period=FQ","BEST_FPERIOD_OVERRIDE=FQ","FILING_STATUS=MR","FA_ADJUSTED=GAAP","Sort=A","Dates=H","DateFormat=P","Fill=—","Direction=H","UseDPDF=Y")</f>
        <v>34.450499999999998</v>
      </c>
      <c r="T24" s="21">
        <f>_xll.BDH("AKAM US Equity","EFF_TAX_RATE","FQ3 2015","FQ3 2015","Currency=USD","Period=FQ","BEST_FPERIOD_OVERRIDE=FQ","FILING_STATUS=MR","FA_ADJUSTED=GAAP","Sort=A","Dates=H","DateFormat=P","Fill=—","Direction=H","UseDPDF=Y")</f>
        <v>22.7624</v>
      </c>
      <c r="U24" s="21">
        <f>_xll.BDH("AKAM US Equity","EFF_TAX_RATE","FQ4 2015","FQ4 2015","Currency=USD","Period=FQ","BEST_FPERIOD_OVERRIDE=FQ","FILING_STATUS=MR","FA_ADJUSTED=GAAP","Sort=A","Dates=H","DateFormat=P","Fill=—","Direction=H","UseDPDF=Y")</f>
        <v>26.607199999999999</v>
      </c>
      <c r="V24" s="21">
        <f>_xll.BDH("AKAM US Equity","EFF_TAX_RATE","FQ1 2016","FQ1 2016","Currency=USD","Period=FQ","BEST_FPERIOD_OVERRIDE=FQ","FILING_STATUS=MR","FA_ADJUSTED=GAAP","Sort=A","Dates=H","DateFormat=P","Fill=—","Direction=H","UseDPDF=Y")</f>
        <v>33.5169</v>
      </c>
      <c r="W24" s="21">
        <f>_xll.BDH("AKAM US Equity","EFF_TAX_RATE","FQ2 2016","FQ2 2016","Currency=USD","Period=FQ","BEST_FPERIOD_OVERRIDE=FQ","FILING_STATUS=MR","FA_ADJUSTED=GAAP","Sort=A","Dates=H","DateFormat=P","Fill=—","Direction=H","UseDPDF=Y")</f>
        <v>32.660600000000002</v>
      </c>
      <c r="X24" s="21">
        <f>_xll.BDH("AKAM US Equity","EFF_TAX_RATE","FQ3 2016","FQ3 2016","Currency=USD","Period=FQ","BEST_FPERIOD_OVERRIDE=FQ","FILING_STATUS=MR","FA_ADJUSTED=GAAP","Sort=A","Dates=H","DateFormat=P","Fill=—","Direction=H","UseDPDF=Y")</f>
        <v>31.952100000000002</v>
      </c>
      <c r="Y24" s="21">
        <f>_xll.BDH("AKAM US Equity","EFF_TAX_RATE","FQ4 2016","FQ4 2016","Currency=USD","Period=FQ","BEST_FPERIOD_OVERRIDE=FQ","FILING_STATUS=MR","FA_ADJUSTED=GAAP","Sort=A","Dates=H","DateFormat=P","Fill=—","Direction=H","UseDPDF=Y")</f>
        <v>27.1631</v>
      </c>
      <c r="Z24" s="21">
        <f>_xll.BDH("AKAM US Equity","EFF_TAX_RATE","FQ1 2017","FQ1 2017","Currency=USD","Period=FQ","BEST_FPERIOD_OVERRIDE=FQ","FILING_STATUS=MR","FA_ADJUSTED=GAAP","Sort=A","Dates=H","DateFormat=P","Fill=—","Direction=H","UseDPDF=Y")</f>
        <v>28.749400000000001</v>
      </c>
      <c r="AA24" s="21">
        <f>_xll.BDH("AKAM US Equity","EFF_TAX_RATE","FQ2 2017","FQ2 2017","Currency=USD","Period=FQ","BEST_FPERIOD_OVERRIDE=FQ","FILING_STATUS=MR","FA_ADJUSTED=GAAP","Sort=A","Dates=H","DateFormat=P","Fill=—","Direction=H","UseDPDF=Y")</f>
        <v>33.848500000000001</v>
      </c>
      <c r="AB24" s="21">
        <f>_xll.BDH("AKAM US Equity","EFF_TAX_RATE","FQ3 2017","FQ3 2017","Currency=USD","Period=FQ","BEST_FPERIOD_OVERRIDE=FQ","FILING_STATUS=MR","FA_ADJUSTED=GAAP","Sort=A","Dates=H","DateFormat=P","Fill=—","Direction=H","UseDPDF=Y")</f>
        <v>30.1557</v>
      </c>
      <c r="AC24" s="21">
        <f>_xll.BDH("AKAM US Equity","EFF_TAX_RATE","FQ4 2017","FQ4 2017","Currency=USD","Period=FQ","BEST_FPERIOD_OVERRIDE=FQ","FILING_STATUS=MR","FA_ADJUSTED=GAAP","Sort=A","Dates=H","DateFormat=P","Fill=—","Direction=H","UseDPDF=Y")</f>
        <v>14.5846</v>
      </c>
      <c r="AD24" s="21">
        <f>_xll.BDH("AKAM US Equity","EFF_TAX_RATE","FQ1 2018","FQ1 2018","Currency=USD","Period=FQ","BEST_FPERIOD_OVERRIDE=FQ","FILING_STATUS=MR","FA_ADJUSTED=GAAP","Sort=A","Dates=H","DateFormat=P","Fill=—","Direction=H","UseDPDF=Y")</f>
        <v>20.650600000000001</v>
      </c>
      <c r="AE24" s="21">
        <f>_xll.BDH("AKAM US Equity","EFF_TAX_RATE","FQ2 2018","FQ2 2018","Currency=USD","Period=FQ","BEST_FPERIOD_OVERRIDE=FQ","FILING_STATUS=MR","FA_ADJUSTED=GAAP","Sort=A","Dates=H","DateFormat=P","Fill=—","Direction=H","UseDPDF=Y")</f>
        <v>16.4724</v>
      </c>
      <c r="AF24" s="21">
        <f>_xll.BDH("AKAM US Equity","EFF_TAX_RATE","FQ3 2018","FQ3 2018","Currency=USD","Period=FQ","BEST_FPERIOD_OVERRIDE=FQ","FILING_STATUS=MR","FA_ADJUSTED=GAAP","Sort=A","Dates=H","DateFormat=P","Fill=—","Direction=H","UseDPDF=Y")</f>
        <v>2.8771</v>
      </c>
      <c r="AG24" s="21">
        <f>_xll.BDH("AKAM US Equity","EFF_TAX_RATE","FQ4 2018","FQ4 2018","Currency=USD","Period=FQ","BEST_FPERIOD_OVERRIDE=FQ","FILING_STATUS=MR","FA_ADJUSTED=GAAP","Sort=A","Dates=H","DateFormat=P","Fill=—","Direction=H","UseDPDF=Y")</f>
        <v>16.854600000000001</v>
      </c>
      <c r="AH24" s="21">
        <f>_xll.BDH("AKAM US Equity","EFF_TAX_RATE","FQ1 2019","FQ1 2019","Currency=USD","Period=FQ","BEST_FPERIOD_OVERRIDE=FQ","FILING_STATUS=MR","FA_ADJUSTED=GAAP","Sort=A","Dates=H","DateFormat=P","Fill=—","Direction=H","UseDPDF=Y")</f>
        <v>18.566400000000002</v>
      </c>
      <c r="AI24" s="21">
        <f>_xll.BDH("AKAM US Equity","EFF_TAX_RATE","FQ2 2019","FQ2 2019","Currency=USD","Period=FQ","BEST_FPERIOD_OVERRIDE=FQ","FILING_STATUS=MR","FA_ADJUSTED=GAAP","Sort=A","Dates=H","DateFormat=P","Fill=—","Direction=H","UseDPDF=Y")</f>
        <v>14.457699999999999</v>
      </c>
      <c r="AJ24" s="21" t="str">
        <f>_xll.BDH("AKAM US Equity","EFF_TAX_RATE","FQ3 2019","FQ3 2019","Currency=USD","Period=FQ","BEST_FPERIOD_OVERRIDE=FQ","FILING_STATUS=MR","FA_ADJUSTED=GAAP","Sort=A","Dates=H","DateFormat=P","Fill=—","Direction=H","UseDPDF=Y")</f>
        <v>—</v>
      </c>
      <c r="AK24" s="21">
        <f>_xll.BDH("AKAM US Equity","EFF_TAX_RATE","FQ4 2019","FQ4 2019","Currency=USD","Period=FQ","BEST_FPERIOD_OVERRIDE=FQ","FILING_STATUS=MR","FA_ADJUSTED=GAAP","Sort=A","Dates=H","DateFormat=P","Fill=—","Direction=H","UseDPDF=Y")</f>
        <v>8.2137999999999991</v>
      </c>
      <c r="AL24" s="21">
        <f>_xll.BDH("AKAM US Equity","EFF_TAX_RATE","FQ1 2020","FQ1 2020","Currency=USD","Period=FQ","BEST_FPERIOD_OVERRIDE=FQ","FILING_STATUS=MR","FA_ADJUSTED=GAAP","Sort=A","Dates=H","DateFormat=P","Fill=—","Direction=H","UseDPDF=Y")</f>
        <v>10.352</v>
      </c>
      <c r="AM24" s="21">
        <f>_xll.BDH("AKAM US Equity","EFF_TAX_RATE","FQ2 2020","FQ2 2020","Currency=USD","Period=FQ","BEST_FPERIOD_OVERRIDE=FQ","FILING_STATUS=MR","FA_ADJUSTED=GAAP","Sort=A","Dates=H","DateFormat=P","Fill=—","Direction=H","UseDPDF=Y")</f>
        <v>10.311</v>
      </c>
      <c r="AN24" s="21">
        <f>_xll.BDH("AKAM US Equity","EFF_TAX_RATE","FQ3 2020","FQ3 2020","Currency=USD","Period=FQ","BEST_FPERIOD_OVERRIDE=FQ","FILING_STATUS=MR","FA_ADJUSTED=GAAP","Sort=A","Dates=H","DateFormat=P","Fill=—","Direction=H","UseDPDF=Y")</f>
        <v>5.2392000000000003</v>
      </c>
      <c r="AO24" s="21">
        <f>_xll.BDH("AKAM US Equity","EFF_TAX_RATE","FQ4 2020","FQ4 2020","Currency=USD","Period=FQ","BEST_FPERIOD_OVERRIDE=FQ","FILING_STATUS=MR","FA_ADJUSTED=GAAP","Sort=A","Dates=H","DateFormat=P","Fill=—","Direction=H","UseDPDF=Y")</f>
        <v>3.2242999999999999</v>
      </c>
      <c r="AP24" s="21">
        <f>_xll.BDH("AKAM US Equity","EFF_TAX_RATE","FQ1 2021","FQ1 2021","Currency=USD","Period=FQ","BEST_FPERIOD_OVERRIDE=FQ","FILING_STATUS=MR","FA_ADJUSTED=GAAP","Sort=A","Dates=H","DateFormat=P","Fill=—","Direction=H","UseDPDF=Y")</f>
        <v>7.0698999999999996</v>
      </c>
    </row>
    <row r="25" spans="1:42" x14ac:dyDescent="0.25">
      <c r="A25" s="18" t="s">
        <v>114</v>
      </c>
      <c r="B25" s="18" t="s">
        <v>115</v>
      </c>
      <c r="C25" s="21">
        <f>_xll.BDH("AKAM US Equity","DVD_PAYOUT_RATIO","FQ2 2011","FQ2 2011","Currency=USD","Period=FQ","BEST_FPERIOD_OVERRIDE=FQ","FILING_STATUS=MR","FA_ADJUSTED=GAAP","Sort=A","Dates=H","DateFormat=P","Fill=—","Direction=H","UseDPDF=Y")</f>
        <v>0</v>
      </c>
      <c r="D25" s="21">
        <f>_xll.BDH("AKAM US Equity","DVD_PAYOUT_RATIO","FQ3 2011","FQ3 2011","Currency=USD","Period=FQ","BEST_FPERIOD_OVERRIDE=FQ","FILING_STATUS=MR","FA_ADJUSTED=GAAP","Sort=A","Dates=H","DateFormat=P","Fill=—","Direction=H","UseDPDF=Y")</f>
        <v>0</v>
      </c>
      <c r="E25" s="21">
        <f>_xll.BDH("AKAM US Equity","DVD_PAYOUT_RATIO","FQ4 2011","FQ4 2011","Currency=USD","Period=FQ","BEST_FPERIOD_OVERRIDE=FQ","FILING_STATUS=MR","FA_ADJUSTED=GAAP","Sort=A","Dates=H","DateFormat=P","Fill=—","Direction=H","UseDPDF=Y")</f>
        <v>0</v>
      </c>
      <c r="F25" s="21">
        <f>_xll.BDH("AKAM US Equity","DVD_PAYOUT_RATIO","FQ1 2012","FQ1 2012","Currency=USD","Period=FQ","BEST_FPERIOD_OVERRIDE=FQ","FILING_STATUS=MR","FA_ADJUSTED=GAAP","Sort=A","Dates=H","DateFormat=P","Fill=—","Direction=H","UseDPDF=Y")</f>
        <v>0</v>
      </c>
      <c r="G25" s="21">
        <f>_xll.BDH("AKAM US Equity","DVD_PAYOUT_RATIO","FQ2 2012","FQ2 2012","Currency=USD","Period=FQ","BEST_FPERIOD_OVERRIDE=FQ","FILING_STATUS=MR","FA_ADJUSTED=GAAP","Sort=A","Dates=H","DateFormat=P","Fill=—","Direction=H","UseDPDF=Y")</f>
        <v>0</v>
      </c>
      <c r="H25" s="21">
        <f>_xll.BDH("AKAM US Equity","DVD_PAYOUT_RATIO","FQ3 2012","FQ3 2012","Currency=USD","Period=FQ","BEST_FPERIOD_OVERRIDE=FQ","FILING_STATUS=MR","FA_ADJUSTED=GAAP","Sort=A","Dates=H","DateFormat=P","Fill=—","Direction=H","UseDPDF=Y")</f>
        <v>0</v>
      </c>
      <c r="I25" s="21">
        <f>_xll.BDH("AKAM US Equity","DVD_PAYOUT_RATIO","FQ4 2012","FQ4 2012","Currency=USD","Period=FQ","BEST_FPERIOD_OVERRIDE=FQ","FILING_STATUS=MR","FA_ADJUSTED=GAAP","Sort=A","Dates=H","DateFormat=P","Fill=—","Direction=H","UseDPDF=Y")</f>
        <v>0</v>
      </c>
      <c r="J25" s="21">
        <f>_xll.BDH("AKAM US Equity","DVD_PAYOUT_RATIO","FQ1 2013","FQ1 2013","Currency=USD","Period=FQ","BEST_FPERIOD_OVERRIDE=FQ","FILING_STATUS=MR","FA_ADJUSTED=GAAP","Sort=A","Dates=H","DateFormat=P","Fill=—","Direction=H","UseDPDF=Y")</f>
        <v>0</v>
      </c>
      <c r="K25" s="21">
        <f>_xll.BDH("AKAM US Equity","DVD_PAYOUT_RATIO","FQ2 2013","FQ2 2013","Currency=USD","Period=FQ","BEST_FPERIOD_OVERRIDE=FQ","FILING_STATUS=MR","FA_ADJUSTED=GAAP","Sort=A","Dates=H","DateFormat=P","Fill=—","Direction=H","UseDPDF=Y")</f>
        <v>0</v>
      </c>
      <c r="L25" s="21">
        <f>_xll.BDH("AKAM US Equity","DVD_PAYOUT_RATIO","FQ3 2013","FQ3 2013","Currency=USD","Period=FQ","BEST_FPERIOD_OVERRIDE=FQ","FILING_STATUS=MR","FA_ADJUSTED=GAAP","Sort=A","Dates=H","DateFormat=P","Fill=—","Direction=H","UseDPDF=Y")</f>
        <v>0</v>
      </c>
      <c r="M25" s="21">
        <f>_xll.BDH("AKAM US Equity","DVD_PAYOUT_RATIO","FQ4 2013","FQ4 2013","Currency=USD","Period=FQ","BEST_FPERIOD_OVERRIDE=FQ","FILING_STATUS=MR","FA_ADJUSTED=GAAP","Sort=A","Dates=H","DateFormat=P","Fill=—","Direction=H","UseDPDF=Y")</f>
        <v>0</v>
      </c>
      <c r="N25" s="21">
        <f>_xll.BDH("AKAM US Equity","DVD_PAYOUT_RATIO","FQ1 2014","FQ1 2014","Currency=USD","Period=FQ","BEST_FPERIOD_OVERRIDE=FQ","FILING_STATUS=MR","FA_ADJUSTED=GAAP","Sort=A","Dates=H","DateFormat=P","Fill=—","Direction=H","UseDPDF=Y")</f>
        <v>0</v>
      </c>
      <c r="O25" s="21">
        <f>_xll.BDH("AKAM US Equity","DVD_PAYOUT_RATIO","FQ2 2014","FQ2 2014","Currency=USD","Period=FQ","BEST_FPERIOD_OVERRIDE=FQ","FILING_STATUS=MR","FA_ADJUSTED=GAAP","Sort=A","Dates=H","DateFormat=P","Fill=—","Direction=H","UseDPDF=Y")</f>
        <v>0</v>
      </c>
      <c r="P25" s="21">
        <f>_xll.BDH("AKAM US Equity","DVD_PAYOUT_RATIO","FQ3 2014","FQ3 2014","Currency=USD","Period=FQ","BEST_FPERIOD_OVERRIDE=FQ","FILING_STATUS=MR","FA_ADJUSTED=GAAP","Sort=A","Dates=H","DateFormat=P","Fill=—","Direction=H","UseDPDF=Y")</f>
        <v>0</v>
      </c>
      <c r="Q25" s="21">
        <f>_xll.BDH("AKAM US Equity","DVD_PAYOUT_RATIO","FQ4 2014","FQ4 2014","Currency=USD","Period=FQ","BEST_FPERIOD_OVERRIDE=FQ","FILING_STATUS=MR","FA_ADJUSTED=GAAP","Sort=A","Dates=H","DateFormat=P","Fill=—","Direction=H","UseDPDF=Y")</f>
        <v>0</v>
      </c>
      <c r="R25" s="21">
        <f>_xll.BDH("AKAM US Equity","DVD_PAYOUT_RATIO","FQ1 2015","FQ1 2015","Currency=USD","Period=FQ","BEST_FPERIOD_OVERRIDE=FQ","FILING_STATUS=MR","FA_ADJUSTED=GAAP","Sort=A","Dates=H","DateFormat=P","Fill=—","Direction=H","UseDPDF=Y")</f>
        <v>0</v>
      </c>
      <c r="S25" s="21">
        <f>_xll.BDH("AKAM US Equity","DVD_PAYOUT_RATIO","FQ2 2015","FQ2 2015","Currency=USD","Period=FQ","BEST_FPERIOD_OVERRIDE=FQ","FILING_STATUS=MR","FA_ADJUSTED=GAAP","Sort=A","Dates=H","DateFormat=P","Fill=—","Direction=H","UseDPDF=Y")</f>
        <v>0</v>
      </c>
      <c r="T25" s="21">
        <f>_xll.BDH("AKAM US Equity","DVD_PAYOUT_RATIO","FQ3 2015","FQ3 2015","Currency=USD","Period=FQ","BEST_FPERIOD_OVERRIDE=FQ","FILING_STATUS=MR","FA_ADJUSTED=GAAP","Sort=A","Dates=H","DateFormat=P","Fill=—","Direction=H","UseDPDF=Y")</f>
        <v>0</v>
      </c>
      <c r="U25" s="21">
        <f>_xll.BDH("AKAM US Equity","DVD_PAYOUT_RATIO","FQ4 2015","FQ4 2015","Currency=USD","Period=FQ","BEST_FPERIOD_OVERRIDE=FQ","FILING_STATUS=MR","FA_ADJUSTED=GAAP","Sort=A","Dates=H","DateFormat=P","Fill=—","Direction=H","UseDPDF=Y")</f>
        <v>0</v>
      </c>
      <c r="V25" s="21">
        <f>_xll.BDH("AKAM US Equity","DVD_PAYOUT_RATIO","FQ1 2016","FQ1 2016","Currency=USD","Period=FQ","BEST_FPERIOD_OVERRIDE=FQ","FILING_STATUS=MR","FA_ADJUSTED=GAAP","Sort=A","Dates=H","DateFormat=P","Fill=—","Direction=H","UseDPDF=Y")</f>
        <v>0</v>
      </c>
      <c r="W25" s="21">
        <f>_xll.BDH("AKAM US Equity","DVD_PAYOUT_RATIO","FQ2 2016","FQ2 2016","Currency=USD","Period=FQ","BEST_FPERIOD_OVERRIDE=FQ","FILING_STATUS=MR","FA_ADJUSTED=GAAP","Sort=A","Dates=H","DateFormat=P","Fill=—","Direction=H","UseDPDF=Y")</f>
        <v>0</v>
      </c>
      <c r="X25" s="21">
        <f>_xll.BDH("AKAM US Equity","DVD_PAYOUT_RATIO","FQ3 2016","FQ3 2016","Currency=USD","Period=FQ","BEST_FPERIOD_OVERRIDE=FQ","FILING_STATUS=MR","FA_ADJUSTED=GAAP","Sort=A","Dates=H","DateFormat=P","Fill=—","Direction=H","UseDPDF=Y")</f>
        <v>0</v>
      </c>
      <c r="Y25" s="21">
        <f>_xll.BDH("AKAM US Equity","DVD_PAYOUT_RATIO","FQ4 2016","FQ4 2016","Currency=USD","Period=FQ","BEST_FPERIOD_OVERRIDE=FQ","FILING_STATUS=MR","FA_ADJUSTED=GAAP","Sort=A","Dates=H","DateFormat=P","Fill=—","Direction=H","UseDPDF=Y")</f>
        <v>0</v>
      </c>
      <c r="Z25" s="21">
        <f>_xll.BDH("AKAM US Equity","DVD_PAYOUT_RATIO","FQ1 2017","FQ1 2017","Currency=USD","Period=FQ","BEST_FPERIOD_OVERRIDE=FQ","FILING_STATUS=MR","FA_ADJUSTED=GAAP","Sort=A","Dates=H","DateFormat=P","Fill=—","Direction=H","UseDPDF=Y")</f>
        <v>0</v>
      </c>
      <c r="AA25" s="21">
        <f>_xll.BDH("AKAM US Equity","DVD_PAYOUT_RATIO","FQ2 2017","FQ2 2017","Currency=USD","Period=FQ","BEST_FPERIOD_OVERRIDE=FQ","FILING_STATUS=MR","FA_ADJUSTED=GAAP","Sort=A","Dates=H","DateFormat=P","Fill=—","Direction=H","UseDPDF=Y")</f>
        <v>0</v>
      </c>
      <c r="AB25" s="21">
        <f>_xll.BDH("AKAM US Equity","DVD_PAYOUT_RATIO","FQ3 2017","FQ3 2017","Currency=USD","Period=FQ","BEST_FPERIOD_OVERRIDE=FQ","FILING_STATUS=MR","FA_ADJUSTED=GAAP","Sort=A","Dates=H","DateFormat=P","Fill=—","Direction=H","UseDPDF=Y")</f>
        <v>0</v>
      </c>
      <c r="AC25" s="21">
        <f>_xll.BDH("AKAM US Equity","DVD_PAYOUT_RATIO","FQ4 2017","FQ4 2017","Currency=USD","Period=FQ","BEST_FPERIOD_OVERRIDE=FQ","FILING_STATUS=MR","FA_ADJUSTED=GAAP","Sort=A","Dates=H","DateFormat=P","Fill=—","Direction=H","UseDPDF=Y")</f>
        <v>0</v>
      </c>
      <c r="AD25" s="21">
        <f>_xll.BDH("AKAM US Equity","DVD_PAYOUT_RATIO","FQ1 2018","FQ1 2018","Currency=USD","Period=FQ","BEST_FPERIOD_OVERRIDE=FQ","FILING_STATUS=MR","FA_ADJUSTED=GAAP","Sort=A","Dates=H","DateFormat=P","Fill=—","Direction=H","UseDPDF=Y")</f>
        <v>0</v>
      </c>
      <c r="AE25" s="21">
        <f>_xll.BDH("AKAM US Equity","DVD_PAYOUT_RATIO","FQ2 2018","FQ2 2018","Currency=USD","Period=FQ","BEST_FPERIOD_OVERRIDE=FQ","FILING_STATUS=MR","FA_ADJUSTED=GAAP","Sort=A","Dates=H","DateFormat=P","Fill=—","Direction=H","UseDPDF=Y")</f>
        <v>0</v>
      </c>
      <c r="AF25" s="21">
        <f>_xll.BDH("AKAM US Equity","DVD_PAYOUT_RATIO","FQ3 2018","FQ3 2018","Currency=USD","Period=FQ","BEST_FPERIOD_OVERRIDE=FQ","FILING_STATUS=MR","FA_ADJUSTED=GAAP","Sort=A","Dates=H","DateFormat=P","Fill=—","Direction=H","UseDPDF=Y")</f>
        <v>0</v>
      </c>
      <c r="AG25" s="21">
        <f>_xll.BDH("AKAM US Equity","DVD_PAYOUT_RATIO","FQ4 2018","FQ4 2018","Currency=USD","Period=FQ","BEST_FPERIOD_OVERRIDE=FQ","FILING_STATUS=MR","FA_ADJUSTED=GAAP","Sort=A","Dates=H","DateFormat=P","Fill=—","Direction=H","UseDPDF=Y")</f>
        <v>0</v>
      </c>
      <c r="AH25" s="21">
        <f>_xll.BDH("AKAM US Equity","DVD_PAYOUT_RATIO","FQ1 2019","FQ1 2019","Currency=USD","Period=FQ","BEST_FPERIOD_OVERRIDE=FQ","FILING_STATUS=MR","FA_ADJUSTED=GAAP","Sort=A","Dates=H","DateFormat=P","Fill=—","Direction=H","UseDPDF=Y")</f>
        <v>0</v>
      </c>
      <c r="AI25" s="21">
        <f>_xll.BDH("AKAM US Equity","DVD_PAYOUT_RATIO","FQ2 2019","FQ2 2019","Currency=USD","Period=FQ","BEST_FPERIOD_OVERRIDE=FQ","FILING_STATUS=MR","FA_ADJUSTED=GAAP","Sort=A","Dates=H","DateFormat=P","Fill=—","Direction=H","UseDPDF=Y")</f>
        <v>0</v>
      </c>
      <c r="AJ25" s="21">
        <f>_xll.BDH("AKAM US Equity","DVD_PAYOUT_RATIO","FQ3 2019","FQ3 2019","Currency=USD","Period=FQ","BEST_FPERIOD_OVERRIDE=FQ","FILING_STATUS=MR","FA_ADJUSTED=GAAP","Sort=A","Dates=H","DateFormat=P","Fill=—","Direction=H","UseDPDF=Y")</f>
        <v>0</v>
      </c>
      <c r="AK25" s="21">
        <f>_xll.BDH("AKAM US Equity","DVD_PAYOUT_RATIO","FQ4 2019","FQ4 2019","Currency=USD","Period=FQ","BEST_FPERIOD_OVERRIDE=FQ","FILING_STATUS=MR","FA_ADJUSTED=GAAP","Sort=A","Dates=H","DateFormat=P","Fill=—","Direction=H","UseDPDF=Y")</f>
        <v>0</v>
      </c>
      <c r="AL25" s="21">
        <f>_xll.BDH("AKAM US Equity","DVD_PAYOUT_RATIO","FQ1 2020","FQ1 2020","Currency=USD","Period=FQ","BEST_FPERIOD_OVERRIDE=FQ","FILING_STATUS=MR","FA_ADJUSTED=GAAP","Sort=A","Dates=H","DateFormat=P","Fill=—","Direction=H","UseDPDF=Y")</f>
        <v>0</v>
      </c>
      <c r="AM25" s="21">
        <f>_xll.BDH("AKAM US Equity","DVD_PAYOUT_RATIO","FQ2 2020","FQ2 2020","Currency=USD","Period=FQ","BEST_FPERIOD_OVERRIDE=FQ","FILING_STATUS=MR","FA_ADJUSTED=GAAP","Sort=A","Dates=H","DateFormat=P","Fill=—","Direction=H","UseDPDF=Y")</f>
        <v>0</v>
      </c>
      <c r="AN25" s="21">
        <f>_xll.BDH("AKAM US Equity","DVD_PAYOUT_RATIO","FQ3 2020","FQ3 2020","Currency=USD","Period=FQ","BEST_FPERIOD_OVERRIDE=FQ","FILING_STATUS=MR","FA_ADJUSTED=GAAP","Sort=A","Dates=H","DateFormat=P","Fill=—","Direction=H","UseDPDF=Y")</f>
        <v>0</v>
      </c>
      <c r="AO25" s="21">
        <f>_xll.BDH("AKAM US Equity","DVD_PAYOUT_RATIO","FQ4 2020","FQ4 2020","Currency=USD","Period=FQ","BEST_FPERIOD_OVERRIDE=FQ","FILING_STATUS=MR","FA_ADJUSTED=GAAP","Sort=A","Dates=H","DateFormat=P","Fill=—","Direction=H","UseDPDF=Y")</f>
        <v>0</v>
      </c>
      <c r="AP25" s="21">
        <f>_xll.BDH("AKAM US Equity","DVD_PAYOUT_RATIO","FQ1 2021","FQ1 2021","Currency=USD","Period=FQ","BEST_FPERIOD_OVERRIDE=FQ","FILING_STATUS=MR","FA_ADJUSTED=GAAP","Sort=A","Dates=H","DateFormat=P","Fill=—","Direction=H","UseDPDF=Y")</f>
        <v>0</v>
      </c>
    </row>
    <row r="26" spans="1:42" x14ac:dyDescent="0.25">
      <c r="A26" s="18" t="s">
        <v>116</v>
      </c>
      <c r="B26" s="18" t="s">
        <v>117</v>
      </c>
      <c r="C26" s="21">
        <f>_xll.BDH("AKAM US Equity","SUSTAIN_GROWTH_RT","FQ2 2011","FQ2 2011","Currency=USD","Period=FQ","BEST_FPERIOD_OVERRIDE=FQ","FILING_STATUS=MR","FA_ADJUSTED=GAAP","Sort=A","Dates=H","DateFormat=P","Fill=—","Direction=H","UseDPDF=Y")</f>
        <v>9.0806000000000004</v>
      </c>
      <c r="D26" s="21">
        <f>_xll.BDH("AKAM US Equity","SUSTAIN_GROWTH_RT","FQ3 2011","FQ3 2011","Currency=USD","Period=FQ","BEST_FPERIOD_OVERRIDE=FQ","FILING_STATUS=MR","FA_ADJUSTED=GAAP","Sort=A","Dates=H","DateFormat=P","Fill=—","Direction=H","UseDPDF=Y")</f>
        <v>9.3033999999999999</v>
      </c>
      <c r="E26" s="21">
        <f>_xll.BDH("AKAM US Equity","SUSTAIN_GROWTH_RT","FQ4 2011","FQ4 2011","Currency=USD","Period=FQ","BEST_FPERIOD_OVERRIDE=FQ","FILING_STATUS=MR","FA_ADJUSTED=GAAP","Sort=A","Dates=H","DateFormat=P","Fill=—","Direction=H","UseDPDF=Y")</f>
        <v>9.2713999999999999</v>
      </c>
      <c r="F26" s="21" t="str">
        <f>_xll.BDH("AKAM US Equity","SUSTAIN_GROWTH_RT","FQ1 2012","FQ1 2012","Currency=USD","Period=FQ","BEST_FPERIOD_OVERRIDE=FQ","FILING_STATUS=MR","FA_ADJUSTED=GAAP","Sort=A","Dates=H","DateFormat=P","Fill=—","Direction=H","UseDPDF=Y")</f>
        <v>#N/A Requesting Data...</v>
      </c>
      <c r="G26" s="21">
        <f>_xll.BDH("AKAM US Equity","SUSTAIN_GROWTH_RT","FQ2 2012","FQ2 2012","Currency=USD","Period=FQ","BEST_FPERIOD_OVERRIDE=FQ","FILING_STATUS=MR","FA_ADJUSTED=GAAP","Sort=A","Dates=H","DateFormat=P","Fill=—","Direction=H","UseDPDF=Y")</f>
        <v>8.5452999999999992</v>
      </c>
      <c r="H26" s="21">
        <f>_xll.BDH("AKAM US Equity","SUSTAIN_GROWTH_RT","FQ3 2012","FQ3 2012","Currency=USD","Period=FQ","BEST_FPERIOD_OVERRIDE=FQ","FILING_STATUS=MR","FA_ADJUSTED=GAAP","Sort=A","Dates=H","DateFormat=P","Fill=—","Direction=H","UseDPDF=Y")</f>
        <v>8.9357000000000006</v>
      </c>
      <c r="I26" s="21">
        <f>_xll.BDH("AKAM US Equity","SUSTAIN_GROWTH_RT","FQ4 2012","FQ4 2012","Currency=USD","Period=FQ","BEST_FPERIOD_OVERRIDE=FQ","FILING_STATUS=MR","FA_ADJUSTED=GAAP","Sort=A","Dates=H","DateFormat=P","Fill=—","Direction=H","UseDPDF=Y")</f>
        <v>9.0620999999999992</v>
      </c>
      <c r="J26" s="21">
        <f>_xll.BDH("AKAM US Equity","SUSTAIN_GROWTH_RT","FQ1 2013","FQ1 2013","Currency=USD","Period=FQ","BEST_FPERIOD_OVERRIDE=FQ","FILING_STATUS=MR","FA_ADJUSTED=GAAP","Sort=A","Dates=H","DateFormat=P","Fill=—","Direction=H","UseDPDF=Y")</f>
        <v>10.1287</v>
      </c>
      <c r="K26" s="21">
        <f>_xll.BDH("AKAM US Equity","SUSTAIN_GROWTH_RT","FQ2 2013","FQ2 2013","Currency=USD","Period=FQ","BEST_FPERIOD_OVERRIDE=FQ","FILING_STATUS=MR","FA_ADJUSTED=GAAP","Sort=A","Dates=H","DateFormat=P","Fill=—","Direction=H","UseDPDF=Y")</f>
        <v>10.719799999999999</v>
      </c>
      <c r="L26" s="21">
        <f>_xll.BDH("AKAM US Equity","SUSTAIN_GROWTH_RT","FQ3 2013","FQ3 2013","Currency=USD","Period=FQ","BEST_FPERIOD_OVERRIDE=FQ","FILING_STATUS=MR","FA_ADJUSTED=GAAP","Sort=A","Dates=H","DateFormat=P","Fill=—","Direction=H","UseDPDF=Y")</f>
        <v>11.7188</v>
      </c>
      <c r="M26" s="21">
        <f>_xll.BDH("AKAM US Equity","SUSTAIN_GROWTH_RT","FQ4 2013","FQ4 2013","Currency=USD","Period=FQ","BEST_FPERIOD_OVERRIDE=FQ","FILING_STATUS=MR","FA_ADJUSTED=GAAP","Sort=A","Dates=H","DateFormat=P","Fill=—","Direction=H","UseDPDF=Y")</f>
        <v>11.798</v>
      </c>
      <c r="N26" s="21">
        <f>_xll.BDH("AKAM US Equity","SUSTAIN_GROWTH_RT","FQ1 2014","FQ1 2014","Currency=USD","Period=FQ","BEST_FPERIOD_OVERRIDE=FQ","FILING_STATUS=MR","FA_ADJUSTED=GAAP","Sort=A","Dates=H","DateFormat=P","Fill=—","Direction=H","UseDPDF=Y")</f>
        <v>11.5678</v>
      </c>
      <c r="O26" s="21">
        <f>_xll.BDH("AKAM US Equity","SUSTAIN_GROWTH_RT","FQ2 2014","FQ2 2014","Currency=USD","Period=FQ","BEST_FPERIOD_OVERRIDE=FQ","FILING_STATUS=MR","FA_ADJUSTED=GAAP","Sort=A","Dates=H","DateFormat=P","Fill=—","Direction=H","UseDPDF=Y")</f>
        <v>11.714700000000001</v>
      </c>
      <c r="P26" s="21">
        <f>_xll.BDH("AKAM US Equity","SUSTAIN_GROWTH_RT","FQ3 2014","FQ3 2014","Currency=USD","Period=FQ","BEST_FPERIOD_OVERRIDE=FQ","FILING_STATUS=MR","FA_ADJUSTED=GAAP","Sort=A","Dates=H","DateFormat=P","Fill=—","Direction=H","UseDPDF=Y")</f>
        <v>11.766299999999999</v>
      </c>
      <c r="Q26" s="21">
        <f>_xll.BDH("AKAM US Equity","SUSTAIN_GROWTH_RT","FQ4 2014","FQ4 2014","Currency=USD","Period=FQ","BEST_FPERIOD_OVERRIDE=FQ","FILING_STATUS=MR","FA_ADJUSTED=GAAP","Sort=A","Dates=H","DateFormat=P","Fill=—","Direction=H","UseDPDF=Y")</f>
        <v>11.980700000000001</v>
      </c>
      <c r="R26" s="21" t="str">
        <f>_xll.BDH("AKAM US Equity","SUSTAIN_GROWTH_RT","FQ1 2015","FQ1 2015","Currency=USD","Period=FQ","BEST_FPERIOD_OVERRIDE=FQ","FILING_STATUS=MR","FA_ADJUSTED=GAAP","Sort=A","Dates=H","DateFormat=P","Fill=—","Direction=H","UseDPDF=Y")</f>
        <v>#N/A Requesting Data...</v>
      </c>
      <c r="S26" s="21">
        <f>_xll.BDH("AKAM US Equity","SUSTAIN_GROWTH_RT","FQ2 2015","FQ2 2015","Currency=USD","Period=FQ","BEST_FPERIOD_OVERRIDE=FQ","FILING_STATUS=MR","FA_ADJUSTED=GAAP","Sort=A","Dates=H","DateFormat=P","Fill=—","Direction=H","UseDPDF=Y")</f>
        <v>11.4543</v>
      </c>
      <c r="T26" s="21">
        <f>_xll.BDH("AKAM US Equity","SUSTAIN_GROWTH_RT","FQ3 2015","FQ3 2015","Currency=USD","Period=FQ","BEST_FPERIOD_OVERRIDE=FQ","FILING_STATUS=MR","FA_ADJUSTED=GAAP","Sort=A","Dates=H","DateFormat=P","Fill=—","Direction=H","UseDPDF=Y")</f>
        <v>11.125400000000001</v>
      </c>
      <c r="U26" s="21">
        <f>_xll.BDH("AKAM US Equity","SUSTAIN_GROWTH_RT","FQ4 2015","FQ4 2015","Currency=USD","Period=FQ","BEST_FPERIOD_OVERRIDE=FQ","FILING_STATUS=MR","FA_ADJUSTED=GAAP","Sort=A","Dates=H","DateFormat=P","Fill=—","Direction=H","UseDPDF=Y")</f>
        <v>10.5966</v>
      </c>
      <c r="V26" s="21">
        <f>_xll.BDH("AKAM US Equity","SUSTAIN_GROWTH_RT","FQ1 2016","FQ1 2016","Currency=USD","Period=FQ","BEST_FPERIOD_OVERRIDE=FQ","FILING_STATUS=MR","FA_ADJUSTED=GAAP","Sort=A","Dates=H","DateFormat=P","Fill=—","Direction=H","UseDPDF=Y")</f>
        <v>10.4513</v>
      </c>
      <c r="W26" s="21">
        <f>_xll.BDH("AKAM US Equity","SUSTAIN_GROWTH_RT","FQ2 2016","FQ2 2016","Currency=USD","Period=FQ","BEST_FPERIOD_OVERRIDE=FQ","FILING_STATUS=MR","FA_ADJUSTED=GAAP","Sort=A","Dates=H","DateFormat=P","Fill=—","Direction=H","UseDPDF=Y")</f>
        <v>10.4895</v>
      </c>
      <c r="X26" s="21">
        <f>_xll.BDH("AKAM US Equity","SUSTAIN_GROWTH_RT","FQ3 2016","FQ3 2016","Currency=USD","Period=FQ","BEST_FPERIOD_OVERRIDE=FQ","FILING_STATUS=MR","FA_ADJUSTED=GAAP","Sort=A","Dates=H","DateFormat=P","Fill=—","Direction=H","UseDPDF=Y")</f>
        <v>10.0059</v>
      </c>
      <c r="Y26" s="21">
        <f>_xll.BDH("AKAM US Equity","SUSTAIN_GROWTH_RT","FQ4 2016","FQ4 2016","Currency=USD","Period=FQ","BEST_FPERIOD_OVERRIDE=FQ","FILING_STATUS=MR","FA_ADJUSTED=GAAP","Sort=A","Dates=H","DateFormat=P","Fill=—","Direction=H","UseDPDF=Y")</f>
        <v>9.9643999999999995</v>
      </c>
      <c r="Z26" s="21">
        <f>_xll.BDH("AKAM US Equity","SUSTAIN_GROWTH_RT","FQ1 2017","FQ1 2017","Currency=USD","Period=FQ","BEST_FPERIOD_OVERRIDE=FQ","FILING_STATUS=MR","FA_ADJUSTED=GAAP","Sort=A","Dates=H","DateFormat=P","Fill=—","Direction=H","UseDPDF=Y")</f>
        <v>9.9137000000000004</v>
      </c>
      <c r="AA26" s="21">
        <f>_xll.BDH("AKAM US Equity","SUSTAIN_GROWTH_RT","FQ2 2017","FQ2 2017","Currency=USD","Period=FQ","BEST_FPERIOD_OVERRIDE=FQ","FILING_STATUS=MR","FA_ADJUSTED=GAAP","Sort=A","Dates=H","DateFormat=P","Fill=—","Direction=H","UseDPDF=Y")</f>
        <v>9.2882999999999996</v>
      </c>
      <c r="AB26" s="21">
        <f>_xll.BDH("AKAM US Equity","SUSTAIN_GROWTH_RT","FQ3 2017","FQ3 2017","Currency=USD","Period=FQ","BEST_FPERIOD_OVERRIDE=FQ","FILING_STATUS=MR","FA_ADJUSTED=GAAP","Sort=A","Dates=H","DateFormat=P","Fill=—","Direction=H","UseDPDF=Y")</f>
        <v>8.9072999999999993</v>
      </c>
      <c r="AC26" s="21">
        <f>_xll.BDH("AKAM US Equity","SUSTAIN_GROWTH_RT","FQ4 2017","FQ4 2017","Currency=USD","Period=FQ","BEST_FPERIOD_OVERRIDE=FQ","FILING_STATUS=MR","FA_ADJUSTED=GAAP","Sort=A","Dates=H","DateFormat=P","Fill=—","Direction=H","UseDPDF=Y")</f>
        <v>6.7640000000000002</v>
      </c>
      <c r="AD26" s="21" t="str">
        <f>_xll.BDH("AKAM US Equity","SUSTAIN_GROWTH_RT","FQ1 2018","FQ1 2018","Currency=USD","Period=FQ","BEST_FPERIOD_OVERRIDE=FQ","FILING_STATUS=MR","FA_ADJUSTED=GAAP","Sort=A","Dates=H","DateFormat=P","Fill=—","Direction=H","UseDPDF=Y")</f>
        <v>#N/A Requesting Data...</v>
      </c>
      <c r="AE26" s="21">
        <f>_xll.BDH("AKAM US Equity","SUSTAIN_GROWTH_RT","FQ2 2018","FQ2 2018","Currency=USD","Period=FQ","BEST_FPERIOD_OVERRIDE=FQ","FILING_STATUS=MR","FA_ADJUSTED=GAAP","Sort=A","Dates=H","DateFormat=P","Fill=—","Direction=H","UseDPDF=Y")</f>
        <v>5.5910000000000002</v>
      </c>
      <c r="AF26" s="21">
        <f>_xll.BDH("AKAM US Equity","SUSTAIN_GROWTH_RT","FQ3 2018","FQ3 2018","Currency=USD","Period=FQ","BEST_FPERIOD_OVERRIDE=FQ","FILING_STATUS=MR","FA_ADJUSTED=GAAP","Sort=A","Dates=H","DateFormat=P","Fill=—","Direction=H","UseDPDF=Y")</f>
        <v>7.2144000000000004</v>
      </c>
      <c r="AG26" s="21">
        <f>_xll.BDH("AKAM US Equity","SUSTAIN_GROWTH_RT","FQ4 2018","FQ4 2018","Currency=USD","Period=FQ","BEST_FPERIOD_OVERRIDE=FQ","FILING_STATUS=MR","FA_ADJUSTED=GAAP","Sort=A","Dates=H","DateFormat=P","Fill=—","Direction=H","UseDPDF=Y")</f>
        <v>9.1045999999999996</v>
      </c>
      <c r="AH26" s="21">
        <f>_xll.BDH("AKAM US Equity","SUSTAIN_GROWTH_RT","FQ1 2019","FQ1 2019","Currency=USD","Period=FQ","BEST_FPERIOD_OVERRIDE=FQ","FILING_STATUS=MR","FA_ADJUSTED=GAAP","Sort=A","Dates=H","DateFormat=P","Fill=—","Direction=H","UseDPDF=Y")</f>
        <v>10.549200000000001</v>
      </c>
      <c r="AI26" s="21">
        <f>_xll.BDH("AKAM US Equity","SUSTAIN_GROWTH_RT","FQ2 2019","FQ2 2019","Currency=USD","Period=FQ","BEST_FPERIOD_OVERRIDE=FQ","FILING_STATUS=MR","FA_ADJUSTED=GAAP","Sort=A","Dates=H","DateFormat=P","Fill=—","Direction=H","UseDPDF=Y")</f>
        <v>12.357900000000001</v>
      </c>
      <c r="AJ26" s="21">
        <f>_xll.BDH("AKAM US Equity","SUSTAIN_GROWTH_RT","FQ3 2019","FQ3 2019","Currency=USD","Period=FQ","BEST_FPERIOD_OVERRIDE=FQ","FILING_STATUS=MR","FA_ADJUSTED=GAAP","Sort=A","Dates=H","DateFormat=P","Fill=—","Direction=H","UseDPDF=Y")</f>
        <v>13.608000000000001</v>
      </c>
      <c r="AK26" s="21">
        <f>_xll.BDH("AKAM US Equity","SUSTAIN_GROWTH_RT","FQ4 2019","FQ4 2019","Currency=USD","Period=FQ","BEST_FPERIOD_OVERRIDE=FQ","FILING_STATUS=MR","FA_ADJUSTED=GAAP","Sort=A","Dates=H","DateFormat=P","Fill=—","Direction=H","UseDPDF=Y")</f>
        <v>13.957599999999999</v>
      </c>
      <c r="AL26" s="21">
        <f>_xll.BDH("AKAM US Equity","SUSTAIN_GROWTH_RT","FQ1 2020","FQ1 2020","Currency=USD","Period=FQ","BEST_FPERIOD_OVERRIDE=FQ","FILING_STATUS=MR","FA_ADJUSTED=GAAP","Sort=A","Dates=H","DateFormat=P","Fill=—","Direction=H","UseDPDF=Y")</f>
        <v>14.206200000000001</v>
      </c>
      <c r="AM26" s="21">
        <f>_xll.BDH("AKAM US Equity","SUSTAIN_GROWTH_RT","FQ2 2020","FQ2 2020","Currency=USD","Period=FQ","BEST_FPERIOD_OVERRIDE=FQ","FILING_STATUS=MR","FA_ADJUSTED=GAAP","Sort=A","Dates=H","DateFormat=P","Fill=—","Direction=H","UseDPDF=Y")</f>
        <v>14.852600000000001</v>
      </c>
      <c r="AN26" s="21">
        <f>_xll.BDH("AKAM US Equity","SUSTAIN_GROWTH_RT","FQ3 2020","FQ3 2020","Currency=USD","Period=FQ","BEST_FPERIOD_OVERRIDE=FQ","FILING_STATUS=MR","FA_ADJUSTED=GAAP","Sort=A","Dates=H","DateFormat=P","Fill=—","Direction=H","UseDPDF=Y")</f>
        <v>14.792199999999999</v>
      </c>
      <c r="AO26" s="21">
        <f>_xll.BDH("AKAM US Equity","SUSTAIN_GROWTH_RT","FQ4 2020","FQ4 2020","Currency=USD","Period=FQ","BEST_FPERIOD_OVERRIDE=FQ","FILING_STATUS=MR","FA_ADJUSTED=GAAP","Sort=A","Dates=H","DateFormat=P","Fill=—","Direction=H","UseDPDF=Y")</f>
        <v>14.0861</v>
      </c>
      <c r="AP26" s="21" t="str">
        <f>_xll.BDH("AKAM US Equity","SUSTAIN_GROWTH_RT","FQ1 2021","FQ1 2021","Currency=USD","Period=FQ","BEST_FPERIOD_OVERRIDE=FQ","FILING_STATUS=MR","FA_ADJUSTED=GAAP","Sort=A","Dates=H","DateFormat=P","Fill=—","Direction=H","UseDPDF=Y")</f>
        <v>#N/A Requesting Data...</v>
      </c>
    </row>
    <row r="27" spans="1:42" x14ac:dyDescent="0.25">
      <c r="A27" s="15" t="s">
        <v>118</v>
      </c>
      <c r="B27" s="15"/>
      <c r="C27" s="15" t="s">
        <v>0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2" t="s">
        <v>2</v>
      </c>
      <c r="B4" s="2"/>
      <c r="C4" s="3" t="s">
        <v>159</v>
      </c>
      <c r="D4" s="3" t="s">
        <v>158</v>
      </c>
      <c r="E4" s="3" t="s">
        <v>157</v>
      </c>
      <c r="F4" s="3" t="s">
        <v>156</v>
      </c>
      <c r="G4" s="3" t="s">
        <v>155</v>
      </c>
      <c r="H4" s="3" t="s">
        <v>154</v>
      </c>
      <c r="I4" s="3" t="s">
        <v>153</v>
      </c>
      <c r="J4" s="3" t="s">
        <v>152</v>
      </c>
      <c r="K4" s="3" t="s">
        <v>151</v>
      </c>
      <c r="L4" s="3" t="s">
        <v>150</v>
      </c>
      <c r="M4" s="3" t="s">
        <v>149</v>
      </c>
      <c r="N4" s="3" t="s">
        <v>148</v>
      </c>
      <c r="O4" s="3" t="s">
        <v>147</v>
      </c>
      <c r="P4" s="3" t="s">
        <v>146</v>
      </c>
      <c r="Q4" s="3" t="s">
        <v>145</v>
      </c>
      <c r="R4" s="3" t="s">
        <v>144</v>
      </c>
      <c r="S4" s="3" t="s">
        <v>143</v>
      </c>
      <c r="T4" s="3" t="s">
        <v>142</v>
      </c>
      <c r="U4" s="3" t="s">
        <v>141</v>
      </c>
      <c r="V4" s="3" t="s">
        <v>140</v>
      </c>
      <c r="W4" s="3" t="s">
        <v>139</v>
      </c>
      <c r="X4" s="3" t="s">
        <v>138</v>
      </c>
      <c r="Y4" s="3" t="s">
        <v>137</v>
      </c>
      <c r="Z4" s="3" t="s">
        <v>136</v>
      </c>
      <c r="AA4" s="3" t="s">
        <v>135</v>
      </c>
      <c r="AB4" s="3" t="s">
        <v>134</v>
      </c>
      <c r="AC4" s="3" t="s">
        <v>133</v>
      </c>
      <c r="AD4" s="3" t="s">
        <v>132</v>
      </c>
      <c r="AE4" s="3" t="s">
        <v>131</v>
      </c>
      <c r="AF4" s="3" t="s">
        <v>130</v>
      </c>
      <c r="AG4" s="3" t="s">
        <v>129</v>
      </c>
      <c r="AH4" s="3" t="s">
        <v>128</v>
      </c>
      <c r="AI4" s="3" t="s">
        <v>127</v>
      </c>
      <c r="AJ4" s="3" t="s">
        <v>126</v>
      </c>
      <c r="AK4" s="3" t="s">
        <v>125</v>
      </c>
      <c r="AL4" s="3" t="s">
        <v>124</v>
      </c>
      <c r="AM4" s="3" t="s">
        <v>123</v>
      </c>
      <c r="AN4" s="3" t="s">
        <v>122</v>
      </c>
      <c r="AO4" s="3" t="s">
        <v>121</v>
      </c>
      <c r="AP4" s="3" t="s">
        <v>120</v>
      </c>
    </row>
    <row r="5" spans="1:42" x14ac:dyDescent="0.25">
      <c r="A5" s="4" t="s">
        <v>119</v>
      </c>
      <c r="B5" s="4"/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  <c r="H5" s="5" t="s">
        <v>49</v>
      </c>
      <c r="I5" s="5" t="s">
        <v>50</v>
      </c>
      <c r="J5" s="5" t="s">
        <v>51</v>
      </c>
      <c r="K5" s="5" t="s">
        <v>52</v>
      </c>
      <c r="L5" s="5" t="s">
        <v>53</v>
      </c>
      <c r="M5" s="5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S5" s="5" t="s">
        <v>60</v>
      </c>
      <c r="T5" s="5" t="s">
        <v>61</v>
      </c>
      <c r="U5" s="5" t="s">
        <v>62</v>
      </c>
      <c r="V5" s="5" t="s">
        <v>63</v>
      </c>
      <c r="W5" s="5" t="s">
        <v>64</v>
      </c>
      <c r="X5" s="5" t="s">
        <v>65</v>
      </c>
      <c r="Y5" s="5" t="s">
        <v>66</v>
      </c>
      <c r="Z5" s="5" t="s">
        <v>67</v>
      </c>
      <c r="AA5" s="5" t="s">
        <v>68</v>
      </c>
      <c r="AB5" s="5" t="s">
        <v>69</v>
      </c>
      <c r="AC5" s="5" t="s">
        <v>70</v>
      </c>
      <c r="AD5" s="5" t="s">
        <v>71</v>
      </c>
      <c r="AE5" s="5" t="s">
        <v>72</v>
      </c>
      <c r="AF5" s="5" t="s">
        <v>73</v>
      </c>
      <c r="AG5" s="5" t="s">
        <v>74</v>
      </c>
      <c r="AH5" s="5" t="s">
        <v>75</v>
      </c>
      <c r="AI5" s="5" t="s">
        <v>76</v>
      </c>
      <c r="AJ5" s="5" t="s">
        <v>77</v>
      </c>
      <c r="AK5" s="5" t="s">
        <v>78</v>
      </c>
      <c r="AL5" s="5" t="s">
        <v>79</v>
      </c>
      <c r="AM5" s="5" t="s">
        <v>80</v>
      </c>
      <c r="AN5" s="5" t="s">
        <v>81</v>
      </c>
      <c r="AO5" s="5" t="s">
        <v>82</v>
      </c>
      <c r="AP5" s="5" t="s">
        <v>83</v>
      </c>
    </row>
    <row r="6" spans="1:42" x14ac:dyDescent="0.25">
      <c r="A6" s="7" t="s">
        <v>84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x14ac:dyDescent="0.25">
      <c r="A7" s="8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</row>
    <row r="8" spans="1:42" x14ac:dyDescent="0.25">
      <c r="A8" s="7" t="s">
        <v>93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</row>
    <row r="9" spans="1:42" x14ac:dyDescent="0.25">
      <c r="A9" s="8" t="s">
        <v>94</v>
      </c>
      <c r="B9" s="8" t="s">
        <v>95</v>
      </c>
      <c r="C9" s="21" t="str">
        <f>_xll.BDP("AKAM US Equity","GROSS_MARGIN","EQY_FUND_YEAR=2011","FUND_PER=C2","EQY_FUND_CRNCY=USD","FILING_STATUS=MR","FA_ADJUSTED=GAAP","Fill=—")</f>
        <v>#N/A Requesting Data...</v>
      </c>
      <c r="D9" s="21" t="str">
        <f>_xll.BDP("AKAM US Equity","GROSS_MARGIN","EQY_FUND_YEAR=2011","FUND_PER=C3","EQY_FUND_CRNCY=USD","FILING_STATUS=MR","FA_ADJUSTED=GAAP","Fill=—")</f>
        <v>#N/A Requesting Data...</v>
      </c>
      <c r="E9" s="21" t="str">
        <f>_xll.BDP("AKAM US Equity","GROSS_MARGIN","EQY_FUND_YEAR=2011","FUND_PER=C4","EQY_FUND_CRNCY=USD","FILING_STATUS=MR","FA_ADJUSTED=GAAP","Fill=—")</f>
        <v>#N/A Requesting Data...</v>
      </c>
      <c r="F9" s="21" t="str">
        <f>_xll.BDP("AKAM US Equity","GROSS_MARGIN","EQY_FUND_YEAR=2012","FUND_PER=C1","EQY_FUND_CRNCY=USD","FILING_STATUS=MR","FA_ADJUSTED=GAAP","Fill=—")</f>
        <v>#N/A Requesting Data...</v>
      </c>
      <c r="G9" s="21" t="str">
        <f>_xll.BDP("AKAM US Equity","GROSS_MARGIN","EQY_FUND_YEAR=2012","FUND_PER=C2","EQY_FUND_CRNCY=USD","FILING_STATUS=MR","FA_ADJUSTED=GAAP","Fill=—")</f>
        <v>#N/A Requesting Data...</v>
      </c>
      <c r="H9" s="21" t="str">
        <f>_xll.BDP("AKAM US Equity","GROSS_MARGIN","EQY_FUND_YEAR=2012","FUND_PER=C3","EQY_FUND_CRNCY=USD","FILING_STATUS=MR","FA_ADJUSTED=GAAP","Fill=—")</f>
        <v>#N/A Requesting Data...</v>
      </c>
      <c r="I9" s="21" t="str">
        <f>_xll.BDP("AKAM US Equity","GROSS_MARGIN","EQY_FUND_YEAR=2012","FUND_PER=C4","EQY_FUND_CRNCY=USD","FILING_STATUS=MR","FA_ADJUSTED=GAAP","Fill=—")</f>
        <v>#N/A Requesting Data...</v>
      </c>
      <c r="J9" s="21" t="str">
        <f>_xll.BDP("AKAM US Equity","GROSS_MARGIN","EQY_FUND_YEAR=2013","FUND_PER=C1","EQY_FUND_CRNCY=USD","FILING_STATUS=MR","FA_ADJUSTED=GAAP","Fill=—")</f>
        <v>#N/A Requesting Data...</v>
      </c>
      <c r="K9" s="21" t="str">
        <f>_xll.BDP("AKAM US Equity","GROSS_MARGIN","EQY_FUND_YEAR=2013","FUND_PER=C2","EQY_FUND_CRNCY=USD","FILING_STATUS=MR","FA_ADJUSTED=GAAP","Fill=—")</f>
        <v>#N/A Requesting Data...</v>
      </c>
      <c r="L9" s="21" t="str">
        <f>_xll.BDP("AKAM US Equity","GROSS_MARGIN","EQY_FUND_YEAR=2013","FUND_PER=C3","EQY_FUND_CRNCY=USD","FILING_STATUS=MR","FA_ADJUSTED=GAAP","Fill=—")</f>
        <v>#N/A Requesting Data...</v>
      </c>
      <c r="M9" s="21" t="str">
        <f>_xll.BDP("AKAM US Equity","GROSS_MARGIN","EQY_FUND_YEAR=2013","FUND_PER=C4","EQY_FUND_CRNCY=USD","FILING_STATUS=MR","FA_ADJUSTED=GAAP","Fill=—")</f>
        <v>#N/A Requesting Data...</v>
      </c>
      <c r="N9" s="21" t="str">
        <f>_xll.BDP("AKAM US Equity","GROSS_MARGIN","EQY_FUND_YEAR=2014","FUND_PER=C1","EQY_FUND_CRNCY=USD","FILING_STATUS=MR","FA_ADJUSTED=GAAP","Fill=—")</f>
        <v>#N/A Requesting Data...</v>
      </c>
      <c r="O9" s="21" t="str">
        <f>_xll.BDP("AKAM US Equity","GROSS_MARGIN","EQY_FUND_YEAR=2014","FUND_PER=C2","EQY_FUND_CRNCY=USD","FILING_STATUS=MR","FA_ADJUSTED=GAAP","Fill=—")</f>
        <v>#N/A Requesting Data...</v>
      </c>
      <c r="P9" s="21" t="str">
        <f>_xll.BDP("AKAM US Equity","GROSS_MARGIN","EQY_FUND_YEAR=2014","FUND_PER=C3","EQY_FUND_CRNCY=USD","FILING_STATUS=MR","FA_ADJUSTED=GAAP","Fill=—")</f>
        <v>#N/A Requesting Data...</v>
      </c>
      <c r="Q9" s="21" t="str">
        <f>_xll.BDP("AKAM US Equity","GROSS_MARGIN","EQY_FUND_YEAR=2014","FUND_PER=C4","EQY_FUND_CRNCY=USD","FILING_STATUS=MR","FA_ADJUSTED=GAAP","Fill=—")</f>
        <v>#N/A Requesting Data...</v>
      </c>
      <c r="R9" s="21" t="str">
        <f>_xll.BDP("AKAM US Equity","GROSS_MARGIN","EQY_FUND_YEAR=2015","FUND_PER=C1","EQY_FUND_CRNCY=USD","FILING_STATUS=MR","FA_ADJUSTED=GAAP","Fill=—")</f>
        <v>#N/A Requesting Data...</v>
      </c>
      <c r="S9" s="21" t="str">
        <f>_xll.BDP("AKAM US Equity","GROSS_MARGIN","EQY_FUND_YEAR=2015","FUND_PER=C2","EQY_FUND_CRNCY=USD","FILING_STATUS=MR","FA_ADJUSTED=GAAP","Fill=—")</f>
        <v>#N/A Requesting Data...</v>
      </c>
      <c r="T9" s="21" t="str">
        <f>_xll.BDP("AKAM US Equity","GROSS_MARGIN","EQY_FUND_YEAR=2015","FUND_PER=C3","EQY_FUND_CRNCY=USD","FILING_STATUS=MR","FA_ADJUSTED=GAAP","Fill=—")</f>
        <v>#N/A Requesting Data...</v>
      </c>
      <c r="U9" s="21" t="str">
        <f>_xll.BDP("AKAM US Equity","GROSS_MARGIN","EQY_FUND_YEAR=2015","FUND_PER=C4","EQY_FUND_CRNCY=USD","FILING_STATUS=MR","FA_ADJUSTED=GAAP","Fill=—")</f>
        <v>#N/A Requesting Data...</v>
      </c>
      <c r="V9" s="21" t="str">
        <f>_xll.BDP("AKAM US Equity","GROSS_MARGIN","EQY_FUND_YEAR=2016","FUND_PER=C1","EQY_FUND_CRNCY=USD","FILING_STATUS=MR","FA_ADJUSTED=GAAP","Fill=—")</f>
        <v>#N/A Requesting Data...</v>
      </c>
      <c r="W9" s="21" t="str">
        <f>_xll.BDP("AKAM US Equity","GROSS_MARGIN","EQY_FUND_YEAR=2016","FUND_PER=C2","EQY_FUND_CRNCY=USD","FILING_STATUS=MR","FA_ADJUSTED=GAAP","Fill=—")</f>
        <v>#N/A Requesting Data...</v>
      </c>
      <c r="X9" s="21" t="str">
        <f>_xll.BDP("AKAM US Equity","GROSS_MARGIN","EQY_FUND_YEAR=2016","FUND_PER=C3","EQY_FUND_CRNCY=USD","FILING_STATUS=MR","FA_ADJUSTED=GAAP","Fill=—")</f>
        <v>#N/A Requesting Data...</v>
      </c>
      <c r="Y9" s="21" t="str">
        <f>_xll.BDP("AKAM US Equity","GROSS_MARGIN","EQY_FUND_YEAR=2016","FUND_PER=C4","EQY_FUND_CRNCY=USD","FILING_STATUS=MR","FA_ADJUSTED=GAAP","Fill=—")</f>
        <v>#N/A Requesting Data...</v>
      </c>
      <c r="Z9" s="21" t="str">
        <f>_xll.BDP("AKAM US Equity","GROSS_MARGIN","EQY_FUND_YEAR=2017","FUND_PER=C1","EQY_FUND_CRNCY=USD","FILING_STATUS=MR","FA_ADJUSTED=GAAP","Fill=—")</f>
        <v>#N/A Requesting Data...</v>
      </c>
      <c r="AA9" s="21" t="str">
        <f>_xll.BDP("AKAM US Equity","GROSS_MARGIN","EQY_FUND_YEAR=2017","FUND_PER=C2","EQY_FUND_CRNCY=USD","FILING_STATUS=MR","FA_ADJUSTED=GAAP","Fill=—")</f>
        <v>#N/A Requesting Data...</v>
      </c>
      <c r="AB9" s="21" t="str">
        <f>_xll.BDP("AKAM US Equity","GROSS_MARGIN","EQY_FUND_YEAR=2017","FUND_PER=C3","EQY_FUND_CRNCY=USD","FILING_STATUS=MR","FA_ADJUSTED=GAAP","Fill=—")</f>
        <v>#N/A Requesting Data...</v>
      </c>
      <c r="AC9" s="21" t="str">
        <f>_xll.BDP("AKAM US Equity","GROSS_MARGIN","EQY_FUND_YEAR=2017","FUND_PER=C4","EQY_FUND_CRNCY=USD","FILING_STATUS=MR","FA_ADJUSTED=GAAP","Fill=—")</f>
        <v>#N/A Requesting Data...</v>
      </c>
      <c r="AD9" s="21" t="str">
        <f>_xll.BDP("AKAM US Equity","GROSS_MARGIN","EQY_FUND_YEAR=2018","FUND_PER=C1","EQY_FUND_CRNCY=USD","FILING_STATUS=MR","FA_ADJUSTED=GAAP","Fill=—")</f>
        <v>#N/A Requesting Data...</v>
      </c>
      <c r="AE9" s="21" t="str">
        <f>_xll.BDP("AKAM US Equity","GROSS_MARGIN","EQY_FUND_YEAR=2018","FUND_PER=C2","EQY_FUND_CRNCY=USD","FILING_STATUS=MR","FA_ADJUSTED=GAAP","Fill=—")</f>
        <v>#N/A Requesting Data...</v>
      </c>
      <c r="AF9" s="21" t="str">
        <f>_xll.BDP("AKAM US Equity","GROSS_MARGIN","EQY_FUND_YEAR=2018","FUND_PER=C3","EQY_FUND_CRNCY=USD","FILING_STATUS=MR","FA_ADJUSTED=GAAP","Fill=—")</f>
        <v>#N/A Requesting Data...</v>
      </c>
      <c r="AG9" s="21" t="str">
        <f>_xll.BDP("AKAM US Equity","GROSS_MARGIN","EQY_FUND_YEAR=2018","FUND_PER=C4","EQY_FUND_CRNCY=USD","FILING_STATUS=MR","FA_ADJUSTED=GAAP","Fill=—")</f>
        <v>#N/A Requesting Data...</v>
      </c>
      <c r="AH9" s="21" t="str">
        <f>_xll.BDP("AKAM US Equity","GROSS_MARGIN","EQY_FUND_YEAR=2019","FUND_PER=C1","EQY_FUND_CRNCY=USD","FILING_STATUS=MR","FA_ADJUSTED=GAAP","Fill=—")</f>
        <v>#N/A Requesting Data...</v>
      </c>
      <c r="AI9" s="21" t="str">
        <f>_xll.BDP("AKAM US Equity","GROSS_MARGIN","EQY_FUND_YEAR=2019","FUND_PER=C2","EQY_FUND_CRNCY=USD","FILING_STATUS=MR","FA_ADJUSTED=GAAP","Fill=—")</f>
        <v>#N/A Requesting Data...</v>
      </c>
      <c r="AJ9" s="21" t="str">
        <f>_xll.BDP("AKAM US Equity","GROSS_MARGIN","EQY_FUND_YEAR=2019","FUND_PER=C3","EQY_FUND_CRNCY=USD","FILING_STATUS=MR","FA_ADJUSTED=GAAP","Fill=—")</f>
        <v>#N/A Requesting Data...</v>
      </c>
      <c r="AK9" s="21" t="str">
        <f>_xll.BDP("AKAM US Equity","GROSS_MARGIN","EQY_FUND_YEAR=2019","FUND_PER=C4","EQY_FUND_CRNCY=USD","FILING_STATUS=MR","FA_ADJUSTED=GAAP","Fill=—")</f>
        <v>#N/A Requesting Data...</v>
      </c>
      <c r="AL9" s="21" t="str">
        <f>_xll.BDP("AKAM US Equity","GROSS_MARGIN","EQY_FUND_YEAR=2020","FUND_PER=C1","EQY_FUND_CRNCY=USD","FILING_STATUS=MR","FA_ADJUSTED=GAAP","Fill=—")</f>
        <v>#N/A Requesting Data...</v>
      </c>
      <c r="AM9" s="21" t="str">
        <f>_xll.BDP("AKAM US Equity","GROSS_MARGIN","EQY_FUND_YEAR=2020","FUND_PER=C2","EQY_FUND_CRNCY=USD","FILING_STATUS=MR","FA_ADJUSTED=GAAP","Fill=—")</f>
        <v>#N/A Requesting Data...</v>
      </c>
      <c r="AN9" s="21" t="str">
        <f>_xll.BDP("AKAM US Equity","GROSS_MARGIN","EQY_FUND_YEAR=2020","FUND_PER=C3","EQY_FUND_CRNCY=USD","FILING_STATUS=MR","FA_ADJUSTED=GAAP","Fill=—")</f>
        <v>#N/A Requesting Data...</v>
      </c>
      <c r="AO9" s="21" t="str">
        <f>_xll.BDP("AKAM US Equity","GROSS_MARGIN","EQY_FUND_YEAR=2020","FUND_PER=C4","EQY_FUND_CRNCY=USD","FILING_STATUS=MR","FA_ADJUSTED=GAAP","Fill=—")</f>
        <v>#N/A Requesting Data...</v>
      </c>
      <c r="AP9" s="21" t="str">
        <f>_xll.BDP("AKAM US Equity","GROSS_MARGIN","EQY_FUND_YEAR=2021","FUND_PER=C1","EQY_FUND_CRNCY=USD","FILING_STATUS=MR","FA_ADJUSTED=GAAP","Fill=—")</f>
        <v>#N/A Requesting Data...</v>
      </c>
    </row>
    <row r="10" spans="1:42" x14ac:dyDescent="0.25">
      <c r="A10" s="8" t="s">
        <v>96</v>
      </c>
      <c r="B10" s="8" t="s">
        <v>97</v>
      </c>
      <c r="C10" s="21" t="str">
        <f>_xll.BDP("AKAM US Equity","EBITDA_TO_REVENUE","EQY_FUND_YEAR=2011","FUND_PER=C2","EQY_FUND_CRNCY=USD","FILING_STATUS=MR","FA_ADJUSTED=GAAP","Fill=—")</f>
        <v>#N/A Requesting Data...</v>
      </c>
      <c r="D10" s="21" t="str">
        <f>_xll.BDP("AKAM US Equity","EBITDA_TO_REVENUE","EQY_FUND_YEAR=2011","FUND_PER=C3","EQY_FUND_CRNCY=USD","FILING_STATUS=MR","FA_ADJUSTED=GAAP","Fill=—")</f>
        <v>#N/A Requesting Data...</v>
      </c>
      <c r="E10" s="21" t="str">
        <f>_xll.BDP("AKAM US Equity","EBITDA_TO_REVENUE","EQY_FUND_YEAR=2011","FUND_PER=C4","EQY_FUND_CRNCY=USD","FILING_STATUS=MR","FA_ADJUSTED=GAAP","Fill=—")</f>
        <v>#N/A Requesting Data...</v>
      </c>
      <c r="F10" s="21" t="str">
        <f>_xll.BDP("AKAM US Equity","EBITDA_TO_REVENUE","EQY_FUND_YEAR=2012","FUND_PER=C1","EQY_FUND_CRNCY=USD","FILING_STATUS=MR","FA_ADJUSTED=GAAP","Fill=—")</f>
        <v>#N/A Requesting Data...</v>
      </c>
      <c r="G10" s="21" t="str">
        <f>_xll.BDP("AKAM US Equity","EBITDA_TO_REVENUE","EQY_FUND_YEAR=2012","FUND_PER=C2","EQY_FUND_CRNCY=USD","FILING_STATUS=MR","FA_ADJUSTED=GAAP","Fill=—")</f>
        <v>#N/A Requesting Data...</v>
      </c>
      <c r="H10" s="21" t="str">
        <f>_xll.BDP("AKAM US Equity","EBITDA_TO_REVENUE","EQY_FUND_YEAR=2012","FUND_PER=C3","EQY_FUND_CRNCY=USD","FILING_STATUS=MR","FA_ADJUSTED=GAAP","Fill=—")</f>
        <v>#N/A Requesting Data...</v>
      </c>
      <c r="I10" s="21" t="str">
        <f>_xll.BDP("AKAM US Equity","EBITDA_TO_REVENUE","EQY_FUND_YEAR=2012","FUND_PER=C4","EQY_FUND_CRNCY=USD","FILING_STATUS=MR","FA_ADJUSTED=GAAP","Fill=—")</f>
        <v>#N/A Requesting Data...</v>
      </c>
      <c r="J10" s="21" t="str">
        <f>_xll.BDP("AKAM US Equity","EBITDA_TO_REVENUE","EQY_FUND_YEAR=2013","FUND_PER=C1","EQY_FUND_CRNCY=USD","FILING_STATUS=MR","FA_ADJUSTED=GAAP","Fill=—")</f>
        <v>#N/A Requesting Data...</v>
      </c>
      <c r="K10" s="21" t="str">
        <f>_xll.BDP("AKAM US Equity","EBITDA_TO_REVENUE","EQY_FUND_YEAR=2013","FUND_PER=C2","EQY_FUND_CRNCY=USD","FILING_STATUS=MR","FA_ADJUSTED=GAAP","Fill=—")</f>
        <v>#N/A Requesting Data...</v>
      </c>
      <c r="L10" s="21" t="str">
        <f>_xll.BDP("AKAM US Equity","EBITDA_TO_REVENUE","EQY_FUND_YEAR=2013","FUND_PER=C3","EQY_FUND_CRNCY=USD","FILING_STATUS=MR","FA_ADJUSTED=GAAP","Fill=—")</f>
        <v>#N/A Requesting Data...</v>
      </c>
      <c r="M10" s="21" t="str">
        <f>_xll.BDP("AKAM US Equity","EBITDA_TO_REVENUE","EQY_FUND_YEAR=2013","FUND_PER=C4","EQY_FUND_CRNCY=USD","FILING_STATUS=MR","FA_ADJUSTED=GAAP","Fill=—")</f>
        <v>#N/A Requesting Data...</v>
      </c>
      <c r="N10" s="21" t="str">
        <f>_xll.BDP("AKAM US Equity","EBITDA_TO_REVENUE","EQY_FUND_YEAR=2014","FUND_PER=C1","EQY_FUND_CRNCY=USD","FILING_STATUS=MR","FA_ADJUSTED=GAAP","Fill=—")</f>
        <v>#N/A Requesting Data...</v>
      </c>
      <c r="O10" s="21" t="str">
        <f>_xll.BDP("AKAM US Equity","EBITDA_TO_REVENUE","EQY_FUND_YEAR=2014","FUND_PER=C2","EQY_FUND_CRNCY=USD","FILING_STATUS=MR","FA_ADJUSTED=GAAP","Fill=—")</f>
        <v>#N/A Requesting Data...</v>
      </c>
      <c r="P10" s="21" t="str">
        <f>_xll.BDP("AKAM US Equity","EBITDA_TO_REVENUE","EQY_FUND_YEAR=2014","FUND_PER=C3","EQY_FUND_CRNCY=USD","FILING_STATUS=MR","FA_ADJUSTED=GAAP","Fill=—")</f>
        <v>#N/A Requesting Data...</v>
      </c>
      <c r="Q10" s="21" t="str">
        <f>_xll.BDP("AKAM US Equity","EBITDA_TO_REVENUE","EQY_FUND_YEAR=2014","FUND_PER=C4","EQY_FUND_CRNCY=USD","FILING_STATUS=MR","FA_ADJUSTED=GAAP","Fill=—")</f>
        <v>#N/A Requesting Data...</v>
      </c>
      <c r="R10" s="21" t="str">
        <f>_xll.BDP("AKAM US Equity","EBITDA_TO_REVENUE","EQY_FUND_YEAR=2015","FUND_PER=C1","EQY_FUND_CRNCY=USD","FILING_STATUS=MR","FA_ADJUSTED=GAAP","Fill=—")</f>
        <v>#N/A Requesting Data...</v>
      </c>
      <c r="S10" s="21" t="str">
        <f>_xll.BDP("AKAM US Equity","EBITDA_TO_REVENUE","EQY_FUND_YEAR=2015","FUND_PER=C2","EQY_FUND_CRNCY=USD","FILING_STATUS=MR","FA_ADJUSTED=GAAP","Fill=—")</f>
        <v>#N/A Requesting Data...</v>
      </c>
      <c r="T10" s="21" t="str">
        <f>_xll.BDP("AKAM US Equity","EBITDA_TO_REVENUE","EQY_FUND_YEAR=2015","FUND_PER=C3","EQY_FUND_CRNCY=USD","FILING_STATUS=MR","FA_ADJUSTED=GAAP","Fill=—")</f>
        <v>#N/A Requesting Data...</v>
      </c>
      <c r="U10" s="21" t="str">
        <f>_xll.BDP("AKAM US Equity","EBITDA_TO_REVENUE","EQY_FUND_YEAR=2015","FUND_PER=C4","EQY_FUND_CRNCY=USD","FILING_STATUS=MR","FA_ADJUSTED=GAAP","Fill=—")</f>
        <v>#N/A Requesting Data...</v>
      </c>
      <c r="V10" s="21" t="str">
        <f>_xll.BDP("AKAM US Equity","EBITDA_TO_REVENUE","EQY_FUND_YEAR=2016","FUND_PER=C1","EQY_FUND_CRNCY=USD","FILING_STATUS=MR","FA_ADJUSTED=GAAP","Fill=—")</f>
        <v>#N/A Requesting Data...</v>
      </c>
      <c r="W10" s="21" t="str">
        <f>_xll.BDP("AKAM US Equity","EBITDA_TO_REVENUE","EQY_FUND_YEAR=2016","FUND_PER=C2","EQY_FUND_CRNCY=USD","FILING_STATUS=MR","FA_ADJUSTED=GAAP","Fill=—")</f>
        <v>#N/A Requesting Data...</v>
      </c>
      <c r="X10" s="21" t="str">
        <f>_xll.BDP("AKAM US Equity","EBITDA_TO_REVENUE","EQY_FUND_YEAR=2016","FUND_PER=C3","EQY_FUND_CRNCY=USD","FILING_STATUS=MR","FA_ADJUSTED=GAAP","Fill=—")</f>
        <v>#N/A Requesting Data...</v>
      </c>
      <c r="Y10" s="21" t="str">
        <f>_xll.BDP("AKAM US Equity","EBITDA_TO_REVENUE","EQY_FUND_YEAR=2016","FUND_PER=C4","EQY_FUND_CRNCY=USD","FILING_STATUS=MR","FA_ADJUSTED=GAAP","Fill=—")</f>
        <v>#N/A Requesting Data...</v>
      </c>
      <c r="Z10" s="21" t="str">
        <f>_xll.BDP("AKAM US Equity","EBITDA_TO_REVENUE","EQY_FUND_YEAR=2017","FUND_PER=C1","EQY_FUND_CRNCY=USD","FILING_STATUS=MR","FA_ADJUSTED=GAAP","Fill=—")</f>
        <v>#N/A Requesting Data...</v>
      </c>
      <c r="AA10" s="21" t="str">
        <f>_xll.BDP("AKAM US Equity","EBITDA_TO_REVENUE","EQY_FUND_YEAR=2017","FUND_PER=C2","EQY_FUND_CRNCY=USD","FILING_STATUS=MR","FA_ADJUSTED=GAAP","Fill=—")</f>
        <v>#N/A Requesting Data...</v>
      </c>
      <c r="AB10" s="21" t="str">
        <f>_xll.BDP("AKAM US Equity","EBITDA_TO_REVENUE","EQY_FUND_YEAR=2017","FUND_PER=C3","EQY_FUND_CRNCY=USD","FILING_STATUS=MR","FA_ADJUSTED=GAAP","Fill=—")</f>
        <v>#N/A Requesting Data...</v>
      </c>
      <c r="AC10" s="21" t="str">
        <f>_xll.BDP("AKAM US Equity","EBITDA_TO_REVENUE","EQY_FUND_YEAR=2017","FUND_PER=C4","EQY_FUND_CRNCY=USD","FILING_STATUS=MR","FA_ADJUSTED=GAAP","Fill=—")</f>
        <v>#N/A Requesting Data...</v>
      </c>
      <c r="AD10" s="21" t="str">
        <f>_xll.BDP("AKAM US Equity","EBITDA_TO_REVENUE","EQY_FUND_YEAR=2018","FUND_PER=C1","EQY_FUND_CRNCY=USD","FILING_STATUS=MR","FA_ADJUSTED=GAAP","Fill=—")</f>
        <v>#N/A Requesting Data...</v>
      </c>
      <c r="AE10" s="21" t="str">
        <f>_xll.BDP("AKAM US Equity","EBITDA_TO_REVENUE","EQY_FUND_YEAR=2018","FUND_PER=C2","EQY_FUND_CRNCY=USD","FILING_STATUS=MR","FA_ADJUSTED=GAAP","Fill=—")</f>
        <v>#N/A Requesting Data...</v>
      </c>
      <c r="AF10" s="21" t="str">
        <f>_xll.BDP("AKAM US Equity","EBITDA_TO_REVENUE","EQY_FUND_YEAR=2018","FUND_PER=C3","EQY_FUND_CRNCY=USD","FILING_STATUS=MR","FA_ADJUSTED=GAAP","Fill=—")</f>
        <v>#N/A Requesting Data...</v>
      </c>
      <c r="AG10" s="21" t="str">
        <f>_xll.BDP("AKAM US Equity","EBITDA_TO_REVENUE","EQY_FUND_YEAR=2018","FUND_PER=C4","EQY_FUND_CRNCY=USD","FILING_STATUS=MR","FA_ADJUSTED=GAAP","Fill=—")</f>
        <v>#N/A Requesting Data...</v>
      </c>
      <c r="AH10" s="21" t="str">
        <f>_xll.BDP("AKAM US Equity","EBITDA_TO_REVENUE","EQY_FUND_YEAR=2019","FUND_PER=C1","EQY_FUND_CRNCY=USD","FILING_STATUS=MR","FA_ADJUSTED=GAAP","Fill=—")</f>
        <v>#N/A Requesting Data...</v>
      </c>
      <c r="AI10" s="21" t="str">
        <f>_xll.BDP("AKAM US Equity","EBITDA_TO_REVENUE","EQY_FUND_YEAR=2019","FUND_PER=C2","EQY_FUND_CRNCY=USD","FILING_STATUS=MR","FA_ADJUSTED=GAAP","Fill=—")</f>
        <v>#N/A Requesting Data...</v>
      </c>
      <c r="AJ10" s="21" t="str">
        <f>_xll.BDP("AKAM US Equity","EBITDA_TO_REVENUE","EQY_FUND_YEAR=2019","FUND_PER=C3","EQY_FUND_CRNCY=USD","FILING_STATUS=MR","FA_ADJUSTED=GAAP","Fill=—")</f>
        <v>#N/A Requesting Data...</v>
      </c>
      <c r="AK10" s="21" t="str">
        <f>_xll.BDP("AKAM US Equity","EBITDA_TO_REVENUE","EQY_FUND_YEAR=2019","FUND_PER=C4","EQY_FUND_CRNCY=USD","FILING_STATUS=MR","FA_ADJUSTED=GAAP","Fill=—")</f>
        <v>#N/A Requesting Data...</v>
      </c>
      <c r="AL10" s="21" t="str">
        <f>_xll.BDP("AKAM US Equity","EBITDA_TO_REVENUE","EQY_FUND_YEAR=2020","FUND_PER=C1","EQY_FUND_CRNCY=USD","FILING_STATUS=MR","FA_ADJUSTED=GAAP","Fill=—")</f>
        <v>#N/A Requesting Data...</v>
      </c>
      <c r="AM10" s="21" t="str">
        <f>_xll.BDP("AKAM US Equity","EBITDA_TO_REVENUE","EQY_FUND_YEAR=2020","FUND_PER=C2","EQY_FUND_CRNCY=USD","FILING_STATUS=MR","FA_ADJUSTED=GAAP","Fill=—")</f>
        <v>#N/A Requesting Data...</v>
      </c>
      <c r="AN10" s="21" t="str">
        <f>_xll.BDP("AKAM US Equity","EBITDA_TO_REVENUE","EQY_FUND_YEAR=2020","FUND_PER=C3","EQY_FUND_CRNCY=USD","FILING_STATUS=MR","FA_ADJUSTED=GAAP","Fill=—")</f>
        <v>#N/A Requesting Data...</v>
      </c>
      <c r="AO10" s="21" t="str">
        <f>_xll.BDP("AKAM US Equity","EBITDA_TO_REVENUE","EQY_FUND_YEAR=2020","FUND_PER=C4","EQY_FUND_CRNCY=USD","FILING_STATUS=MR","FA_ADJUSTED=GAAP","Fill=—")</f>
        <v>#N/A Requesting Data...</v>
      </c>
      <c r="AP10" s="21" t="str">
        <f>_xll.BDP("AKAM US Equity","EBITDA_TO_REVENUE","EQY_FUND_YEAR=2021","FUND_PER=C1","EQY_FUND_CRNCY=USD","FILING_STATUS=MR","FA_ADJUSTED=GAAP","Fill=—")</f>
        <v>#N/A Requesting Data...</v>
      </c>
    </row>
    <row r="11" spans="1:42" x14ac:dyDescent="0.25">
      <c r="A11" s="6" t="s">
        <v>98</v>
      </c>
      <c r="B11" s="6" t="s">
        <v>97</v>
      </c>
      <c r="C11" s="23">
        <v>5.0300631586397397</v>
      </c>
      <c r="D11" s="23">
        <v>3.6627084997191202</v>
      </c>
      <c r="E11" s="23">
        <v>1.7811907426140501</v>
      </c>
      <c r="F11" s="23">
        <v>-11.088969726200199</v>
      </c>
      <c r="G11" s="23">
        <v>-12.8401863341003</v>
      </c>
      <c r="H11" s="23">
        <v>-8.09589176568055</v>
      </c>
      <c r="I11" s="23">
        <v>-4.6216576694286697</v>
      </c>
      <c r="J11" s="23">
        <v>6.3077223411949097</v>
      </c>
      <c r="K11" s="23">
        <v>6.1421462157609303</v>
      </c>
      <c r="L11" s="23">
        <v>2.5676965927895901</v>
      </c>
      <c r="M11" s="23">
        <v>0.46179347858769498</v>
      </c>
      <c r="N11" s="23">
        <v>-1.4322807077092601</v>
      </c>
      <c r="O11" s="23">
        <v>-2.77492083489842</v>
      </c>
      <c r="P11" s="23">
        <v>-1.4441270645798401</v>
      </c>
      <c r="Q11" s="23">
        <v>-1.0526107335105399</v>
      </c>
      <c r="R11" s="23">
        <v>-5.1679689322667004</v>
      </c>
      <c r="S11" s="23">
        <v>-6.1459084034719096</v>
      </c>
      <c r="T11" s="23">
        <v>-6.88241816265697</v>
      </c>
      <c r="U11" s="23">
        <v>-7.1380626935042599</v>
      </c>
      <c r="V11" s="23">
        <v>-5.8990538829907404</v>
      </c>
      <c r="W11" s="23">
        <v>-1.8788007464476499</v>
      </c>
      <c r="X11" s="23">
        <v>-2.1815973638210999</v>
      </c>
      <c r="Y11" s="23">
        <v>-2.6376045588825101</v>
      </c>
      <c r="Z11" s="23">
        <v>-6.84357131171764</v>
      </c>
      <c r="AA11" s="23">
        <v>-11.1670817319962</v>
      </c>
      <c r="AB11" s="23">
        <v>-10.846328745524</v>
      </c>
      <c r="AC11" s="23">
        <v>-18.691603302424401</v>
      </c>
      <c r="AD11" s="23">
        <v>-19.223004656277801</v>
      </c>
      <c r="AE11" s="23">
        <v>-16.974419884624901</v>
      </c>
      <c r="AF11" s="23">
        <v>-7.6425562265318403</v>
      </c>
      <c r="AG11" s="23">
        <v>6.4409955415009303</v>
      </c>
      <c r="AH11" s="23">
        <v>53.237440751410098</v>
      </c>
      <c r="AI11" s="23">
        <v>56.772113623220797</v>
      </c>
      <c r="AJ11" s="23">
        <v>42.9377068932329</v>
      </c>
      <c r="AK11" s="23">
        <v>34.694077727672301</v>
      </c>
      <c r="AL11" s="23">
        <v>-11.192190164182101</v>
      </c>
      <c r="AM11" s="23">
        <v>-6.8644142691910499</v>
      </c>
      <c r="AN11" s="23">
        <v>-7.1046007133423004</v>
      </c>
      <c r="AO11" s="23">
        <v>3.7287988252641</v>
      </c>
      <c r="AP11" s="23">
        <v>5.9945443674159797</v>
      </c>
    </row>
    <row r="12" spans="1:42" x14ac:dyDescent="0.25">
      <c r="A12" s="8" t="s">
        <v>99</v>
      </c>
      <c r="B12" s="8" t="s">
        <v>100</v>
      </c>
      <c r="C12" s="21" t="str">
        <f>_xll.BDP("AKAM US Equity","OPER_MARGIN","EQY_FUND_YEAR=2011","FUND_PER=C2","EQY_FUND_CRNCY=USD","FILING_STATUS=MR","FA_ADJUSTED=GAAP","Fill=—")</f>
        <v>#N/A Requesting Data...</v>
      </c>
      <c r="D12" s="21" t="str">
        <f>_xll.BDP("AKAM US Equity","OPER_MARGIN","EQY_FUND_YEAR=2011","FUND_PER=C3","EQY_FUND_CRNCY=USD","FILING_STATUS=MR","FA_ADJUSTED=GAAP","Fill=—")</f>
        <v>#N/A Requesting Data...</v>
      </c>
      <c r="E12" s="21" t="str">
        <f>_xll.BDP("AKAM US Equity","OPER_MARGIN","EQY_FUND_YEAR=2011","FUND_PER=C4","EQY_FUND_CRNCY=USD","FILING_STATUS=MR","FA_ADJUSTED=GAAP","Fill=—")</f>
        <v>#N/A Requesting Data...</v>
      </c>
      <c r="F12" s="21" t="str">
        <f>_xll.BDP("AKAM US Equity","OPER_MARGIN","EQY_FUND_YEAR=2012","FUND_PER=C1","EQY_FUND_CRNCY=USD","FILING_STATUS=MR","FA_ADJUSTED=GAAP","Fill=—")</f>
        <v>#N/A Requesting Data...</v>
      </c>
      <c r="G12" s="21" t="str">
        <f>_xll.BDP("AKAM US Equity","OPER_MARGIN","EQY_FUND_YEAR=2012","FUND_PER=C2","EQY_FUND_CRNCY=USD","FILING_STATUS=MR","FA_ADJUSTED=GAAP","Fill=—")</f>
        <v>#N/A Requesting Data...</v>
      </c>
      <c r="H12" s="21" t="str">
        <f>_xll.BDP("AKAM US Equity","OPER_MARGIN","EQY_FUND_YEAR=2012","FUND_PER=C3","EQY_FUND_CRNCY=USD","FILING_STATUS=MR","FA_ADJUSTED=GAAP","Fill=—")</f>
        <v>#N/A Requesting Data...</v>
      </c>
      <c r="I12" s="21" t="str">
        <f>_xll.BDP("AKAM US Equity","OPER_MARGIN","EQY_FUND_YEAR=2012","FUND_PER=C4","EQY_FUND_CRNCY=USD","FILING_STATUS=MR","FA_ADJUSTED=GAAP","Fill=—")</f>
        <v>#N/A Requesting Data...</v>
      </c>
      <c r="J12" s="21" t="str">
        <f>_xll.BDP("AKAM US Equity","OPER_MARGIN","EQY_FUND_YEAR=2013","FUND_PER=C1","EQY_FUND_CRNCY=USD","FILING_STATUS=MR","FA_ADJUSTED=GAAP","Fill=—")</f>
        <v>#N/A Requesting Data...</v>
      </c>
      <c r="K12" s="21" t="str">
        <f>_xll.BDP("AKAM US Equity","OPER_MARGIN","EQY_FUND_YEAR=2013","FUND_PER=C2","EQY_FUND_CRNCY=USD","FILING_STATUS=MR","FA_ADJUSTED=GAAP","Fill=—")</f>
        <v>#N/A Requesting Data...</v>
      </c>
      <c r="L12" s="21" t="str">
        <f>_xll.BDP("AKAM US Equity","OPER_MARGIN","EQY_FUND_YEAR=2013","FUND_PER=C3","EQY_FUND_CRNCY=USD","FILING_STATUS=MR","FA_ADJUSTED=GAAP","Fill=—")</f>
        <v>#N/A Requesting Data...</v>
      </c>
      <c r="M12" s="21" t="str">
        <f>_xll.BDP("AKAM US Equity","OPER_MARGIN","EQY_FUND_YEAR=2013","FUND_PER=C4","EQY_FUND_CRNCY=USD","FILING_STATUS=MR","FA_ADJUSTED=GAAP","Fill=—")</f>
        <v>#N/A Requesting Data...</v>
      </c>
      <c r="N12" s="21" t="str">
        <f>_xll.BDP("AKAM US Equity","OPER_MARGIN","EQY_FUND_YEAR=2014","FUND_PER=C1","EQY_FUND_CRNCY=USD","FILING_STATUS=MR","FA_ADJUSTED=GAAP","Fill=—")</f>
        <v>#N/A Requesting Data...</v>
      </c>
      <c r="O12" s="21" t="str">
        <f>_xll.BDP("AKAM US Equity","OPER_MARGIN","EQY_FUND_YEAR=2014","FUND_PER=C2","EQY_FUND_CRNCY=USD","FILING_STATUS=MR","FA_ADJUSTED=GAAP","Fill=—")</f>
        <v>#N/A Requesting Data...</v>
      </c>
      <c r="P12" s="21" t="str">
        <f>_xll.BDP("AKAM US Equity","OPER_MARGIN","EQY_FUND_YEAR=2014","FUND_PER=C3","EQY_FUND_CRNCY=USD","FILING_STATUS=MR","FA_ADJUSTED=GAAP","Fill=—")</f>
        <v>#N/A Requesting Data...</v>
      </c>
      <c r="Q12" s="21" t="str">
        <f>_xll.BDP("AKAM US Equity","OPER_MARGIN","EQY_FUND_YEAR=2014","FUND_PER=C4","EQY_FUND_CRNCY=USD","FILING_STATUS=MR","FA_ADJUSTED=GAAP","Fill=—")</f>
        <v>#N/A Requesting Data...</v>
      </c>
      <c r="R12" s="21" t="str">
        <f>_xll.BDP("AKAM US Equity","OPER_MARGIN","EQY_FUND_YEAR=2015","FUND_PER=C1","EQY_FUND_CRNCY=USD","FILING_STATUS=MR","FA_ADJUSTED=GAAP","Fill=—")</f>
        <v>#N/A Requesting Data...</v>
      </c>
      <c r="S12" s="21" t="str">
        <f>_xll.BDP("AKAM US Equity","OPER_MARGIN","EQY_FUND_YEAR=2015","FUND_PER=C2","EQY_FUND_CRNCY=USD","FILING_STATUS=MR","FA_ADJUSTED=GAAP","Fill=—")</f>
        <v>#N/A Requesting Data...</v>
      </c>
      <c r="T12" s="21" t="str">
        <f>_xll.BDP("AKAM US Equity","OPER_MARGIN","EQY_FUND_YEAR=2015","FUND_PER=C3","EQY_FUND_CRNCY=USD","FILING_STATUS=MR","FA_ADJUSTED=GAAP","Fill=—")</f>
        <v>#N/A Requesting Data...</v>
      </c>
      <c r="U12" s="21" t="str">
        <f>_xll.BDP("AKAM US Equity","OPER_MARGIN","EQY_FUND_YEAR=2015","FUND_PER=C4","EQY_FUND_CRNCY=USD","FILING_STATUS=MR","FA_ADJUSTED=GAAP","Fill=—")</f>
        <v>#N/A Requesting Data...</v>
      </c>
      <c r="V12" s="21" t="str">
        <f>_xll.BDP("AKAM US Equity","OPER_MARGIN","EQY_FUND_YEAR=2016","FUND_PER=C1","EQY_FUND_CRNCY=USD","FILING_STATUS=MR","FA_ADJUSTED=GAAP","Fill=—")</f>
        <v>#N/A Requesting Data...</v>
      </c>
      <c r="W12" s="21" t="str">
        <f>_xll.BDP("AKAM US Equity","OPER_MARGIN","EQY_FUND_YEAR=2016","FUND_PER=C2","EQY_FUND_CRNCY=USD","FILING_STATUS=MR","FA_ADJUSTED=GAAP","Fill=—")</f>
        <v>#N/A Requesting Data...</v>
      </c>
      <c r="X12" s="21" t="str">
        <f>_xll.BDP("AKAM US Equity","OPER_MARGIN","EQY_FUND_YEAR=2016","FUND_PER=C3","EQY_FUND_CRNCY=USD","FILING_STATUS=MR","FA_ADJUSTED=GAAP","Fill=—")</f>
        <v>#N/A Requesting Data...</v>
      </c>
      <c r="Y12" s="21" t="str">
        <f>_xll.BDP("AKAM US Equity","OPER_MARGIN","EQY_FUND_YEAR=2016","FUND_PER=C4","EQY_FUND_CRNCY=USD","FILING_STATUS=MR","FA_ADJUSTED=GAAP","Fill=—")</f>
        <v>#N/A Requesting Data...</v>
      </c>
      <c r="Z12" s="21" t="str">
        <f>_xll.BDP("AKAM US Equity","OPER_MARGIN","EQY_FUND_YEAR=2017","FUND_PER=C1","EQY_FUND_CRNCY=USD","FILING_STATUS=MR","FA_ADJUSTED=GAAP","Fill=—")</f>
        <v>#N/A Requesting Data...</v>
      </c>
      <c r="AA12" s="21" t="str">
        <f>_xll.BDP("AKAM US Equity","OPER_MARGIN","EQY_FUND_YEAR=2017","FUND_PER=C2","EQY_FUND_CRNCY=USD","FILING_STATUS=MR","FA_ADJUSTED=GAAP","Fill=—")</f>
        <v>#N/A Requesting Data...</v>
      </c>
      <c r="AB12" s="21" t="str">
        <f>_xll.BDP("AKAM US Equity","OPER_MARGIN","EQY_FUND_YEAR=2017","FUND_PER=C3","EQY_FUND_CRNCY=USD","FILING_STATUS=MR","FA_ADJUSTED=GAAP","Fill=—")</f>
        <v>#N/A Requesting Data...</v>
      </c>
      <c r="AC12" s="21" t="str">
        <f>_xll.BDP("AKAM US Equity","OPER_MARGIN","EQY_FUND_YEAR=2017","FUND_PER=C4","EQY_FUND_CRNCY=USD","FILING_STATUS=MR","FA_ADJUSTED=GAAP","Fill=—")</f>
        <v>#N/A Requesting Data...</v>
      </c>
      <c r="AD12" s="21" t="str">
        <f>_xll.BDP("AKAM US Equity","OPER_MARGIN","EQY_FUND_YEAR=2018","FUND_PER=C1","EQY_FUND_CRNCY=USD","FILING_STATUS=MR","FA_ADJUSTED=GAAP","Fill=—")</f>
        <v>#N/A Requesting Data...</v>
      </c>
      <c r="AE12" s="21" t="str">
        <f>_xll.BDP("AKAM US Equity","OPER_MARGIN","EQY_FUND_YEAR=2018","FUND_PER=C2","EQY_FUND_CRNCY=USD","FILING_STATUS=MR","FA_ADJUSTED=GAAP","Fill=—")</f>
        <v>#N/A Requesting Data...</v>
      </c>
      <c r="AF12" s="21" t="str">
        <f>_xll.BDP("AKAM US Equity","OPER_MARGIN","EQY_FUND_YEAR=2018","FUND_PER=C3","EQY_FUND_CRNCY=USD","FILING_STATUS=MR","FA_ADJUSTED=GAAP","Fill=—")</f>
        <v>#N/A Requesting Data...</v>
      </c>
      <c r="AG12" s="21" t="str">
        <f>_xll.BDP("AKAM US Equity","OPER_MARGIN","EQY_FUND_YEAR=2018","FUND_PER=C4","EQY_FUND_CRNCY=USD","FILING_STATUS=MR","FA_ADJUSTED=GAAP","Fill=—")</f>
        <v>#N/A Requesting Data...</v>
      </c>
      <c r="AH12" s="21" t="str">
        <f>_xll.BDP("AKAM US Equity","OPER_MARGIN","EQY_FUND_YEAR=2019","FUND_PER=C1","EQY_FUND_CRNCY=USD","FILING_STATUS=MR","FA_ADJUSTED=GAAP","Fill=—")</f>
        <v>#N/A Requesting Data...</v>
      </c>
      <c r="AI12" s="21" t="str">
        <f>_xll.BDP("AKAM US Equity","OPER_MARGIN","EQY_FUND_YEAR=2019","FUND_PER=C2","EQY_FUND_CRNCY=USD","FILING_STATUS=MR","FA_ADJUSTED=GAAP","Fill=—")</f>
        <v>#N/A Requesting Data...</v>
      </c>
      <c r="AJ12" s="21" t="str">
        <f>_xll.BDP("AKAM US Equity","OPER_MARGIN","EQY_FUND_YEAR=2019","FUND_PER=C3","EQY_FUND_CRNCY=USD","FILING_STATUS=MR","FA_ADJUSTED=GAAP","Fill=—")</f>
        <v>#N/A Requesting Data...</v>
      </c>
      <c r="AK12" s="21" t="str">
        <f>_xll.BDP("AKAM US Equity","OPER_MARGIN","EQY_FUND_YEAR=2019","FUND_PER=C4","EQY_FUND_CRNCY=USD","FILING_STATUS=MR","FA_ADJUSTED=GAAP","Fill=—")</f>
        <v>#N/A Requesting Data...</v>
      </c>
      <c r="AL12" s="21" t="str">
        <f>_xll.BDP("AKAM US Equity","OPER_MARGIN","EQY_FUND_YEAR=2020","FUND_PER=C1","EQY_FUND_CRNCY=USD","FILING_STATUS=MR","FA_ADJUSTED=GAAP","Fill=—")</f>
        <v>#N/A Requesting Data...</v>
      </c>
      <c r="AM12" s="21" t="str">
        <f>_xll.BDP("AKAM US Equity","OPER_MARGIN","EQY_FUND_YEAR=2020","FUND_PER=C2","EQY_FUND_CRNCY=USD","FILING_STATUS=MR","FA_ADJUSTED=GAAP","Fill=—")</f>
        <v>#N/A Requesting Data...</v>
      </c>
      <c r="AN12" s="21" t="str">
        <f>_xll.BDP("AKAM US Equity","OPER_MARGIN","EQY_FUND_YEAR=2020","FUND_PER=C3","EQY_FUND_CRNCY=USD","FILING_STATUS=MR","FA_ADJUSTED=GAAP","Fill=—")</f>
        <v>#N/A Requesting Data...</v>
      </c>
      <c r="AO12" s="21" t="str">
        <f>_xll.BDP("AKAM US Equity","OPER_MARGIN","EQY_FUND_YEAR=2020","FUND_PER=C4","EQY_FUND_CRNCY=USD","FILING_STATUS=MR","FA_ADJUSTED=GAAP","Fill=—")</f>
        <v>#N/A Requesting Data...</v>
      </c>
      <c r="AP12" s="21" t="str">
        <f>_xll.BDP("AKAM US Equity","OPER_MARGIN","EQY_FUND_YEAR=2021","FUND_PER=C1","EQY_FUND_CRNCY=USD","FILING_STATUS=MR","FA_ADJUSTED=GAAP","Fill=—")</f>
        <v>#N/A Requesting Data...</v>
      </c>
    </row>
    <row r="13" spans="1:42" x14ac:dyDescent="0.25">
      <c r="A13" s="8" t="s">
        <v>107</v>
      </c>
      <c r="B13" s="8" t="s">
        <v>108</v>
      </c>
      <c r="C13" s="21" t="str">
        <f>_xll.BDP("AKAM US Equity","PROF_MARGIN","EQY_FUND_YEAR=2011","FUND_PER=C2","EQY_FUND_CRNCY=USD","FILING_STATUS=MR","FA_ADJUSTED=GAAP","Fill=—")</f>
        <v>#N/A Requesting Data...</v>
      </c>
      <c r="D13" s="21" t="str">
        <f>_xll.BDP("AKAM US Equity","PROF_MARGIN","EQY_FUND_YEAR=2011","FUND_PER=C3","EQY_FUND_CRNCY=USD","FILING_STATUS=MR","FA_ADJUSTED=GAAP","Fill=—")</f>
        <v>#N/A Requesting Data...</v>
      </c>
      <c r="E13" s="21" t="str">
        <f>_xll.BDP("AKAM US Equity","PROF_MARGIN","EQY_FUND_YEAR=2011","FUND_PER=C4","EQY_FUND_CRNCY=USD","FILING_STATUS=MR","FA_ADJUSTED=GAAP","Fill=—")</f>
        <v>#N/A Requesting Data...</v>
      </c>
      <c r="F13" s="21" t="str">
        <f>_xll.BDP("AKAM US Equity","PROF_MARGIN","EQY_FUND_YEAR=2012","FUND_PER=C1","EQY_FUND_CRNCY=USD","FILING_STATUS=MR","FA_ADJUSTED=GAAP","Fill=—")</f>
        <v>#N/A Requesting Data...</v>
      </c>
      <c r="G13" s="21" t="str">
        <f>_xll.BDP("AKAM US Equity","PROF_MARGIN","EQY_FUND_YEAR=2012","FUND_PER=C2","EQY_FUND_CRNCY=USD","FILING_STATUS=MR","FA_ADJUSTED=GAAP","Fill=—")</f>
        <v>#N/A Requesting Data...</v>
      </c>
      <c r="H13" s="21" t="str">
        <f>_xll.BDP("AKAM US Equity","PROF_MARGIN","EQY_FUND_YEAR=2012","FUND_PER=C3","EQY_FUND_CRNCY=USD","FILING_STATUS=MR","FA_ADJUSTED=GAAP","Fill=—")</f>
        <v>#N/A Requesting Data...</v>
      </c>
      <c r="I13" s="21" t="str">
        <f>_xll.BDP("AKAM US Equity","PROF_MARGIN","EQY_FUND_YEAR=2012","FUND_PER=C4","EQY_FUND_CRNCY=USD","FILING_STATUS=MR","FA_ADJUSTED=GAAP","Fill=—")</f>
        <v>#N/A Requesting Data...</v>
      </c>
      <c r="J13" s="21" t="str">
        <f>_xll.BDP("AKAM US Equity","PROF_MARGIN","EQY_FUND_YEAR=2013","FUND_PER=C1","EQY_FUND_CRNCY=USD","FILING_STATUS=MR","FA_ADJUSTED=GAAP","Fill=—")</f>
        <v>#N/A Requesting Data...</v>
      </c>
      <c r="K13" s="21" t="str">
        <f>_xll.BDP("AKAM US Equity","PROF_MARGIN","EQY_FUND_YEAR=2013","FUND_PER=C2","EQY_FUND_CRNCY=USD","FILING_STATUS=MR","FA_ADJUSTED=GAAP","Fill=—")</f>
        <v>#N/A Requesting Data...</v>
      </c>
      <c r="L13" s="21" t="str">
        <f>_xll.BDP("AKAM US Equity","PROF_MARGIN","EQY_FUND_YEAR=2013","FUND_PER=C3","EQY_FUND_CRNCY=USD","FILING_STATUS=MR","FA_ADJUSTED=GAAP","Fill=—")</f>
        <v>#N/A Requesting Data...</v>
      </c>
      <c r="M13" s="21" t="str">
        <f>_xll.BDP("AKAM US Equity","PROF_MARGIN","EQY_FUND_YEAR=2013","FUND_PER=C4","EQY_FUND_CRNCY=USD","FILING_STATUS=MR","FA_ADJUSTED=GAAP","Fill=—")</f>
        <v>#N/A Requesting Data...</v>
      </c>
      <c r="N13" s="21" t="str">
        <f>_xll.BDP("AKAM US Equity","PROF_MARGIN","EQY_FUND_YEAR=2014","FUND_PER=C1","EQY_FUND_CRNCY=USD","FILING_STATUS=MR","FA_ADJUSTED=GAAP","Fill=—")</f>
        <v>#N/A Requesting Data...</v>
      </c>
      <c r="O13" s="21" t="str">
        <f>_xll.BDP("AKAM US Equity","PROF_MARGIN","EQY_FUND_YEAR=2014","FUND_PER=C2","EQY_FUND_CRNCY=USD","FILING_STATUS=MR","FA_ADJUSTED=GAAP","Fill=—")</f>
        <v>#N/A Requesting Data...</v>
      </c>
      <c r="P13" s="21" t="str">
        <f>_xll.BDP("AKAM US Equity","PROF_MARGIN","EQY_FUND_YEAR=2014","FUND_PER=C3","EQY_FUND_CRNCY=USD","FILING_STATUS=MR","FA_ADJUSTED=GAAP","Fill=—")</f>
        <v>#N/A Requesting Data...</v>
      </c>
      <c r="Q13" s="21" t="str">
        <f>_xll.BDP("AKAM US Equity","PROF_MARGIN","EQY_FUND_YEAR=2014","FUND_PER=C4","EQY_FUND_CRNCY=USD","FILING_STATUS=MR","FA_ADJUSTED=GAAP","Fill=—")</f>
        <v>#N/A Requesting Data...</v>
      </c>
      <c r="R13" s="21" t="str">
        <f>_xll.BDP("AKAM US Equity","PROF_MARGIN","EQY_FUND_YEAR=2015","FUND_PER=C1","EQY_FUND_CRNCY=USD","FILING_STATUS=MR","FA_ADJUSTED=GAAP","Fill=—")</f>
        <v>#N/A Requesting Data...</v>
      </c>
      <c r="S13" s="21" t="str">
        <f>_xll.BDP("AKAM US Equity","PROF_MARGIN","EQY_FUND_YEAR=2015","FUND_PER=C2","EQY_FUND_CRNCY=USD","FILING_STATUS=MR","FA_ADJUSTED=GAAP","Fill=—")</f>
        <v>#N/A Requesting Data...</v>
      </c>
      <c r="T13" s="21" t="str">
        <f>_xll.BDP("AKAM US Equity","PROF_MARGIN","EQY_FUND_YEAR=2015","FUND_PER=C3","EQY_FUND_CRNCY=USD","FILING_STATUS=MR","FA_ADJUSTED=GAAP","Fill=—")</f>
        <v>#N/A Requesting Data...</v>
      </c>
      <c r="U13" s="21" t="str">
        <f>_xll.BDP("AKAM US Equity","PROF_MARGIN","EQY_FUND_YEAR=2015","FUND_PER=C4","EQY_FUND_CRNCY=USD","FILING_STATUS=MR","FA_ADJUSTED=GAAP","Fill=—")</f>
        <v>#N/A Requesting Data...</v>
      </c>
      <c r="V13" s="21" t="str">
        <f>_xll.BDP("AKAM US Equity","PROF_MARGIN","EQY_FUND_YEAR=2016","FUND_PER=C1","EQY_FUND_CRNCY=USD","FILING_STATUS=MR","FA_ADJUSTED=GAAP","Fill=—")</f>
        <v>#N/A Requesting Data...</v>
      </c>
      <c r="W13" s="21" t="str">
        <f>_xll.BDP("AKAM US Equity","PROF_MARGIN","EQY_FUND_YEAR=2016","FUND_PER=C2","EQY_FUND_CRNCY=USD","FILING_STATUS=MR","FA_ADJUSTED=GAAP","Fill=—")</f>
        <v>#N/A Requesting Data...</v>
      </c>
      <c r="X13" s="21" t="str">
        <f>_xll.BDP("AKAM US Equity","PROF_MARGIN","EQY_FUND_YEAR=2016","FUND_PER=C3","EQY_FUND_CRNCY=USD","FILING_STATUS=MR","FA_ADJUSTED=GAAP","Fill=—")</f>
        <v>#N/A Requesting Data...</v>
      </c>
      <c r="Y13" s="21" t="str">
        <f>_xll.BDP("AKAM US Equity","PROF_MARGIN","EQY_FUND_YEAR=2016","FUND_PER=C4","EQY_FUND_CRNCY=USD","FILING_STATUS=MR","FA_ADJUSTED=GAAP","Fill=—")</f>
        <v>#N/A Requesting Data...</v>
      </c>
      <c r="Z13" s="21" t="str">
        <f>_xll.BDP("AKAM US Equity","PROF_MARGIN","EQY_FUND_YEAR=2017","FUND_PER=C1","EQY_FUND_CRNCY=USD","FILING_STATUS=MR","FA_ADJUSTED=GAAP","Fill=—")</f>
        <v>#N/A Requesting Data...</v>
      </c>
      <c r="AA13" s="21" t="str">
        <f>_xll.BDP("AKAM US Equity","PROF_MARGIN","EQY_FUND_YEAR=2017","FUND_PER=C2","EQY_FUND_CRNCY=USD","FILING_STATUS=MR","FA_ADJUSTED=GAAP","Fill=—")</f>
        <v>#N/A Requesting Data...</v>
      </c>
      <c r="AB13" s="21" t="str">
        <f>_xll.BDP("AKAM US Equity","PROF_MARGIN","EQY_FUND_YEAR=2017","FUND_PER=C3","EQY_FUND_CRNCY=USD","FILING_STATUS=MR","FA_ADJUSTED=GAAP","Fill=—")</f>
        <v>#N/A Requesting Data...</v>
      </c>
      <c r="AC13" s="21" t="str">
        <f>_xll.BDP("AKAM US Equity","PROF_MARGIN","EQY_FUND_YEAR=2017","FUND_PER=C4","EQY_FUND_CRNCY=USD","FILING_STATUS=MR","FA_ADJUSTED=GAAP","Fill=—")</f>
        <v>#N/A Requesting Data...</v>
      </c>
      <c r="AD13" s="21" t="str">
        <f>_xll.BDP("AKAM US Equity","PROF_MARGIN","EQY_FUND_YEAR=2018","FUND_PER=C1","EQY_FUND_CRNCY=USD","FILING_STATUS=MR","FA_ADJUSTED=GAAP","Fill=—")</f>
        <v>#N/A Requesting Data...</v>
      </c>
      <c r="AE13" s="21" t="str">
        <f>_xll.BDP("AKAM US Equity","PROF_MARGIN","EQY_FUND_YEAR=2018","FUND_PER=C2","EQY_FUND_CRNCY=USD","FILING_STATUS=MR","FA_ADJUSTED=GAAP","Fill=—")</f>
        <v>#N/A Requesting Data...</v>
      </c>
      <c r="AF13" s="21" t="str">
        <f>_xll.BDP("AKAM US Equity","PROF_MARGIN","EQY_FUND_YEAR=2018","FUND_PER=C3","EQY_FUND_CRNCY=USD","FILING_STATUS=MR","FA_ADJUSTED=GAAP","Fill=—")</f>
        <v>#N/A Requesting Data...</v>
      </c>
      <c r="AG13" s="21" t="str">
        <f>_xll.BDP("AKAM US Equity","PROF_MARGIN","EQY_FUND_YEAR=2018","FUND_PER=C4","EQY_FUND_CRNCY=USD","FILING_STATUS=MR","FA_ADJUSTED=GAAP","Fill=—")</f>
        <v>#N/A Requesting Data...</v>
      </c>
      <c r="AH13" s="21" t="str">
        <f>_xll.BDP("AKAM US Equity","PROF_MARGIN","EQY_FUND_YEAR=2019","FUND_PER=C1","EQY_FUND_CRNCY=USD","FILING_STATUS=MR","FA_ADJUSTED=GAAP","Fill=—")</f>
        <v>#N/A Requesting Data...</v>
      </c>
      <c r="AI13" s="21" t="str">
        <f>_xll.BDP("AKAM US Equity","PROF_MARGIN","EQY_FUND_YEAR=2019","FUND_PER=C2","EQY_FUND_CRNCY=USD","FILING_STATUS=MR","FA_ADJUSTED=GAAP","Fill=—")</f>
        <v>#N/A Requesting Data...</v>
      </c>
      <c r="AJ13" s="21" t="str">
        <f>_xll.BDP("AKAM US Equity","PROF_MARGIN","EQY_FUND_YEAR=2019","FUND_PER=C3","EQY_FUND_CRNCY=USD","FILING_STATUS=MR","FA_ADJUSTED=GAAP","Fill=—")</f>
        <v>#N/A Requesting Data...</v>
      </c>
      <c r="AK13" s="21" t="str">
        <f>_xll.BDP("AKAM US Equity","PROF_MARGIN","EQY_FUND_YEAR=2019","FUND_PER=C4","EQY_FUND_CRNCY=USD","FILING_STATUS=MR","FA_ADJUSTED=GAAP","Fill=—")</f>
        <v>#N/A Requesting Data...</v>
      </c>
      <c r="AL13" s="21" t="str">
        <f>_xll.BDP("AKAM US Equity","PROF_MARGIN","EQY_FUND_YEAR=2020","FUND_PER=C1","EQY_FUND_CRNCY=USD","FILING_STATUS=MR","FA_ADJUSTED=GAAP","Fill=—")</f>
        <v>#N/A Requesting Data...</v>
      </c>
      <c r="AM13" s="21" t="str">
        <f>_xll.BDP("AKAM US Equity","PROF_MARGIN","EQY_FUND_YEAR=2020","FUND_PER=C2","EQY_FUND_CRNCY=USD","FILING_STATUS=MR","FA_ADJUSTED=GAAP","Fill=—")</f>
        <v>#N/A Requesting Data...</v>
      </c>
      <c r="AN13" s="21" t="str">
        <f>_xll.BDP("AKAM US Equity","PROF_MARGIN","EQY_FUND_YEAR=2020","FUND_PER=C3","EQY_FUND_CRNCY=USD","FILING_STATUS=MR","FA_ADJUSTED=GAAP","Fill=—")</f>
        <v>#N/A Requesting Data...</v>
      </c>
      <c r="AO13" s="21" t="str">
        <f>_xll.BDP("AKAM US Equity","PROF_MARGIN","EQY_FUND_YEAR=2020","FUND_PER=C4","EQY_FUND_CRNCY=USD","FILING_STATUS=MR","FA_ADJUSTED=GAAP","Fill=—")</f>
        <v>#N/A Requesting Data...</v>
      </c>
      <c r="AP13" s="21" t="str">
        <f>_xll.BDP("AKAM US Equity","PROF_MARGIN","EQY_FUND_YEAR=2021","FUND_PER=C1","EQY_FUND_CRNCY=USD","FILING_STATUS=MR","FA_ADJUSTED=GAAP","Fill=—")</f>
        <v>#N/A Requesting Data...</v>
      </c>
    </row>
    <row r="14" spans="1:42" x14ac:dyDescent="0.25">
      <c r="A14" s="8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</row>
    <row r="15" spans="1:42" x14ac:dyDescent="0.25">
      <c r="A15" s="7" t="s">
        <v>111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</row>
    <row r="16" spans="1:42" x14ac:dyDescent="0.25">
      <c r="A16" s="8" t="s">
        <v>112</v>
      </c>
      <c r="B16" s="8" t="s">
        <v>113</v>
      </c>
      <c r="C16" s="21" t="str">
        <f>_xll.BDP("AKAM US Equity","EFF_TAX_RATE","EQY_FUND_YEAR=2011","FUND_PER=C2","EQY_FUND_CRNCY=USD","FILING_STATUS=MR","FA_ADJUSTED=GAAP","Fill=—")</f>
        <v>#N/A Requesting Data...</v>
      </c>
      <c r="D16" s="21" t="str">
        <f>_xll.BDP("AKAM US Equity","EFF_TAX_RATE","EQY_FUND_YEAR=2011","FUND_PER=C3","EQY_FUND_CRNCY=USD","FILING_STATUS=MR","FA_ADJUSTED=GAAP","Fill=—")</f>
        <v>#N/A Requesting Data...</v>
      </c>
      <c r="E16" s="21" t="str">
        <f>_xll.BDP("AKAM US Equity","EFF_TAX_RATE","EQY_FUND_YEAR=2011","FUND_PER=C4","EQY_FUND_CRNCY=USD","FILING_STATUS=MR","FA_ADJUSTED=GAAP","Fill=—")</f>
        <v>#N/A Requesting Data...</v>
      </c>
      <c r="F16" s="21" t="str">
        <f>_xll.BDP("AKAM US Equity","EFF_TAX_RATE","EQY_FUND_YEAR=2012","FUND_PER=C1","EQY_FUND_CRNCY=USD","FILING_STATUS=MR","FA_ADJUSTED=GAAP","Fill=—")</f>
        <v>#N/A Requesting Data...</v>
      </c>
      <c r="G16" s="21" t="str">
        <f>_xll.BDP("AKAM US Equity","EFF_TAX_RATE","EQY_FUND_YEAR=2012","FUND_PER=C2","EQY_FUND_CRNCY=USD","FILING_STATUS=MR","FA_ADJUSTED=GAAP","Fill=—")</f>
        <v>#N/A Requesting Data...</v>
      </c>
      <c r="H16" s="21" t="str">
        <f>_xll.BDP("AKAM US Equity","EFF_TAX_RATE","EQY_FUND_YEAR=2012","FUND_PER=C3","EQY_FUND_CRNCY=USD","FILING_STATUS=MR","FA_ADJUSTED=GAAP","Fill=—")</f>
        <v>#N/A Requesting Data...</v>
      </c>
      <c r="I16" s="21" t="str">
        <f>_xll.BDP("AKAM US Equity","EFF_TAX_RATE","EQY_FUND_YEAR=2012","FUND_PER=C4","EQY_FUND_CRNCY=USD","FILING_STATUS=MR","FA_ADJUSTED=GAAP","Fill=—")</f>
        <v>#N/A Requesting Data...</v>
      </c>
      <c r="J16" s="21" t="str">
        <f>_xll.BDP("AKAM US Equity","EFF_TAX_RATE","EQY_FUND_YEAR=2013","FUND_PER=C1","EQY_FUND_CRNCY=USD","FILING_STATUS=MR","FA_ADJUSTED=GAAP","Fill=—")</f>
        <v>#N/A Requesting Data...</v>
      </c>
      <c r="K16" s="21" t="str">
        <f>_xll.BDP("AKAM US Equity","EFF_TAX_RATE","EQY_FUND_YEAR=2013","FUND_PER=C2","EQY_FUND_CRNCY=USD","FILING_STATUS=MR","FA_ADJUSTED=GAAP","Fill=—")</f>
        <v>#N/A Requesting Data...</v>
      </c>
      <c r="L16" s="21" t="str">
        <f>_xll.BDP("AKAM US Equity","EFF_TAX_RATE","EQY_FUND_YEAR=2013","FUND_PER=C3","EQY_FUND_CRNCY=USD","FILING_STATUS=MR","FA_ADJUSTED=GAAP","Fill=—")</f>
        <v>#N/A Requesting Data...</v>
      </c>
      <c r="M16" s="21" t="str">
        <f>_xll.BDP("AKAM US Equity","EFF_TAX_RATE","EQY_FUND_YEAR=2013","FUND_PER=C4","EQY_FUND_CRNCY=USD","FILING_STATUS=MR","FA_ADJUSTED=GAAP","Fill=—")</f>
        <v>#N/A Requesting Data...</v>
      </c>
      <c r="N16" s="21" t="str">
        <f>_xll.BDP("AKAM US Equity","EFF_TAX_RATE","EQY_FUND_YEAR=2014","FUND_PER=C1","EQY_FUND_CRNCY=USD","FILING_STATUS=MR","FA_ADJUSTED=GAAP","Fill=—")</f>
        <v>#N/A Requesting Data...</v>
      </c>
      <c r="O16" s="21" t="str">
        <f>_xll.BDP("AKAM US Equity","EFF_TAX_RATE","EQY_FUND_YEAR=2014","FUND_PER=C2","EQY_FUND_CRNCY=USD","FILING_STATUS=MR","FA_ADJUSTED=GAAP","Fill=—")</f>
        <v>#N/A Requesting Data...</v>
      </c>
      <c r="P16" s="21" t="str">
        <f>_xll.BDP("AKAM US Equity","EFF_TAX_RATE","EQY_FUND_YEAR=2014","FUND_PER=C3","EQY_FUND_CRNCY=USD","FILING_STATUS=MR","FA_ADJUSTED=GAAP","Fill=—")</f>
        <v>#N/A Requesting Data...</v>
      </c>
      <c r="Q16" s="21" t="str">
        <f>_xll.BDP("AKAM US Equity","EFF_TAX_RATE","EQY_FUND_YEAR=2014","FUND_PER=C4","EQY_FUND_CRNCY=USD","FILING_STATUS=MR","FA_ADJUSTED=GAAP","Fill=—")</f>
        <v>#N/A Requesting Data...</v>
      </c>
      <c r="R16" s="21" t="str">
        <f>_xll.BDP("AKAM US Equity","EFF_TAX_RATE","EQY_FUND_YEAR=2015","FUND_PER=C1","EQY_FUND_CRNCY=USD","FILING_STATUS=MR","FA_ADJUSTED=GAAP","Fill=—")</f>
        <v>#N/A Requesting Data...</v>
      </c>
      <c r="S16" s="21" t="str">
        <f>_xll.BDP("AKAM US Equity","EFF_TAX_RATE","EQY_FUND_YEAR=2015","FUND_PER=C2","EQY_FUND_CRNCY=USD","FILING_STATUS=MR","FA_ADJUSTED=GAAP","Fill=—")</f>
        <v>#N/A Requesting Data...</v>
      </c>
      <c r="T16" s="21" t="str">
        <f>_xll.BDP("AKAM US Equity","EFF_TAX_RATE","EQY_FUND_YEAR=2015","FUND_PER=C3","EQY_FUND_CRNCY=USD","FILING_STATUS=MR","FA_ADJUSTED=GAAP","Fill=—")</f>
        <v>#N/A Requesting Data...</v>
      </c>
      <c r="U16" s="21" t="str">
        <f>_xll.BDP("AKAM US Equity","EFF_TAX_RATE","EQY_FUND_YEAR=2015","FUND_PER=C4","EQY_FUND_CRNCY=USD","FILING_STATUS=MR","FA_ADJUSTED=GAAP","Fill=—")</f>
        <v>#N/A Requesting Data...</v>
      </c>
      <c r="V16" s="21" t="str">
        <f>_xll.BDP("AKAM US Equity","EFF_TAX_RATE","EQY_FUND_YEAR=2016","FUND_PER=C1","EQY_FUND_CRNCY=USD","FILING_STATUS=MR","FA_ADJUSTED=GAAP","Fill=—")</f>
        <v>#N/A Requesting Data...</v>
      </c>
      <c r="W16" s="21" t="str">
        <f>_xll.BDP("AKAM US Equity","EFF_TAX_RATE","EQY_FUND_YEAR=2016","FUND_PER=C2","EQY_FUND_CRNCY=USD","FILING_STATUS=MR","FA_ADJUSTED=GAAP","Fill=—")</f>
        <v>#N/A Requesting Data...</v>
      </c>
      <c r="X16" s="21" t="str">
        <f>_xll.BDP("AKAM US Equity","EFF_TAX_RATE","EQY_FUND_YEAR=2016","FUND_PER=C3","EQY_FUND_CRNCY=USD","FILING_STATUS=MR","FA_ADJUSTED=GAAP","Fill=—")</f>
        <v>#N/A Requesting Data...</v>
      </c>
      <c r="Y16" s="21" t="str">
        <f>_xll.BDP("AKAM US Equity","EFF_TAX_RATE","EQY_FUND_YEAR=2016","FUND_PER=C4","EQY_FUND_CRNCY=USD","FILING_STATUS=MR","FA_ADJUSTED=GAAP","Fill=—")</f>
        <v>#N/A Requesting Data...</v>
      </c>
      <c r="Z16" s="21" t="str">
        <f>_xll.BDP("AKAM US Equity","EFF_TAX_RATE","EQY_FUND_YEAR=2017","FUND_PER=C1","EQY_FUND_CRNCY=USD","FILING_STATUS=MR","FA_ADJUSTED=GAAP","Fill=—")</f>
        <v>#N/A Requesting Data...</v>
      </c>
      <c r="AA16" s="21" t="str">
        <f>_xll.BDP("AKAM US Equity","EFF_TAX_RATE","EQY_FUND_YEAR=2017","FUND_PER=C2","EQY_FUND_CRNCY=USD","FILING_STATUS=MR","FA_ADJUSTED=GAAP","Fill=—")</f>
        <v>#N/A Requesting Data...</v>
      </c>
      <c r="AB16" s="21" t="str">
        <f>_xll.BDP("AKAM US Equity","EFF_TAX_RATE","EQY_FUND_YEAR=2017","FUND_PER=C3","EQY_FUND_CRNCY=USD","FILING_STATUS=MR","FA_ADJUSTED=GAAP","Fill=—")</f>
        <v>#N/A Requesting Data...</v>
      </c>
      <c r="AC16" s="21" t="str">
        <f>_xll.BDP("AKAM US Equity","EFF_TAX_RATE","EQY_FUND_YEAR=2017","FUND_PER=C4","EQY_FUND_CRNCY=USD","FILING_STATUS=MR","FA_ADJUSTED=GAAP","Fill=—")</f>
        <v>#N/A Requesting Data...</v>
      </c>
      <c r="AD16" s="21" t="str">
        <f>_xll.BDP("AKAM US Equity","EFF_TAX_RATE","EQY_FUND_YEAR=2018","FUND_PER=C1","EQY_FUND_CRNCY=USD","FILING_STATUS=MR","FA_ADJUSTED=GAAP","Fill=—")</f>
        <v>#N/A Requesting Data...</v>
      </c>
      <c r="AE16" s="21" t="str">
        <f>_xll.BDP("AKAM US Equity","EFF_TAX_RATE","EQY_FUND_YEAR=2018","FUND_PER=C2","EQY_FUND_CRNCY=USD","FILING_STATUS=MR","FA_ADJUSTED=GAAP","Fill=—")</f>
        <v>#N/A Requesting Data...</v>
      </c>
      <c r="AF16" s="21" t="str">
        <f>_xll.BDP("AKAM US Equity","EFF_TAX_RATE","EQY_FUND_YEAR=2018","FUND_PER=C3","EQY_FUND_CRNCY=USD","FILING_STATUS=MR","FA_ADJUSTED=GAAP","Fill=—")</f>
        <v>#N/A Requesting Data...</v>
      </c>
      <c r="AG16" s="21" t="str">
        <f>_xll.BDP("AKAM US Equity","EFF_TAX_RATE","EQY_FUND_YEAR=2018","FUND_PER=C4","EQY_FUND_CRNCY=USD","FILING_STATUS=MR","FA_ADJUSTED=GAAP","Fill=—")</f>
        <v>#N/A Requesting Data...</v>
      </c>
      <c r="AH16" s="21" t="str">
        <f>_xll.BDP("AKAM US Equity","EFF_TAX_RATE","EQY_FUND_YEAR=2019","FUND_PER=C1","EQY_FUND_CRNCY=USD","FILING_STATUS=MR","FA_ADJUSTED=GAAP","Fill=—")</f>
        <v>#N/A Requesting Data...</v>
      </c>
      <c r="AI16" s="21" t="str">
        <f>_xll.BDP("AKAM US Equity","EFF_TAX_RATE","EQY_FUND_YEAR=2019","FUND_PER=C2","EQY_FUND_CRNCY=USD","FILING_STATUS=MR","FA_ADJUSTED=GAAP","Fill=—")</f>
        <v>#N/A Requesting Data...</v>
      </c>
      <c r="AJ16" s="21" t="str">
        <f>_xll.BDP("AKAM US Equity","EFF_TAX_RATE","EQY_FUND_YEAR=2019","FUND_PER=C3","EQY_FUND_CRNCY=USD","FILING_STATUS=MR","FA_ADJUSTED=GAAP","Fill=—")</f>
        <v>#N/A Requesting Data...</v>
      </c>
      <c r="AK16" s="21" t="str">
        <f>_xll.BDP("AKAM US Equity","EFF_TAX_RATE","EQY_FUND_YEAR=2019","FUND_PER=C4","EQY_FUND_CRNCY=USD","FILING_STATUS=MR","FA_ADJUSTED=GAAP","Fill=—")</f>
        <v>#N/A Requesting Data...</v>
      </c>
      <c r="AL16" s="21" t="str">
        <f>_xll.BDP("AKAM US Equity","EFF_TAX_RATE","EQY_FUND_YEAR=2020","FUND_PER=C1","EQY_FUND_CRNCY=USD","FILING_STATUS=MR","FA_ADJUSTED=GAAP","Fill=—")</f>
        <v>#N/A Requesting Data...</v>
      </c>
      <c r="AM16" s="21" t="str">
        <f>_xll.BDP("AKAM US Equity","EFF_TAX_RATE","EQY_FUND_YEAR=2020","FUND_PER=C2","EQY_FUND_CRNCY=USD","FILING_STATUS=MR","FA_ADJUSTED=GAAP","Fill=—")</f>
        <v>#N/A Requesting Data...</v>
      </c>
      <c r="AN16" s="21" t="str">
        <f>_xll.BDP("AKAM US Equity","EFF_TAX_RATE","EQY_FUND_YEAR=2020","FUND_PER=C3","EQY_FUND_CRNCY=USD","FILING_STATUS=MR","FA_ADJUSTED=GAAP","Fill=—")</f>
        <v>#N/A Requesting Data...</v>
      </c>
      <c r="AO16" s="21" t="str">
        <f>_xll.BDP("AKAM US Equity","EFF_TAX_RATE","EQY_FUND_YEAR=2020","FUND_PER=C4","EQY_FUND_CRNCY=USD","FILING_STATUS=MR","FA_ADJUSTED=GAAP","Fill=—")</f>
        <v>#N/A Requesting Data...</v>
      </c>
      <c r="AP16" s="21" t="str">
        <f>_xll.BDP("AKAM US Equity","EFF_TAX_RATE","EQY_FUND_YEAR=2021","FUND_PER=C1","EQY_FUND_CRNCY=USD","FILING_STATUS=MR","FA_ADJUSTED=GAAP","Fill=—")</f>
        <v>#N/A Requesting Data...</v>
      </c>
    </row>
    <row r="17" spans="1:42" x14ac:dyDescent="0.25">
      <c r="A17" s="8" t="s">
        <v>114</v>
      </c>
      <c r="B17" s="8" t="s">
        <v>115</v>
      </c>
      <c r="C17" s="21" t="str">
        <f>_xll.BDP("AKAM US Equity","DVD_PAYOUT_RATIO","EQY_FUND_YEAR=2011","FUND_PER=C2","EQY_FUND_CRNCY=USD","FILING_STATUS=MR","FA_ADJUSTED=GAAP","Fill=—")</f>
        <v>#N/A Requesting Data...</v>
      </c>
      <c r="D17" s="21" t="str">
        <f>_xll.BDP("AKAM US Equity","DVD_PAYOUT_RATIO","EQY_FUND_YEAR=2011","FUND_PER=C3","EQY_FUND_CRNCY=USD","FILING_STATUS=MR","FA_ADJUSTED=GAAP","Fill=—")</f>
        <v>#N/A Requesting Data...</v>
      </c>
      <c r="E17" s="21" t="str">
        <f>_xll.BDP("AKAM US Equity","DVD_PAYOUT_RATIO","EQY_FUND_YEAR=2011","FUND_PER=C4","EQY_FUND_CRNCY=USD","FILING_STATUS=MR","FA_ADJUSTED=GAAP","Fill=—")</f>
        <v>#N/A Requesting Data...</v>
      </c>
      <c r="F17" s="21" t="str">
        <f>_xll.BDP("AKAM US Equity","DVD_PAYOUT_RATIO","EQY_FUND_YEAR=2012","FUND_PER=C1","EQY_FUND_CRNCY=USD","FILING_STATUS=MR","FA_ADJUSTED=GAAP","Fill=—")</f>
        <v>#N/A Requesting Data...</v>
      </c>
      <c r="G17" s="21" t="str">
        <f>_xll.BDP("AKAM US Equity","DVD_PAYOUT_RATIO","EQY_FUND_YEAR=2012","FUND_PER=C2","EQY_FUND_CRNCY=USD","FILING_STATUS=MR","FA_ADJUSTED=GAAP","Fill=—")</f>
        <v>#N/A Requesting Data...</v>
      </c>
      <c r="H17" s="21" t="str">
        <f>_xll.BDP("AKAM US Equity","DVD_PAYOUT_RATIO","EQY_FUND_YEAR=2012","FUND_PER=C3","EQY_FUND_CRNCY=USD","FILING_STATUS=MR","FA_ADJUSTED=GAAP","Fill=—")</f>
        <v>#N/A Requesting Data...</v>
      </c>
      <c r="I17" s="21" t="str">
        <f>_xll.BDP("AKAM US Equity","DVD_PAYOUT_RATIO","EQY_FUND_YEAR=2012","FUND_PER=C4","EQY_FUND_CRNCY=USD","FILING_STATUS=MR","FA_ADJUSTED=GAAP","Fill=—")</f>
        <v>#N/A Requesting Data...</v>
      </c>
      <c r="J17" s="21" t="str">
        <f>_xll.BDP("AKAM US Equity","DVD_PAYOUT_RATIO","EQY_FUND_YEAR=2013","FUND_PER=C1","EQY_FUND_CRNCY=USD","FILING_STATUS=MR","FA_ADJUSTED=GAAP","Fill=—")</f>
        <v>#N/A Requesting Data...</v>
      </c>
      <c r="K17" s="21" t="str">
        <f>_xll.BDP("AKAM US Equity","DVD_PAYOUT_RATIO","EQY_FUND_YEAR=2013","FUND_PER=C2","EQY_FUND_CRNCY=USD","FILING_STATUS=MR","FA_ADJUSTED=GAAP","Fill=—")</f>
        <v>#N/A Requesting Data...</v>
      </c>
      <c r="L17" s="21" t="str">
        <f>_xll.BDP("AKAM US Equity","DVD_PAYOUT_RATIO","EQY_FUND_YEAR=2013","FUND_PER=C3","EQY_FUND_CRNCY=USD","FILING_STATUS=MR","FA_ADJUSTED=GAAP","Fill=—")</f>
        <v>#N/A Requesting Data...</v>
      </c>
      <c r="M17" s="21" t="str">
        <f>_xll.BDP("AKAM US Equity","DVD_PAYOUT_RATIO","EQY_FUND_YEAR=2013","FUND_PER=C4","EQY_FUND_CRNCY=USD","FILING_STATUS=MR","FA_ADJUSTED=GAAP","Fill=—")</f>
        <v>#N/A Requesting Data...</v>
      </c>
      <c r="N17" s="21" t="str">
        <f>_xll.BDP("AKAM US Equity","DVD_PAYOUT_RATIO","EQY_FUND_YEAR=2014","FUND_PER=C1","EQY_FUND_CRNCY=USD","FILING_STATUS=MR","FA_ADJUSTED=GAAP","Fill=—")</f>
        <v>#N/A Requesting Data...</v>
      </c>
      <c r="O17" s="21" t="str">
        <f>_xll.BDP("AKAM US Equity","DVD_PAYOUT_RATIO","EQY_FUND_YEAR=2014","FUND_PER=C2","EQY_FUND_CRNCY=USD","FILING_STATUS=MR","FA_ADJUSTED=GAAP","Fill=—")</f>
        <v>#N/A Requesting Data...</v>
      </c>
      <c r="P17" s="21" t="str">
        <f>_xll.BDP("AKAM US Equity","DVD_PAYOUT_RATIO","EQY_FUND_YEAR=2014","FUND_PER=C3","EQY_FUND_CRNCY=USD","FILING_STATUS=MR","FA_ADJUSTED=GAAP","Fill=—")</f>
        <v>#N/A Requesting Data...</v>
      </c>
      <c r="Q17" s="21" t="str">
        <f>_xll.BDP("AKAM US Equity","DVD_PAYOUT_RATIO","EQY_FUND_YEAR=2014","FUND_PER=C4","EQY_FUND_CRNCY=USD","FILING_STATUS=MR","FA_ADJUSTED=GAAP","Fill=—")</f>
        <v>#N/A Requesting Data...</v>
      </c>
      <c r="R17" s="21" t="str">
        <f>_xll.BDP("AKAM US Equity","DVD_PAYOUT_RATIO","EQY_FUND_YEAR=2015","FUND_PER=C1","EQY_FUND_CRNCY=USD","FILING_STATUS=MR","FA_ADJUSTED=GAAP","Fill=—")</f>
        <v>#N/A Requesting Data...</v>
      </c>
      <c r="S17" s="21" t="str">
        <f>_xll.BDP("AKAM US Equity","DVD_PAYOUT_RATIO","EQY_FUND_YEAR=2015","FUND_PER=C2","EQY_FUND_CRNCY=USD","FILING_STATUS=MR","FA_ADJUSTED=GAAP","Fill=—")</f>
        <v>#N/A Requesting Data...</v>
      </c>
      <c r="T17" s="21" t="str">
        <f>_xll.BDP("AKAM US Equity","DVD_PAYOUT_RATIO","EQY_FUND_YEAR=2015","FUND_PER=C3","EQY_FUND_CRNCY=USD","FILING_STATUS=MR","FA_ADJUSTED=GAAP","Fill=—")</f>
        <v>#N/A Requesting Data...</v>
      </c>
      <c r="U17" s="21" t="str">
        <f>_xll.BDP("AKAM US Equity","DVD_PAYOUT_RATIO","EQY_FUND_YEAR=2015","FUND_PER=C4","EQY_FUND_CRNCY=USD","FILING_STATUS=MR","FA_ADJUSTED=GAAP","Fill=—")</f>
        <v>#N/A Requesting Data...</v>
      </c>
      <c r="V17" s="21" t="str">
        <f>_xll.BDP("AKAM US Equity","DVD_PAYOUT_RATIO","EQY_FUND_YEAR=2016","FUND_PER=C1","EQY_FUND_CRNCY=USD","FILING_STATUS=MR","FA_ADJUSTED=GAAP","Fill=—")</f>
        <v>#N/A Requesting Data...</v>
      </c>
      <c r="W17" s="21" t="str">
        <f>_xll.BDP("AKAM US Equity","DVD_PAYOUT_RATIO","EQY_FUND_YEAR=2016","FUND_PER=C2","EQY_FUND_CRNCY=USD","FILING_STATUS=MR","FA_ADJUSTED=GAAP","Fill=—")</f>
        <v>#N/A Requesting Data...</v>
      </c>
      <c r="X17" s="21" t="str">
        <f>_xll.BDP("AKAM US Equity","DVD_PAYOUT_RATIO","EQY_FUND_YEAR=2016","FUND_PER=C3","EQY_FUND_CRNCY=USD","FILING_STATUS=MR","FA_ADJUSTED=GAAP","Fill=—")</f>
        <v>#N/A Requesting Data...</v>
      </c>
      <c r="Y17" s="21" t="str">
        <f>_xll.BDP("AKAM US Equity","DVD_PAYOUT_RATIO","EQY_FUND_YEAR=2016","FUND_PER=C4","EQY_FUND_CRNCY=USD","FILING_STATUS=MR","FA_ADJUSTED=GAAP","Fill=—")</f>
        <v>#N/A Requesting Data...</v>
      </c>
      <c r="Z17" s="21" t="str">
        <f>_xll.BDP("AKAM US Equity","DVD_PAYOUT_RATIO","EQY_FUND_YEAR=2017","FUND_PER=C1","EQY_FUND_CRNCY=USD","FILING_STATUS=MR","FA_ADJUSTED=GAAP","Fill=—")</f>
        <v>#N/A Requesting Data...</v>
      </c>
      <c r="AA17" s="21" t="str">
        <f>_xll.BDP("AKAM US Equity","DVD_PAYOUT_RATIO","EQY_FUND_YEAR=2017","FUND_PER=C2","EQY_FUND_CRNCY=USD","FILING_STATUS=MR","FA_ADJUSTED=GAAP","Fill=—")</f>
        <v>#N/A Requesting Data...</v>
      </c>
      <c r="AB17" s="21" t="str">
        <f>_xll.BDP("AKAM US Equity","DVD_PAYOUT_RATIO","EQY_FUND_YEAR=2017","FUND_PER=C3","EQY_FUND_CRNCY=USD","FILING_STATUS=MR","FA_ADJUSTED=GAAP","Fill=—")</f>
        <v>#N/A Requesting Data...</v>
      </c>
      <c r="AC17" s="21" t="str">
        <f>_xll.BDP("AKAM US Equity","DVD_PAYOUT_RATIO","EQY_FUND_YEAR=2017","FUND_PER=C4","EQY_FUND_CRNCY=USD","FILING_STATUS=MR","FA_ADJUSTED=GAAP","Fill=—")</f>
        <v>#N/A Requesting Data...</v>
      </c>
      <c r="AD17" s="21" t="str">
        <f>_xll.BDP("AKAM US Equity","DVD_PAYOUT_RATIO","EQY_FUND_YEAR=2018","FUND_PER=C1","EQY_FUND_CRNCY=USD","FILING_STATUS=MR","FA_ADJUSTED=GAAP","Fill=—")</f>
        <v>#N/A Requesting Data...</v>
      </c>
      <c r="AE17" s="21" t="str">
        <f>_xll.BDP("AKAM US Equity","DVD_PAYOUT_RATIO","EQY_FUND_YEAR=2018","FUND_PER=C2","EQY_FUND_CRNCY=USD","FILING_STATUS=MR","FA_ADJUSTED=GAAP","Fill=—")</f>
        <v>#N/A Requesting Data...</v>
      </c>
      <c r="AF17" s="21" t="str">
        <f>_xll.BDP("AKAM US Equity","DVD_PAYOUT_RATIO","EQY_FUND_YEAR=2018","FUND_PER=C3","EQY_FUND_CRNCY=USD","FILING_STATUS=MR","FA_ADJUSTED=GAAP","Fill=—")</f>
        <v>#N/A Requesting Data...</v>
      </c>
      <c r="AG17" s="21" t="str">
        <f>_xll.BDP("AKAM US Equity","DVD_PAYOUT_RATIO","EQY_FUND_YEAR=2018","FUND_PER=C4","EQY_FUND_CRNCY=USD","FILING_STATUS=MR","FA_ADJUSTED=GAAP","Fill=—")</f>
        <v>#N/A Requesting Data...</v>
      </c>
      <c r="AH17" s="21" t="str">
        <f>_xll.BDP("AKAM US Equity","DVD_PAYOUT_RATIO","EQY_FUND_YEAR=2019","FUND_PER=C1","EQY_FUND_CRNCY=USD","FILING_STATUS=MR","FA_ADJUSTED=GAAP","Fill=—")</f>
        <v>#N/A Requesting Data...</v>
      </c>
      <c r="AI17" s="21" t="str">
        <f>_xll.BDP("AKAM US Equity","DVD_PAYOUT_RATIO","EQY_FUND_YEAR=2019","FUND_PER=C2","EQY_FUND_CRNCY=USD","FILING_STATUS=MR","FA_ADJUSTED=GAAP","Fill=—")</f>
        <v>#N/A Requesting Data...</v>
      </c>
      <c r="AJ17" s="21" t="str">
        <f>_xll.BDP("AKAM US Equity","DVD_PAYOUT_RATIO","EQY_FUND_YEAR=2019","FUND_PER=C3","EQY_FUND_CRNCY=USD","FILING_STATUS=MR","FA_ADJUSTED=GAAP","Fill=—")</f>
        <v>#N/A Requesting Data...</v>
      </c>
      <c r="AK17" s="21" t="str">
        <f>_xll.BDP("AKAM US Equity","DVD_PAYOUT_RATIO","EQY_FUND_YEAR=2019","FUND_PER=C4","EQY_FUND_CRNCY=USD","FILING_STATUS=MR","FA_ADJUSTED=GAAP","Fill=—")</f>
        <v>#N/A Requesting Data...</v>
      </c>
      <c r="AL17" s="21" t="str">
        <f>_xll.BDP("AKAM US Equity","DVD_PAYOUT_RATIO","EQY_FUND_YEAR=2020","FUND_PER=C1","EQY_FUND_CRNCY=USD","FILING_STATUS=MR","FA_ADJUSTED=GAAP","Fill=—")</f>
        <v>#N/A Requesting Data...</v>
      </c>
      <c r="AM17" s="21" t="str">
        <f>_xll.BDP("AKAM US Equity","DVD_PAYOUT_RATIO","EQY_FUND_YEAR=2020","FUND_PER=C2","EQY_FUND_CRNCY=USD","FILING_STATUS=MR","FA_ADJUSTED=GAAP","Fill=—")</f>
        <v>#N/A Requesting Data...</v>
      </c>
      <c r="AN17" s="21" t="str">
        <f>_xll.BDP("AKAM US Equity","DVD_PAYOUT_RATIO","EQY_FUND_YEAR=2020","FUND_PER=C3","EQY_FUND_CRNCY=USD","FILING_STATUS=MR","FA_ADJUSTED=GAAP","Fill=—")</f>
        <v>#N/A Requesting Data...</v>
      </c>
      <c r="AO17" s="21" t="str">
        <f>_xll.BDP("AKAM US Equity","DVD_PAYOUT_RATIO","EQY_FUND_YEAR=2020","FUND_PER=C4","EQY_FUND_CRNCY=USD","FILING_STATUS=MR","FA_ADJUSTED=GAAP","Fill=—")</f>
        <v>#N/A Requesting Data...</v>
      </c>
      <c r="AP17" s="21" t="str">
        <f>_xll.BDP("AKAM US Equity","DVD_PAYOUT_RATIO","EQY_FUND_YEAR=2021","FUND_PER=C1","EQY_FUND_CRNCY=USD","FILING_STATUS=MR","FA_ADJUSTED=GAAP","Fill=—")</f>
        <v>#N/A Requesting Data...</v>
      </c>
    </row>
    <row r="18" spans="1:42" x14ac:dyDescent="0.25">
      <c r="A18" s="15" t="s">
        <v>118</v>
      </c>
      <c r="B18" s="15"/>
      <c r="C18" s="15" t="s">
        <v>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tabSelected="1" workbookViewId="0">
      <selection activeCell="L7" sqref="L7"/>
    </sheetView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196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2" t="s">
        <v>2</v>
      </c>
      <c r="B4" s="2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27</v>
      </c>
      <c r="AB4" s="3" t="s">
        <v>28</v>
      </c>
      <c r="AC4" s="3" t="s">
        <v>29</v>
      </c>
      <c r="AD4" s="3" t="s">
        <v>30</v>
      </c>
      <c r="AE4" s="3" t="s">
        <v>31</v>
      </c>
      <c r="AF4" s="3" t="s">
        <v>32</v>
      </c>
      <c r="AG4" s="3" t="s">
        <v>33</v>
      </c>
      <c r="AH4" s="3" t="s">
        <v>34</v>
      </c>
      <c r="AI4" s="3" t="s">
        <v>35</v>
      </c>
      <c r="AJ4" s="3" t="s">
        <v>36</v>
      </c>
      <c r="AK4" s="3" t="s">
        <v>37</v>
      </c>
      <c r="AL4" s="3" t="s">
        <v>38</v>
      </c>
      <c r="AM4" s="3" t="s">
        <v>39</v>
      </c>
      <c r="AN4" s="3" t="s">
        <v>40</v>
      </c>
      <c r="AO4" s="3" t="s">
        <v>41</v>
      </c>
      <c r="AP4" s="3" t="s">
        <v>42</v>
      </c>
    </row>
    <row r="5" spans="1:42" x14ac:dyDescent="0.25">
      <c r="A5" s="4" t="s">
        <v>43</v>
      </c>
      <c r="B5" s="4"/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  <c r="H5" s="5" t="s">
        <v>49</v>
      </c>
      <c r="I5" s="5" t="s">
        <v>50</v>
      </c>
      <c r="J5" s="5" t="s">
        <v>51</v>
      </c>
      <c r="K5" s="5" t="s">
        <v>52</v>
      </c>
      <c r="L5" s="5" t="s">
        <v>53</v>
      </c>
      <c r="M5" s="5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S5" s="5" t="s">
        <v>60</v>
      </c>
      <c r="T5" s="5" t="s">
        <v>61</v>
      </c>
      <c r="U5" s="5" t="s">
        <v>62</v>
      </c>
      <c r="V5" s="5" t="s">
        <v>63</v>
      </c>
      <c r="W5" s="5" t="s">
        <v>64</v>
      </c>
      <c r="X5" s="5" t="s">
        <v>65</v>
      </c>
      <c r="Y5" s="5" t="s">
        <v>66</v>
      </c>
      <c r="Z5" s="5" t="s">
        <v>67</v>
      </c>
      <c r="AA5" s="5" t="s">
        <v>68</v>
      </c>
      <c r="AB5" s="5" t="s">
        <v>69</v>
      </c>
      <c r="AC5" s="5" t="s">
        <v>70</v>
      </c>
      <c r="AD5" s="5" t="s">
        <v>71</v>
      </c>
      <c r="AE5" s="5" t="s">
        <v>72</v>
      </c>
      <c r="AF5" s="5" t="s">
        <v>73</v>
      </c>
      <c r="AG5" s="5" t="s">
        <v>74</v>
      </c>
      <c r="AH5" s="5" t="s">
        <v>75</v>
      </c>
      <c r="AI5" s="5" t="s">
        <v>76</v>
      </c>
      <c r="AJ5" s="5" t="s">
        <v>77</v>
      </c>
      <c r="AK5" s="5" t="s">
        <v>78</v>
      </c>
      <c r="AL5" s="5" t="s">
        <v>79</v>
      </c>
      <c r="AM5" s="5" t="s">
        <v>80</v>
      </c>
      <c r="AN5" s="5" t="s">
        <v>81</v>
      </c>
      <c r="AO5" s="5" t="s">
        <v>82</v>
      </c>
      <c r="AP5" s="5" t="s">
        <v>83</v>
      </c>
    </row>
    <row r="6" spans="1:42" x14ac:dyDescent="0.25">
      <c r="A6" s="8" t="s">
        <v>195</v>
      </c>
      <c r="B6" s="8" t="s">
        <v>194</v>
      </c>
      <c r="C6" s="21">
        <f>_xll.BDH("AKAM US Equity","CASH_RATIO","FQ2 2011","FQ2 2011","Currency=USD","Period=FQ","BEST_FPERIOD_OVERRIDE=FQ","FILING_STATUS=MR","Sort=A","Dates=H","DateFormat=P","Fill=—","Direction=H","UseDPDF=Y")</f>
        <v>3.5850999999999997</v>
      </c>
      <c r="D6" s="21">
        <f>_xll.BDH("AKAM US Equity","CASH_RATIO","FQ3 2011","FQ3 2011","Currency=USD","Period=FQ","BEST_FPERIOD_OVERRIDE=FQ","FILING_STATUS=MR","Sort=A","Dates=H","DateFormat=P","Fill=—","Direction=H","UseDPDF=Y")</f>
        <v>4.9508999999999999</v>
      </c>
      <c r="E6" s="21">
        <f>_xll.BDH("AKAM US Equity","CASH_RATIO","FQ4 2011","FQ4 2011","Currency=USD","Period=FQ","BEST_FPERIOD_OVERRIDE=FQ","FILING_STATUS=MR","Sort=A","Dates=H","DateFormat=P","Fill=—","Direction=H","UseDPDF=Y")</f>
        <v>5.7229000000000001</v>
      </c>
      <c r="F6" s="21">
        <f>_xll.BDH("AKAM US Equity","CASH_RATIO","FQ1 2012","FQ1 2012","Currency=USD","Period=FQ","BEST_FPERIOD_OVERRIDE=FQ","FILING_STATUS=MR","Sort=A","Dates=H","DateFormat=P","Fill=—","Direction=H","UseDPDF=Y")</f>
        <v>2.7235</v>
      </c>
      <c r="G6" s="21">
        <f>_xll.BDH("AKAM US Equity","CASH_RATIO","FQ2 2012","FQ2 2012","Currency=USD","Period=FQ","BEST_FPERIOD_OVERRIDE=FQ","FILING_STATUS=MR","Sort=A","Dates=H","DateFormat=P","Fill=—","Direction=H","UseDPDF=Y")</f>
        <v>2.9939999999999998</v>
      </c>
      <c r="H6" s="21">
        <f>_xll.BDH("AKAM US Equity","CASH_RATIO","FQ3 2012","FQ3 2012","Currency=USD","Period=FQ","BEST_FPERIOD_OVERRIDE=FQ","FILING_STATUS=MR","Sort=A","Dates=H","DateFormat=P","Fill=—","Direction=H","UseDPDF=Y")</f>
        <v>2.1850000000000001</v>
      </c>
      <c r="I6" s="21">
        <f>_xll.BDH("AKAM US Equity","CASH_RATIO","FQ4 2012","FQ4 2012","Currency=USD","Period=FQ","BEST_FPERIOD_OVERRIDE=FQ","FILING_STATUS=MR","Sort=A","Dates=H","DateFormat=P","Fill=—","Direction=H","UseDPDF=Y")</f>
        <v>2.1562000000000001</v>
      </c>
      <c r="J6" s="21">
        <f>_xll.BDH("AKAM US Equity","CASH_RATIO","FQ1 2013","FQ1 2013","Currency=USD","Period=FQ","BEST_FPERIOD_OVERRIDE=FQ","FILING_STATUS=MR","Sort=A","Dates=H","DateFormat=P","Fill=—","Direction=H","UseDPDF=Y")</f>
        <v>2.4218999999999999</v>
      </c>
      <c r="K6" s="21">
        <f>_xll.BDH("AKAM US Equity","CASH_RATIO","FQ2 2013","FQ2 2013","Currency=USD","Period=FQ","BEST_FPERIOD_OVERRIDE=FQ","FILING_STATUS=MR","Sort=A","Dates=H","DateFormat=P","Fill=—","Direction=H","UseDPDF=Y")</f>
        <v>2.3433000000000002</v>
      </c>
      <c r="L6" s="21">
        <f>_xll.BDH("AKAM US Equity","CASH_RATIO","FQ3 2013","FQ3 2013","Currency=USD","Period=FQ","BEST_FPERIOD_OVERRIDE=FQ","FILING_STATUS=MR","Sort=A","Dates=H","DateFormat=P","Fill=—","Direction=H","UseDPDF=Y")</f>
        <v>1.9841</v>
      </c>
      <c r="M6" s="21">
        <f>_xll.BDH("AKAM US Equity","CASH_RATIO","FQ4 2013","FQ4 2013","Currency=USD","Period=FQ","BEST_FPERIOD_OVERRIDE=FQ","FILING_STATUS=MR","Sort=A","Dates=H","DateFormat=P","Fill=—","Direction=H","UseDPDF=Y")</f>
        <v>2.5606999999999998</v>
      </c>
      <c r="N6" s="21">
        <f>_xll.BDH("AKAM US Equity","CASH_RATIO","FQ1 2014","FQ1 2014","Currency=USD","Period=FQ","BEST_FPERIOD_OVERRIDE=FQ","FILING_STATUS=MR","Sort=A","Dates=H","DateFormat=P","Fill=—","Direction=H","UseDPDF=Y")</f>
        <v>2.859</v>
      </c>
      <c r="O6" s="21" t="str">
        <f>_xll.BDH("AKAM US Equity","CASH_RATIO","FQ2 2014","FQ2 2014","Currency=USD","Period=FQ","BEST_FPERIOD_OVERRIDE=FQ","FILING_STATUS=MR","Sort=A","Dates=H","DateFormat=P","Fill=—","Direction=H","UseDPDF=Y")</f>
        <v>#N/A Requesting Data...</v>
      </c>
      <c r="P6" s="21" t="str">
        <f>_xll.BDH("AKAM US Equity","CASH_RATIO","FQ3 2014","FQ3 2014","Currency=USD","Period=FQ","BEST_FPERIOD_OVERRIDE=FQ","FILING_STATUS=MR","Sort=A","Dates=H","DateFormat=P","Fill=—","Direction=H","UseDPDF=Y")</f>
        <v>#N/A Requesting Data...</v>
      </c>
      <c r="Q6" s="21" t="str">
        <f>_xll.BDH("AKAM US Equity","CASH_RATIO","FQ4 2014","FQ4 2014","Currency=USD","Period=FQ","BEST_FPERIOD_OVERRIDE=FQ","FILING_STATUS=MR","Sort=A","Dates=H","DateFormat=P","Fill=—","Direction=H","UseDPDF=Y")</f>
        <v>#N/A Requesting Data...</v>
      </c>
      <c r="R6" s="21">
        <f>_xll.BDH("AKAM US Equity","CASH_RATIO","FQ1 2015","FQ1 2015","Currency=USD","Period=FQ","BEST_FPERIOD_OVERRIDE=FQ","FILING_STATUS=MR","Sort=A","Dates=H","DateFormat=P","Fill=—","Direction=H","UseDPDF=Y")</f>
        <v>2.6484000000000001</v>
      </c>
      <c r="S6" s="21" t="str">
        <f>_xll.BDH("AKAM US Equity","CASH_RATIO","FQ2 2015","FQ2 2015","Currency=USD","Period=FQ","BEST_FPERIOD_OVERRIDE=FQ","FILING_STATUS=MR","Sort=A","Dates=H","DateFormat=P","Fill=—","Direction=H","UseDPDF=Y")</f>
        <v>#N/A Requesting Data...</v>
      </c>
      <c r="T6" s="21" t="str">
        <f>_xll.BDH("AKAM US Equity","CASH_RATIO","FQ3 2015","FQ3 2015","Currency=USD","Period=FQ","BEST_FPERIOD_OVERRIDE=FQ","FILING_STATUS=MR","Sort=A","Dates=H","DateFormat=P","Fill=—","Direction=H","UseDPDF=Y")</f>
        <v>#N/A Requesting Data...</v>
      </c>
      <c r="U6" s="21" t="str">
        <f>_xll.BDH("AKAM US Equity","CASH_RATIO","FQ4 2015","FQ4 2015","Currency=USD","Period=FQ","BEST_FPERIOD_OVERRIDE=FQ","FILING_STATUS=MR","Sort=A","Dates=H","DateFormat=P","Fill=—","Direction=H","UseDPDF=Y")</f>
        <v>#N/A Requesting Data...</v>
      </c>
      <c r="V6" s="21" t="str">
        <f>_xll.BDH("AKAM US Equity","CASH_RATIO","FQ1 2016","FQ1 2016","Currency=USD","Period=FQ","BEST_FPERIOD_OVERRIDE=FQ","FILING_STATUS=MR","Sort=A","Dates=H","DateFormat=P","Fill=—","Direction=H","UseDPDF=Y")</f>
        <v>#N/A Requesting Data...</v>
      </c>
      <c r="W6" s="21" t="str">
        <f>_xll.BDH("AKAM US Equity","CASH_RATIO","FQ2 2016","FQ2 2016","Currency=USD","Period=FQ","BEST_FPERIOD_OVERRIDE=FQ","FILING_STATUS=MR","Sort=A","Dates=H","DateFormat=P","Fill=—","Direction=H","UseDPDF=Y")</f>
        <v>#N/A Requesting Data...</v>
      </c>
      <c r="X6" s="21">
        <f>_xll.BDH("AKAM US Equity","CASH_RATIO","FQ3 2016","FQ3 2016","Currency=USD","Period=FQ","BEST_FPERIOD_OVERRIDE=FQ","FILING_STATUS=MR","Sort=A","Dates=H","DateFormat=P","Fill=—","Direction=H","UseDPDF=Y")</f>
        <v>2.1116000000000001</v>
      </c>
      <c r="Y6" s="21">
        <f>_xll.BDH("AKAM US Equity","CASH_RATIO","FQ4 2016","FQ4 2016","Currency=USD","Period=FQ","BEST_FPERIOD_OVERRIDE=FQ","FILING_STATUS=MR","Sort=A","Dates=H","DateFormat=P","Fill=—","Direction=H","UseDPDF=Y")</f>
        <v>2.2345000000000002</v>
      </c>
      <c r="Z6" s="21">
        <f>_xll.BDH("AKAM US Equity","CASH_RATIO","FQ1 2017","FQ1 2017","Currency=USD","Period=FQ","BEST_FPERIOD_OVERRIDE=FQ","FILING_STATUS=MR","Sort=A","Dates=H","DateFormat=P","Fill=—","Direction=H","UseDPDF=Y")</f>
        <v>2.2128999999999999</v>
      </c>
      <c r="AA6" s="21" t="str">
        <f>_xll.BDH("AKAM US Equity","CASH_RATIO","FQ2 2017","FQ2 2017","Currency=USD","Period=FQ","BEST_FPERIOD_OVERRIDE=FQ","FILING_STATUS=MR","Sort=A","Dates=H","DateFormat=P","Fill=—","Direction=H","UseDPDF=Y")</f>
        <v>#N/A Requesting Data...</v>
      </c>
      <c r="AB6" s="21" t="str">
        <f>_xll.BDH("AKAM US Equity","CASH_RATIO","FQ3 2017","FQ3 2017","Currency=USD","Period=FQ","BEST_FPERIOD_OVERRIDE=FQ","FILING_STATUS=MR","Sort=A","Dates=H","DateFormat=P","Fill=—","Direction=H","UseDPDF=Y")</f>
        <v>#N/A Requesting Data...</v>
      </c>
      <c r="AC6" s="21" t="str">
        <f>_xll.BDH("AKAM US Equity","CASH_RATIO","FQ4 2017","FQ4 2017","Currency=USD","Period=FQ","BEST_FPERIOD_OVERRIDE=FQ","FILING_STATUS=MR","Sort=A","Dates=H","DateFormat=P","Fill=—","Direction=H","UseDPDF=Y")</f>
        <v>#N/A Requesting Data...</v>
      </c>
      <c r="AD6" s="21" t="str">
        <f>_xll.BDH("AKAM US Equity","CASH_RATIO","FQ1 2018","FQ1 2018","Currency=USD","Period=FQ","BEST_FPERIOD_OVERRIDE=FQ","FILING_STATUS=MR","Sort=A","Dates=H","DateFormat=P","Fill=—","Direction=H","UseDPDF=Y")</f>
        <v>#N/A Requesting Data...</v>
      </c>
      <c r="AE6" s="21" t="str">
        <f>_xll.BDH("AKAM US Equity","CASH_RATIO","FQ2 2018","FQ2 2018","Currency=USD","Period=FQ","BEST_FPERIOD_OVERRIDE=FQ","FILING_STATUS=MR","Sort=A","Dates=H","DateFormat=P","Fill=—","Direction=H","UseDPDF=Y")</f>
        <v>#N/A Requesting Data...</v>
      </c>
      <c r="AF6" s="21" t="str">
        <f>_xll.BDH("AKAM US Equity","CASH_RATIO","FQ3 2018","FQ3 2018","Currency=USD","Period=FQ","BEST_FPERIOD_OVERRIDE=FQ","FILING_STATUS=MR","Sort=A","Dates=H","DateFormat=P","Fill=—","Direction=H","UseDPDF=Y")</f>
        <v>#N/A Requesting Data...</v>
      </c>
      <c r="AG6" s="21" t="str">
        <f>_xll.BDH("AKAM US Equity","CASH_RATIO","FQ4 2018","FQ4 2018","Currency=USD","Period=FQ","BEST_FPERIOD_OVERRIDE=FQ","FILING_STATUS=MR","Sort=A","Dates=H","DateFormat=P","Fill=—","Direction=H","UseDPDF=Y")</f>
        <v>#N/A Requesting Data...</v>
      </c>
      <c r="AH6" s="21" t="str">
        <f>_xll.BDH("AKAM US Equity","CASH_RATIO","FQ1 2019","FQ1 2019","Currency=USD","Period=FQ","BEST_FPERIOD_OVERRIDE=FQ","FILING_STATUS=MR","Sort=A","Dates=H","DateFormat=P","Fill=—","Direction=H","UseDPDF=Y")</f>
        <v>#N/A Requesting Data...</v>
      </c>
      <c r="AI6" s="21" t="str">
        <f>_xll.BDH("AKAM US Equity","CASH_RATIO","FQ2 2019","FQ2 2019","Currency=USD","Period=FQ","BEST_FPERIOD_OVERRIDE=FQ","FILING_STATUS=MR","Sort=A","Dates=H","DateFormat=P","Fill=—","Direction=H","UseDPDF=Y")</f>
        <v>#N/A Requesting Data...</v>
      </c>
      <c r="AJ6" s="21">
        <f>_xll.BDH("AKAM US Equity","CASH_RATIO","FQ3 2019","FQ3 2019","Currency=USD","Period=FQ","BEST_FPERIOD_OVERRIDE=FQ","FILING_STATUS=MR","Sort=A","Dates=H","DateFormat=P","Fill=—","Direction=H","UseDPDF=Y")</f>
        <v>2.6061000000000001</v>
      </c>
      <c r="AK6" s="21">
        <f>_xll.BDH("AKAM US Equity","CASH_RATIO","FQ4 2019","FQ4 2019","Currency=USD","Period=FQ","BEST_FPERIOD_OVERRIDE=FQ","FILING_STATUS=MR","Sort=A","Dates=H","DateFormat=P","Fill=—","Direction=H","UseDPDF=Y")</f>
        <v>2.2168000000000001</v>
      </c>
      <c r="AL6" s="21">
        <f>_xll.BDH("AKAM US Equity","CASH_RATIO","FQ1 2020","FQ1 2020","Currency=USD","Period=FQ","BEST_FPERIOD_OVERRIDE=FQ","FILING_STATUS=MR","Sort=A","Dates=H","DateFormat=P","Fill=—","Direction=H","UseDPDF=Y")</f>
        <v>1.9822</v>
      </c>
      <c r="AM6" s="21" t="str">
        <f>_xll.BDH("AKAM US Equity","CASH_RATIO","FQ2 2020","FQ2 2020","Currency=USD","Period=FQ","BEST_FPERIOD_OVERRIDE=FQ","FILING_STATUS=MR","Sort=A","Dates=H","DateFormat=P","Fill=—","Direction=H","UseDPDF=Y")</f>
        <v>#N/A Requesting Data...</v>
      </c>
      <c r="AN6" s="21" t="str">
        <f>_xll.BDH("AKAM US Equity","CASH_RATIO","FQ3 2020","FQ3 2020","Currency=USD","Period=FQ","BEST_FPERIOD_OVERRIDE=FQ","FILING_STATUS=MR","Sort=A","Dates=H","DateFormat=P","Fill=—","Direction=H","UseDPDF=Y")</f>
        <v>#N/A Requesting Data...</v>
      </c>
      <c r="AO6" s="21" t="str">
        <f>_xll.BDH("AKAM US Equity","CASH_RATIO","FQ4 2020","FQ4 2020","Currency=USD","Period=FQ","BEST_FPERIOD_OVERRIDE=FQ","FILING_STATUS=MR","Sort=A","Dates=H","DateFormat=P","Fill=—","Direction=H","UseDPDF=Y")</f>
        <v>#N/A Requesting Data...</v>
      </c>
      <c r="AP6" s="21" t="str">
        <f>_xll.BDH("AKAM US Equity","CASH_RATIO","FQ1 2021","FQ1 2021","Currency=USD","Period=FQ","BEST_FPERIOD_OVERRIDE=FQ","FILING_STATUS=MR","Sort=A","Dates=H","DateFormat=P","Fill=—","Direction=H","UseDPDF=Y")</f>
        <v>#N/A Requesting Data...</v>
      </c>
    </row>
    <row r="7" spans="1:42" x14ac:dyDescent="0.25">
      <c r="A7" s="8" t="s">
        <v>193</v>
      </c>
      <c r="B7" s="8" t="s">
        <v>192</v>
      </c>
      <c r="C7" s="21" t="str">
        <f>_xll.BDH("AKAM US Equity","CUR_RATIO","FQ2 2011","FQ2 2011","Currency=USD","Period=FQ","BEST_FPERIOD_OVERRIDE=FQ","FILING_STATUS=MR","Sort=A","Dates=H","DateFormat=P","Fill=—","Direction=H","UseDPDF=Y")</f>
        <v>#N/A Requesting Data...</v>
      </c>
      <c r="D7" s="21" t="str">
        <f>_xll.BDH("AKAM US Equity","CUR_RATIO","FQ3 2011","FQ3 2011","Currency=USD","Period=FQ","BEST_FPERIOD_OVERRIDE=FQ","FILING_STATUS=MR","Sort=A","Dates=H","DateFormat=P","Fill=—","Direction=H","UseDPDF=Y")</f>
        <v>#N/A Requesting Data...</v>
      </c>
      <c r="E7" s="21" t="str">
        <f>_xll.BDH("AKAM US Equity","CUR_RATIO","FQ4 2011","FQ4 2011","Currency=USD","Period=FQ","BEST_FPERIOD_OVERRIDE=FQ","FILING_STATUS=MR","Sort=A","Dates=H","DateFormat=P","Fill=—","Direction=H","UseDPDF=Y")</f>
        <v>#N/A Requesting Data...</v>
      </c>
      <c r="F7" s="21" t="str">
        <f>_xll.BDH("AKAM US Equity","CUR_RATIO","FQ1 2012","FQ1 2012","Currency=USD","Period=FQ","BEST_FPERIOD_OVERRIDE=FQ","FILING_STATUS=MR","Sort=A","Dates=H","DateFormat=P","Fill=—","Direction=H","UseDPDF=Y")</f>
        <v>#N/A Requesting Data...</v>
      </c>
      <c r="G7" s="21" t="str">
        <f>_xll.BDH("AKAM US Equity","CUR_RATIO","FQ2 2012","FQ2 2012","Currency=USD","Period=FQ","BEST_FPERIOD_OVERRIDE=FQ","FILING_STATUS=MR","Sort=A","Dates=H","DateFormat=P","Fill=—","Direction=H","UseDPDF=Y")</f>
        <v>#N/A Requesting Data...</v>
      </c>
      <c r="H7" s="21">
        <f>_xll.BDH("AKAM US Equity","CUR_RATIO","FQ3 2012","FQ3 2012","Currency=USD","Period=FQ","BEST_FPERIOD_OVERRIDE=FQ","FILING_STATUS=MR","Sort=A","Dates=H","DateFormat=P","Fill=—","Direction=H","UseDPDF=Y")</f>
        <v>3.5398000000000001</v>
      </c>
      <c r="I7" s="21">
        <f>_xll.BDH("AKAM US Equity","CUR_RATIO","FQ4 2012","FQ4 2012","Currency=USD","Period=FQ","BEST_FPERIOD_OVERRIDE=FQ","FILING_STATUS=MR","Sort=A","Dates=H","DateFormat=P","Fill=—","Direction=H","UseDPDF=Y")</f>
        <v>3.5891000000000002</v>
      </c>
      <c r="J7" s="21">
        <f>_xll.BDH("AKAM US Equity","CUR_RATIO","FQ1 2013","FQ1 2013","Currency=USD","Period=FQ","BEST_FPERIOD_OVERRIDE=FQ","FILING_STATUS=MR","Sort=A","Dates=H","DateFormat=P","Fill=—","Direction=H","UseDPDF=Y")</f>
        <v>3.9245999999999999</v>
      </c>
      <c r="K7" s="21">
        <f>_xll.BDH("AKAM US Equity","CUR_RATIO","FQ2 2013","FQ2 2013","Currency=USD","Period=FQ","BEST_FPERIOD_OVERRIDE=FQ","FILING_STATUS=MR","Sort=A","Dates=H","DateFormat=P","Fill=—","Direction=H","UseDPDF=Y")</f>
        <v>3.7930000000000001</v>
      </c>
      <c r="L7" s="21" t="str">
        <f>_xll.BDH("AKAM US Equity","CUR_RATIO","FQ3 2013","FQ3 2013","Currency=USD","Period=FQ","BEST_FPERIOD_OVERRIDE=FQ","FILING_STATUS=MR","Sort=A","Dates=H","DateFormat=P","Fill=—","Direction=H","UseDPDF=Y")</f>
        <v>#N/A Requesting Data...</v>
      </c>
      <c r="M7" s="21" t="str">
        <f>_xll.BDH("AKAM US Equity","CUR_RATIO","FQ4 2013","FQ4 2013","Currency=USD","Period=FQ","BEST_FPERIOD_OVERRIDE=FQ","FILING_STATUS=MR","Sort=A","Dates=H","DateFormat=P","Fill=—","Direction=H","UseDPDF=Y")</f>
        <v>#N/A Requesting Data...</v>
      </c>
      <c r="N7" s="21" t="str">
        <f>_xll.BDH("AKAM US Equity","CUR_RATIO","FQ1 2014","FQ1 2014","Currency=USD","Period=FQ","BEST_FPERIOD_OVERRIDE=FQ","FILING_STATUS=MR","Sort=A","Dates=H","DateFormat=P","Fill=—","Direction=H","UseDPDF=Y")</f>
        <v>#N/A Requesting Data...</v>
      </c>
      <c r="O7" s="21" t="str">
        <f>_xll.BDH("AKAM US Equity","CUR_RATIO","FQ2 2014","FQ2 2014","Currency=USD","Period=FQ","BEST_FPERIOD_OVERRIDE=FQ","FILING_STATUS=MR","Sort=A","Dates=H","DateFormat=P","Fill=—","Direction=H","UseDPDF=Y")</f>
        <v>#N/A Requesting Data...</v>
      </c>
      <c r="P7" s="21" t="str">
        <f>_xll.BDH("AKAM US Equity","CUR_RATIO","FQ3 2014","FQ3 2014","Currency=USD","Period=FQ","BEST_FPERIOD_OVERRIDE=FQ","FILING_STATUS=MR","Sort=A","Dates=H","DateFormat=P","Fill=—","Direction=H","UseDPDF=Y")</f>
        <v>#N/A Requesting Data...</v>
      </c>
      <c r="Q7" s="21" t="str">
        <f>_xll.BDH("AKAM US Equity","CUR_RATIO","FQ4 2014","FQ4 2014","Currency=USD","Period=FQ","BEST_FPERIOD_OVERRIDE=FQ","FILING_STATUS=MR","Sort=A","Dates=H","DateFormat=P","Fill=—","Direction=H","UseDPDF=Y")</f>
        <v>#N/A Requesting Data...</v>
      </c>
      <c r="R7" s="21" t="str">
        <f>_xll.BDH("AKAM US Equity","CUR_RATIO","FQ1 2015","FQ1 2015","Currency=USD","Period=FQ","BEST_FPERIOD_OVERRIDE=FQ","FILING_STATUS=MR","Sort=A","Dates=H","DateFormat=P","Fill=—","Direction=H","UseDPDF=Y")</f>
        <v>#N/A Requesting Data...</v>
      </c>
      <c r="S7" s="21" t="str">
        <f>_xll.BDH("AKAM US Equity","CUR_RATIO","FQ2 2015","FQ2 2015","Currency=USD","Period=FQ","BEST_FPERIOD_OVERRIDE=FQ","FILING_STATUS=MR","Sort=A","Dates=H","DateFormat=P","Fill=—","Direction=H","UseDPDF=Y")</f>
        <v>#N/A Requesting Data...</v>
      </c>
      <c r="T7" s="21" t="str">
        <f>_xll.BDH("AKAM US Equity","CUR_RATIO","FQ3 2015","FQ3 2015","Currency=USD","Period=FQ","BEST_FPERIOD_OVERRIDE=FQ","FILING_STATUS=MR","Sort=A","Dates=H","DateFormat=P","Fill=—","Direction=H","UseDPDF=Y")</f>
        <v>#N/A Requesting Data...</v>
      </c>
      <c r="U7" s="21">
        <f>_xll.BDH("AKAM US Equity","CUR_RATIO","FQ4 2015","FQ4 2015","Currency=USD","Period=FQ","BEST_FPERIOD_OVERRIDE=FQ","FILING_STATUS=MR","Sort=A","Dates=H","DateFormat=P","Fill=—","Direction=H","UseDPDF=Y")</f>
        <v>3.7697000000000003</v>
      </c>
      <c r="V7" s="21">
        <f>_xll.BDH("AKAM US Equity","CUR_RATIO","FQ1 2016","FQ1 2016","Currency=USD","Period=FQ","BEST_FPERIOD_OVERRIDE=FQ","FILING_STATUS=MR","Sort=A","Dates=H","DateFormat=P","Fill=—","Direction=H","UseDPDF=Y")</f>
        <v>3.9937</v>
      </c>
      <c r="W7" s="21" t="str">
        <f>_xll.BDH("AKAM US Equity","CUR_RATIO","FQ2 2016","FQ2 2016","Currency=USD","Period=FQ","BEST_FPERIOD_OVERRIDE=FQ","FILING_STATUS=MR","Sort=A","Dates=H","DateFormat=P","Fill=—","Direction=H","UseDPDF=Y")</f>
        <v>#N/A Requesting Data...</v>
      </c>
      <c r="X7" s="21" t="str">
        <f>_xll.BDH("AKAM US Equity","CUR_RATIO","FQ3 2016","FQ3 2016","Currency=USD","Period=FQ","BEST_FPERIOD_OVERRIDE=FQ","FILING_STATUS=MR","Sort=A","Dates=H","DateFormat=P","Fill=—","Direction=H","UseDPDF=Y")</f>
        <v>#N/A Requesting Data...</v>
      </c>
      <c r="Y7" s="21" t="str">
        <f>_xll.BDH("AKAM US Equity","CUR_RATIO","FQ4 2016","FQ4 2016","Currency=USD","Period=FQ","BEST_FPERIOD_OVERRIDE=FQ","FILING_STATUS=MR","Sort=A","Dates=H","DateFormat=P","Fill=—","Direction=H","UseDPDF=Y")</f>
        <v>#N/A Requesting Data...</v>
      </c>
      <c r="Z7" s="21" t="str">
        <f>_xll.BDH("AKAM US Equity","CUR_RATIO","FQ1 2017","FQ1 2017","Currency=USD","Period=FQ","BEST_FPERIOD_OVERRIDE=FQ","FILING_STATUS=MR","Sort=A","Dates=H","DateFormat=P","Fill=—","Direction=H","UseDPDF=Y")</f>
        <v>#N/A Requesting Data...</v>
      </c>
      <c r="AA7" s="21" t="str">
        <f>_xll.BDH("AKAM US Equity","CUR_RATIO","FQ2 2017","FQ2 2017","Currency=USD","Period=FQ","BEST_FPERIOD_OVERRIDE=FQ","FILING_STATUS=MR","Sort=A","Dates=H","DateFormat=P","Fill=—","Direction=H","UseDPDF=Y")</f>
        <v>#N/A Requesting Data...</v>
      </c>
      <c r="AB7" s="21" t="str">
        <f>_xll.BDH("AKAM US Equity","CUR_RATIO","FQ3 2017","FQ3 2017","Currency=USD","Period=FQ","BEST_FPERIOD_OVERRIDE=FQ","FILING_STATUS=MR","Sort=A","Dates=H","DateFormat=P","Fill=—","Direction=H","UseDPDF=Y")</f>
        <v>#N/A Requesting Data...</v>
      </c>
      <c r="AC7" s="21" t="str">
        <f>_xll.BDH("AKAM US Equity","CUR_RATIO","FQ4 2017","FQ4 2017","Currency=USD","Period=FQ","BEST_FPERIOD_OVERRIDE=FQ","FILING_STATUS=MR","Sort=A","Dates=H","DateFormat=P","Fill=—","Direction=H","UseDPDF=Y")</f>
        <v>#N/A Requesting Data...</v>
      </c>
      <c r="AD7" s="21" t="str">
        <f>_xll.BDH("AKAM US Equity","CUR_RATIO","FQ1 2018","FQ1 2018","Currency=USD","Period=FQ","BEST_FPERIOD_OVERRIDE=FQ","FILING_STATUS=MR","Sort=A","Dates=H","DateFormat=P","Fill=—","Direction=H","UseDPDF=Y")</f>
        <v>#N/A Requesting Data...</v>
      </c>
      <c r="AE7" s="21" t="str">
        <f>_xll.BDH("AKAM US Equity","CUR_RATIO","FQ2 2018","FQ2 2018","Currency=USD","Period=FQ","BEST_FPERIOD_OVERRIDE=FQ","FILING_STATUS=MR","Sort=A","Dates=H","DateFormat=P","Fill=—","Direction=H","UseDPDF=Y")</f>
        <v>#N/A Requesting Data...</v>
      </c>
      <c r="AF7" s="21">
        <f>_xll.BDH("AKAM US Equity","CUR_RATIO","FQ3 2018","FQ3 2018","Currency=USD","Period=FQ","BEST_FPERIOD_OVERRIDE=FQ","FILING_STATUS=MR","Sort=A","Dates=H","DateFormat=P","Fill=—","Direction=H","UseDPDF=Y")</f>
        <v>2.0316999999999998</v>
      </c>
      <c r="AG7" s="21">
        <f>_xll.BDH("AKAM US Equity","CUR_RATIO","FQ4 2018","FQ4 2018","Currency=USD","Period=FQ","BEST_FPERIOD_OVERRIDE=FQ","FILING_STATUS=MR","Sort=A","Dates=H","DateFormat=P","Fill=—","Direction=H","UseDPDF=Y")</f>
        <v>2.0941000000000001</v>
      </c>
      <c r="AH7" s="21">
        <f>_xll.BDH("AKAM US Equity","CUR_RATIO","FQ1 2019","FQ1 2019","Currency=USD","Period=FQ","BEST_FPERIOD_OVERRIDE=FQ","FILING_STATUS=MR","Sort=A","Dates=H","DateFormat=P","Fill=—","Direction=H","UseDPDF=Y")</f>
        <v>3.1919</v>
      </c>
      <c r="AI7" s="21">
        <f>_xll.BDH("AKAM US Equity","CUR_RATIO","FQ2 2019","FQ2 2019","Currency=USD","Period=FQ","BEST_FPERIOD_OVERRIDE=FQ","FILING_STATUS=MR","Sort=A","Dates=H","DateFormat=P","Fill=—","Direction=H","UseDPDF=Y")</f>
        <v>2.9531999999999998</v>
      </c>
      <c r="AJ7" s="21" t="str">
        <f>_xll.BDH("AKAM US Equity","CUR_RATIO","FQ3 2019","FQ3 2019","Currency=USD","Period=FQ","BEST_FPERIOD_OVERRIDE=FQ","FILING_STATUS=MR","Sort=A","Dates=H","DateFormat=P","Fill=—","Direction=H","UseDPDF=Y")</f>
        <v>#N/A Requesting Data...</v>
      </c>
      <c r="AK7" s="21" t="str">
        <f>_xll.BDH("AKAM US Equity","CUR_RATIO","FQ4 2019","FQ4 2019","Currency=USD","Period=FQ","BEST_FPERIOD_OVERRIDE=FQ","FILING_STATUS=MR","Sort=A","Dates=H","DateFormat=P","Fill=—","Direction=H","UseDPDF=Y")</f>
        <v>#N/A Requesting Data...</v>
      </c>
      <c r="AL7" s="21" t="str">
        <f>_xll.BDH("AKAM US Equity","CUR_RATIO","FQ1 2020","FQ1 2020","Currency=USD","Period=FQ","BEST_FPERIOD_OVERRIDE=FQ","FILING_STATUS=MR","Sort=A","Dates=H","DateFormat=P","Fill=—","Direction=H","UseDPDF=Y")</f>
        <v>#N/A Requesting Data...</v>
      </c>
      <c r="AM7" s="21" t="str">
        <f>_xll.BDH("AKAM US Equity","CUR_RATIO","FQ2 2020","FQ2 2020","Currency=USD","Period=FQ","BEST_FPERIOD_OVERRIDE=FQ","FILING_STATUS=MR","Sort=A","Dates=H","DateFormat=P","Fill=—","Direction=H","UseDPDF=Y")</f>
        <v>#N/A Requesting Data...</v>
      </c>
      <c r="AN7" s="21" t="str">
        <f>_xll.BDH("AKAM US Equity","CUR_RATIO","FQ3 2020","FQ3 2020","Currency=USD","Period=FQ","BEST_FPERIOD_OVERRIDE=FQ","FILING_STATUS=MR","Sort=A","Dates=H","DateFormat=P","Fill=—","Direction=H","UseDPDF=Y")</f>
        <v>#N/A Requesting Data...</v>
      </c>
      <c r="AO7" s="21" t="str">
        <f>_xll.BDH("AKAM US Equity","CUR_RATIO","FQ4 2020","FQ4 2020","Currency=USD","Period=FQ","BEST_FPERIOD_OVERRIDE=FQ","FILING_STATUS=MR","Sort=A","Dates=H","DateFormat=P","Fill=—","Direction=H","UseDPDF=Y")</f>
        <v>#N/A Requesting Data...</v>
      </c>
      <c r="AP7" s="21" t="str">
        <f>_xll.BDH("AKAM US Equity","CUR_RATIO","FQ1 2021","FQ1 2021","Currency=USD","Period=FQ","BEST_FPERIOD_OVERRIDE=FQ","FILING_STATUS=MR","Sort=A","Dates=H","DateFormat=P","Fill=—","Direction=H","UseDPDF=Y")</f>
        <v>#N/A Requesting Data...</v>
      </c>
    </row>
    <row r="8" spans="1:42" x14ac:dyDescent="0.25">
      <c r="A8" s="8" t="s">
        <v>191</v>
      </c>
      <c r="B8" s="8" t="s">
        <v>190</v>
      </c>
      <c r="C8" s="21" t="str">
        <f>_xll.BDH("AKAM US Equity","QUICK_RATIO","FQ2 2011","FQ2 2011","Currency=USD","Period=FQ","BEST_FPERIOD_OVERRIDE=FQ","FILING_STATUS=MR","Sort=A","Dates=H","DateFormat=P","Fill=—","Direction=H","UseDPDF=Y")</f>
        <v>#N/A Requesting Data...</v>
      </c>
      <c r="D8" s="21">
        <f>_xll.BDH("AKAM US Equity","QUICK_RATIO","FQ3 2011","FQ3 2011","Currency=USD","Period=FQ","BEST_FPERIOD_OVERRIDE=FQ","FILING_STATUS=MR","Sort=A","Dates=H","DateFormat=P","Fill=—","Direction=H","UseDPDF=Y")</f>
        <v>5.8259999999999996</v>
      </c>
      <c r="E8" s="21">
        <f>_xll.BDH("AKAM US Equity","QUICK_RATIO","FQ4 2011","FQ4 2011","Currency=USD","Period=FQ","BEST_FPERIOD_OVERRIDE=FQ","FILING_STATUS=MR","Sort=A","Dates=H","DateFormat=P","Fill=—","Direction=H","UseDPDF=Y")</f>
        <v>6.6501999999999999</v>
      </c>
      <c r="F8" s="21">
        <f>_xll.BDH("AKAM US Equity","QUICK_RATIO","FQ1 2012","FQ1 2012","Currency=USD","Period=FQ","BEST_FPERIOD_OVERRIDE=FQ","FILING_STATUS=MR","Sort=A","Dates=H","DateFormat=P","Fill=—","Direction=H","UseDPDF=Y")</f>
        <v>3.7050000000000001</v>
      </c>
      <c r="G8" s="21" t="str">
        <f>_xll.BDH("AKAM US Equity","QUICK_RATIO","FQ2 2012","FQ2 2012","Currency=USD","Period=FQ","BEST_FPERIOD_OVERRIDE=FQ","FILING_STATUS=MR","Sort=A","Dates=H","DateFormat=P","Fill=—","Direction=H","UseDPDF=Y")</f>
        <v>#N/A Requesting Data...</v>
      </c>
      <c r="H8" s="21" t="str">
        <f>_xll.BDH("AKAM US Equity","QUICK_RATIO","FQ3 2012","FQ3 2012","Currency=USD","Period=FQ","BEST_FPERIOD_OVERRIDE=FQ","FILING_STATUS=MR","Sort=A","Dates=H","DateFormat=P","Fill=—","Direction=H","UseDPDF=Y")</f>
        <v>#N/A Requesting Data...</v>
      </c>
      <c r="I8" s="21" t="str">
        <f>_xll.BDH("AKAM US Equity","QUICK_RATIO","FQ4 2012","FQ4 2012","Currency=USD","Period=FQ","BEST_FPERIOD_OVERRIDE=FQ","FILING_STATUS=MR","Sort=A","Dates=H","DateFormat=P","Fill=—","Direction=H","UseDPDF=Y")</f>
        <v>#N/A Requesting Data...</v>
      </c>
      <c r="J8" s="21" t="str">
        <f>_xll.BDH("AKAM US Equity","QUICK_RATIO","FQ1 2013","FQ1 2013","Currency=USD","Period=FQ","BEST_FPERIOD_OVERRIDE=FQ","FILING_STATUS=MR","Sort=A","Dates=H","DateFormat=P","Fill=—","Direction=H","UseDPDF=Y")</f>
        <v>#N/A Requesting Data...</v>
      </c>
      <c r="K8" s="21" t="str">
        <f>_xll.BDH("AKAM US Equity","QUICK_RATIO","FQ2 2013","FQ2 2013","Currency=USD","Period=FQ","BEST_FPERIOD_OVERRIDE=FQ","FILING_STATUS=MR","Sort=A","Dates=H","DateFormat=P","Fill=—","Direction=H","UseDPDF=Y")</f>
        <v>#N/A Requesting Data...</v>
      </c>
      <c r="L8" s="21" t="str">
        <f>_xll.BDH("AKAM US Equity","QUICK_RATIO","FQ3 2013","FQ3 2013","Currency=USD","Period=FQ","BEST_FPERIOD_OVERRIDE=FQ","FILING_STATUS=MR","Sort=A","Dates=H","DateFormat=P","Fill=—","Direction=H","UseDPDF=Y")</f>
        <v>#N/A Requesting Data...</v>
      </c>
      <c r="M8" s="21" t="str">
        <f>_xll.BDH("AKAM US Equity","QUICK_RATIO","FQ4 2013","FQ4 2013","Currency=USD","Period=FQ","BEST_FPERIOD_OVERRIDE=FQ","FILING_STATUS=MR","Sort=A","Dates=H","DateFormat=P","Fill=—","Direction=H","UseDPDF=Y")</f>
        <v>#N/A Requesting Data...</v>
      </c>
      <c r="N8" s="21" t="str">
        <f>_xll.BDH("AKAM US Equity","QUICK_RATIO","FQ1 2014","FQ1 2014","Currency=USD","Period=FQ","BEST_FPERIOD_OVERRIDE=FQ","FILING_STATUS=MR","Sort=A","Dates=H","DateFormat=P","Fill=—","Direction=H","UseDPDF=Y")</f>
        <v>#N/A Requesting Data...</v>
      </c>
      <c r="O8" s="21" t="str">
        <f>_xll.BDH("AKAM US Equity","QUICK_RATIO","FQ2 2014","FQ2 2014","Currency=USD","Period=FQ","BEST_FPERIOD_OVERRIDE=FQ","FILING_STATUS=MR","Sort=A","Dates=H","DateFormat=P","Fill=—","Direction=H","UseDPDF=Y")</f>
        <v>#N/A Requesting Data...</v>
      </c>
      <c r="P8" s="21">
        <f>_xll.BDH("AKAM US Equity","QUICK_RATIO","FQ3 2014","FQ3 2014","Currency=USD","Period=FQ","BEST_FPERIOD_OVERRIDE=FQ","FILING_STATUS=MR","Sort=A","Dates=H","DateFormat=P","Fill=—","Direction=H","UseDPDF=Y")</f>
        <v>3.1173999999999999</v>
      </c>
      <c r="Q8" s="21">
        <f>_xll.BDH("AKAM US Equity","QUICK_RATIO","FQ4 2014","FQ4 2014","Currency=USD","Period=FQ","BEST_FPERIOD_OVERRIDE=FQ","FILING_STATUS=MR","Sort=A","Dates=H","DateFormat=P","Fill=—","Direction=H","UseDPDF=Y")</f>
        <v>2.9095</v>
      </c>
      <c r="R8" s="21">
        <f>_xll.BDH("AKAM US Equity","QUICK_RATIO","FQ1 2015","FQ1 2015","Currency=USD","Period=FQ","BEST_FPERIOD_OVERRIDE=FQ","FILING_STATUS=MR","Sort=A","Dates=H","DateFormat=P","Fill=—","Direction=H","UseDPDF=Y")</f>
        <v>3.0617999999999999</v>
      </c>
      <c r="S8" s="21" t="str">
        <f>_xll.BDH("AKAM US Equity","QUICK_RATIO","FQ2 2015","FQ2 2015","Currency=USD","Period=FQ","BEST_FPERIOD_OVERRIDE=FQ","FILING_STATUS=MR","Sort=A","Dates=H","DateFormat=P","Fill=—","Direction=H","UseDPDF=Y")</f>
        <v>#N/A Requesting Data...</v>
      </c>
      <c r="T8" s="21" t="str">
        <f>_xll.BDH("AKAM US Equity","QUICK_RATIO","FQ3 2015","FQ3 2015","Currency=USD","Period=FQ","BEST_FPERIOD_OVERRIDE=FQ","FILING_STATUS=MR","Sort=A","Dates=H","DateFormat=P","Fill=—","Direction=H","UseDPDF=Y")</f>
        <v>#N/A Requesting Data...</v>
      </c>
      <c r="U8" s="21" t="str">
        <f>_xll.BDH("AKAM US Equity","QUICK_RATIO","FQ4 2015","FQ4 2015","Currency=USD","Period=FQ","BEST_FPERIOD_OVERRIDE=FQ","FILING_STATUS=MR","Sort=A","Dates=H","DateFormat=P","Fill=—","Direction=H","UseDPDF=Y")</f>
        <v>#N/A Requesting Data...</v>
      </c>
      <c r="V8" s="21" t="str">
        <f>_xll.BDH("AKAM US Equity","QUICK_RATIO","FQ1 2016","FQ1 2016","Currency=USD","Period=FQ","BEST_FPERIOD_OVERRIDE=FQ","FILING_STATUS=MR","Sort=A","Dates=H","DateFormat=P","Fill=—","Direction=H","UseDPDF=Y")</f>
        <v>#N/A Requesting Data...</v>
      </c>
      <c r="W8" s="21" t="str">
        <f>_xll.BDH("AKAM US Equity","QUICK_RATIO","FQ2 2016","FQ2 2016","Currency=USD","Period=FQ","BEST_FPERIOD_OVERRIDE=FQ","FILING_STATUS=MR","Sort=A","Dates=H","DateFormat=P","Fill=—","Direction=H","UseDPDF=Y")</f>
        <v>#N/A Requesting Data...</v>
      </c>
      <c r="X8" s="21" t="str">
        <f>_xll.BDH("AKAM US Equity","QUICK_RATIO","FQ3 2016","FQ3 2016","Currency=USD","Period=FQ","BEST_FPERIOD_OVERRIDE=FQ","FILING_STATUS=MR","Sort=A","Dates=H","DateFormat=P","Fill=—","Direction=H","UseDPDF=Y")</f>
        <v>#N/A Requesting Data...</v>
      </c>
      <c r="Y8" s="21" t="str">
        <f>_xll.BDH("AKAM US Equity","QUICK_RATIO","FQ4 2016","FQ4 2016","Currency=USD","Period=FQ","BEST_FPERIOD_OVERRIDE=FQ","FILING_STATUS=MR","Sort=A","Dates=H","DateFormat=P","Fill=—","Direction=H","UseDPDF=Y")</f>
        <v>#N/A Requesting Data...</v>
      </c>
      <c r="Z8" s="21" t="str">
        <f>_xll.BDH("AKAM US Equity","QUICK_RATIO","FQ1 2017","FQ1 2017","Currency=USD","Period=FQ","BEST_FPERIOD_OVERRIDE=FQ","FILING_STATUS=MR","Sort=A","Dates=H","DateFormat=P","Fill=—","Direction=H","UseDPDF=Y")</f>
        <v>#N/A Requesting Data...</v>
      </c>
      <c r="AA8" s="21" t="str">
        <f>_xll.BDH("AKAM US Equity","QUICK_RATIO","FQ2 2017","FQ2 2017","Currency=USD","Period=FQ","BEST_FPERIOD_OVERRIDE=FQ","FILING_STATUS=MR","Sort=A","Dates=H","DateFormat=P","Fill=—","Direction=H","UseDPDF=Y")</f>
        <v>#N/A Requesting Data...</v>
      </c>
      <c r="AB8" s="21">
        <f>_xll.BDH("AKAM US Equity","QUICK_RATIO","FQ3 2017","FQ3 2017","Currency=USD","Period=FQ","BEST_FPERIOD_OVERRIDE=FQ","FILING_STATUS=MR","Sort=A","Dates=H","DateFormat=P","Fill=—","Direction=H","UseDPDF=Y")</f>
        <v>2.4051999999999998</v>
      </c>
      <c r="AC8" s="21">
        <f>_xll.BDH("AKAM US Equity","QUICK_RATIO","FQ4 2017","FQ4 2017","Currency=USD","Period=FQ","BEST_FPERIOD_OVERRIDE=FQ","FILING_STATUS=MR","Sort=A","Dates=H","DateFormat=P","Fill=—","Direction=H","UseDPDF=Y")</f>
        <v>2.2568000000000001</v>
      </c>
      <c r="AD8" s="21">
        <f>_xll.BDH("AKAM US Equity","QUICK_RATIO","FQ1 2018","FQ1 2018","Currency=USD","Period=FQ","BEST_FPERIOD_OVERRIDE=FQ","FILING_STATUS=MR","Sort=A","Dates=H","DateFormat=P","Fill=—","Direction=H","UseDPDF=Y")</f>
        <v>1.0219</v>
      </c>
      <c r="AE8" s="21" t="str">
        <f>_xll.BDH("AKAM US Equity","QUICK_RATIO","FQ2 2018","FQ2 2018","Currency=USD","Period=FQ","BEST_FPERIOD_OVERRIDE=FQ","FILING_STATUS=MR","Sort=A","Dates=H","DateFormat=P","Fill=—","Direction=H","UseDPDF=Y")</f>
        <v>#N/A Requesting Data...</v>
      </c>
      <c r="AF8" s="21" t="str">
        <f>_xll.BDH("AKAM US Equity","QUICK_RATIO","FQ3 2018","FQ3 2018","Currency=USD","Period=FQ","BEST_FPERIOD_OVERRIDE=FQ","FILING_STATUS=MR","Sort=A","Dates=H","DateFormat=P","Fill=—","Direction=H","UseDPDF=Y")</f>
        <v>#N/A Requesting Data...</v>
      </c>
      <c r="AG8" s="21" t="str">
        <f>_xll.BDH("AKAM US Equity","QUICK_RATIO","FQ4 2018","FQ4 2018","Currency=USD","Period=FQ","BEST_FPERIOD_OVERRIDE=FQ","FILING_STATUS=MR","Sort=A","Dates=H","DateFormat=P","Fill=—","Direction=H","UseDPDF=Y")</f>
        <v>#N/A Requesting Data...</v>
      </c>
      <c r="AH8" s="21" t="str">
        <f>_xll.BDH("AKAM US Equity","QUICK_RATIO","FQ1 2019","FQ1 2019","Currency=USD","Period=FQ","BEST_FPERIOD_OVERRIDE=FQ","FILING_STATUS=MR","Sort=A","Dates=H","DateFormat=P","Fill=—","Direction=H","UseDPDF=Y")</f>
        <v>#N/A Requesting Data...</v>
      </c>
      <c r="AI8" s="21" t="str">
        <f>_xll.BDH("AKAM US Equity","QUICK_RATIO","FQ2 2019","FQ2 2019","Currency=USD","Period=FQ","BEST_FPERIOD_OVERRIDE=FQ","FILING_STATUS=MR","Sort=A","Dates=H","DateFormat=P","Fill=—","Direction=H","UseDPDF=Y")</f>
        <v>#N/A Requesting Data...</v>
      </c>
      <c r="AJ8" s="21" t="str">
        <f>_xll.BDH("AKAM US Equity","QUICK_RATIO","FQ3 2019","FQ3 2019","Currency=USD","Period=FQ","BEST_FPERIOD_OVERRIDE=FQ","FILING_STATUS=MR","Sort=A","Dates=H","DateFormat=P","Fill=—","Direction=H","UseDPDF=Y")</f>
        <v>#N/A Requesting Data...</v>
      </c>
      <c r="AK8" s="21" t="str">
        <f>_xll.BDH("AKAM US Equity","QUICK_RATIO","FQ4 2019","FQ4 2019","Currency=USD","Period=FQ","BEST_FPERIOD_OVERRIDE=FQ","FILING_STATUS=MR","Sort=A","Dates=H","DateFormat=P","Fill=—","Direction=H","UseDPDF=Y")</f>
        <v>#N/A Requesting Data...</v>
      </c>
      <c r="AL8" s="21" t="str">
        <f>_xll.BDH("AKAM US Equity","QUICK_RATIO","FQ1 2020","FQ1 2020","Currency=USD","Period=FQ","BEST_FPERIOD_OVERRIDE=FQ","FILING_STATUS=MR","Sort=A","Dates=H","DateFormat=P","Fill=—","Direction=H","UseDPDF=Y")</f>
        <v>#N/A Requesting Data...</v>
      </c>
      <c r="AM8" s="21" t="str">
        <f>_xll.BDH("AKAM US Equity","QUICK_RATIO","FQ2 2020","FQ2 2020","Currency=USD","Period=FQ","BEST_FPERIOD_OVERRIDE=FQ","FILING_STATUS=MR","Sort=A","Dates=H","DateFormat=P","Fill=—","Direction=H","UseDPDF=Y")</f>
        <v>#N/A Requesting Data...</v>
      </c>
      <c r="AN8" s="21">
        <f>_xll.BDH("AKAM US Equity","QUICK_RATIO","FQ3 2020","FQ3 2020","Currency=USD","Period=FQ","BEST_FPERIOD_OVERRIDE=FQ","FILING_STATUS=MR","Sort=A","Dates=H","DateFormat=P","Fill=—","Direction=H","UseDPDF=Y")</f>
        <v>2.6654</v>
      </c>
      <c r="AO8" s="21">
        <f>_xll.BDH("AKAM US Equity","QUICK_RATIO","FQ4 2020","FQ4 2020","Currency=USD","Period=FQ","BEST_FPERIOD_OVERRIDE=FQ","FILING_STATUS=MR","Sort=A","Dates=H","DateFormat=P","Fill=—","Direction=H","UseDPDF=Y")</f>
        <v>2.0703999999999998</v>
      </c>
      <c r="AP8" s="21">
        <f>_xll.BDH("AKAM US Equity","QUICK_RATIO","FQ1 2021","FQ1 2021","Currency=USD","Period=FQ","BEST_FPERIOD_OVERRIDE=FQ","FILING_STATUS=MR","Sort=A","Dates=H","DateFormat=P","Fill=—","Direction=H","UseDPDF=Y")</f>
        <v>2.4712999999999998</v>
      </c>
    </row>
    <row r="9" spans="1:42" x14ac:dyDescent="0.25">
      <c r="A9" s="8" t="s">
        <v>189</v>
      </c>
      <c r="B9" s="8" t="s">
        <v>188</v>
      </c>
      <c r="C9" s="21" t="str">
        <f>_xll.BDH("AKAM US Equity","CFO_TO_AVG_CURRENT_LIABILITIES","FQ2 2011","FQ2 2011","Currency=USD","Period=FQ","BEST_FPERIOD_OVERRIDE=FQ","FILING_STATUS=MR","Sort=A","Dates=H","DateFormat=P","Fill=—","Direction=H","UseDPDF=Y")</f>
        <v>#N/A Requesting Data...</v>
      </c>
      <c r="D9" s="21" t="str">
        <f>_xll.BDH("AKAM US Equity","CFO_TO_AVG_CURRENT_LIABILITIES","FQ3 2011","FQ3 2011","Currency=USD","Period=FQ","BEST_FPERIOD_OVERRIDE=FQ","FILING_STATUS=MR","Sort=A","Dates=H","DateFormat=P","Fill=—","Direction=H","UseDPDF=Y")</f>
        <v>#N/A Requesting Data...</v>
      </c>
      <c r="E9" s="21" t="str">
        <f>_xll.BDH("AKAM US Equity","CFO_TO_AVG_CURRENT_LIABILITIES","FQ4 2011","FQ4 2011","Currency=USD","Period=FQ","BEST_FPERIOD_OVERRIDE=FQ","FILING_STATUS=MR","Sort=A","Dates=H","DateFormat=P","Fill=—","Direction=H","UseDPDF=Y")</f>
        <v>#N/A Requesting Data...</v>
      </c>
      <c r="F9" s="21" t="str">
        <f>_xll.BDH("AKAM US Equity","CFO_TO_AVG_CURRENT_LIABILITIES","FQ1 2012","FQ1 2012","Currency=USD","Period=FQ","BEST_FPERIOD_OVERRIDE=FQ","FILING_STATUS=MR","Sort=A","Dates=H","DateFormat=P","Fill=—","Direction=H","UseDPDF=Y")</f>
        <v>#N/A Requesting Data...</v>
      </c>
      <c r="G9" s="21" t="str">
        <f>_xll.BDH("AKAM US Equity","CFO_TO_AVG_CURRENT_LIABILITIES","FQ2 2012","FQ2 2012","Currency=USD","Period=FQ","BEST_FPERIOD_OVERRIDE=FQ","FILING_STATUS=MR","Sort=A","Dates=H","DateFormat=P","Fill=—","Direction=H","UseDPDF=Y")</f>
        <v>#N/A Requesting Data...</v>
      </c>
      <c r="H9" s="21" t="str">
        <f>_xll.BDH("AKAM US Equity","CFO_TO_AVG_CURRENT_LIABILITIES","FQ3 2012","FQ3 2012","Currency=USD","Period=FQ","BEST_FPERIOD_OVERRIDE=FQ","FILING_STATUS=MR","Sort=A","Dates=H","DateFormat=P","Fill=—","Direction=H","UseDPDF=Y")</f>
        <v>#N/A Requesting Data...</v>
      </c>
      <c r="I9" s="21" t="str">
        <f>_xll.BDH("AKAM US Equity","CFO_TO_AVG_CURRENT_LIABILITIES","FQ4 2012","FQ4 2012","Currency=USD","Period=FQ","BEST_FPERIOD_OVERRIDE=FQ","FILING_STATUS=MR","Sort=A","Dates=H","DateFormat=P","Fill=—","Direction=H","UseDPDF=Y")</f>
        <v>#N/A Requesting Data...</v>
      </c>
      <c r="J9" s="21" t="str">
        <f>_xll.BDH("AKAM US Equity","CFO_TO_AVG_CURRENT_LIABILITIES","FQ1 2013","FQ1 2013","Currency=USD","Period=FQ","BEST_FPERIOD_OVERRIDE=FQ","FILING_STATUS=MR","Sort=A","Dates=H","DateFormat=P","Fill=—","Direction=H","UseDPDF=Y")</f>
        <v>#N/A Requesting Data...</v>
      </c>
      <c r="K9" s="21" t="str">
        <f>_xll.BDH("AKAM US Equity","CFO_TO_AVG_CURRENT_LIABILITIES","FQ2 2013","FQ2 2013","Currency=USD","Period=FQ","BEST_FPERIOD_OVERRIDE=FQ","FILING_STATUS=MR","Sort=A","Dates=H","DateFormat=P","Fill=—","Direction=H","UseDPDF=Y")</f>
        <v>#N/A Requesting Data...</v>
      </c>
      <c r="L9" s="21">
        <f>_xll.BDH("AKAM US Equity","CFO_TO_AVG_CURRENT_LIABILITIES","FQ3 2013","FQ3 2013","Currency=USD","Period=FQ","BEST_FPERIOD_OVERRIDE=FQ","FILING_STATUS=MR","Sort=A","Dates=H","DateFormat=P","Fill=—","Direction=H","UseDPDF=Y")</f>
        <v>2.1867999999999999</v>
      </c>
      <c r="M9" s="21">
        <f>_xll.BDH("AKAM US Equity","CFO_TO_AVG_CURRENT_LIABILITIES","FQ4 2013","FQ4 2013","Currency=USD","Period=FQ","BEST_FPERIOD_OVERRIDE=FQ","FILING_STATUS=MR","Sort=A","Dates=H","DateFormat=P","Fill=—","Direction=H","UseDPDF=Y")</f>
        <v>2.4196</v>
      </c>
      <c r="N9" s="21">
        <f>_xll.BDH("AKAM US Equity","CFO_TO_AVG_CURRENT_LIABILITIES","FQ1 2014","FQ1 2014","Currency=USD","Period=FQ","BEST_FPERIOD_OVERRIDE=FQ","FILING_STATUS=MR","Sort=A","Dates=H","DateFormat=P","Fill=—","Direction=H","UseDPDF=Y")</f>
        <v>2.4542999999999999</v>
      </c>
      <c r="O9" s="21" t="str">
        <f>_xll.BDH("AKAM US Equity","CFO_TO_AVG_CURRENT_LIABILITIES","FQ2 2014","FQ2 2014","Currency=USD","Period=FQ","BEST_FPERIOD_OVERRIDE=FQ","FILING_STATUS=MR","Sort=A","Dates=H","DateFormat=P","Fill=—","Direction=H","UseDPDF=Y")</f>
        <v>#N/A Requesting Data...</v>
      </c>
      <c r="P9" s="21" t="str">
        <f>_xll.BDH("AKAM US Equity","CFO_TO_AVG_CURRENT_LIABILITIES","FQ3 2014","FQ3 2014","Currency=USD","Period=FQ","BEST_FPERIOD_OVERRIDE=FQ","FILING_STATUS=MR","Sort=A","Dates=H","DateFormat=P","Fill=—","Direction=H","UseDPDF=Y")</f>
        <v>#N/A Requesting Data...</v>
      </c>
      <c r="Q9" s="21" t="str">
        <f>_xll.BDH("AKAM US Equity","CFO_TO_AVG_CURRENT_LIABILITIES","FQ4 2014","FQ4 2014","Currency=USD","Period=FQ","BEST_FPERIOD_OVERRIDE=FQ","FILING_STATUS=MR","Sort=A","Dates=H","DateFormat=P","Fill=—","Direction=H","UseDPDF=Y")</f>
        <v>#N/A Requesting Data...</v>
      </c>
      <c r="R9" s="21" t="str">
        <f>_xll.BDH("AKAM US Equity","CFO_TO_AVG_CURRENT_LIABILITIES","FQ1 2015","FQ1 2015","Currency=USD","Period=FQ","BEST_FPERIOD_OVERRIDE=FQ","FILING_STATUS=MR","Sort=A","Dates=H","DateFormat=P","Fill=—","Direction=H","UseDPDF=Y")</f>
        <v>#N/A Requesting Data...</v>
      </c>
      <c r="S9" s="21" t="str">
        <f>_xll.BDH("AKAM US Equity","CFO_TO_AVG_CURRENT_LIABILITIES","FQ2 2015","FQ2 2015","Currency=USD","Period=FQ","BEST_FPERIOD_OVERRIDE=FQ","FILING_STATUS=MR","Sort=A","Dates=H","DateFormat=P","Fill=—","Direction=H","UseDPDF=Y")</f>
        <v>#N/A Requesting Data...</v>
      </c>
      <c r="T9" s="21" t="str">
        <f>_xll.BDH("AKAM US Equity","CFO_TO_AVG_CURRENT_LIABILITIES","FQ3 2015","FQ3 2015","Currency=USD","Period=FQ","BEST_FPERIOD_OVERRIDE=FQ","FILING_STATUS=MR","Sort=A","Dates=H","DateFormat=P","Fill=—","Direction=H","UseDPDF=Y")</f>
        <v>#N/A Requesting Data...</v>
      </c>
      <c r="U9" s="21" t="str">
        <f>_xll.BDH("AKAM US Equity","CFO_TO_AVG_CURRENT_LIABILITIES","FQ4 2015","FQ4 2015","Currency=USD","Period=FQ","BEST_FPERIOD_OVERRIDE=FQ","FILING_STATUS=MR","Sort=A","Dates=H","DateFormat=P","Fill=—","Direction=H","UseDPDF=Y")</f>
        <v>#N/A Requesting Data...</v>
      </c>
      <c r="V9" s="21" t="str">
        <f>_xll.BDH("AKAM US Equity","CFO_TO_AVG_CURRENT_LIABILITIES","FQ1 2016","FQ1 2016","Currency=USD","Period=FQ","BEST_FPERIOD_OVERRIDE=FQ","FILING_STATUS=MR","Sort=A","Dates=H","DateFormat=P","Fill=—","Direction=H","UseDPDF=Y")</f>
        <v>#N/A Requesting Data...</v>
      </c>
      <c r="W9" s="21" t="str">
        <f>_xll.BDH("AKAM US Equity","CFO_TO_AVG_CURRENT_LIABILITIES","FQ2 2016","FQ2 2016","Currency=USD","Period=FQ","BEST_FPERIOD_OVERRIDE=FQ","FILING_STATUS=MR","Sort=A","Dates=H","DateFormat=P","Fill=—","Direction=H","UseDPDF=Y")</f>
        <v>#N/A Requesting Data...</v>
      </c>
      <c r="X9" s="21">
        <f>_xll.BDH("AKAM US Equity","CFO_TO_AVG_CURRENT_LIABILITIES","FQ3 2016","FQ3 2016","Currency=USD","Period=FQ","BEST_FPERIOD_OVERRIDE=FQ","FILING_STATUS=MR","Sort=A","Dates=H","DateFormat=P","Fill=—","Direction=H","UseDPDF=Y")</f>
        <v>2.4483000000000001</v>
      </c>
      <c r="Y9" s="21">
        <f>_xll.BDH("AKAM US Equity","CFO_TO_AVG_CURRENT_LIABILITIES","FQ4 2016","FQ4 2016","Currency=USD","Period=FQ","BEST_FPERIOD_OVERRIDE=FQ","FILING_STATUS=MR","Sort=A","Dates=H","DateFormat=P","Fill=—","Direction=H","UseDPDF=Y")</f>
        <v>2.4661</v>
      </c>
      <c r="Z9" s="21">
        <f>_xll.BDH("AKAM US Equity","CFO_TO_AVG_CURRENT_LIABILITIES","FQ1 2017","FQ1 2017","Currency=USD","Period=FQ","BEST_FPERIOD_OVERRIDE=FQ","FILING_STATUS=MR","Sort=A","Dates=H","DateFormat=P","Fill=—","Direction=H","UseDPDF=Y")</f>
        <v>2.3018999999999998</v>
      </c>
      <c r="AA9" s="21">
        <f>_xll.BDH("AKAM US Equity","CFO_TO_AVG_CURRENT_LIABILITIES","FQ2 2017","FQ2 2017","Currency=USD","Period=FQ","BEST_FPERIOD_OVERRIDE=FQ","FILING_STATUS=MR","Sort=A","Dates=H","DateFormat=P","Fill=—","Direction=H","UseDPDF=Y")</f>
        <v>2.0714999999999999</v>
      </c>
      <c r="AB9" s="21" t="str">
        <f>_xll.BDH("AKAM US Equity","CFO_TO_AVG_CURRENT_LIABILITIES","FQ3 2017","FQ3 2017","Currency=USD","Period=FQ","BEST_FPERIOD_OVERRIDE=FQ","FILING_STATUS=MR","Sort=A","Dates=H","DateFormat=P","Fill=—","Direction=H","UseDPDF=Y")</f>
        <v>#N/A Requesting Data...</v>
      </c>
      <c r="AC9" s="21" t="str">
        <f>_xll.BDH("AKAM US Equity","CFO_TO_AVG_CURRENT_LIABILITIES","FQ4 2017","FQ4 2017","Currency=USD","Period=FQ","BEST_FPERIOD_OVERRIDE=FQ","FILING_STATUS=MR","Sort=A","Dates=H","DateFormat=P","Fill=—","Direction=H","UseDPDF=Y")</f>
        <v>#N/A Requesting Data...</v>
      </c>
      <c r="AD9" s="21" t="str">
        <f>_xll.BDH("AKAM US Equity","CFO_TO_AVG_CURRENT_LIABILITIES","FQ1 2018","FQ1 2018","Currency=USD","Period=FQ","BEST_FPERIOD_OVERRIDE=FQ","FILING_STATUS=MR","Sort=A","Dates=H","DateFormat=P","Fill=—","Direction=H","UseDPDF=Y")</f>
        <v>#N/A Requesting Data...</v>
      </c>
      <c r="AE9" s="21" t="str">
        <f>_xll.BDH("AKAM US Equity","CFO_TO_AVG_CURRENT_LIABILITIES","FQ2 2018","FQ2 2018","Currency=USD","Period=FQ","BEST_FPERIOD_OVERRIDE=FQ","FILING_STATUS=MR","Sort=A","Dates=H","DateFormat=P","Fill=—","Direction=H","UseDPDF=Y")</f>
        <v>#N/A Requesting Data...</v>
      </c>
      <c r="AF9" s="21" t="str">
        <f>_xll.BDH("AKAM US Equity","CFO_TO_AVG_CURRENT_LIABILITIES","FQ3 2018","FQ3 2018","Currency=USD","Period=FQ","BEST_FPERIOD_OVERRIDE=FQ","FILING_STATUS=MR","Sort=A","Dates=H","DateFormat=P","Fill=—","Direction=H","UseDPDF=Y")</f>
        <v>#N/A Requesting Data...</v>
      </c>
      <c r="AG9" s="21" t="str">
        <f>_xll.BDH("AKAM US Equity","CFO_TO_AVG_CURRENT_LIABILITIES","FQ4 2018","FQ4 2018","Currency=USD","Period=FQ","BEST_FPERIOD_OVERRIDE=FQ","FILING_STATUS=MR","Sort=A","Dates=H","DateFormat=P","Fill=—","Direction=H","UseDPDF=Y")</f>
        <v>#N/A Requesting Data...</v>
      </c>
      <c r="AH9" s="21" t="str">
        <f>_xll.BDH("AKAM US Equity","CFO_TO_AVG_CURRENT_LIABILITIES","FQ1 2019","FQ1 2019","Currency=USD","Period=FQ","BEST_FPERIOD_OVERRIDE=FQ","FILING_STATUS=MR","Sort=A","Dates=H","DateFormat=P","Fill=—","Direction=H","UseDPDF=Y")</f>
        <v>#N/A Requesting Data...</v>
      </c>
      <c r="AI9" s="21" t="str">
        <f>_xll.BDH("AKAM US Equity","CFO_TO_AVG_CURRENT_LIABILITIES","FQ2 2019","FQ2 2019","Currency=USD","Period=FQ","BEST_FPERIOD_OVERRIDE=FQ","FILING_STATUS=MR","Sort=A","Dates=H","DateFormat=P","Fill=—","Direction=H","UseDPDF=Y")</f>
        <v>#N/A Requesting Data...</v>
      </c>
      <c r="AJ9" s="21">
        <f>_xll.BDH("AKAM US Equity","CFO_TO_AVG_CURRENT_LIABILITIES","FQ3 2019","FQ3 2019","Currency=USD","Period=FQ","BEST_FPERIOD_OVERRIDE=FQ","FILING_STATUS=MR","Sort=A","Dates=H","DateFormat=P","Fill=—","Direction=H","UseDPDF=Y")</f>
        <v>1.1814</v>
      </c>
      <c r="AK9" s="21">
        <f>_xll.BDH("AKAM US Equity","CFO_TO_AVG_CURRENT_LIABILITIES","FQ4 2019","FQ4 2019","Currency=USD","Period=FQ","BEST_FPERIOD_OVERRIDE=FQ","FILING_STATUS=MR","Sort=A","Dates=H","DateFormat=P","Fill=—","Direction=H","UseDPDF=Y")</f>
        <v>1.1115999999999999</v>
      </c>
      <c r="AL9" s="21" t="str">
        <f>_xll.BDH("AKAM US Equity","CFO_TO_AVG_CURRENT_LIABILITIES","FQ1 2020","FQ1 2020","Currency=USD","Period=FQ","BEST_FPERIOD_OVERRIDE=FQ","FILING_STATUS=MR","Sort=A","Dates=H","DateFormat=P","Fill=—","Direction=H","UseDPDF=Y")</f>
        <v>#N/A Requesting Data...</v>
      </c>
      <c r="AM9" s="21">
        <f>_xll.BDH("AKAM US Equity","CFO_TO_AVG_CURRENT_LIABILITIES","FQ2 2020","FQ2 2020","Currency=USD","Period=FQ","BEST_FPERIOD_OVERRIDE=FQ","FILING_STATUS=MR","Sort=A","Dates=H","DateFormat=P","Fill=—","Direction=H","UseDPDF=Y")</f>
        <v>1.7648000000000001</v>
      </c>
      <c r="AN9" s="21" t="str">
        <f>_xll.BDH("AKAM US Equity","CFO_TO_AVG_CURRENT_LIABILITIES","FQ3 2020","FQ3 2020","Currency=USD","Period=FQ","BEST_FPERIOD_OVERRIDE=FQ","FILING_STATUS=MR","Sort=A","Dates=H","DateFormat=P","Fill=—","Direction=H","UseDPDF=Y")</f>
        <v>#N/A Requesting Data...</v>
      </c>
      <c r="AO9" s="21" t="str">
        <f>_xll.BDH("AKAM US Equity","CFO_TO_AVG_CURRENT_LIABILITIES","FQ4 2020","FQ4 2020","Currency=USD","Period=FQ","BEST_FPERIOD_OVERRIDE=FQ","FILING_STATUS=MR","Sort=A","Dates=H","DateFormat=P","Fill=—","Direction=H","UseDPDF=Y")</f>
        <v>#N/A Requesting Data...</v>
      </c>
      <c r="AP9" s="21" t="str">
        <f>_xll.BDH("AKAM US Equity","CFO_TO_AVG_CURRENT_LIABILITIES","FQ1 2021","FQ1 2021","Currency=USD","Period=FQ","BEST_FPERIOD_OVERRIDE=FQ","FILING_STATUS=MR","Sort=A","Dates=H","DateFormat=P","Fill=—","Direction=H","UseDPDF=Y")</f>
        <v>#N/A Requesting Data...</v>
      </c>
    </row>
    <row r="10" spans="1:42" x14ac:dyDescent="0.25">
      <c r="A10" s="8" t="s">
        <v>187</v>
      </c>
      <c r="B10" s="8" t="s">
        <v>186</v>
      </c>
      <c r="C10" s="21" t="str">
        <f>_xll.BDH("AKAM US Equity","COM_EQY_TO_TOT_ASSET","FQ2 2011","FQ2 2011","Currency=USD","Period=FQ","BEST_FPERIOD_OVERRIDE=FQ","FILING_STATUS=MR","Sort=A","Dates=H","DateFormat=P","Fill=—","Direction=H","UseDPDF=Y")</f>
        <v>#N/A Requesting Data...</v>
      </c>
      <c r="D10" s="21" t="str">
        <f>_xll.BDH("AKAM US Equity","COM_EQY_TO_TOT_ASSET","FQ3 2011","FQ3 2011","Currency=USD","Period=FQ","BEST_FPERIOD_OVERRIDE=FQ","FILING_STATUS=MR","Sort=A","Dates=H","DateFormat=P","Fill=—","Direction=H","UseDPDF=Y")</f>
        <v>#N/A Requesting Data...</v>
      </c>
      <c r="E10" s="21" t="str">
        <f>_xll.BDH("AKAM US Equity","COM_EQY_TO_TOT_ASSET","FQ4 2011","FQ4 2011","Currency=USD","Period=FQ","BEST_FPERIOD_OVERRIDE=FQ","FILING_STATUS=MR","Sort=A","Dates=H","DateFormat=P","Fill=—","Direction=H","UseDPDF=Y")</f>
        <v>#N/A Requesting Data...</v>
      </c>
      <c r="F10" s="21" t="str">
        <f>_xll.BDH("AKAM US Equity","COM_EQY_TO_TOT_ASSET","FQ1 2012","FQ1 2012","Currency=USD","Period=FQ","BEST_FPERIOD_OVERRIDE=FQ","FILING_STATUS=MR","Sort=A","Dates=H","DateFormat=P","Fill=—","Direction=H","UseDPDF=Y")</f>
        <v>#N/A Requesting Data...</v>
      </c>
      <c r="G10" s="21" t="str">
        <f>_xll.BDH("AKAM US Equity","COM_EQY_TO_TOT_ASSET","FQ2 2012","FQ2 2012","Currency=USD","Period=FQ","BEST_FPERIOD_OVERRIDE=FQ","FILING_STATUS=MR","Sort=A","Dates=H","DateFormat=P","Fill=—","Direction=H","UseDPDF=Y")</f>
        <v>#N/A Requesting Data...</v>
      </c>
      <c r="H10" s="21">
        <f>_xll.BDH("AKAM US Equity","COM_EQY_TO_TOT_ASSET","FQ3 2012","FQ3 2012","Currency=USD","Period=FQ","BEST_FPERIOD_OVERRIDE=FQ","FILING_STATUS=MR","Sort=A","Dates=H","DateFormat=P","Fill=—","Direction=H","UseDPDF=Y")</f>
        <v>88.993099999999998</v>
      </c>
      <c r="I10" s="21">
        <f>_xll.BDH("AKAM US Equity","COM_EQY_TO_TOT_ASSET","FQ4 2012","FQ4 2012","Currency=USD","Period=FQ","BEST_FPERIOD_OVERRIDE=FQ","FILING_STATUS=MR","Sort=A","Dates=H","DateFormat=P","Fill=—","Direction=H","UseDPDF=Y")</f>
        <v>90.199600000000004</v>
      </c>
      <c r="J10" s="21">
        <f>_xll.BDH("AKAM US Equity","COM_EQY_TO_TOT_ASSET","FQ1 2013","FQ1 2013","Currency=USD","Period=FQ","BEST_FPERIOD_OVERRIDE=FQ","FILING_STATUS=MR","Sort=A","Dates=H","DateFormat=P","Fill=—","Direction=H","UseDPDF=Y")</f>
        <v>90.104900000000001</v>
      </c>
      <c r="K10" s="21" t="str">
        <f>_xll.BDH("AKAM US Equity","COM_EQY_TO_TOT_ASSET","FQ2 2013","FQ2 2013","Currency=USD","Period=FQ","BEST_FPERIOD_OVERRIDE=FQ","FILING_STATUS=MR","Sort=A","Dates=H","DateFormat=P","Fill=—","Direction=H","UseDPDF=Y")</f>
        <v>#N/A Requesting Data...</v>
      </c>
      <c r="L10" s="21" t="str">
        <f>_xll.BDH("AKAM US Equity","COM_EQY_TO_TOT_ASSET","FQ3 2013","FQ3 2013","Currency=USD","Period=FQ","BEST_FPERIOD_OVERRIDE=FQ","FILING_STATUS=MR","Sort=A","Dates=H","DateFormat=P","Fill=—","Direction=H","UseDPDF=Y")</f>
        <v>#N/A Requesting Data...</v>
      </c>
      <c r="M10" s="21" t="str">
        <f>_xll.BDH("AKAM US Equity","COM_EQY_TO_TOT_ASSET","FQ4 2013","FQ4 2013","Currency=USD","Period=FQ","BEST_FPERIOD_OVERRIDE=FQ","FILING_STATUS=MR","Sort=A","Dates=H","DateFormat=P","Fill=—","Direction=H","UseDPDF=Y")</f>
        <v>#N/A Requesting Data...</v>
      </c>
      <c r="N10" s="21" t="str">
        <f>_xll.BDH("AKAM US Equity","COM_EQY_TO_TOT_ASSET","FQ1 2014","FQ1 2014","Currency=USD","Period=FQ","BEST_FPERIOD_OVERRIDE=FQ","FILING_STATUS=MR","Sort=A","Dates=H","DateFormat=P","Fill=—","Direction=H","UseDPDF=Y")</f>
        <v>#N/A Requesting Data...</v>
      </c>
      <c r="O10" s="21" t="str">
        <f>_xll.BDH("AKAM US Equity","COM_EQY_TO_TOT_ASSET","FQ2 2014","FQ2 2014","Currency=USD","Period=FQ","BEST_FPERIOD_OVERRIDE=FQ","FILING_STATUS=MR","Sort=A","Dates=H","DateFormat=P","Fill=—","Direction=H","UseDPDF=Y")</f>
        <v>#N/A Requesting Data...</v>
      </c>
      <c r="P10" s="21" t="str">
        <f>_xll.BDH("AKAM US Equity","COM_EQY_TO_TOT_ASSET","FQ3 2014","FQ3 2014","Currency=USD","Period=FQ","BEST_FPERIOD_OVERRIDE=FQ","FILING_STATUS=MR","Sort=A","Dates=H","DateFormat=P","Fill=—","Direction=H","UseDPDF=Y")</f>
        <v>#N/A Requesting Data...</v>
      </c>
      <c r="Q10" s="21" t="str">
        <f>_xll.BDH("AKAM US Equity","COM_EQY_TO_TOT_ASSET","FQ4 2014","FQ4 2014","Currency=USD","Period=FQ","BEST_FPERIOD_OVERRIDE=FQ","FILING_STATUS=MR","Sort=A","Dates=H","DateFormat=P","Fill=—","Direction=H","UseDPDF=Y")</f>
        <v>#N/A Requesting Data...</v>
      </c>
      <c r="R10" s="21" t="str">
        <f>_xll.BDH("AKAM US Equity","COM_EQY_TO_TOT_ASSET","FQ1 2015","FQ1 2015","Currency=USD","Period=FQ","BEST_FPERIOD_OVERRIDE=FQ","FILING_STATUS=MR","Sort=A","Dates=H","DateFormat=P","Fill=—","Direction=H","UseDPDF=Y")</f>
        <v>#N/A Requesting Data...</v>
      </c>
      <c r="S10" s="21">
        <f>_xll.BDH("AKAM US Equity","COM_EQY_TO_TOT_ASSET","FQ2 2015","FQ2 2015","Currency=USD","Period=FQ","BEST_FPERIOD_OVERRIDE=FQ","FILING_STATUS=MR","Sort=A","Dates=H","DateFormat=P","Fill=—","Direction=H","UseDPDF=Y")</f>
        <v>73.7166</v>
      </c>
      <c r="T10" s="21">
        <f>_xll.BDH("AKAM US Equity","COM_EQY_TO_TOT_ASSET","FQ3 2015","FQ3 2015","Currency=USD","Period=FQ","BEST_FPERIOD_OVERRIDE=FQ","FILING_STATUS=MR","Sort=A","Dates=H","DateFormat=P","Fill=—","Direction=H","UseDPDF=Y")</f>
        <v>73.734899999999996</v>
      </c>
      <c r="U10" s="21">
        <f>_xll.BDH("AKAM US Equity","COM_EQY_TO_TOT_ASSET","FQ4 2015","FQ4 2015","Currency=USD","Period=FQ","BEST_FPERIOD_OVERRIDE=FQ","FILING_STATUS=MR","Sort=A","Dates=H","DateFormat=P","Fill=—","Direction=H","UseDPDF=Y")</f>
        <v>74.632099999999994</v>
      </c>
      <c r="V10" s="21">
        <f>_xll.BDH("AKAM US Equity","COM_EQY_TO_TOT_ASSET","FQ1 2016","FQ1 2016","Currency=USD","Period=FQ","BEST_FPERIOD_OVERRIDE=FQ","FILING_STATUS=MR","Sort=A","Dates=H","DateFormat=P","Fill=—","Direction=H","UseDPDF=Y")</f>
        <v>74.4208</v>
      </c>
      <c r="W10" s="21" t="str">
        <f>_xll.BDH("AKAM US Equity","COM_EQY_TO_TOT_ASSET","FQ2 2016","FQ2 2016","Currency=USD","Period=FQ","BEST_FPERIOD_OVERRIDE=FQ","FILING_STATUS=MR","Sort=A","Dates=H","DateFormat=P","Fill=—","Direction=H","UseDPDF=Y")</f>
        <v>#N/A Requesting Data...</v>
      </c>
      <c r="X10" s="21" t="str">
        <f>_xll.BDH("AKAM US Equity","COM_EQY_TO_TOT_ASSET","FQ3 2016","FQ3 2016","Currency=USD","Period=FQ","BEST_FPERIOD_OVERRIDE=FQ","FILING_STATUS=MR","Sort=A","Dates=H","DateFormat=P","Fill=—","Direction=H","UseDPDF=Y")</f>
        <v>#N/A Requesting Data...</v>
      </c>
      <c r="Y10" s="21" t="str">
        <f>_xll.BDH("AKAM US Equity","COM_EQY_TO_TOT_ASSET","FQ4 2016","FQ4 2016","Currency=USD","Period=FQ","BEST_FPERIOD_OVERRIDE=FQ","FILING_STATUS=MR","Sort=A","Dates=H","DateFormat=P","Fill=—","Direction=H","UseDPDF=Y")</f>
        <v>#N/A Requesting Data...</v>
      </c>
      <c r="Z10" s="21" t="str">
        <f>_xll.BDH("AKAM US Equity","COM_EQY_TO_TOT_ASSET","FQ1 2017","FQ1 2017","Currency=USD","Period=FQ","BEST_FPERIOD_OVERRIDE=FQ","FILING_STATUS=MR","Sort=A","Dates=H","DateFormat=P","Fill=—","Direction=H","UseDPDF=Y")</f>
        <v>#N/A Requesting Data...</v>
      </c>
      <c r="AA10" s="21" t="str">
        <f>_xll.BDH("AKAM US Equity","COM_EQY_TO_TOT_ASSET","FQ2 2017","FQ2 2017","Currency=USD","Period=FQ","BEST_FPERIOD_OVERRIDE=FQ","FILING_STATUS=MR","Sort=A","Dates=H","DateFormat=P","Fill=—","Direction=H","UseDPDF=Y")</f>
        <v>#N/A Requesting Data...</v>
      </c>
      <c r="AB10" s="21" t="str">
        <f>_xll.BDH("AKAM US Equity","COM_EQY_TO_TOT_ASSET","FQ3 2017","FQ3 2017","Currency=USD","Period=FQ","BEST_FPERIOD_OVERRIDE=FQ","FILING_STATUS=MR","Sort=A","Dates=H","DateFormat=P","Fill=—","Direction=H","UseDPDF=Y")</f>
        <v>#N/A Requesting Data...</v>
      </c>
      <c r="AC10" s="21" t="str">
        <f>_xll.BDH("AKAM US Equity","COM_EQY_TO_TOT_ASSET","FQ4 2017","FQ4 2017","Currency=USD","Period=FQ","BEST_FPERIOD_OVERRIDE=FQ","FILING_STATUS=MR","Sort=A","Dates=H","DateFormat=P","Fill=—","Direction=H","UseDPDF=Y")</f>
        <v>#N/A Requesting Data...</v>
      </c>
      <c r="AD10" s="21" t="str">
        <f>_xll.BDH("AKAM US Equity","COM_EQY_TO_TOT_ASSET","FQ1 2018","FQ1 2018","Currency=USD","Period=FQ","BEST_FPERIOD_OVERRIDE=FQ","FILING_STATUS=MR","Sort=A","Dates=H","DateFormat=P","Fill=—","Direction=H","UseDPDF=Y")</f>
        <v>#N/A Requesting Data...</v>
      </c>
      <c r="AE10" s="21">
        <f>_xll.BDH("AKAM US Equity","COM_EQY_TO_TOT_ASSET","FQ2 2018","FQ2 2018","Currency=USD","Period=FQ","BEST_FPERIOD_OVERRIDE=FQ","FILING_STATUS=MR","Sort=A","Dates=H","DateFormat=P","Fill=—","Direction=H","UseDPDF=Y")</f>
        <v>61.471200000000003</v>
      </c>
      <c r="AF10" s="21">
        <f>_xll.BDH("AKAM US Equity","COM_EQY_TO_TOT_ASSET","FQ3 2018","FQ3 2018","Currency=USD","Period=FQ","BEST_FPERIOD_OVERRIDE=FQ","FILING_STATUS=MR","Sort=A","Dates=H","DateFormat=P","Fill=—","Direction=H","UseDPDF=Y")</f>
        <v>58.8292</v>
      </c>
      <c r="AG10" s="21">
        <f>_xll.BDH("AKAM US Equity","COM_EQY_TO_TOT_ASSET","FQ4 2018","FQ4 2018","Currency=USD","Period=FQ","BEST_FPERIOD_OVERRIDE=FQ","FILING_STATUS=MR","Sort=A","Dates=H","DateFormat=P","Fill=—","Direction=H","UseDPDF=Y")</f>
        <v>58.44</v>
      </c>
      <c r="AH10" s="21">
        <f>_xll.BDH("AKAM US Equity","COM_EQY_TO_TOT_ASSET","FQ1 2019","FQ1 2019","Currency=USD","Period=FQ","BEST_FPERIOD_OVERRIDE=FQ","FILING_STATUS=MR","Sort=A","Dates=H","DateFormat=P","Fill=—","Direction=H","UseDPDF=Y")</f>
        <v>63.348799999999997</v>
      </c>
      <c r="AI10" s="21" t="str">
        <f>_xll.BDH("AKAM US Equity","COM_EQY_TO_TOT_ASSET","FQ2 2019","FQ2 2019","Currency=USD","Period=FQ","BEST_FPERIOD_OVERRIDE=FQ","FILING_STATUS=MR","Sort=A","Dates=H","DateFormat=P","Fill=—","Direction=H","UseDPDF=Y")</f>
        <v>#N/A Requesting Data...</v>
      </c>
      <c r="AJ10" s="21" t="str">
        <f>_xll.BDH("AKAM US Equity","COM_EQY_TO_TOT_ASSET","FQ3 2019","FQ3 2019","Currency=USD","Period=FQ","BEST_FPERIOD_OVERRIDE=FQ","FILING_STATUS=MR","Sort=A","Dates=H","DateFormat=P","Fill=—","Direction=H","UseDPDF=Y")</f>
        <v>#N/A Requesting Data...</v>
      </c>
      <c r="AK10" s="21" t="str">
        <f>_xll.BDH("AKAM US Equity","COM_EQY_TO_TOT_ASSET","FQ4 2019","FQ4 2019","Currency=USD","Period=FQ","BEST_FPERIOD_OVERRIDE=FQ","FILING_STATUS=MR","Sort=A","Dates=H","DateFormat=P","Fill=—","Direction=H","UseDPDF=Y")</f>
        <v>#N/A Requesting Data...</v>
      </c>
      <c r="AL10" s="21" t="str">
        <f>_xll.BDH("AKAM US Equity","COM_EQY_TO_TOT_ASSET","FQ1 2020","FQ1 2020","Currency=USD","Period=FQ","BEST_FPERIOD_OVERRIDE=FQ","FILING_STATUS=MR","Sort=A","Dates=H","DateFormat=P","Fill=—","Direction=H","UseDPDF=Y")</f>
        <v>#N/A Requesting Data...</v>
      </c>
      <c r="AM10" s="21" t="str">
        <f>_xll.BDH("AKAM US Equity","COM_EQY_TO_TOT_ASSET","FQ2 2020","FQ2 2020","Currency=USD","Period=FQ","BEST_FPERIOD_OVERRIDE=FQ","FILING_STATUS=MR","Sort=A","Dates=H","DateFormat=P","Fill=—","Direction=H","UseDPDF=Y")</f>
        <v>#N/A Requesting Data...</v>
      </c>
      <c r="AN10" s="21" t="str">
        <f>_xll.BDH("AKAM US Equity","COM_EQY_TO_TOT_ASSET","FQ3 2020","FQ3 2020","Currency=USD","Period=FQ","BEST_FPERIOD_OVERRIDE=FQ","FILING_STATUS=MR","Sort=A","Dates=H","DateFormat=P","Fill=—","Direction=H","UseDPDF=Y")</f>
        <v>#N/A Requesting Data...</v>
      </c>
      <c r="AO10" s="21" t="str">
        <f>_xll.BDH("AKAM US Equity","COM_EQY_TO_TOT_ASSET","FQ4 2020","FQ4 2020","Currency=USD","Period=FQ","BEST_FPERIOD_OVERRIDE=FQ","FILING_STATUS=MR","Sort=A","Dates=H","DateFormat=P","Fill=—","Direction=H","UseDPDF=Y")</f>
        <v>#N/A Requesting Data...</v>
      </c>
      <c r="AP10" s="21" t="str">
        <f>_xll.BDH("AKAM US Equity","COM_EQY_TO_TOT_ASSET","FQ1 2021","FQ1 2021","Currency=USD","Period=FQ","BEST_FPERIOD_OVERRIDE=FQ","FILING_STATUS=MR","Sort=A","Dates=H","DateFormat=P","Fill=—","Direction=H","UseDPDF=Y")</f>
        <v>#N/A Requesting Data...</v>
      </c>
    </row>
    <row r="11" spans="1:42" x14ac:dyDescent="0.25">
      <c r="A11" s="8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</row>
    <row r="12" spans="1:42" x14ac:dyDescent="0.25">
      <c r="A12" s="8" t="s">
        <v>185</v>
      </c>
      <c r="B12" s="8" t="s">
        <v>184</v>
      </c>
      <c r="C12" s="21">
        <f>_xll.BDH("AKAM US Equity","LT_DEBT_TO_TOT_EQY","FQ2 2011","FQ2 2011","Currency=USD","Period=FQ","BEST_FPERIOD_OVERRIDE=FQ","FILING_STATUS=MR","Sort=A","Dates=H","DateFormat=P","Fill=—","Direction=H","UseDPDF=Y")</f>
        <v>0</v>
      </c>
      <c r="D12" s="21">
        <f>_xll.BDH("AKAM US Equity","LT_DEBT_TO_TOT_EQY","FQ3 2011","FQ3 2011","Currency=USD","Period=FQ","BEST_FPERIOD_OVERRIDE=FQ","FILING_STATUS=MR","Sort=A","Dates=H","DateFormat=P","Fill=—","Direction=H","UseDPDF=Y")</f>
        <v>0</v>
      </c>
      <c r="E12" s="21">
        <f>_xll.BDH("AKAM US Equity","LT_DEBT_TO_TOT_EQY","FQ4 2011","FQ4 2011","Currency=USD","Period=FQ","BEST_FPERIOD_OVERRIDE=FQ","FILING_STATUS=MR","Sort=A","Dates=H","DateFormat=P","Fill=—","Direction=H","UseDPDF=Y")</f>
        <v>0</v>
      </c>
      <c r="F12" s="21">
        <f>_xll.BDH("AKAM US Equity","LT_DEBT_TO_TOT_EQY","FQ1 2012","FQ1 2012","Currency=USD","Period=FQ","BEST_FPERIOD_OVERRIDE=FQ","FILING_STATUS=MR","Sort=A","Dates=H","DateFormat=P","Fill=—","Direction=H","UseDPDF=Y")</f>
        <v>0</v>
      </c>
      <c r="G12" s="21">
        <f>_xll.BDH("AKAM US Equity","LT_DEBT_TO_TOT_EQY","FQ2 2012","FQ2 2012","Currency=USD","Period=FQ","BEST_FPERIOD_OVERRIDE=FQ","FILING_STATUS=MR","Sort=A","Dates=H","DateFormat=P","Fill=—","Direction=H","UseDPDF=Y")</f>
        <v>0</v>
      </c>
      <c r="H12" s="21" t="str">
        <f>_xll.BDH("AKAM US Equity","LT_DEBT_TO_TOT_EQY","FQ3 2012","FQ3 2012","Currency=USD","Period=FQ","BEST_FPERIOD_OVERRIDE=FQ","FILING_STATUS=MR","Sort=A","Dates=H","DateFormat=P","Fill=—","Direction=H","UseDPDF=Y")</f>
        <v>#N/A Requesting Data...</v>
      </c>
      <c r="I12" s="21" t="str">
        <f>_xll.BDH("AKAM US Equity","LT_DEBT_TO_TOT_EQY","FQ4 2012","FQ4 2012","Currency=USD","Period=FQ","BEST_FPERIOD_OVERRIDE=FQ","FILING_STATUS=MR","Sort=A","Dates=H","DateFormat=P","Fill=—","Direction=H","UseDPDF=Y")</f>
        <v>#N/A Requesting Data...</v>
      </c>
      <c r="J12" s="21" t="str">
        <f>_xll.BDH("AKAM US Equity","LT_DEBT_TO_TOT_EQY","FQ1 2013","FQ1 2013","Currency=USD","Period=FQ","BEST_FPERIOD_OVERRIDE=FQ","FILING_STATUS=MR","Sort=A","Dates=H","DateFormat=P","Fill=—","Direction=H","UseDPDF=Y")</f>
        <v>#N/A Requesting Data...</v>
      </c>
      <c r="K12" s="21" t="str">
        <f>_xll.BDH("AKAM US Equity","LT_DEBT_TO_TOT_EQY","FQ2 2013","FQ2 2013","Currency=USD","Period=FQ","BEST_FPERIOD_OVERRIDE=FQ","FILING_STATUS=MR","Sort=A","Dates=H","DateFormat=P","Fill=—","Direction=H","UseDPDF=Y")</f>
        <v>#N/A Requesting Data...</v>
      </c>
      <c r="L12" s="21" t="str">
        <f>_xll.BDH("AKAM US Equity","LT_DEBT_TO_TOT_EQY","FQ3 2013","FQ3 2013","Currency=USD","Period=FQ","BEST_FPERIOD_OVERRIDE=FQ","FILING_STATUS=MR","Sort=A","Dates=H","DateFormat=P","Fill=—","Direction=H","UseDPDF=Y")</f>
        <v>#N/A Requesting Data...</v>
      </c>
      <c r="M12" s="21" t="str">
        <f>_xll.BDH("AKAM US Equity","LT_DEBT_TO_TOT_EQY","FQ4 2013","FQ4 2013","Currency=USD","Period=FQ","BEST_FPERIOD_OVERRIDE=FQ","FILING_STATUS=MR","Sort=A","Dates=H","DateFormat=P","Fill=—","Direction=H","UseDPDF=Y")</f>
        <v>#N/A Requesting Data...</v>
      </c>
      <c r="N12" s="21" t="str">
        <f>_xll.BDH("AKAM US Equity","LT_DEBT_TO_TOT_EQY","FQ1 2014","FQ1 2014","Currency=USD","Period=FQ","BEST_FPERIOD_OVERRIDE=FQ","FILING_STATUS=MR","Sort=A","Dates=H","DateFormat=P","Fill=—","Direction=H","UseDPDF=Y")</f>
        <v>#N/A Requesting Data...</v>
      </c>
      <c r="O12" s="21">
        <f>_xll.BDH("AKAM US Equity","LT_DEBT_TO_TOT_EQY","FQ2 2014","FQ2 2014","Currency=USD","Period=FQ","BEST_FPERIOD_OVERRIDE=FQ","FILING_STATUS=MR","Sort=A","Dates=H","DateFormat=P","Fill=—","Direction=H","UseDPDF=Y")</f>
        <v>21.472799999999999</v>
      </c>
      <c r="P12" s="21">
        <f>_xll.BDH("AKAM US Equity","LT_DEBT_TO_TOT_EQY","FQ3 2014","FQ3 2014","Currency=USD","Period=FQ","BEST_FPERIOD_OVERRIDE=FQ","FILING_STATUS=MR","Sort=A","Dates=H","DateFormat=P","Fill=—","Direction=H","UseDPDF=Y")</f>
        <v>21.068000000000001</v>
      </c>
      <c r="Q12" s="21">
        <f>_xll.BDH("AKAM US Equity","LT_DEBT_TO_TOT_EQY","FQ4 2014","FQ4 2014","Currency=USD","Period=FQ","BEST_FPERIOD_OVERRIDE=FQ","FILING_STATUS=MR","Sort=A","Dates=H","DateFormat=P","Fill=—","Direction=H","UseDPDF=Y")</f>
        <v>20.535900000000002</v>
      </c>
      <c r="R12" s="21">
        <f>_xll.BDH("AKAM US Equity","LT_DEBT_TO_TOT_EQY","FQ1 2015","FQ1 2015","Currency=USD","Period=FQ","BEST_FPERIOD_OVERRIDE=FQ","FILING_STATUS=MR","Sort=A","Dates=H","DateFormat=P","Fill=—","Direction=H","UseDPDF=Y")</f>
        <v>20.446400000000001</v>
      </c>
      <c r="S12" s="21" t="str">
        <f>_xll.BDH("AKAM US Equity","LT_DEBT_TO_TOT_EQY","FQ2 2015","FQ2 2015","Currency=USD","Period=FQ","BEST_FPERIOD_OVERRIDE=FQ","FILING_STATUS=MR","Sort=A","Dates=H","DateFormat=P","Fill=—","Direction=H","UseDPDF=Y")</f>
        <v>#N/A Requesting Data...</v>
      </c>
      <c r="T12" s="21" t="str">
        <f>_xll.BDH("AKAM US Equity","LT_DEBT_TO_TOT_EQY","FQ3 2015","FQ3 2015","Currency=USD","Period=FQ","BEST_FPERIOD_OVERRIDE=FQ","FILING_STATUS=MR","Sort=A","Dates=H","DateFormat=P","Fill=—","Direction=H","UseDPDF=Y")</f>
        <v>#N/A Requesting Data...</v>
      </c>
      <c r="U12" s="21" t="str">
        <f>_xll.BDH("AKAM US Equity","LT_DEBT_TO_TOT_EQY","FQ4 2015","FQ4 2015","Currency=USD","Period=FQ","BEST_FPERIOD_OVERRIDE=FQ","FILING_STATUS=MR","Sort=A","Dates=H","DateFormat=P","Fill=—","Direction=H","UseDPDF=Y")</f>
        <v>#N/A Requesting Data...</v>
      </c>
      <c r="V12" s="21" t="str">
        <f>_xll.BDH("AKAM US Equity","LT_DEBT_TO_TOT_EQY","FQ1 2016","FQ1 2016","Currency=USD","Period=FQ","BEST_FPERIOD_OVERRIDE=FQ","FILING_STATUS=MR","Sort=A","Dates=H","DateFormat=P","Fill=—","Direction=H","UseDPDF=Y")</f>
        <v>#N/A Requesting Data...</v>
      </c>
      <c r="W12" s="21" t="str">
        <f>_xll.BDH("AKAM US Equity","LT_DEBT_TO_TOT_EQY","FQ2 2016","FQ2 2016","Currency=USD","Period=FQ","BEST_FPERIOD_OVERRIDE=FQ","FILING_STATUS=MR","Sort=A","Dates=H","DateFormat=P","Fill=—","Direction=H","UseDPDF=Y")</f>
        <v>#N/A Requesting Data...</v>
      </c>
      <c r="X12" s="21" t="str">
        <f>_xll.BDH("AKAM US Equity","LT_DEBT_TO_TOT_EQY","FQ3 2016","FQ3 2016","Currency=USD","Period=FQ","BEST_FPERIOD_OVERRIDE=FQ","FILING_STATUS=MR","Sort=A","Dates=H","DateFormat=P","Fill=—","Direction=H","UseDPDF=Y")</f>
        <v>#N/A Requesting Data...</v>
      </c>
      <c r="Y12" s="21" t="str">
        <f>_xll.BDH("AKAM US Equity","LT_DEBT_TO_TOT_EQY","FQ4 2016","FQ4 2016","Currency=USD","Period=FQ","BEST_FPERIOD_OVERRIDE=FQ","FILING_STATUS=MR","Sort=A","Dates=H","DateFormat=P","Fill=—","Direction=H","UseDPDF=Y")</f>
        <v>#N/A Requesting Data...</v>
      </c>
      <c r="Z12" s="21" t="str">
        <f>_xll.BDH("AKAM US Equity","LT_DEBT_TO_TOT_EQY","FQ1 2017","FQ1 2017","Currency=USD","Period=FQ","BEST_FPERIOD_OVERRIDE=FQ","FILING_STATUS=MR","Sort=A","Dates=H","DateFormat=P","Fill=—","Direction=H","UseDPDF=Y")</f>
        <v>#N/A Requesting Data...</v>
      </c>
      <c r="AA12" s="21">
        <f>_xll.BDH("AKAM US Equity","LT_DEBT_TO_TOT_EQY","FQ2 2017","FQ2 2017","Currency=USD","Period=FQ","BEST_FPERIOD_OVERRIDE=FQ","FILING_STATUS=MR","Sort=A","Dates=H","DateFormat=P","Fill=—","Direction=H","UseDPDF=Y")</f>
        <v>19.816400000000002</v>
      </c>
      <c r="AB12" s="21">
        <f>_xll.BDH("AKAM US Equity","LT_DEBT_TO_TOT_EQY","FQ3 2017","FQ3 2017","Currency=USD","Period=FQ","BEST_FPERIOD_OVERRIDE=FQ","FILING_STATUS=MR","Sort=A","Dates=H","DateFormat=P","Fill=—","Direction=H","UseDPDF=Y")</f>
        <v>20.0794</v>
      </c>
      <c r="AC12" s="21">
        <f>_xll.BDH("AKAM US Equity","LT_DEBT_TO_TOT_EQY","FQ4 2017","FQ4 2017","Currency=USD","Period=FQ","BEST_FPERIOD_OVERRIDE=FQ","FILING_STATUS=MR","Sort=A","Dates=H","DateFormat=P","Fill=—","Direction=H","UseDPDF=Y")</f>
        <v>19.7151</v>
      </c>
      <c r="AD12" s="21">
        <f>_xll.BDH("AKAM US Equity","LT_DEBT_TO_TOT_EQY","FQ1 2018","FQ1 2018","Currency=USD","Period=FQ","BEST_FPERIOD_OVERRIDE=FQ","FILING_STATUS=MR","Sort=A","Dates=H","DateFormat=P","Fill=—","Direction=H","UseDPDF=Y")</f>
        <v>0</v>
      </c>
      <c r="AE12" s="21" t="str">
        <f>_xll.BDH("AKAM US Equity","LT_DEBT_TO_TOT_EQY","FQ2 2018","FQ2 2018","Currency=USD","Period=FQ","BEST_FPERIOD_OVERRIDE=FQ","FILING_STATUS=MR","Sort=A","Dates=H","DateFormat=P","Fill=—","Direction=H","UseDPDF=Y")</f>
        <v>#N/A Requesting Data...</v>
      </c>
      <c r="AF12" s="21" t="str">
        <f>_xll.BDH("AKAM US Equity","LT_DEBT_TO_TOT_EQY","FQ3 2018","FQ3 2018","Currency=USD","Period=FQ","BEST_FPERIOD_OVERRIDE=FQ","FILING_STATUS=MR","Sort=A","Dates=H","DateFormat=P","Fill=—","Direction=H","UseDPDF=Y")</f>
        <v>#N/A Requesting Data...</v>
      </c>
      <c r="AG12" s="21" t="str">
        <f>_xll.BDH("AKAM US Equity","LT_DEBT_TO_TOT_EQY","FQ4 2018","FQ4 2018","Currency=USD","Period=FQ","BEST_FPERIOD_OVERRIDE=FQ","FILING_STATUS=MR","Sort=A","Dates=H","DateFormat=P","Fill=—","Direction=H","UseDPDF=Y")</f>
        <v>#N/A Requesting Data...</v>
      </c>
      <c r="AH12" s="21" t="str">
        <f>_xll.BDH("AKAM US Equity","LT_DEBT_TO_TOT_EQY","FQ1 2019","FQ1 2019","Currency=USD","Period=FQ","BEST_FPERIOD_OVERRIDE=FQ","FILING_STATUS=MR","Sort=A","Dates=H","DateFormat=P","Fill=—","Direction=H","UseDPDF=Y")</f>
        <v>#N/A Requesting Data...</v>
      </c>
      <c r="AI12" s="21" t="str">
        <f>_xll.BDH("AKAM US Equity","LT_DEBT_TO_TOT_EQY","FQ2 2019","FQ2 2019","Currency=USD","Period=FQ","BEST_FPERIOD_OVERRIDE=FQ","FILING_STATUS=MR","Sort=A","Dates=H","DateFormat=P","Fill=—","Direction=H","UseDPDF=Y")</f>
        <v>#N/A Requesting Data...</v>
      </c>
      <c r="AJ12" s="21" t="str">
        <f>_xll.BDH("AKAM US Equity","LT_DEBT_TO_TOT_EQY","FQ3 2019","FQ3 2019","Currency=USD","Period=FQ","BEST_FPERIOD_OVERRIDE=FQ","FILING_STATUS=MR","Sort=A","Dates=H","DateFormat=P","Fill=—","Direction=H","UseDPDF=Y")</f>
        <v>#N/A Requesting Data...</v>
      </c>
      <c r="AK12" s="21" t="str">
        <f>_xll.BDH("AKAM US Equity","LT_DEBT_TO_TOT_EQY","FQ4 2019","FQ4 2019","Currency=USD","Period=FQ","BEST_FPERIOD_OVERRIDE=FQ","FILING_STATUS=MR","Sort=A","Dates=H","DateFormat=P","Fill=—","Direction=H","UseDPDF=Y")</f>
        <v>#N/A Requesting Data...</v>
      </c>
      <c r="AL12" s="21" t="str">
        <f>_xll.BDH("AKAM US Equity","LT_DEBT_TO_TOT_EQY","FQ1 2020","FQ1 2020","Currency=USD","Period=FQ","BEST_FPERIOD_OVERRIDE=FQ","FILING_STATUS=MR","Sort=A","Dates=H","DateFormat=P","Fill=—","Direction=H","UseDPDF=Y")</f>
        <v>#N/A Requesting Data...</v>
      </c>
      <c r="AM12" s="21">
        <f>_xll.BDH("AKAM US Equity","LT_DEBT_TO_TOT_EQY","FQ2 2020","FQ2 2020","Currency=USD","Period=FQ","BEST_FPERIOD_OVERRIDE=FQ","FILING_STATUS=MR","Sort=A","Dates=H","DateFormat=P","Fill=—","Direction=H","UseDPDF=Y")</f>
        <v>65.225999999999999</v>
      </c>
      <c r="AN12" s="21">
        <f>_xll.BDH("AKAM US Equity","LT_DEBT_TO_TOT_EQY","FQ3 2020","FQ3 2020","Currency=USD","Period=FQ","BEST_FPERIOD_OVERRIDE=FQ","FILING_STATUS=MR","Sort=A","Dates=H","DateFormat=P","Fill=—","Direction=H","UseDPDF=Y")</f>
        <v>62.624299999999998</v>
      </c>
      <c r="AO12" s="21">
        <f>_xll.BDH("AKAM US Equity","LT_DEBT_TO_TOT_EQY","FQ4 2020","FQ4 2020","Currency=USD","Period=FQ","BEST_FPERIOD_OVERRIDE=FQ","FILING_STATUS=MR","Sort=A","Dates=H","DateFormat=P","Fill=—","Direction=H","UseDPDF=Y")</f>
        <v>61.677900000000001</v>
      </c>
      <c r="AP12" s="21">
        <f>_xll.BDH("AKAM US Equity","LT_DEBT_TO_TOT_EQY","FQ1 2021","FQ1 2021","Currency=USD","Period=FQ","BEST_FPERIOD_OVERRIDE=FQ","FILING_STATUS=MR","Sort=A","Dates=H","DateFormat=P","Fill=—","Direction=H","UseDPDF=Y")</f>
        <v>61.493899999999996</v>
      </c>
    </row>
    <row r="13" spans="1:42" x14ac:dyDescent="0.25">
      <c r="A13" s="8" t="s">
        <v>183</v>
      </c>
      <c r="B13" s="8" t="s">
        <v>182</v>
      </c>
      <c r="C13" s="21" t="str">
        <f>_xll.BDH("AKAM US Equity","LT_DEBT_TO_TOT_CAP","FQ2 2011","FQ2 2011","Currency=USD","Period=FQ","BEST_FPERIOD_OVERRIDE=FQ","FILING_STATUS=MR","Sort=A","Dates=H","DateFormat=P","Fill=—","Direction=H","UseDPDF=Y")</f>
        <v>#N/A Requesting Data...</v>
      </c>
      <c r="D13" s="21" t="str">
        <f>_xll.BDH("AKAM US Equity","LT_DEBT_TO_TOT_CAP","FQ3 2011","FQ3 2011","Currency=USD","Period=FQ","BEST_FPERIOD_OVERRIDE=FQ","FILING_STATUS=MR","Sort=A","Dates=H","DateFormat=P","Fill=—","Direction=H","UseDPDF=Y")</f>
        <v>#N/A Requesting Data...</v>
      </c>
      <c r="E13" s="21" t="str">
        <f>_xll.BDH("AKAM US Equity","LT_DEBT_TO_TOT_CAP","FQ4 2011","FQ4 2011","Currency=USD","Period=FQ","BEST_FPERIOD_OVERRIDE=FQ","FILING_STATUS=MR","Sort=A","Dates=H","DateFormat=P","Fill=—","Direction=H","UseDPDF=Y")</f>
        <v>#N/A Requesting Data...</v>
      </c>
      <c r="F13" s="21" t="str">
        <f>_xll.BDH("AKAM US Equity","LT_DEBT_TO_TOT_CAP","FQ1 2012","FQ1 2012","Currency=USD","Period=FQ","BEST_FPERIOD_OVERRIDE=FQ","FILING_STATUS=MR","Sort=A","Dates=H","DateFormat=P","Fill=—","Direction=H","UseDPDF=Y")</f>
        <v>#N/A Requesting Data...</v>
      </c>
      <c r="G13" s="21" t="str">
        <f>_xll.BDH("AKAM US Equity","LT_DEBT_TO_TOT_CAP","FQ2 2012","FQ2 2012","Currency=USD","Period=FQ","BEST_FPERIOD_OVERRIDE=FQ","FILING_STATUS=MR","Sort=A","Dates=H","DateFormat=P","Fill=—","Direction=H","UseDPDF=Y")</f>
        <v>#N/A Requesting Data...</v>
      </c>
      <c r="H13" s="21" t="str">
        <f>_xll.BDH("AKAM US Equity","LT_DEBT_TO_TOT_CAP","FQ3 2012","FQ3 2012","Currency=USD","Period=FQ","BEST_FPERIOD_OVERRIDE=FQ","FILING_STATUS=MR","Sort=A","Dates=H","DateFormat=P","Fill=—","Direction=H","UseDPDF=Y")</f>
        <v>#N/A Requesting Data...</v>
      </c>
      <c r="I13" s="21" t="str">
        <f>_xll.BDH("AKAM US Equity","LT_DEBT_TO_TOT_CAP","FQ4 2012","FQ4 2012","Currency=USD","Period=FQ","BEST_FPERIOD_OVERRIDE=FQ","FILING_STATUS=MR","Sort=A","Dates=H","DateFormat=P","Fill=—","Direction=H","UseDPDF=Y")</f>
        <v>#N/A Requesting Data...</v>
      </c>
      <c r="J13" s="21" t="str">
        <f>_xll.BDH("AKAM US Equity","LT_DEBT_TO_TOT_CAP","FQ1 2013","FQ1 2013","Currency=USD","Period=FQ","BEST_FPERIOD_OVERRIDE=FQ","FILING_STATUS=MR","Sort=A","Dates=H","DateFormat=P","Fill=—","Direction=H","UseDPDF=Y")</f>
        <v>#N/A Requesting Data...</v>
      </c>
      <c r="K13" s="21">
        <f>_xll.BDH("AKAM US Equity","LT_DEBT_TO_TOT_CAP","FQ2 2013","FQ2 2013","Currency=USD","Period=FQ","BEST_FPERIOD_OVERRIDE=FQ","FILING_STATUS=MR","Sort=A","Dates=H","DateFormat=P","Fill=—","Direction=H","UseDPDF=Y")</f>
        <v>0</v>
      </c>
      <c r="L13" s="21">
        <f>_xll.BDH("AKAM US Equity","LT_DEBT_TO_TOT_CAP","FQ3 2013","FQ3 2013","Currency=USD","Period=FQ","BEST_FPERIOD_OVERRIDE=FQ","FILING_STATUS=MR","Sort=A","Dates=H","DateFormat=P","Fill=—","Direction=H","UseDPDF=Y")</f>
        <v>0</v>
      </c>
      <c r="M13" s="21">
        <f>_xll.BDH("AKAM US Equity","LT_DEBT_TO_TOT_CAP","FQ4 2013","FQ4 2013","Currency=USD","Period=FQ","BEST_FPERIOD_OVERRIDE=FQ","FILING_STATUS=MR","Sort=A","Dates=H","DateFormat=P","Fill=—","Direction=H","UseDPDF=Y")</f>
        <v>0</v>
      </c>
      <c r="N13" s="21">
        <f>_xll.BDH("AKAM US Equity","LT_DEBT_TO_TOT_CAP","FQ1 2014","FQ1 2014","Currency=USD","Period=FQ","BEST_FPERIOD_OVERRIDE=FQ","FILING_STATUS=MR","Sort=A","Dates=H","DateFormat=P","Fill=—","Direction=H","UseDPDF=Y")</f>
        <v>17.884900000000002</v>
      </c>
      <c r="O13" s="21" t="str">
        <f>_xll.BDH("AKAM US Equity","LT_DEBT_TO_TOT_CAP","FQ2 2014","FQ2 2014","Currency=USD","Period=FQ","BEST_FPERIOD_OVERRIDE=FQ","FILING_STATUS=MR","Sort=A","Dates=H","DateFormat=P","Fill=—","Direction=H","UseDPDF=Y")</f>
        <v>#N/A Requesting Data...</v>
      </c>
      <c r="P13" s="21" t="str">
        <f>_xll.BDH("AKAM US Equity","LT_DEBT_TO_TOT_CAP","FQ3 2014","FQ3 2014","Currency=USD","Period=FQ","BEST_FPERIOD_OVERRIDE=FQ","FILING_STATUS=MR","Sort=A","Dates=H","DateFormat=P","Fill=—","Direction=H","UseDPDF=Y")</f>
        <v>#N/A Requesting Data...</v>
      </c>
      <c r="Q13" s="21" t="str">
        <f>_xll.BDH("AKAM US Equity","LT_DEBT_TO_TOT_CAP","FQ4 2014","FQ4 2014","Currency=USD","Period=FQ","BEST_FPERIOD_OVERRIDE=FQ","FILING_STATUS=MR","Sort=A","Dates=H","DateFormat=P","Fill=—","Direction=H","UseDPDF=Y")</f>
        <v>#N/A Requesting Data...</v>
      </c>
      <c r="R13" s="21" t="str">
        <f>_xll.BDH("AKAM US Equity","LT_DEBT_TO_TOT_CAP","FQ1 2015","FQ1 2015","Currency=USD","Period=FQ","BEST_FPERIOD_OVERRIDE=FQ","FILING_STATUS=MR","Sort=A","Dates=H","DateFormat=P","Fill=—","Direction=H","UseDPDF=Y")</f>
        <v>#N/A Requesting Data...</v>
      </c>
      <c r="S13" s="21" t="str">
        <f>_xll.BDH("AKAM US Equity","LT_DEBT_TO_TOT_CAP","FQ2 2015","FQ2 2015","Currency=USD","Period=FQ","BEST_FPERIOD_OVERRIDE=FQ","FILING_STATUS=MR","Sort=A","Dates=H","DateFormat=P","Fill=—","Direction=H","UseDPDF=Y")</f>
        <v>#N/A Requesting Data...</v>
      </c>
      <c r="T13" s="21" t="str">
        <f>_xll.BDH("AKAM US Equity","LT_DEBT_TO_TOT_CAP","FQ3 2015","FQ3 2015","Currency=USD","Period=FQ","BEST_FPERIOD_OVERRIDE=FQ","FILING_STATUS=MR","Sort=A","Dates=H","DateFormat=P","Fill=—","Direction=H","UseDPDF=Y")</f>
        <v>#N/A Requesting Data...</v>
      </c>
      <c r="U13" s="21" t="str">
        <f>_xll.BDH("AKAM US Equity","LT_DEBT_TO_TOT_CAP","FQ4 2015","FQ4 2015","Currency=USD","Period=FQ","BEST_FPERIOD_OVERRIDE=FQ","FILING_STATUS=MR","Sort=A","Dates=H","DateFormat=P","Fill=—","Direction=H","UseDPDF=Y")</f>
        <v>#N/A Requesting Data...</v>
      </c>
      <c r="V13" s="21" t="str">
        <f>_xll.BDH("AKAM US Equity","LT_DEBT_TO_TOT_CAP","FQ1 2016","FQ1 2016","Currency=USD","Period=FQ","BEST_FPERIOD_OVERRIDE=FQ","FILING_STATUS=MR","Sort=A","Dates=H","DateFormat=P","Fill=—","Direction=H","UseDPDF=Y")</f>
        <v>#N/A Requesting Data...</v>
      </c>
      <c r="W13" s="21">
        <f>_xll.BDH("AKAM US Equity","LT_DEBT_TO_TOT_CAP","FQ2 2016","FQ2 2016","Currency=USD","Period=FQ","BEST_FPERIOD_OVERRIDE=FQ","FILING_STATUS=MR","Sort=A","Dates=H","DateFormat=P","Fill=—","Direction=H","UseDPDF=Y")</f>
        <v>16.6419</v>
      </c>
      <c r="X13" s="21">
        <f>_xll.BDH("AKAM US Equity","LT_DEBT_TO_TOT_CAP","FQ3 2016","FQ3 2016","Currency=USD","Period=FQ","BEST_FPERIOD_OVERRIDE=FQ","FILING_STATUS=MR","Sort=A","Dates=H","DateFormat=P","Fill=—","Direction=H","UseDPDF=Y")</f>
        <v>16.682400000000001</v>
      </c>
      <c r="Y13" s="21">
        <f>_xll.BDH("AKAM US Equity","LT_DEBT_TO_TOT_CAP","FQ4 2016","FQ4 2016","Currency=USD","Period=FQ","BEST_FPERIOD_OVERRIDE=FQ","FILING_STATUS=MR","Sort=A","Dates=H","DateFormat=P","Fill=—","Direction=H","UseDPDF=Y")</f>
        <v>16.563400000000001</v>
      </c>
      <c r="Z13" s="21">
        <f>_xll.BDH("AKAM US Equity","LT_DEBT_TO_TOT_CAP","FQ1 2017","FQ1 2017","Currency=USD","Period=FQ","BEST_FPERIOD_OVERRIDE=FQ","FILING_STATUS=MR","Sort=A","Dates=H","DateFormat=P","Fill=—","Direction=H","UseDPDF=Y")</f>
        <v>16.538799999999998</v>
      </c>
      <c r="AA13" s="21" t="str">
        <f>_xll.BDH("AKAM US Equity","LT_DEBT_TO_TOT_CAP","FQ2 2017","FQ2 2017","Currency=USD","Period=FQ","BEST_FPERIOD_OVERRIDE=FQ","FILING_STATUS=MR","Sort=A","Dates=H","DateFormat=P","Fill=—","Direction=H","UseDPDF=Y")</f>
        <v>#N/A Requesting Data...</v>
      </c>
      <c r="AB13" s="21" t="str">
        <f>_xll.BDH("AKAM US Equity","LT_DEBT_TO_TOT_CAP","FQ3 2017","FQ3 2017","Currency=USD","Period=FQ","BEST_FPERIOD_OVERRIDE=FQ","FILING_STATUS=MR","Sort=A","Dates=H","DateFormat=P","Fill=—","Direction=H","UseDPDF=Y")</f>
        <v>#N/A Requesting Data...</v>
      </c>
      <c r="AC13" s="21" t="str">
        <f>_xll.BDH("AKAM US Equity","LT_DEBT_TO_TOT_CAP","FQ4 2017","FQ4 2017","Currency=USD","Period=FQ","BEST_FPERIOD_OVERRIDE=FQ","FILING_STATUS=MR","Sort=A","Dates=H","DateFormat=P","Fill=—","Direction=H","UseDPDF=Y")</f>
        <v>#N/A Requesting Data...</v>
      </c>
      <c r="AD13" s="21" t="str">
        <f>_xll.BDH("AKAM US Equity","LT_DEBT_TO_TOT_CAP","FQ1 2018","FQ1 2018","Currency=USD","Period=FQ","BEST_FPERIOD_OVERRIDE=FQ","FILING_STATUS=MR","Sort=A","Dates=H","DateFormat=P","Fill=—","Direction=H","UseDPDF=Y")</f>
        <v>#N/A Requesting Data...</v>
      </c>
      <c r="AE13" s="21" t="str">
        <f>_xll.BDH("AKAM US Equity","LT_DEBT_TO_TOT_CAP","FQ2 2018","FQ2 2018","Currency=USD","Period=FQ","BEST_FPERIOD_OVERRIDE=FQ","FILING_STATUS=MR","Sort=A","Dates=H","DateFormat=P","Fill=—","Direction=H","UseDPDF=Y")</f>
        <v>#N/A Requesting Data...</v>
      </c>
      <c r="AF13" s="21" t="str">
        <f>_xll.BDH("AKAM US Equity","LT_DEBT_TO_TOT_CAP","FQ3 2018","FQ3 2018","Currency=USD","Period=FQ","BEST_FPERIOD_OVERRIDE=FQ","FILING_STATUS=MR","Sort=A","Dates=H","DateFormat=P","Fill=—","Direction=H","UseDPDF=Y")</f>
        <v>#N/A Requesting Data...</v>
      </c>
      <c r="AG13" s="21" t="str">
        <f>_xll.BDH("AKAM US Equity","LT_DEBT_TO_TOT_CAP","FQ4 2018","FQ4 2018","Currency=USD","Period=FQ","BEST_FPERIOD_OVERRIDE=FQ","FILING_STATUS=MR","Sort=A","Dates=H","DateFormat=P","Fill=—","Direction=H","UseDPDF=Y")</f>
        <v>#N/A Requesting Data...</v>
      </c>
      <c r="AH13" s="21" t="str">
        <f>_xll.BDH("AKAM US Equity","LT_DEBT_TO_TOT_CAP","FQ1 2019","FQ1 2019","Currency=USD","Period=FQ","BEST_FPERIOD_OVERRIDE=FQ","FILING_STATUS=MR","Sort=A","Dates=H","DateFormat=P","Fill=—","Direction=H","UseDPDF=Y")</f>
        <v>#N/A Requesting Data...</v>
      </c>
      <c r="AI13" s="21">
        <f>_xll.BDH("AKAM US Equity","LT_DEBT_TO_TOT_CAP","FQ2 2019","FQ2 2019","Currency=USD","Period=FQ","BEST_FPERIOD_OVERRIDE=FQ","FILING_STATUS=MR","Sort=A","Dates=H","DateFormat=P","Fill=—","Direction=H","UseDPDF=Y")</f>
        <v>25.458200000000001</v>
      </c>
      <c r="AJ13" s="21">
        <f>_xll.BDH("AKAM US Equity","LT_DEBT_TO_TOT_CAP","FQ3 2019","FQ3 2019","Currency=USD","Period=FQ","BEST_FPERIOD_OVERRIDE=FQ","FILING_STATUS=MR","Sort=A","Dates=H","DateFormat=P","Fill=—","Direction=H","UseDPDF=Y")</f>
        <v>37.139400000000002</v>
      </c>
      <c r="AK13" s="21" t="str">
        <f>_xll.BDH("AKAM US Equity","LT_DEBT_TO_TOT_CAP","FQ4 2019","FQ4 2019","Currency=USD","Period=FQ","BEST_FPERIOD_OVERRIDE=FQ","FILING_STATUS=MR","Sort=A","Dates=H","DateFormat=P","Fill=—","Direction=H","UseDPDF=Y")</f>
        <v>#N/A Requesting Data...</v>
      </c>
      <c r="AL13" s="21">
        <f>_xll.BDH("AKAM US Equity","LT_DEBT_TO_TOT_CAP","FQ1 2020","FQ1 2020","Currency=USD","Period=FQ","BEST_FPERIOD_OVERRIDE=FQ","FILING_STATUS=MR","Sort=A","Dates=H","DateFormat=P","Fill=—","Direction=H","UseDPDF=Y")</f>
        <v>39.873100000000001</v>
      </c>
      <c r="AM13" s="21" t="str">
        <f>_xll.BDH("AKAM US Equity","LT_DEBT_TO_TOT_CAP","FQ2 2020","FQ2 2020","Currency=USD","Period=FQ","BEST_FPERIOD_OVERRIDE=FQ","FILING_STATUS=MR","Sort=A","Dates=H","DateFormat=P","Fill=—","Direction=H","UseDPDF=Y")</f>
        <v>#N/A Requesting Data...</v>
      </c>
      <c r="AN13" s="21" t="str">
        <f>_xll.BDH("AKAM US Equity","LT_DEBT_TO_TOT_CAP","FQ3 2020","FQ3 2020","Currency=USD","Period=FQ","BEST_FPERIOD_OVERRIDE=FQ","FILING_STATUS=MR","Sort=A","Dates=H","DateFormat=P","Fill=—","Direction=H","UseDPDF=Y")</f>
        <v>#N/A Requesting Data...</v>
      </c>
      <c r="AO13" s="21" t="str">
        <f>_xll.BDH("AKAM US Equity","LT_DEBT_TO_TOT_CAP","FQ4 2020","FQ4 2020","Currency=USD","Period=FQ","BEST_FPERIOD_OVERRIDE=FQ","FILING_STATUS=MR","Sort=A","Dates=H","DateFormat=P","Fill=—","Direction=H","UseDPDF=Y")</f>
        <v>#N/A Requesting Data...</v>
      </c>
      <c r="AP13" s="21" t="str">
        <f>_xll.BDH("AKAM US Equity","LT_DEBT_TO_TOT_CAP","FQ1 2021","FQ1 2021","Currency=USD","Period=FQ","BEST_FPERIOD_OVERRIDE=FQ","FILING_STATUS=MR","Sort=A","Dates=H","DateFormat=P","Fill=—","Direction=H","UseDPDF=Y")</f>
        <v>#N/A Requesting Data...</v>
      </c>
    </row>
    <row r="14" spans="1:42" x14ac:dyDescent="0.25">
      <c r="A14" s="8" t="s">
        <v>181</v>
      </c>
      <c r="B14" s="8" t="s">
        <v>180</v>
      </c>
      <c r="C14" s="21" t="str">
        <f>_xll.BDH("AKAM US Equity","LT_DEBT_TO_TOT_ASSET","FQ2 2011","FQ2 2011","Currency=USD","Period=FQ","BEST_FPERIOD_OVERRIDE=FQ","FILING_STATUS=MR","Sort=A","Dates=H","DateFormat=P","Fill=—","Direction=H","UseDPDF=Y")</f>
        <v>#N/A Requesting Data...</v>
      </c>
      <c r="D14" s="21" t="str">
        <f>_xll.BDH("AKAM US Equity","LT_DEBT_TO_TOT_ASSET","FQ3 2011","FQ3 2011","Currency=USD","Period=FQ","BEST_FPERIOD_OVERRIDE=FQ","FILING_STATUS=MR","Sort=A","Dates=H","DateFormat=P","Fill=—","Direction=H","UseDPDF=Y")</f>
        <v>#N/A Requesting Data...</v>
      </c>
      <c r="E14" s="21" t="str">
        <f>_xll.BDH("AKAM US Equity","LT_DEBT_TO_TOT_ASSET","FQ4 2011","FQ4 2011","Currency=USD","Period=FQ","BEST_FPERIOD_OVERRIDE=FQ","FILING_STATUS=MR","Sort=A","Dates=H","DateFormat=P","Fill=—","Direction=H","UseDPDF=Y")</f>
        <v>#N/A Requesting Data...</v>
      </c>
      <c r="F14" s="21" t="str">
        <f>_xll.BDH("AKAM US Equity","LT_DEBT_TO_TOT_ASSET","FQ1 2012","FQ1 2012","Currency=USD","Period=FQ","BEST_FPERIOD_OVERRIDE=FQ","FILING_STATUS=MR","Sort=A","Dates=H","DateFormat=P","Fill=—","Direction=H","UseDPDF=Y")</f>
        <v>#N/A Requesting Data...</v>
      </c>
      <c r="G14" s="21">
        <f>_xll.BDH("AKAM US Equity","LT_DEBT_TO_TOT_ASSET","FQ2 2012","FQ2 2012","Currency=USD","Period=FQ","BEST_FPERIOD_OVERRIDE=FQ","FILING_STATUS=MR","Sort=A","Dates=H","DateFormat=P","Fill=—","Direction=H","UseDPDF=Y")</f>
        <v>0</v>
      </c>
      <c r="H14" s="21">
        <f>_xll.BDH("AKAM US Equity","LT_DEBT_TO_TOT_ASSET","FQ3 2012","FQ3 2012","Currency=USD","Period=FQ","BEST_FPERIOD_OVERRIDE=FQ","FILING_STATUS=MR","Sort=A","Dates=H","DateFormat=P","Fill=—","Direction=H","UseDPDF=Y")</f>
        <v>0</v>
      </c>
      <c r="I14" s="21">
        <f>_xll.BDH("AKAM US Equity","LT_DEBT_TO_TOT_ASSET","FQ4 2012","FQ4 2012","Currency=USD","Period=FQ","BEST_FPERIOD_OVERRIDE=FQ","FILING_STATUS=MR","Sort=A","Dates=H","DateFormat=P","Fill=—","Direction=H","UseDPDF=Y")</f>
        <v>0</v>
      </c>
      <c r="J14" s="21">
        <f>_xll.BDH("AKAM US Equity","LT_DEBT_TO_TOT_ASSET","FQ1 2013","FQ1 2013","Currency=USD","Period=FQ","BEST_FPERIOD_OVERRIDE=FQ","FILING_STATUS=MR","Sort=A","Dates=H","DateFormat=P","Fill=—","Direction=H","UseDPDF=Y")</f>
        <v>0</v>
      </c>
      <c r="K14" s="21" t="str">
        <f>_xll.BDH("AKAM US Equity","LT_DEBT_TO_TOT_ASSET","FQ2 2013","FQ2 2013","Currency=USD","Period=FQ","BEST_FPERIOD_OVERRIDE=FQ","FILING_STATUS=MR","Sort=A","Dates=H","DateFormat=P","Fill=—","Direction=H","UseDPDF=Y")</f>
        <v>#N/A Requesting Data...</v>
      </c>
      <c r="L14" s="21" t="str">
        <f>_xll.BDH("AKAM US Equity","LT_DEBT_TO_TOT_ASSET","FQ3 2013","FQ3 2013","Currency=USD","Period=FQ","BEST_FPERIOD_OVERRIDE=FQ","FILING_STATUS=MR","Sort=A","Dates=H","DateFormat=P","Fill=—","Direction=H","UseDPDF=Y")</f>
        <v>#N/A Requesting Data...</v>
      </c>
      <c r="M14" s="21" t="str">
        <f>_xll.BDH("AKAM US Equity","LT_DEBT_TO_TOT_ASSET","FQ4 2013","FQ4 2013","Currency=USD","Period=FQ","BEST_FPERIOD_OVERRIDE=FQ","FILING_STATUS=MR","Sort=A","Dates=H","DateFormat=P","Fill=—","Direction=H","UseDPDF=Y")</f>
        <v>#N/A Requesting Data...</v>
      </c>
      <c r="N14" s="21" t="str">
        <f>_xll.BDH("AKAM US Equity","LT_DEBT_TO_TOT_ASSET","FQ1 2014","FQ1 2014","Currency=USD","Period=FQ","BEST_FPERIOD_OVERRIDE=FQ","FILING_STATUS=MR","Sort=A","Dates=H","DateFormat=P","Fill=—","Direction=H","UseDPDF=Y")</f>
        <v>#N/A Requesting Data...</v>
      </c>
      <c r="O14" s="21" t="str">
        <f>_xll.BDH("AKAM US Equity","LT_DEBT_TO_TOT_ASSET","FQ2 2014","FQ2 2014","Currency=USD","Period=FQ","BEST_FPERIOD_OVERRIDE=FQ","FILING_STATUS=MR","Sort=A","Dates=H","DateFormat=P","Fill=—","Direction=H","UseDPDF=Y")</f>
        <v>#N/A Requesting Data...</v>
      </c>
      <c r="P14" s="21" t="str">
        <f>_xll.BDH("AKAM US Equity","LT_DEBT_TO_TOT_ASSET","FQ3 2014","FQ3 2014","Currency=USD","Period=FQ","BEST_FPERIOD_OVERRIDE=FQ","FILING_STATUS=MR","Sort=A","Dates=H","DateFormat=P","Fill=—","Direction=H","UseDPDF=Y")</f>
        <v>#N/A Requesting Data...</v>
      </c>
      <c r="Q14" s="21" t="str">
        <f>_xll.BDH("AKAM US Equity","LT_DEBT_TO_TOT_ASSET","FQ4 2014","FQ4 2014","Currency=USD","Period=FQ","BEST_FPERIOD_OVERRIDE=FQ","FILING_STATUS=MR","Sort=A","Dates=H","DateFormat=P","Fill=—","Direction=H","UseDPDF=Y")</f>
        <v>#N/A Requesting Data...</v>
      </c>
      <c r="R14" s="21" t="str">
        <f>_xll.BDH("AKAM US Equity","LT_DEBT_TO_TOT_ASSET","FQ1 2015","FQ1 2015","Currency=USD","Period=FQ","BEST_FPERIOD_OVERRIDE=FQ","FILING_STATUS=MR","Sort=A","Dates=H","DateFormat=P","Fill=—","Direction=H","UseDPDF=Y")</f>
        <v>#N/A Requesting Data...</v>
      </c>
      <c r="S14" s="21">
        <f>_xll.BDH("AKAM US Equity","LT_DEBT_TO_TOT_ASSET","FQ2 2015","FQ2 2015","Currency=USD","Period=FQ","BEST_FPERIOD_OVERRIDE=FQ","FILING_STATUS=MR","Sort=A","Dates=H","DateFormat=P","Fill=—","Direction=H","UseDPDF=Y")</f>
        <v>14.874600000000001</v>
      </c>
      <c r="T14" s="21">
        <f>_xll.BDH("AKAM US Equity","LT_DEBT_TO_TOT_ASSET","FQ3 2015","FQ3 2015","Currency=USD","Period=FQ","BEST_FPERIOD_OVERRIDE=FQ","FILING_STATUS=MR","Sort=A","Dates=H","DateFormat=P","Fill=—","Direction=H","UseDPDF=Y")</f>
        <v>14.8003</v>
      </c>
      <c r="U14" s="21">
        <f>_xll.BDH("AKAM US Equity","LT_DEBT_TO_TOT_ASSET","FQ4 2015","FQ4 2015","Currency=USD","Period=FQ","BEST_FPERIOD_OVERRIDE=FQ","FILING_STATUS=MR","Sort=A","Dates=H","DateFormat=P","Fill=—","Direction=H","UseDPDF=Y")</f>
        <v>14.7799</v>
      </c>
      <c r="V14" s="21">
        <f>_xll.BDH("AKAM US Equity","LT_DEBT_TO_TOT_ASSET","FQ1 2016","FQ1 2016","Currency=USD","Period=FQ","BEST_FPERIOD_OVERRIDE=FQ","FILING_STATUS=MR","Sort=A","Dates=H","DateFormat=P","Fill=—","Direction=H","UseDPDF=Y")</f>
        <v>14.9025</v>
      </c>
      <c r="W14" s="21">
        <f>_xll.BDH("AKAM US Equity","LT_DEBT_TO_TOT_ASSET","FQ2 2016","FQ2 2016","Currency=USD","Period=FQ","BEST_FPERIOD_OVERRIDE=FQ","FILING_STATUS=MR","Sort=A","Dates=H","DateFormat=P","Fill=—","Direction=H","UseDPDF=Y")</f>
        <v>14.7309</v>
      </c>
      <c r="X14" s="21" t="str">
        <f>_xll.BDH("AKAM US Equity","LT_DEBT_TO_TOT_ASSET","FQ3 2016","FQ3 2016","Currency=USD","Period=FQ","BEST_FPERIOD_OVERRIDE=FQ","FILING_STATUS=MR","Sort=A","Dates=H","DateFormat=P","Fill=—","Direction=H","UseDPDF=Y")</f>
        <v>#N/A Requesting Data...</v>
      </c>
      <c r="Y14" s="21" t="str">
        <f>_xll.BDH("AKAM US Equity","LT_DEBT_TO_TOT_ASSET","FQ4 2016","FQ4 2016","Currency=USD","Period=FQ","BEST_FPERIOD_OVERRIDE=FQ","FILING_STATUS=MR","Sort=A","Dates=H","DateFormat=P","Fill=—","Direction=H","UseDPDF=Y")</f>
        <v>#N/A Requesting Data...</v>
      </c>
      <c r="Z14" s="21" t="str">
        <f>_xll.BDH("AKAM US Equity","LT_DEBT_TO_TOT_ASSET","FQ1 2017","FQ1 2017","Currency=USD","Period=FQ","BEST_FPERIOD_OVERRIDE=FQ","FILING_STATUS=MR","Sort=A","Dates=H","DateFormat=P","Fill=—","Direction=H","UseDPDF=Y")</f>
        <v>#N/A Requesting Data...</v>
      </c>
      <c r="AA14" s="21" t="str">
        <f>_xll.BDH("AKAM US Equity","LT_DEBT_TO_TOT_ASSET","FQ2 2017","FQ2 2017","Currency=USD","Period=FQ","BEST_FPERIOD_OVERRIDE=FQ","FILING_STATUS=MR","Sort=A","Dates=H","DateFormat=P","Fill=—","Direction=H","UseDPDF=Y")</f>
        <v>#N/A Requesting Data...</v>
      </c>
      <c r="AB14" s="21" t="str">
        <f>_xll.BDH("AKAM US Equity","LT_DEBT_TO_TOT_ASSET","FQ3 2017","FQ3 2017","Currency=USD","Period=FQ","BEST_FPERIOD_OVERRIDE=FQ","FILING_STATUS=MR","Sort=A","Dates=H","DateFormat=P","Fill=—","Direction=H","UseDPDF=Y")</f>
        <v>#N/A Requesting Data...</v>
      </c>
      <c r="AC14" s="21" t="str">
        <f>_xll.BDH("AKAM US Equity","LT_DEBT_TO_TOT_ASSET","FQ4 2017","FQ4 2017","Currency=USD","Period=FQ","BEST_FPERIOD_OVERRIDE=FQ","FILING_STATUS=MR","Sort=A","Dates=H","DateFormat=P","Fill=—","Direction=H","UseDPDF=Y")</f>
        <v>#N/A Requesting Data...</v>
      </c>
      <c r="AD14" s="21" t="str">
        <f>_xll.BDH("AKAM US Equity","LT_DEBT_TO_TOT_ASSET","FQ1 2018","FQ1 2018","Currency=USD","Period=FQ","BEST_FPERIOD_OVERRIDE=FQ","FILING_STATUS=MR","Sort=A","Dates=H","DateFormat=P","Fill=—","Direction=H","UseDPDF=Y")</f>
        <v>#N/A Requesting Data...</v>
      </c>
      <c r="AE14" s="21">
        <f>_xll.BDH("AKAM US Equity","LT_DEBT_TO_TOT_ASSET","FQ2 2018","FQ2 2018","Currency=USD","Period=FQ","BEST_FPERIOD_OVERRIDE=FQ","FILING_STATUS=MR","Sort=A","Dates=H","DateFormat=P","Fill=—","Direction=H","UseDPDF=Y")</f>
        <v>15.261799999999999</v>
      </c>
      <c r="AF14" s="21">
        <f>_xll.BDH("AKAM US Equity","LT_DEBT_TO_TOT_ASSET","FQ3 2018","FQ3 2018","Currency=USD","Period=FQ","BEST_FPERIOD_OVERRIDE=FQ","FILING_STATUS=MR","Sort=A","Dates=H","DateFormat=P","Fill=—","Direction=H","UseDPDF=Y")</f>
        <v>16.1204</v>
      </c>
      <c r="AG14" s="21">
        <f>_xll.BDH("AKAM US Equity","LT_DEBT_TO_TOT_ASSET","FQ4 2018","FQ4 2018","Currency=USD","Period=FQ","BEST_FPERIOD_OVERRIDE=FQ","FILING_STATUS=MR","Sort=A","Dates=H","DateFormat=P","Fill=—","Direction=H","UseDPDF=Y")</f>
        <v>16.003599999999999</v>
      </c>
      <c r="AH14" s="21">
        <f>_xll.BDH("AKAM US Equity","LT_DEBT_TO_TOT_ASSET","FQ1 2019","FQ1 2019","Currency=USD","Period=FQ","BEST_FPERIOD_OVERRIDE=FQ","FILING_STATUS=MR","Sort=A","Dates=H","DateFormat=P","Fill=—","Direction=H","UseDPDF=Y")</f>
        <v>22.709199999999999</v>
      </c>
      <c r="AI14" s="21" t="str">
        <f>_xll.BDH("AKAM US Equity","LT_DEBT_TO_TOT_ASSET","FQ2 2019","FQ2 2019","Currency=USD","Period=FQ","BEST_FPERIOD_OVERRIDE=FQ","FILING_STATUS=MR","Sort=A","Dates=H","DateFormat=P","Fill=—","Direction=H","UseDPDF=Y")</f>
        <v>#N/A Requesting Data...</v>
      </c>
      <c r="AJ14" s="21" t="str">
        <f>_xll.BDH("AKAM US Equity","LT_DEBT_TO_TOT_ASSET","FQ3 2019","FQ3 2019","Currency=USD","Period=FQ","BEST_FPERIOD_OVERRIDE=FQ","FILING_STATUS=MR","Sort=A","Dates=H","DateFormat=P","Fill=—","Direction=H","UseDPDF=Y")</f>
        <v>#N/A Requesting Data...</v>
      </c>
      <c r="AK14" s="21" t="str">
        <f>_xll.BDH("AKAM US Equity","LT_DEBT_TO_TOT_ASSET","FQ4 2019","FQ4 2019","Currency=USD","Period=FQ","BEST_FPERIOD_OVERRIDE=FQ","FILING_STATUS=MR","Sort=A","Dates=H","DateFormat=P","Fill=—","Direction=H","UseDPDF=Y")</f>
        <v>#N/A Requesting Data...</v>
      </c>
      <c r="AL14" s="21" t="str">
        <f>_xll.BDH("AKAM US Equity","LT_DEBT_TO_TOT_ASSET","FQ1 2020","FQ1 2020","Currency=USD","Period=FQ","BEST_FPERIOD_OVERRIDE=FQ","FILING_STATUS=MR","Sort=A","Dates=H","DateFormat=P","Fill=—","Direction=H","UseDPDF=Y")</f>
        <v>#N/A Requesting Data...</v>
      </c>
      <c r="AM14" s="21" t="str">
        <f>_xll.BDH("AKAM US Equity","LT_DEBT_TO_TOT_ASSET","FQ2 2020","FQ2 2020","Currency=USD","Period=FQ","BEST_FPERIOD_OVERRIDE=FQ","FILING_STATUS=MR","Sort=A","Dates=H","DateFormat=P","Fill=—","Direction=H","UseDPDF=Y")</f>
        <v>#N/A Requesting Data...</v>
      </c>
      <c r="AN14" s="21" t="str">
        <f>_xll.BDH("AKAM US Equity","LT_DEBT_TO_TOT_ASSET","FQ3 2020","FQ3 2020","Currency=USD","Period=FQ","BEST_FPERIOD_OVERRIDE=FQ","FILING_STATUS=MR","Sort=A","Dates=H","DateFormat=P","Fill=—","Direction=H","UseDPDF=Y")</f>
        <v>#N/A Requesting Data...</v>
      </c>
      <c r="AO14" s="21" t="str">
        <f>_xll.BDH("AKAM US Equity","LT_DEBT_TO_TOT_ASSET","FQ4 2020","FQ4 2020","Currency=USD","Period=FQ","BEST_FPERIOD_OVERRIDE=FQ","FILING_STATUS=MR","Sort=A","Dates=H","DateFormat=P","Fill=—","Direction=H","UseDPDF=Y")</f>
        <v>#N/A Requesting Data...</v>
      </c>
      <c r="AP14" s="21" t="str">
        <f>_xll.BDH("AKAM US Equity","LT_DEBT_TO_TOT_ASSET","FQ1 2021","FQ1 2021","Currency=USD","Period=FQ","BEST_FPERIOD_OVERRIDE=FQ","FILING_STATUS=MR","Sort=A","Dates=H","DateFormat=P","Fill=—","Direction=H","UseDPDF=Y")</f>
        <v>#N/A Requesting Data...</v>
      </c>
    </row>
    <row r="15" spans="1:42" x14ac:dyDescent="0.25">
      <c r="A15" s="8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</row>
    <row r="16" spans="1:42" x14ac:dyDescent="0.25">
      <c r="A16" s="8" t="s">
        <v>179</v>
      </c>
      <c r="B16" s="8" t="s">
        <v>178</v>
      </c>
      <c r="C16" s="21">
        <f>_xll.BDH("AKAM US Equity","TOT_DEBT_TO_TOT_EQY","FQ2 2011","FQ2 2011","Currency=USD","Period=FQ","BEST_FPERIOD_OVERRIDE=FQ","FILING_STATUS=MR","Sort=A","Dates=H","DateFormat=P","Fill=—","Direction=H","UseDPDF=Y")</f>
        <v>0</v>
      </c>
      <c r="D16" s="21">
        <f>_xll.BDH("AKAM US Equity","TOT_DEBT_TO_TOT_EQY","FQ3 2011","FQ3 2011","Currency=USD","Period=FQ","BEST_FPERIOD_OVERRIDE=FQ","FILING_STATUS=MR","Sort=A","Dates=H","DateFormat=P","Fill=—","Direction=H","UseDPDF=Y")</f>
        <v>0</v>
      </c>
      <c r="E16" s="21">
        <f>_xll.BDH("AKAM US Equity","TOT_DEBT_TO_TOT_EQY","FQ4 2011","FQ4 2011","Currency=USD","Period=FQ","BEST_FPERIOD_OVERRIDE=FQ","FILING_STATUS=MR","Sort=A","Dates=H","DateFormat=P","Fill=—","Direction=H","UseDPDF=Y")</f>
        <v>0</v>
      </c>
      <c r="F16" s="21">
        <f>_xll.BDH("AKAM US Equity","TOT_DEBT_TO_TOT_EQY","FQ1 2012","FQ1 2012","Currency=USD","Period=FQ","BEST_FPERIOD_OVERRIDE=FQ","FILING_STATUS=MR","Sort=A","Dates=H","DateFormat=P","Fill=—","Direction=H","UseDPDF=Y")</f>
        <v>0</v>
      </c>
      <c r="G16" s="21">
        <f>_xll.BDH("AKAM US Equity","TOT_DEBT_TO_TOT_EQY","FQ2 2012","FQ2 2012","Currency=USD","Period=FQ","BEST_FPERIOD_OVERRIDE=FQ","FILING_STATUS=MR","Sort=A","Dates=H","DateFormat=P","Fill=—","Direction=H","UseDPDF=Y")</f>
        <v>0</v>
      </c>
      <c r="H16" s="21" t="str">
        <f>_xll.BDH("AKAM US Equity","TOT_DEBT_TO_TOT_EQY","FQ3 2012","FQ3 2012","Currency=USD","Period=FQ","BEST_FPERIOD_OVERRIDE=FQ","FILING_STATUS=MR","Sort=A","Dates=H","DateFormat=P","Fill=—","Direction=H","UseDPDF=Y")</f>
        <v>#N/A Requesting Data...</v>
      </c>
      <c r="I16" s="21" t="str">
        <f>_xll.BDH("AKAM US Equity","TOT_DEBT_TO_TOT_EQY","FQ4 2012","FQ4 2012","Currency=USD","Period=FQ","BEST_FPERIOD_OVERRIDE=FQ","FILING_STATUS=MR","Sort=A","Dates=H","DateFormat=P","Fill=—","Direction=H","UseDPDF=Y")</f>
        <v>#N/A Requesting Data...</v>
      </c>
      <c r="J16" s="21" t="str">
        <f>_xll.BDH("AKAM US Equity","TOT_DEBT_TO_TOT_EQY","FQ1 2013","FQ1 2013","Currency=USD","Period=FQ","BEST_FPERIOD_OVERRIDE=FQ","FILING_STATUS=MR","Sort=A","Dates=H","DateFormat=P","Fill=—","Direction=H","UseDPDF=Y")</f>
        <v>#N/A Requesting Data...</v>
      </c>
      <c r="K16" s="21" t="str">
        <f>_xll.BDH("AKAM US Equity","TOT_DEBT_TO_TOT_EQY","FQ2 2013","FQ2 2013","Currency=USD","Period=FQ","BEST_FPERIOD_OVERRIDE=FQ","FILING_STATUS=MR","Sort=A","Dates=H","DateFormat=P","Fill=—","Direction=H","UseDPDF=Y")</f>
        <v>#N/A Requesting Data...</v>
      </c>
      <c r="L16" s="21" t="str">
        <f>_xll.BDH("AKAM US Equity","TOT_DEBT_TO_TOT_EQY","FQ3 2013","FQ3 2013","Currency=USD","Period=FQ","BEST_FPERIOD_OVERRIDE=FQ","FILING_STATUS=MR","Sort=A","Dates=H","DateFormat=P","Fill=—","Direction=H","UseDPDF=Y")</f>
        <v>#N/A Requesting Data...</v>
      </c>
      <c r="M16" s="21" t="str">
        <f>_xll.BDH("AKAM US Equity","TOT_DEBT_TO_TOT_EQY","FQ4 2013","FQ4 2013","Currency=USD","Period=FQ","BEST_FPERIOD_OVERRIDE=FQ","FILING_STATUS=MR","Sort=A","Dates=H","DateFormat=P","Fill=—","Direction=H","UseDPDF=Y")</f>
        <v>#N/A Requesting Data...</v>
      </c>
      <c r="N16" s="21" t="str">
        <f>_xll.BDH("AKAM US Equity","TOT_DEBT_TO_TOT_EQY","FQ1 2014","FQ1 2014","Currency=USD","Period=FQ","BEST_FPERIOD_OVERRIDE=FQ","FILING_STATUS=MR","Sort=A","Dates=H","DateFormat=P","Fill=—","Direction=H","UseDPDF=Y")</f>
        <v>#N/A Requesting Data...</v>
      </c>
      <c r="O16" s="21">
        <f>_xll.BDH("AKAM US Equity","TOT_DEBT_TO_TOT_EQY","FQ2 2014","FQ2 2014","Currency=USD","Period=FQ","BEST_FPERIOD_OVERRIDE=FQ","FILING_STATUS=MR","Sort=A","Dates=H","DateFormat=P","Fill=—","Direction=H","UseDPDF=Y")</f>
        <v>21.472799999999999</v>
      </c>
      <c r="P16" s="21">
        <f>_xll.BDH("AKAM US Equity","TOT_DEBT_TO_TOT_EQY","FQ3 2014","FQ3 2014","Currency=USD","Period=FQ","BEST_FPERIOD_OVERRIDE=FQ","FILING_STATUS=MR","Sort=A","Dates=H","DateFormat=P","Fill=—","Direction=H","UseDPDF=Y")</f>
        <v>21.068000000000001</v>
      </c>
      <c r="Q16" s="21">
        <f>_xll.BDH("AKAM US Equity","TOT_DEBT_TO_TOT_EQY","FQ4 2014","FQ4 2014","Currency=USD","Period=FQ","BEST_FPERIOD_OVERRIDE=FQ","FILING_STATUS=MR","Sort=A","Dates=H","DateFormat=P","Fill=—","Direction=H","UseDPDF=Y")</f>
        <v>20.535900000000002</v>
      </c>
      <c r="R16" s="21">
        <f>_xll.BDH("AKAM US Equity","TOT_DEBT_TO_TOT_EQY","FQ1 2015","FQ1 2015","Currency=USD","Period=FQ","BEST_FPERIOD_OVERRIDE=FQ","FILING_STATUS=MR","Sort=A","Dates=H","DateFormat=P","Fill=—","Direction=H","UseDPDF=Y")</f>
        <v>20.446400000000001</v>
      </c>
      <c r="S16" s="21" t="str">
        <f>_xll.BDH("AKAM US Equity","TOT_DEBT_TO_TOT_EQY","FQ2 2015","FQ2 2015","Currency=USD","Period=FQ","BEST_FPERIOD_OVERRIDE=FQ","FILING_STATUS=MR","Sort=A","Dates=H","DateFormat=P","Fill=—","Direction=H","UseDPDF=Y")</f>
        <v>#N/A Requesting Data...</v>
      </c>
      <c r="T16" s="21" t="str">
        <f>_xll.BDH("AKAM US Equity","TOT_DEBT_TO_TOT_EQY","FQ3 2015","FQ3 2015","Currency=USD","Period=FQ","BEST_FPERIOD_OVERRIDE=FQ","FILING_STATUS=MR","Sort=A","Dates=H","DateFormat=P","Fill=—","Direction=H","UseDPDF=Y")</f>
        <v>#N/A Requesting Data...</v>
      </c>
      <c r="U16" s="21" t="str">
        <f>_xll.BDH("AKAM US Equity","TOT_DEBT_TO_TOT_EQY","FQ4 2015","FQ4 2015","Currency=USD","Period=FQ","BEST_FPERIOD_OVERRIDE=FQ","FILING_STATUS=MR","Sort=A","Dates=H","DateFormat=P","Fill=—","Direction=H","UseDPDF=Y")</f>
        <v>#N/A Requesting Data...</v>
      </c>
      <c r="V16" s="21" t="str">
        <f>_xll.BDH("AKAM US Equity","TOT_DEBT_TO_TOT_EQY","FQ1 2016","FQ1 2016","Currency=USD","Period=FQ","BEST_FPERIOD_OVERRIDE=FQ","FILING_STATUS=MR","Sort=A","Dates=H","DateFormat=P","Fill=—","Direction=H","UseDPDF=Y")</f>
        <v>#N/A Requesting Data...</v>
      </c>
      <c r="W16" s="21" t="str">
        <f>_xll.BDH("AKAM US Equity","TOT_DEBT_TO_TOT_EQY","FQ2 2016","FQ2 2016","Currency=USD","Period=FQ","BEST_FPERIOD_OVERRIDE=FQ","FILING_STATUS=MR","Sort=A","Dates=H","DateFormat=P","Fill=—","Direction=H","UseDPDF=Y")</f>
        <v>#N/A Requesting Data...</v>
      </c>
      <c r="X16" s="21" t="str">
        <f>_xll.BDH("AKAM US Equity","TOT_DEBT_TO_TOT_EQY","FQ3 2016","FQ3 2016","Currency=USD","Period=FQ","BEST_FPERIOD_OVERRIDE=FQ","FILING_STATUS=MR","Sort=A","Dates=H","DateFormat=P","Fill=—","Direction=H","UseDPDF=Y")</f>
        <v>#N/A Requesting Data...</v>
      </c>
      <c r="Y16" s="21" t="str">
        <f>_xll.BDH("AKAM US Equity","TOT_DEBT_TO_TOT_EQY","FQ4 2016","FQ4 2016","Currency=USD","Period=FQ","BEST_FPERIOD_OVERRIDE=FQ","FILING_STATUS=MR","Sort=A","Dates=H","DateFormat=P","Fill=—","Direction=H","UseDPDF=Y")</f>
        <v>#N/A Requesting Data...</v>
      </c>
      <c r="Z16" s="21" t="str">
        <f>_xll.BDH("AKAM US Equity","TOT_DEBT_TO_TOT_EQY","FQ1 2017","FQ1 2017","Currency=USD","Period=FQ","BEST_FPERIOD_OVERRIDE=FQ","FILING_STATUS=MR","Sort=A","Dates=H","DateFormat=P","Fill=—","Direction=H","UseDPDF=Y")</f>
        <v>#N/A Requesting Data...</v>
      </c>
      <c r="AA16" s="21">
        <f>_xll.BDH("AKAM US Equity","TOT_DEBT_TO_TOT_EQY","FQ2 2017","FQ2 2017","Currency=USD","Period=FQ","BEST_FPERIOD_OVERRIDE=FQ","FILING_STATUS=MR","Sort=A","Dates=H","DateFormat=P","Fill=—","Direction=H","UseDPDF=Y")</f>
        <v>19.816400000000002</v>
      </c>
      <c r="AB16" s="21">
        <f>_xll.BDH("AKAM US Equity","TOT_DEBT_TO_TOT_EQY","FQ3 2017","FQ3 2017","Currency=USD","Period=FQ","BEST_FPERIOD_OVERRIDE=FQ","FILING_STATUS=MR","Sort=A","Dates=H","DateFormat=P","Fill=—","Direction=H","UseDPDF=Y")</f>
        <v>20.0794</v>
      </c>
      <c r="AC16" s="21">
        <f>_xll.BDH("AKAM US Equity","TOT_DEBT_TO_TOT_EQY","FQ4 2017","FQ4 2017","Currency=USD","Period=FQ","BEST_FPERIOD_OVERRIDE=FQ","FILING_STATUS=MR","Sort=A","Dates=H","DateFormat=P","Fill=—","Direction=H","UseDPDF=Y")</f>
        <v>19.7151</v>
      </c>
      <c r="AD16" s="21">
        <f>_xll.BDH("AKAM US Equity","TOT_DEBT_TO_TOT_EQY","FQ1 2018","FQ1 2018","Currency=USD","Period=FQ","BEST_FPERIOD_OVERRIDE=FQ","FILING_STATUS=MR","Sort=A","Dates=H","DateFormat=P","Fill=—","Direction=H","UseDPDF=Y")</f>
        <v>19.748799999999999</v>
      </c>
      <c r="AE16" s="21" t="str">
        <f>_xll.BDH("AKAM US Equity","TOT_DEBT_TO_TOT_EQY","FQ2 2018","FQ2 2018","Currency=USD","Period=FQ","BEST_FPERIOD_OVERRIDE=FQ","FILING_STATUS=MR","Sort=A","Dates=H","DateFormat=P","Fill=—","Direction=H","UseDPDF=Y")</f>
        <v>#N/A Requesting Data...</v>
      </c>
      <c r="AF16" s="21" t="str">
        <f>_xll.BDH("AKAM US Equity","TOT_DEBT_TO_TOT_EQY","FQ3 2018","FQ3 2018","Currency=USD","Period=FQ","BEST_FPERIOD_OVERRIDE=FQ","FILING_STATUS=MR","Sort=A","Dates=H","DateFormat=P","Fill=—","Direction=H","UseDPDF=Y")</f>
        <v>#N/A Requesting Data...</v>
      </c>
      <c r="AG16" s="21" t="str">
        <f>_xll.BDH("AKAM US Equity","TOT_DEBT_TO_TOT_EQY","FQ4 2018","FQ4 2018","Currency=USD","Period=FQ","BEST_FPERIOD_OVERRIDE=FQ","FILING_STATUS=MR","Sort=A","Dates=H","DateFormat=P","Fill=—","Direction=H","UseDPDF=Y")</f>
        <v>#N/A Requesting Data...</v>
      </c>
      <c r="AH16" s="21" t="str">
        <f>_xll.BDH("AKAM US Equity","TOT_DEBT_TO_TOT_EQY","FQ1 2019","FQ1 2019","Currency=USD","Period=FQ","BEST_FPERIOD_OVERRIDE=FQ","FILING_STATUS=MR","Sort=A","Dates=H","DateFormat=P","Fill=—","Direction=H","UseDPDF=Y")</f>
        <v>#N/A Requesting Data...</v>
      </c>
      <c r="AI16" s="21" t="str">
        <f>_xll.BDH("AKAM US Equity","TOT_DEBT_TO_TOT_EQY","FQ2 2019","FQ2 2019","Currency=USD","Period=FQ","BEST_FPERIOD_OVERRIDE=FQ","FILING_STATUS=MR","Sort=A","Dates=H","DateFormat=P","Fill=—","Direction=H","UseDPDF=Y")</f>
        <v>#N/A Requesting Data...</v>
      </c>
      <c r="AJ16" s="21" t="str">
        <f>_xll.BDH("AKAM US Equity","TOT_DEBT_TO_TOT_EQY","FQ3 2019","FQ3 2019","Currency=USD","Period=FQ","BEST_FPERIOD_OVERRIDE=FQ","FILING_STATUS=MR","Sort=A","Dates=H","DateFormat=P","Fill=—","Direction=H","UseDPDF=Y")</f>
        <v>#N/A Requesting Data...</v>
      </c>
      <c r="AK16" s="21" t="str">
        <f>_xll.BDH("AKAM US Equity","TOT_DEBT_TO_TOT_EQY","FQ4 2019","FQ4 2019","Currency=USD","Period=FQ","BEST_FPERIOD_OVERRIDE=FQ","FILING_STATUS=MR","Sort=A","Dates=H","DateFormat=P","Fill=—","Direction=H","UseDPDF=Y")</f>
        <v>#N/A Requesting Data...</v>
      </c>
      <c r="AL16" s="21" t="str">
        <f>_xll.BDH("AKAM US Equity","TOT_DEBT_TO_TOT_EQY","FQ1 2020","FQ1 2020","Currency=USD","Period=FQ","BEST_FPERIOD_OVERRIDE=FQ","FILING_STATUS=MR","Sort=A","Dates=H","DateFormat=P","Fill=—","Direction=H","UseDPDF=Y")</f>
        <v>#N/A Requesting Data...</v>
      </c>
      <c r="AM16" s="21">
        <f>_xll.BDH("AKAM US Equity","TOT_DEBT_TO_TOT_EQY","FQ2 2020","FQ2 2020","Currency=USD","Period=FQ","BEST_FPERIOD_OVERRIDE=FQ","FILING_STATUS=MR","Sort=A","Dates=H","DateFormat=P","Fill=—","Direction=H","UseDPDF=Y")</f>
        <v>68.772800000000004</v>
      </c>
      <c r="AN16" s="21">
        <f>_xll.BDH("AKAM US Equity","TOT_DEBT_TO_TOT_EQY","FQ3 2020","FQ3 2020","Currency=USD","Period=FQ","BEST_FPERIOD_OVERRIDE=FQ","FILING_STATUS=MR","Sort=A","Dates=H","DateFormat=P","Fill=—","Direction=H","UseDPDF=Y")</f>
        <v>65.942300000000003</v>
      </c>
      <c r="AO16" s="21">
        <f>_xll.BDH("AKAM US Equity","TOT_DEBT_TO_TOT_EQY","FQ4 2020","FQ4 2020","Currency=USD","Period=FQ","BEST_FPERIOD_OVERRIDE=FQ","FILING_STATUS=MR","Sort=A","Dates=H","DateFormat=P","Fill=—","Direction=H","UseDPDF=Y")</f>
        <v>65.319199999999995</v>
      </c>
      <c r="AP16" s="21">
        <f>_xll.BDH("AKAM US Equity","TOT_DEBT_TO_TOT_EQY","FQ1 2021","FQ1 2021","Currency=USD","Period=FQ","BEST_FPERIOD_OVERRIDE=FQ","FILING_STATUS=MR","Sort=A","Dates=H","DateFormat=P","Fill=—","Direction=H","UseDPDF=Y")</f>
        <v>65.119</v>
      </c>
    </row>
    <row r="17" spans="1:42" x14ac:dyDescent="0.25">
      <c r="A17" s="8" t="s">
        <v>177</v>
      </c>
      <c r="B17" s="8" t="s">
        <v>176</v>
      </c>
      <c r="C17" s="21" t="str">
        <f>_xll.BDH("AKAM US Equity","TOT_DEBT_TO_TOT_CAP","FQ2 2011","FQ2 2011","Currency=USD","Period=FQ","BEST_FPERIOD_OVERRIDE=FQ","FILING_STATUS=MR","Sort=A","Dates=H","DateFormat=P","Fill=—","Direction=H","UseDPDF=Y")</f>
        <v>#N/A Requesting Data...</v>
      </c>
      <c r="D17" s="21" t="str">
        <f>_xll.BDH("AKAM US Equity","TOT_DEBT_TO_TOT_CAP","FQ3 2011","FQ3 2011","Currency=USD","Period=FQ","BEST_FPERIOD_OVERRIDE=FQ","FILING_STATUS=MR","Sort=A","Dates=H","DateFormat=P","Fill=—","Direction=H","UseDPDF=Y")</f>
        <v>#N/A Requesting Data...</v>
      </c>
      <c r="E17" s="21" t="str">
        <f>_xll.BDH("AKAM US Equity","TOT_DEBT_TO_TOT_CAP","FQ4 2011","FQ4 2011","Currency=USD","Period=FQ","BEST_FPERIOD_OVERRIDE=FQ","FILING_STATUS=MR","Sort=A","Dates=H","DateFormat=P","Fill=—","Direction=H","UseDPDF=Y")</f>
        <v>#N/A Requesting Data...</v>
      </c>
      <c r="F17" s="21" t="str">
        <f>_xll.BDH("AKAM US Equity","TOT_DEBT_TO_TOT_CAP","FQ1 2012","FQ1 2012","Currency=USD","Period=FQ","BEST_FPERIOD_OVERRIDE=FQ","FILING_STATUS=MR","Sort=A","Dates=H","DateFormat=P","Fill=—","Direction=H","UseDPDF=Y")</f>
        <v>#N/A Requesting Data...</v>
      </c>
      <c r="G17" s="21" t="str">
        <f>_xll.BDH("AKAM US Equity","TOT_DEBT_TO_TOT_CAP","FQ2 2012","FQ2 2012","Currency=USD","Period=FQ","BEST_FPERIOD_OVERRIDE=FQ","FILING_STATUS=MR","Sort=A","Dates=H","DateFormat=P","Fill=—","Direction=H","UseDPDF=Y")</f>
        <v>#N/A Requesting Data...</v>
      </c>
      <c r="H17" s="21" t="str">
        <f>_xll.BDH("AKAM US Equity","TOT_DEBT_TO_TOT_CAP","FQ3 2012","FQ3 2012","Currency=USD","Period=FQ","BEST_FPERIOD_OVERRIDE=FQ","FILING_STATUS=MR","Sort=A","Dates=H","DateFormat=P","Fill=—","Direction=H","UseDPDF=Y")</f>
        <v>#N/A Requesting Data...</v>
      </c>
      <c r="I17" s="21" t="str">
        <f>_xll.BDH("AKAM US Equity","TOT_DEBT_TO_TOT_CAP","FQ4 2012","FQ4 2012","Currency=USD","Period=FQ","BEST_FPERIOD_OVERRIDE=FQ","FILING_STATUS=MR","Sort=A","Dates=H","DateFormat=P","Fill=—","Direction=H","UseDPDF=Y")</f>
        <v>#N/A Requesting Data...</v>
      </c>
      <c r="J17" s="21" t="str">
        <f>_xll.BDH("AKAM US Equity","TOT_DEBT_TO_TOT_CAP","FQ1 2013","FQ1 2013","Currency=USD","Period=FQ","BEST_FPERIOD_OVERRIDE=FQ","FILING_STATUS=MR","Sort=A","Dates=H","DateFormat=P","Fill=—","Direction=H","UseDPDF=Y")</f>
        <v>#N/A Requesting Data...</v>
      </c>
      <c r="K17" s="21">
        <f>_xll.BDH("AKAM US Equity","TOT_DEBT_TO_TOT_CAP","FQ2 2013","FQ2 2013","Currency=USD","Period=FQ","BEST_FPERIOD_OVERRIDE=FQ","FILING_STATUS=MR","Sort=A","Dates=H","DateFormat=P","Fill=—","Direction=H","UseDPDF=Y")</f>
        <v>0</v>
      </c>
      <c r="L17" s="21">
        <f>_xll.BDH("AKAM US Equity","TOT_DEBT_TO_TOT_CAP","FQ3 2013","FQ3 2013","Currency=USD","Period=FQ","BEST_FPERIOD_OVERRIDE=FQ","FILING_STATUS=MR","Sort=A","Dates=H","DateFormat=P","Fill=—","Direction=H","UseDPDF=Y")</f>
        <v>0</v>
      </c>
      <c r="M17" s="21">
        <f>_xll.BDH("AKAM US Equity","TOT_DEBT_TO_TOT_CAP","FQ4 2013","FQ4 2013","Currency=USD","Period=FQ","BEST_FPERIOD_OVERRIDE=FQ","FILING_STATUS=MR","Sort=A","Dates=H","DateFormat=P","Fill=—","Direction=H","UseDPDF=Y")</f>
        <v>0</v>
      </c>
      <c r="N17" s="21">
        <f>_xll.BDH("AKAM US Equity","TOT_DEBT_TO_TOT_CAP","FQ1 2014","FQ1 2014","Currency=USD","Period=FQ","BEST_FPERIOD_OVERRIDE=FQ","FILING_STATUS=MR","Sort=A","Dates=H","DateFormat=P","Fill=—","Direction=H","UseDPDF=Y")</f>
        <v>17.884900000000002</v>
      </c>
      <c r="O17" s="21">
        <f>_xll.BDH("AKAM US Equity","TOT_DEBT_TO_TOT_CAP","FQ2 2014","FQ2 2014","Currency=USD","Period=FQ","BEST_FPERIOD_OVERRIDE=FQ","FILING_STATUS=MR","Sort=A","Dates=H","DateFormat=P","Fill=—","Direction=H","UseDPDF=Y")</f>
        <v>17.677</v>
      </c>
      <c r="P17" s="21" t="str">
        <f>_xll.BDH("AKAM US Equity","TOT_DEBT_TO_TOT_CAP","FQ3 2014","FQ3 2014","Currency=USD","Period=FQ","BEST_FPERIOD_OVERRIDE=FQ","FILING_STATUS=MR","Sort=A","Dates=H","DateFormat=P","Fill=—","Direction=H","UseDPDF=Y")</f>
        <v>#N/A Requesting Data...</v>
      </c>
      <c r="Q17" s="21" t="str">
        <f>_xll.BDH("AKAM US Equity","TOT_DEBT_TO_TOT_CAP","FQ4 2014","FQ4 2014","Currency=USD","Period=FQ","BEST_FPERIOD_OVERRIDE=FQ","FILING_STATUS=MR","Sort=A","Dates=H","DateFormat=P","Fill=—","Direction=H","UseDPDF=Y")</f>
        <v>#N/A Requesting Data...</v>
      </c>
      <c r="R17" s="21" t="str">
        <f>_xll.BDH("AKAM US Equity","TOT_DEBT_TO_TOT_CAP","FQ1 2015","FQ1 2015","Currency=USD","Period=FQ","BEST_FPERIOD_OVERRIDE=FQ","FILING_STATUS=MR","Sort=A","Dates=H","DateFormat=P","Fill=—","Direction=H","UseDPDF=Y")</f>
        <v>#N/A Requesting Data...</v>
      </c>
      <c r="S17" s="21" t="str">
        <f>_xll.BDH("AKAM US Equity","TOT_DEBT_TO_TOT_CAP","FQ2 2015","FQ2 2015","Currency=USD","Period=FQ","BEST_FPERIOD_OVERRIDE=FQ","FILING_STATUS=MR","Sort=A","Dates=H","DateFormat=P","Fill=—","Direction=H","UseDPDF=Y")</f>
        <v>#N/A Requesting Data...</v>
      </c>
      <c r="T17" s="21" t="str">
        <f>_xll.BDH("AKAM US Equity","TOT_DEBT_TO_TOT_CAP","FQ3 2015","FQ3 2015","Currency=USD","Period=FQ","BEST_FPERIOD_OVERRIDE=FQ","FILING_STATUS=MR","Sort=A","Dates=H","DateFormat=P","Fill=—","Direction=H","UseDPDF=Y")</f>
        <v>#N/A Requesting Data...</v>
      </c>
      <c r="U17" s="21" t="str">
        <f>_xll.BDH("AKAM US Equity","TOT_DEBT_TO_TOT_CAP","FQ4 2015","FQ4 2015","Currency=USD","Period=FQ","BEST_FPERIOD_OVERRIDE=FQ","FILING_STATUS=MR","Sort=A","Dates=H","DateFormat=P","Fill=—","Direction=H","UseDPDF=Y")</f>
        <v>#N/A Requesting Data...</v>
      </c>
      <c r="V17" s="21" t="str">
        <f>_xll.BDH("AKAM US Equity","TOT_DEBT_TO_TOT_CAP","FQ1 2016","FQ1 2016","Currency=USD","Period=FQ","BEST_FPERIOD_OVERRIDE=FQ","FILING_STATUS=MR","Sort=A","Dates=H","DateFormat=P","Fill=—","Direction=H","UseDPDF=Y")</f>
        <v>#N/A Requesting Data...</v>
      </c>
      <c r="W17" s="21">
        <f>_xll.BDH("AKAM US Equity","TOT_DEBT_TO_TOT_CAP","FQ2 2016","FQ2 2016","Currency=USD","Period=FQ","BEST_FPERIOD_OVERRIDE=FQ","FILING_STATUS=MR","Sort=A","Dates=H","DateFormat=P","Fill=—","Direction=H","UseDPDF=Y")</f>
        <v>16.6419</v>
      </c>
      <c r="X17" s="21">
        <f>_xll.BDH("AKAM US Equity","TOT_DEBT_TO_TOT_CAP","FQ3 2016","FQ3 2016","Currency=USD","Period=FQ","BEST_FPERIOD_OVERRIDE=FQ","FILING_STATUS=MR","Sort=A","Dates=H","DateFormat=P","Fill=—","Direction=H","UseDPDF=Y")</f>
        <v>16.682400000000001</v>
      </c>
      <c r="Y17" s="21">
        <f>_xll.BDH("AKAM US Equity","TOT_DEBT_TO_TOT_CAP","FQ4 2016","FQ4 2016","Currency=USD","Period=FQ","BEST_FPERIOD_OVERRIDE=FQ","FILING_STATUS=MR","Sort=A","Dates=H","DateFormat=P","Fill=—","Direction=H","UseDPDF=Y")</f>
        <v>16.563400000000001</v>
      </c>
      <c r="Z17" s="21">
        <f>_xll.BDH("AKAM US Equity","TOT_DEBT_TO_TOT_CAP","FQ1 2017","FQ1 2017","Currency=USD","Period=FQ","BEST_FPERIOD_OVERRIDE=FQ","FILING_STATUS=MR","Sort=A","Dates=H","DateFormat=P","Fill=—","Direction=H","UseDPDF=Y")</f>
        <v>16.538799999999998</v>
      </c>
      <c r="AA17" s="21" t="str">
        <f>_xll.BDH("AKAM US Equity","TOT_DEBT_TO_TOT_CAP","FQ2 2017","FQ2 2017","Currency=USD","Period=FQ","BEST_FPERIOD_OVERRIDE=FQ","FILING_STATUS=MR","Sort=A","Dates=H","DateFormat=P","Fill=—","Direction=H","UseDPDF=Y")</f>
        <v>#N/A Requesting Data...</v>
      </c>
      <c r="AB17" s="21" t="str">
        <f>_xll.BDH("AKAM US Equity","TOT_DEBT_TO_TOT_CAP","FQ3 2017","FQ3 2017","Currency=USD","Period=FQ","BEST_FPERIOD_OVERRIDE=FQ","FILING_STATUS=MR","Sort=A","Dates=H","DateFormat=P","Fill=—","Direction=H","UseDPDF=Y")</f>
        <v>#N/A Requesting Data...</v>
      </c>
      <c r="AC17" s="21" t="str">
        <f>_xll.BDH("AKAM US Equity","TOT_DEBT_TO_TOT_CAP","FQ4 2017","FQ4 2017","Currency=USD","Period=FQ","BEST_FPERIOD_OVERRIDE=FQ","FILING_STATUS=MR","Sort=A","Dates=H","DateFormat=P","Fill=—","Direction=H","UseDPDF=Y")</f>
        <v>#N/A Requesting Data...</v>
      </c>
      <c r="AD17" s="21" t="str">
        <f>_xll.BDH("AKAM US Equity","TOT_DEBT_TO_TOT_CAP","FQ1 2018","FQ1 2018","Currency=USD","Period=FQ","BEST_FPERIOD_OVERRIDE=FQ","FILING_STATUS=MR","Sort=A","Dates=H","DateFormat=P","Fill=—","Direction=H","UseDPDF=Y")</f>
        <v>#N/A Requesting Data...</v>
      </c>
      <c r="AE17" s="21" t="str">
        <f>_xll.BDH("AKAM US Equity","TOT_DEBT_TO_TOT_CAP","FQ2 2018","FQ2 2018","Currency=USD","Period=FQ","BEST_FPERIOD_OVERRIDE=FQ","FILING_STATUS=MR","Sort=A","Dates=H","DateFormat=P","Fill=—","Direction=H","UseDPDF=Y")</f>
        <v>#N/A Requesting Data...</v>
      </c>
      <c r="AF17" s="21" t="str">
        <f>_xll.BDH("AKAM US Equity","TOT_DEBT_TO_TOT_CAP","FQ3 2018","FQ3 2018","Currency=USD","Period=FQ","BEST_FPERIOD_OVERRIDE=FQ","FILING_STATUS=MR","Sort=A","Dates=H","DateFormat=P","Fill=—","Direction=H","UseDPDF=Y")</f>
        <v>#N/A Requesting Data...</v>
      </c>
      <c r="AG17" s="21" t="str">
        <f>_xll.BDH("AKAM US Equity","TOT_DEBT_TO_TOT_CAP","FQ4 2018","FQ4 2018","Currency=USD","Period=FQ","BEST_FPERIOD_OVERRIDE=FQ","FILING_STATUS=MR","Sort=A","Dates=H","DateFormat=P","Fill=—","Direction=H","UseDPDF=Y")</f>
        <v>#N/A Requesting Data...</v>
      </c>
      <c r="AH17" s="21" t="str">
        <f>_xll.BDH("AKAM US Equity","TOT_DEBT_TO_TOT_CAP","FQ1 2019","FQ1 2019","Currency=USD","Period=FQ","BEST_FPERIOD_OVERRIDE=FQ","FILING_STATUS=MR","Sort=A","Dates=H","DateFormat=P","Fill=—","Direction=H","UseDPDF=Y")</f>
        <v>#N/A Requesting Data...</v>
      </c>
      <c r="AI17" s="21">
        <f>_xll.BDH("AKAM US Equity","TOT_DEBT_TO_TOT_CAP","FQ2 2019","FQ2 2019","Currency=USD","Period=FQ","BEST_FPERIOD_OVERRIDE=FQ","FILING_STATUS=MR","Sort=A","Dates=H","DateFormat=P","Fill=—","Direction=H","UseDPDF=Y")</f>
        <v>27.511500000000002</v>
      </c>
      <c r="AJ17" s="21">
        <f>_xll.BDH("AKAM US Equity","TOT_DEBT_TO_TOT_CAP","FQ3 2019","FQ3 2019","Currency=USD","Period=FQ","BEST_FPERIOD_OVERRIDE=FQ","FILING_STATUS=MR","Sort=A","Dates=H","DateFormat=P","Fill=—","Direction=H","UseDPDF=Y")</f>
        <v>38.662700000000001</v>
      </c>
      <c r="AK17" s="21">
        <f>_xll.BDH("AKAM US Equity","TOT_DEBT_TO_TOT_CAP","FQ4 2019","FQ4 2019","Currency=USD","Period=FQ","BEST_FPERIOD_OVERRIDE=FQ","FILING_STATUS=MR","Sort=A","Dates=H","DateFormat=P","Fill=—","Direction=H","UseDPDF=Y")</f>
        <v>42.206800000000001</v>
      </c>
      <c r="AL17" s="21">
        <f>_xll.BDH("AKAM US Equity","TOT_DEBT_TO_TOT_CAP","FQ1 2020","FQ1 2020","Currency=USD","Period=FQ","BEST_FPERIOD_OVERRIDE=FQ","FILING_STATUS=MR","Sort=A","Dates=H","DateFormat=P","Fill=—","Direction=H","UseDPDF=Y")</f>
        <v>42.109699999999997</v>
      </c>
      <c r="AM17" s="21" t="str">
        <f>_xll.BDH("AKAM US Equity","TOT_DEBT_TO_TOT_CAP","FQ2 2020","FQ2 2020","Currency=USD","Period=FQ","BEST_FPERIOD_OVERRIDE=FQ","FILING_STATUS=MR","Sort=A","Dates=H","DateFormat=P","Fill=—","Direction=H","UseDPDF=Y")</f>
        <v>#N/A Requesting Data...</v>
      </c>
      <c r="AN17" s="21" t="str">
        <f>_xll.BDH("AKAM US Equity","TOT_DEBT_TO_TOT_CAP","FQ3 2020","FQ3 2020","Currency=USD","Period=FQ","BEST_FPERIOD_OVERRIDE=FQ","FILING_STATUS=MR","Sort=A","Dates=H","DateFormat=P","Fill=—","Direction=H","UseDPDF=Y")</f>
        <v>#N/A Requesting Data...</v>
      </c>
      <c r="AO17" s="21" t="str">
        <f>_xll.BDH("AKAM US Equity","TOT_DEBT_TO_TOT_CAP","FQ4 2020","FQ4 2020","Currency=USD","Period=FQ","BEST_FPERIOD_OVERRIDE=FQ","FILING_STATUS=MR","Sort=A","Dates=H","DateFormat=P","Fill=—","Direction=H","UseDPDF=Y")</f>
        <v>#N/A Requesting Data...</v>
      </c>
      <c r="AP17" s="21" t="str">
        <f>_xll.BDH("AKAM US Equity","TOT_DEBT_TO_TOT_CAP","FQ1 2021","FQ1 2021","Currency=USD","Period=FQ","BEST_FPERIOD_OVERRIDE=FQ","FILING_STATUS=MR","Sort=A","Dates=H","DateFormat=P","Fill=—","Direction=H","UseDPDF=Y")</f>
        <v>#N/A Requesting Data...</v>
      </c>
    </row>
    <row r="18" spans="1:42" x14ac:dyDescent="0.25">
      <c r="A18" s="8" t="s">
        <v>175</v>
      </c>
      <c r="B18" s="8" t="s">
        <v>174</v>
      </c>
      <c r="C18" s="21" t="str">
        <f>_xll.BDH("AKAM US Equity","TOT_DEBT_TO_TOT_ASSET","FQ2 2011","FQ2 2011","Currency=USD","Period=FQ","BEST_FPERIOD_OVERRIDE=FQ","FILING_STATUS=MR","Sort=A","Dates=H","DateFormat=P","Fill=—","Direction=H","UseDPDF=Y")</f>
        <v>#N/A Requesting Data...</v>
      </c>
      <c r="D18" s="21" t="str">
        <f>_xll.BDH("AKAM US Equity","TOT_DEBT_TO_TOT_ASSET","FQ3 2011","FQ3 2011","Currency=USD","Period=FQ","BEST_FPERIOD_OVERRIDE=FQ","FILING_STATUS=MR","Sort=A","Dates=H","DateFormat=P","Fill=—","Direction=H","UseDPDF=Y")</f>
        <v>#N/A Requesting Data...</v>
      </c>
      <c r="E18" s="21" t="str">
        <f>_xll.BDH("AKAM US Equity","TOT_DEBT_TO_TOT_ASSET","FQ4 2011","FQ4 2011","Currency=USD","Period=FQ","BEST_FPERIOD_OVERRIDE=FQ","FILING_STATUS=MR","Sort=A","Dates=H","DateFormat=P","Fill=—","Direction=H","UseDPDF=Y")</f>
        <v>#N/A Requesting Data...</v>
      </c>
      <c r="F18" s="21" t="str">
        <f>_xll.BDH("AKAM US Equity","TOT_DEBT_TO_TOT_ASSET","FQ1 2012","FQ1 2012","Currency=USD","Period=FQ","BEST_FPERIOD_OVERRIDE=FQ","FILING_STATUS=MR","Sort=A","Dates=H","DateFormat=P","Fill=—","Direction=H","UseDPDF=Y")</f>
        <v>#N/A Requesting Data...</v>
      </c>
      <c r="G18" s="21">
        <f>_xll.BDH("AKAM US Equity","TOT_DEBT_TO_TOT_ASSET","FQ2 2012","FQ2 2012","Currency=USD","Period=FQ","BEST_FPERIOD_OVERRIDE=FQ","FILING_STATUS=MR","Sort=A","Dates=H","DateFormat=P","Fill=—","Direction=H","UseDPDF=Y")</f>
        <v>0</v>
      </c>
      <c r="H18" s="21">
        <f>_xll.BDH("AKAM US Equity","TOT_DEBT_TO_TOT_ASSET","FQ3 2012","FQ3 2012","Currency=USD","Period=FQ","BEST_FPERIOD_OVERRIDE=FQ","FILING_STATUS=MR","Sort=A","Dates=H","DateFormat=P","Fill=—","Direction=H","UseDPDF=Y")</f>
        <v>0</v>
      </c>
      <c r="I18" s="21">
        <f>_xll.BDH("AKAM US Equity","TOT_DEBT_TO_TOT_ASSET","FQ4 2012","FQ4 2012","Currency=USD","Period=FQ","BEST_FPERIOD_OVERRIDE=FQ","FILING_STATUS=MR","Sort=A","Dates=H","DateFormat=P","Fill=—","Direction=H","UseDPDF=Y")</f>
        <v>0</v>
      </c>
      <c r="J18" s="21">
        <f>_xll.BDH("AKAM US Equity","TOT_DEBT_TO_TOT_ASSET","FQ1 2013","FQ1 2013","Currency=USD","Period=FQ","BEST_FPERIOD_OVERRIDE=FQ","FILING_STATUS=MR","Sort=A","Dates=H","DateFormat=P","Fill=—","Direction=H","UseDPDF=Y")</f>
        <v>0</v>
      </c>
      <c r="K18" s="21" t="str">
        <f>_xll.BDH("AKAM US Equity","TOT_DEBT_TO_TOT_ASSET","FQ2 2013","FQ2 2013","Currency=USD","Period=FQ","BEST_FPERIOD_OVERRIDE=FQ","FILING_STATUS=MR","Sort=A","Dates=H","DateFormat=P","Fill=—","Direction=H","UseDPDF=Y")</f>
        <v>#N/A Requesting Data...</v>
      </c>
      <c r="L18" s="21" t="str">
        <f>_xll.BDH("AKAM US Equity","TOT_DEBT_TO_TOT_ASSET","FQ3 2013","FQ3 2013","Currency=USD","Period=FQ","BEST_FPERIOD_OVERRIDE=FQ","FILING_STATUS=MR","Sort=A","Dates=H","DateFormat=P","Fill=—","Direction=H","UseDPDF=Y")</f>
        <v>#N/A Requesting Data...</v>
      </c>
      <c r="M18" s="21" t="str">
        <f>_xll.BDH("AKAM US Equity","TOT_DEBT_TO_TOT_ASSET","FQ4 2013","FQ4 2013","Currency=USD","Period=FQ","BEST_FPERIOD_OVERRIDE=FQ","FILING_STATUS=MR","Sort=A","Dates=H","DateFormat=P","Fill=—","Direction=H","UseDPDF=Y")</f>
        <v>#N/A Requesting Data...</v>
      </c>
      <c r="N18" s="21" t="str">
        <f>_xll.BDH("AKAM US Equity","TOT_DEBT_TO_TOT_ASSET","FQ1 2014","FQ1 2014","Currency=USD","Period=FQ","BEST_FPERIOD_OVERRIDE=FQ","FILING_STATUS=MR","Sort=A","Dates=H","DateFormat=P","Fill=—","Direction=H","UseDPDF=Y")</f>
        <v>#N/A Requesting Data...</v>
      </c>
      <c r="O18" s="21" t="str">
        <f>_xll.BDH("AKAM US Equity","TOT_DEBT_TO_TOT_ASSET","FQ2 2014","FQ2 2014","Currency=USD","Period=FQ","BEST_FPERIOD_OVERRIDE=FQ","FILING_STATUS=MR","Sort=A","Dates=H","DateFormat=P","Fill=—","Direction=H","UseDPDF=Y")</f>
        <v>#N/A Requesting Data...</v>
      </c>
      <c r="P18" s="21" t="str">
        <f>_xll.BDH("AKAM US Equity","TOT_DEBT_TO_TOT_ASSET","FQ3 2014","FQ3 2014","Currency=USD","Period=FQ","BEST_FPERIOD_OVERRIDE=FQ","FILING_STATUS=MR","Sort=A","Dates=H","DateFormat=P","Fill=—","Direction=H","UseDPDF=Y")</f>
        <v>#N/A Requesting Data...</v>
      </c>
      <c r="Q18" s="21" t="str">
        <f>_xll.BDH("AKAM US Equity","TOT_DEBT_TO_TOT_ASSET","FQ4 2014","FQ4 2014","Currency=USD","Period=FQ","BEST_FPERIOD_OVERRIDE=FQ","FILING_STATUS=MR","Sort=A","Dates=H","DateFormat=P","Fill=—","Direction=H","UseDPDF=Y")</f>
        <v>#N/A Requesting Data...</v>
      </c>
      <c r="R18" s="21" t="str">
        <f>_xll.BDH("AKAM US Equity","TOT_DEBT_TO_TOT_ASSET","FQ1 2015","FQ1 2015","Currency=USD","Period=FQ","BEST_FPERIOD_OVERRIDE=FQ","FILING_STATUS=MR","Sort=A","Dates=H","DateFormat=P","Fill=—","Direction=H","UseDPDF=Y")</f>
        <v>#N/A Requesting Data...</v>
      </c>
      <c r="S18" s="21">
        <f>_xll.BDH("AKAM US Equity","TOT_DEBT_TO_TOT_ASSET","FQ2 2015","FQ2 2015","Currency=USD","Period=FQ","BEST_FPERIOD_OVERRIDE=FQ","FILING_STATUS=MR","Sort=A","Dates=H","DateFormat=P","Fill=—","Direction=H","UseDPDF=Y")</f>
        <v>14.874600000000001</v>
      </c>
      <c r="T18" s="21">
        <f>_xll.BDH("AKAM US Equity","TOT_DEBT_TO_TOT_ASSET","FQ3 2015","FQ3 2015","Currency=USD","Period=FQ","BEST_FPERIOD_OVERRIDE=FQ","FILING_STATUS=MR","Sort=A","Dates=H","DateFormat=P","Fill=—","Direction=H","UseDPDF=Y")</f>
        <v>14.8003</v>
      </c>
      <c r="U18" s="21">
        <f>_xll.BDH("AKAM US Equity","TOT_DEBT_TO_TOT_ASSET","FQ4 2015","FQ4 2015","Currency=USD","Period=FQ","BEST_FPERIOD_OVERRIDE=FQ","FILING_STATUS=MR","Sort=A","Dates=H","DateFormat=P","Fill=—","Direction=H","UseDPDF=Y")</f>
        <v>14.7799</v>
      </c>
      <c r="V18" s="21">
        <f>_xll.BDH("AKAM US Equity","TOT_DEBT_TO_TOT_ASSET","FQ1 2016","FQ1 2016","Currency=USD","Period=FQ","BEST_FPERIOD_OVERRIDE=FQ","FILING_STATUS=MR","Sort=A","Dates=H","DateFormat=P","Fill=—","Direction=H","UseDPDF=Y")</f>
        <v>14.9025</v>
      </c>
      <c r="W18" s="21" t="str">
        <f>_xll.BDH("AKAM US Equity","TOT_DEBT_TO_TOT_ASSET","FQ2 2016","FQ2 2016","Currency=USD","Period=FQ","BEST_FPERIOD_OVERRIDE=FQ","FILING_STATUS=MR","Sort=A","Dates=H","DateFormat=P","Fill=—","Direction=H","UseDPDF=Y")</f>
        <v>#N/A Requesting Data...</v>
      </c>
      <c r="X18" s="21" t="str">
        <f>_xll.BDH("AKAM US Equity","TOT_DEBT_TO_TOT_ASSET","FQ3 2016","FQ3 2016","Currency=USD","Period=FQ","BEST_FPERIOD_OVERRIDE=FQ","FILING_STATUS=MR","Sort=A","Dates=H","DateFormat=P","Fill=—","Direction=H","UseDPDF=Y")</f>
        <v>#N/A Requesting Data...</v>
      </c>
      <c r="Y18" s="21" t="str">
        <f>_xll.BDH("AKAM US Equity","TOT_DEBT_TO_TOT_ASSET","FQ4 2016","FQ4 2016","Currency=USD","Period=FQ","BEST_FPERIOD_OVERRIDE=FQ","FILING_STATUS=MR","Sort=A","Dates=H","DateFormat=P","Fill=—","Direction=H","UseDPDF=Y")</f>
        <v>#N/A Requesting Data...</v>
      </c>
      <c r="Z18" s="21" t="str">
        <f>_xll.BDH("AKAM US Equity","TOT_DEBT_TO_TOT_ASSET","FQ1 2017","FQ1 2017","Currency=USD","Period=FQ","BEST_FPERIOD_OVERRIDE=FQ","FILING_STATUS=MR","Sort=A","Dates=H","DateFormat=P","Fill=—","Direction=H","UseDPDF=Y")</f>
        <v>#N/A Requesting Data...</v>
      </c>
      <c r="AA18" s="21" t="str">
        <f>_xll.BDH("AKAM US Equity","TOT_DEBT_TO_TOT_ASSET","FQ2 2017","FQ2 2017","Currency=USD","Period=FQ","BEST_FPERIOD_OVERRIDE=FQ","FILING_STATUS=MR","Sort=A","Dates=H","DateFormat=P","Fill=—","Direction=H","UseDPDF=Y")</f>
        <v>#N/A Requesting Data...</v>
      </c>
      <c r="AB18" s="21" t="str">
        <f>_xll.BDH("AKAM US Equity","TOT_DEBT_TO_TOT_ASSET","FQ3 2017","FQ3 2017","Currency=USD","Period=FQ","BEST_FPERIOD_OVERRIDE=FQ","FILING_STATUS=MR","Sort=A","Dates=H","DateFormat=P","Fill=—","Direction=H","UseDPDF=Y")</f>
        <v>#N/A Requesting Data...</v>
      </c>
      <c r="AC18" s="21" t="str">
        <f>_xll.BDH("AKAM US Equity","TOT_DEBT_TO_TOT_ASSET","FQ4 2017","FQ4 2017","Currency=USD","Period=FQ","BEST_FPERIOD_OVERRIDE=FQ","FILING_STATUS=MR","Sort=A","Dates=H","DateFormat=P","Fill=—","Direction=H","UseDPDF=Y")</f>
        <v>#N/A Requesting Data...</v>
      </c>
      <c r="AD18" s="21" t="str">
        <f>_xll.BDH("AKAM US Equity","TOT_DEBT_TO_TOT_ASSET","FQ1 2018","FQ1 2018","Currency=USD","Period=FQ","BEST_FPERIOD_OVERRIDE=FQ","FILING_STATUS=MR","Sort=A","Dates=H","DateFormat=P","Fill=—","Direction=H","UseDPDF=Y")</f>
        <v>#N/A Requesting Data...</v>
      </c>
      <c r="AE18" s="21">
        <f>_xll.BDH("AKAM US Equity","TOT_DEBT_TO_TOT_ASSET","FQ2 2018","FQ2 2018","Currency=USD","Period=FQ","BEST_FPERIOD_OVERRIDE=FQ","FILING_STATUS=MR","Sort=A","Dates=H","DateFormat=P","Fill=—","Direction=H","UseDPDF=Y")</f>
        <v>27.2986</v>
      </c>
      <c r="AF18" s="21">
        <f>_xll.BDH("AKAM US Equity","TOT_DEBT_TO_TOT_ASSET","FQ3 2018","FQ3 2018","Currency=USD","Period=FQ","BEST_FPERIOD_OVERRIDE=FQ","FILING_STATUS=MR","Sort=A","Dates=H","DateFormat=P","Fill=—","Direction=H","UseDPDF=Y")</f>
        <v>28.808299999999999</v>
      </c>
      <c r="AG18" s="21">
        <f>_xll.BDH("AKAM US Equity","TOT_DEBT_TO_TOT_ASSET","FQ4 2018","FQ4 2018","Currency=USD","Period=FQ","BEST_FPERIOD_OVERRIDE=FQ","FILING_STATUS=MR","Sort=A","Dates=H","DateFormat=P","Fill=—","Direction=H","UseDPDF=Y")</f>
        <v>28.573699999999999</v>
      </c>
      <c r="AH18" s="21">
        <f>_xll.BDH("AKAM US Equity","TOT_DEBT_TO_TOT_ASSET","FQ1 2019","FQ1 2019","Currency=USD","Period=FQ","BEST_FPERIOD_OVERRIDE=FQ","FILING_STATUS=MR","Sort=A","Dates=H","DateFormat=P","Fill=—","Direction=H","UseDPDF=Y")</f>
        <v>24.668500000000002</v>
      </c>
      <c r="AI18" s="21" t="str">
        <f>_xll.BDH("AKAM US Equity","TOT_DEBT_TO_TOT_ASSET","FQ2 2019","FQ2 2019","Currency=USD","Period=FQ","BEST_FPERIOD_OVERRIDE=FQ","FILING_STATUS=MR","Sort=A","Dates=H","DateFormat=P","Fill=—","Direction=H","UseDPDF=Y")</f>
        <v>#N/A Requesting Data...</v>
      </c>
      <c r="AJ18" s="21" t="str">
        <f>_xll.BDH("AKAM US Equity","TOT_DEBT_TO_TOT_ASSET","FQ3 2019","FQ3 2019","Currency=USD","Period=FQ","BEST_FPERIOD_OVERRIDE=FQ","FILING_STATUS=MR","Sort=A","Dates=H","DateFormat=P","Fill=—","Direction=H","UseDPDF=Y")</f>
        <v>#N/A Requesting Data...</v>
      </c>
      <c r="AK18" s="21" t="str">
        <f>_xll.BDH("AKAM US Equity","TOT_DEBT_TO_TOT_ASSET","FQ4 2019","FQ4 2019","Currency=USD","Period=FQ","BEST_FPERIOD_OVERRIDE=FQ","FILING_STATUS=MR","Sort=A","Dates=H","DateFormat=P","Fill=—","Direction=H","UseDPDF=Y")</f>
        <v>#N/A Requesting Data...</v>
      </c>
      <c r="AL18" s="21" t="str">
        <f>_xll.BDH("AKAM US Equity","TOT_DEBT_TO_TOT_ASSET","FQ1 2020","FQ1 2020","Currency=USD","Period=FQ","BEST_FPERIOD_OVERRIDE=FQ","FILING_STATUS=MR","Sort=A","Dates=H","DateFormat=P","Fill=—","Direction=H","UseDPDF=Y")</f>
        <v>#N/A Requesting Data...</v>
      </c>
      <c r="AM18" s="21" t="str">
        <f>_xll.BDH("AKAM US Equity","TOT_DEBT_TO_TOT_ASSET","FQ2 2020","FQ2 2020","Currency=USD","Period=FQ","BEST_FPERIOD_OVERRIDE=FQ","FILING_STATUS=MR","Sort=A","Dates=H","DateFormat=P","Fill=—","Direction=H","UseDPDF=Y")</f>
        <v>#N/A Requesting Data...</v>
      </c>
      <c r="AN18" s="21" t="str">
        <f>_xll.BDH("AKAM US Equity","TOT_DEBT_TO_TOT_ASSET","FQ3 2020","FQ3 2020","Currency=USD","Period=FQ","BEST_FPERIOD_OVERRIDE=FQ","FILING_STATUS=MR","Sort=A","Dates=H","DateFormat=P","Fill=—","Direction=H","UseDPDF=Y")</f>
        <v>#N/A Requesting Data...</v>
      </c>
      <c r="AO18" s="21" t="str">
        <f>_xll.BDH("AKAM US Equity","TOT_DEBT_TO_TOT_ASSET","FQ4 2020","FQ4 2020","Currency=USD","Period=FQ","BEST_FPERIOD_OVERRIDE=FQ","FILING_STATUS=MR","Sort=A","Dates=H","DateFormat=P","Fill=—","Direction=H","UseDPDF=Y")</f>
        <v>#N/A Requesting Data...</v>
      </c>
      <c r="AP18" s="21" t="str">
        <f>_xll.BDH("AKAM US Equity","TOT_DEBT_TO_TOT_ASSET","FQ1 2021","FQ1 2021","Currency=USD","Period=FQ","BEST_FPERIOD_OVERRIDE=FQ","FILING_STATUS=MR","Sort=A","Dates=H","DateFormat=P","Fill=—","Direction=H","UseDPDF=Y")</f>
        <v>#N/A Requesting Data...</v>
      </c>
    </row>
    <row r="19" spans="1:42" x14ac:dyDescent="0.25">
      <c r="A19" s="8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</row>
    <row r="20" spans="1:42" x14ac:dyDescent="0.25">
      <c r="A20" s="8" t="s">
        <v>173</v>
      </c>
      <c r="B20" s="8" t="s">
        <v>172</v>
      </c>
      <c r="C20" s="21">
        <f>_xll.BDH("AKAM US Equity","CASH_FLOW_TO_TOT_LIAB","FQ2 2011","FQ2 2011","Currency=USD","Period=FQ","BEST_FPERIOD_OVERRIDE=FQ","FILING_STATUS=MR","Sort=A","Dates=H","DateFormat=P","Fill=—","Direction=H","UseDPDF=Y")</f>
        <v>243.7987</v>
      </c>
      <c r="D20" s="21">
        <f>_xll.BDH("AKAM US Equity","CASH_FLOW_TO_TOT_LIAB","FQ3 2011","FQ3 2011","Currency=USD","Period=FQ","BEST_FPERIOD_OVERRIDE=FQ","FILING_STATUS=MR","Sort=A","Dates=H","DateFormat=P","Fill=—","Direction=H","UseDPDF=Y")</f>
        <v>237.29730000000001</v>
      </c>
      <c r="E20" s="21">
        <f>_xll.BDH("AKAM US Equity","CASH_FLOW_TO_TOT_LIAB","FQ4 2011","FQ4 2011","Currency=USD","Period=FQ","BEST_FPERIOD_OVERRIDE=FQ","FILING_STATUS=MR","Sort=A","Dates=H","DateFormat=P","Fill=—","Direction=H","UseDPDF=Y")</f>
        <v>239.12950000000001</v>
      </c>
      <c r="F20" s="21">
        <f>_xll.BDH("AKAM US Equity","CASH_FLOW_TO_TOT_LIAB","FQ1 2012","FQ1 2012","Currency=USD","Period=FQ","BEST_FPERIOD_OVERRIDE=FQ","FILING_STATUS=MR","Sort=A","Dates=H","DateFormat=P","Fill=—","Direction=H","UseDPDF=Y")</f>
        <v>214.4118</v>
      </c>
      <c r="G20" s="21" t="str">
        <f>_xll.BDH("AKAM US Equity","CASH_FLOW_TO_TOT_LIAB","FQ2 2012","FQ2 2012","Currency=USD","Period=FQ","BEST_FPERIOD_OVERRIDE=FQ","FILING_STATUS=MR","Sort=A","Dates=H","DateFormat=P","Fill=—","Direction=H","UseDPDF=Y")</f>
        <v>#N/A Requesting Data...</v>
      </c>
      <c r="H20" s="21" t="str">
        <f>_xll.BDH("AKAM US Equity","CASH_FLOW_TO_TOT_LIAB","FQ3 2012","FQ3 2012","Currency=USD","Period=FQ","BEST_FPERIOD_OVERRIDE=FQ","FILING_STATUS=MR","Sort=A","Dates=H","DateFormat=P","Fill=—","Direction=H","UseDPDF=Y")</f>
        <v>#N/A Requesting Data...</v>
      </c>
      <c r="I20" s="21" t="str">
        <f>_xll.BDH("AKAM US Equity","CASH_FLOW_TO_TOT_LIAB","FQ4 2012","FQ4 2012","Currency=USD","Period=FQ","BEST_FPERIOD_OVERRIDE=FQ","FILING_STATUS=MR","Sort=A","Dates=H","DateFormat=P","Fill=—","Direction=H","UseDPDF=Y")</f>
        <v>#N/A Requesting Data...</v>
      </c>
      <c r="J20" s="21" t="str">
        <f>_xll.BDH("AKAM US Equity","CASH_FLOW_TO_TOT_LIAB","FQ1 2013","FQ1 2013","Currency=USD","Period=FQ","BEST_FPERIOD_OVERRIDE=FQ","FILING_STATUS=MR","Sort=A","Dates=H","DateFormat=P","Fill=—","Direction=H","UseDPDF=Y")</f>
        <v>#N/A Requesting Data...</v>
      </c>
      <c r="K20" s="21" t="str">
        <f>_xll.BDH("AKAM US Equity","CASH_FLOW_TO_TOT_LIAB","FQ2 2013","FQ2 2013","Currency=USD","Period=FQ","BEST_FPERIOD_OVERRIDE=FQ","FILING_STATUS=MR","Sort=A","Dates=H","DateFormat=P","Fill=—","Direction=H","UseDPDF=Y")</f>
        <v>#N/A Requesting Data...</v>
      </c>
      <c r="L20" s="21" t="str">
        <f>_xll.BDH("AKAM US Equity","CASH_FLOW_TO_TOT_LIAB","FQ3 2013","FQ3 2013","Currency=USD","Period=FQ","BEST_FPERIOD_OVERRIDE=FQ","FILING_STATUS=MR","Sort=A","Dates=H","DateFormat=P","Fill=—","Direction=H","UseDPDF=Y")</f>
        <v>#N/A Requesting Data...</v>
      </c>
      <c r="M20" s="21" t="str">
        <f>_xll.BDH("AKAM US Equity","CASH_FLOW_TO_TOT_LIAB","FQ4 2013","FQ4 2013","Currency=USD","Period=FQ","BEST_FPERIOD_OVERRIDE=FQ","FILING_STATUS=MR","Sort=A","Dates=H","DateFormat=P","Fill=—","Direction=H","UseDPDF=Y")</f>
        <v>#N/A Requesting Data...</v>
      </c>
      <c r="N20" s="21" t="str">
        <f>_xll.BDH("AKAM US Equity","CASH_FLOW_TO_TOT_LIAB","FQ1 2014","FQ1 2014","Currency=USD","Period=FQ","BEST_FPERIOD_OVERRIDE=FQ","FILING_STATUS=MR","Sort=A","Dates=H","DateFormat=P","Fill=—","Direction=H","UseDPDF=Y")</f>
        <v>#N/A Requesting Data...</v>
      </c>
      <c r="O20" s="21">
        <f>_xll.BDH("AKAM US Equity","CASH_FLOW_TO_TOT_LIAB","FQ2 2014","FQ2 2014","Currency=USD","Period=FQ","BEST_FPERIOD_OVERRIDE=FQ","FILING_STATUS=MR","Sort=A","Dates=H","DateFormat=P","Fill=—","Direction=H","UseDPDF=Y")</f>
        <v>62.140700000000002</v>
      </c>
      <c r="P20" s="21">
        <f>_xll.BDH("AKAM US Equity","CASH_FLOW_TO_TOT_LIAB","FQ3 2014","FQ3 2014","Currency=USD","Period=FQ","BEST_FPERIOD_OVERRIDE=FQ","FILING_STATUS=MR","Sort=A","Dates=H","DateFormat=P","Fill=—","Direction=H","UseDPDF=Y")</f>
        <v>63.053400000000003</v>
      </c>
      <c r="Q20" s="21">
        <f>_xll.BDH("AKAM US Equity","CASH_FLOW_TO_TOT_LIAB","FQ4 2014","FQ4 2014","Currency=USD","Period=FQ","BEST_FPERIOD_OVERRIDE=FQ","FILING_STATUS=MR","Sort=A","Dates=H","DateFormat=P","Fill=—","Direction=H","UseDPDF=Y")</f>
        <v>62.3048</v>
      </c>
      <c r="R20" s="21">
        <f>_xll.BDH("AKAM US Equity","CASH_FLOW_TO_TOT_LIAB","FQ1 2015","FQ1 2015","Currency=USD","Period=FQ","BEST_FPERIOD_OVERRIDE=FQ","FILING_STATUS=MR","Sort=A","Dates=H","DateFormat=P","Fill=—","Direction=H","UseDPDF=Y")</f>
        <v>66.529600000000002</v>
      </c>
      <c r="S20" s="21" t="str">
        <f>_xll.BDH("AKAM US Equity","CASH_FLOW_TO_TOT_LIAB","FQ2 2015","FQ2 2015","Currency=USD","Period=FQ","BEST_FPERIOD_OVERRIDE=FQ","FILING_STATUS=MR","Sort=A","Dates=H","DateFormat=P","Fill=—","Direction=H","UseDPDF=Y")</f>
        <v>#N/A Requesting Data...</v>
      </c>
      <c r="T20" s="21" t="str">
        <f>_xll.BDH("AKAM US Equity","CASH_FLOW_TO_TOT_LIAB","FQ3 2015","FQ3 2015","Currency=USD","Period=FQ","BEST_FPERIOD_OVERRIDE=FQ","FILING_STATUS=MR","Sort=A","Dates=H","DateFormat=P","Fill=—","Direction=H","UseDPDF=Y")</f>
        <v>#N/A Requesting Data...</v>
      </c>
      <c r="U20" s="21" t="str">
        <f>_xll.BDH("AKAM US Equity","CASH_FLOW_TO_TOT_LIAB","FQ4 2015","FQ4 2015","Currency=USD","Period=FQ","BEST_FPERIOD_OVERRIDE=FQ","FILING_STATUS=MR","Sort=A","Dates=H","DateFormat=P","Fill=—","Direction=H","UseDPDF=Y")</f>
        <v>#N/A Requesting Data...</v>
      </c>
      <c r="V20" s="21" t="str">
        <f>_xll.BDH("AKAM US Equity","CASH_FLOW_TO_TOT_LIAB","FQ1 2016","FQ1 2016","Currency=USD","Period=FQ","BEST_FPERIOD_OVERRIDE=FQ","FILING_STATUS=MR","Sort=A","Dates=H","DateFormat=P","Fill=—","Direction=H","UseDPDF=Y")</f>
        <v>#N/A Requesting Data...</v>
      </c>
      <c r="W20" s="21" t="str">
        <f>_xll.BDH("AKAM US Equity","CASH_FLOW_TO_TOT_LIAB","FQ2 2016","FQ2 2016","Currency=USD","Period=FQ","BEST_FPERIOD_OVERRIDE=FQ","FILING_STATUS=MR","Sort=A","Dates=H","DateFormat=P","Fill=—","Direction=H","UseDPDF=Y")</f>
        <v>#N/A Requesting Data...</v>
      </c>
      <c r="X20" s="21" t="str">
        <f>_xll.BDH("AKAM US Equity","CASH_FLOW_TO_TOT_LIAB","FQ3 2016","FQ3 2016","Currency=USD","Period=FQ","BEST_FPERIOD_OVERRIDE=FQ","FILING_STATUS=MR","Sort=A","Dates=H","DateFormat=P","Fill=—","Direction=H","UseDPDF=Y")</f>
        <v>#N/A Requesting Data...</v>
      </c>
      <c r="Y20" s="21" t="str">
        <f>_xll.BDH("AKAM US Equity","CASH_FLOW_TO_TOT_LIAB","FQ4 2016","FQ4 2016","Currency=USD","Period=FQ","BEST_FPERIOD_OVERRIDE=FQ","FILING_STATUS=MR","Sort=A","Dates=H","DateFormat=P","Fill=—","Direction=H","UseDPDF=Y")</f>
        <v>#N/A Requesting Data...</v>
      </c>
      <c r="Z20" s="21" t="str">
        <f>_xll.BDH("AKAM US Equity","CASH_FLOW_TO_TOT_LIAB","FQ1 2017","FQ1 2017","Currency=USD","Period=FQ","BEST_FPERIOD_OVERRIDE=FQ","FILING_STATUS=MR","Sort=A","Dates=H","DateFormat=P","Fill=—","Direction=H","UseDPDF=Y")</f>
        <v>#N/A Requesting Data...</v>
      </c>
      <c r="AA20" s="21">
        <f>_xll.BDH("AKAM US Equity","CASH_FLOW_TO_TOT_LIAB","FQ2 2017","FQ2 2017","Currency=USD","Period=FQ","BEST_FPERIOD_OVERRIDE=FQ","FILING_STATUS=MR","Sort=A","Dates=H","DateFormat=P","Fill=—","Direction=H","UseDPDF=Y")</f>
        <v>66.839399999999998</v>
      </c>
      <c r="AB20" s="21">
        <f>_xll.BDH("AKAM US Equity","CASH_FLOW_TO_TOT_LIAB","FQ3 2017","FQ3 2017","Currency=USD","Period=FQ","BEST_FPERIOD_OVERRIDE=FQ","FILING_STATUS=MR","Sort=A","Dates=H","DateFormat=P","Fill=—","Direction=H","UseDPDF=Y")</f>
        <v>63.710299999999997</v>
      </c>
      <c r="AC20" s="21">
        <f>_xll.BDH("AKAM US Equity","CASH_FLOW_TO_TOT_LIAB","FQ4 2017","FQ4 2017","Currency=USD","Period=FQ","BEST_FPERIOD_OVERRIDE=FQ","FILING_STATUS=MR","Sort=A","Dates=H","DateFormat=P","Fill=—","Direction=H","UseDPDF=Y")</f>
        <v>62.263199999999998</v>
      </c>
      <c r="AD20" s="21">
        <f>_xll.BDH("AKAM US Equity","CASH_FLOW_TO_TOT_LIAB","FQ1 2018","FQ1 2018","Currency=USD","Period=FQ","BEST_FPERIOD_OVERRIDE=FQ","FILING_STATUS=MR","Sort=A","Dates=H","DateFormat=P","Fill=—","Direction=H","UseDPDF=Y")</f>
        <v>65.380899999999997</v>
      </c>
      <c r="AE20" s="21">
        <f>_xll.BDH("AKAM US Equity","CASH_FLOW_TO_TOT_LIAB","FQ2 2018","FQ2 2018","Currency=USD","Period=FQ","BEST_FPERIOD_OVERRIDE=FQ","FILING_STATUS=MR","Sort=A","Dates=H","DateFormat=P","Fill=—","Direction=H","UseDPDF=Y")</f>
        <v>39.150399999999998</v>
      </c>
      <c r="AF20" s="21" t="str">
        <f>_xll.BDH("AKAM US Equity","CASH_FLOW_TO_TOT_LIAB","FQ3 2018","FQ3 2018","Currency=USD","Period=FQ","BEST_FPERIOD_OVERRIDE=FQ","FILING_STATUS=MR","Sort=A","Dates=H","DateFormat=P","Fill=—","Direction=H","UseDPDF=Y")</f>
        <v>#N/A Requesting Data...</v>
      </c>
      <c r="AG20" s="21" t="str">
        <f>_xll.BDH("AKAM US Equity","CASH_FLOW_TO_TOT_LIAB","FQ4 2018","FQ4 2018","Currency=USD","Period=FQ","BEST_FPERIOD_OVERRIDE=FQ","FILING_STATUS=MR","Sort=A","Dates=H","DateFormat=P","Fill=—","Direction=H","UseDPDF=Y")</f>
        <v>#N/A Requesting Data...</v>
      </c>
      <c r="AH20" s="21" t="str">
        <f>_xll.BDH("AKAM US Equity","CASH_FLOW_TO_TOT_LIAB","FQ1 2019","FQ1 2019","Currency=USD","Period=FQ","BEST_FPERIOD_OVERRIDE=FQ","FILING_STATUS=MR","Sort=A","Dates=H","DateFormat=P","Fill=—","Direction=H","UseDPDF=Y")</f>
        <v>#N/A Requesting Data...</v>
      </c>
      <c r="AI20" s="21" t="str">
        <f>_xll.BDH("AKAM US Equity","CASH_FLOW_TO_TOT_LIAB","FQ2 2019","FQ2 2019","Currency=USD","Period=FQ","BEST_FPERIOD_OVERRIDE=FQ","FILING_STATUS=MR","Sort=A","Dates=H","DateFormat=P","Fill=—","Direction=H","UseDPDF=Y")</f>
        <v>#N/A Requesting Data...</v>
      </c>
      <c r="AJ20" s="21" t="str">
        <f>_xll.BDH("AKAM US Equity","CASH_FLOW_TO_TOT_LIAB","FQ3 2019","FQ3 2019","Currency=USD","Period=FQ","BEST_FPERIOD_OVERRIDE=FQ","FILING_STATUS=MR","Sort=A","Dates=H","DateFormat=P","Fill=—","Direction=H","UseDPDF=Y")</f>
        <v>#N/A Requesting Data...</v>
      </c>
      <c r="AK20" s="21" t="str">
        <f>_xll.BDH("AKAM US Equity","CASH_FLOW_TO_TOT_LIAB","FQ4 2019","FQ4 2019","Currency=USD","Period=FQ","BEST_FPERIOD_OVERRIDE=FQ","FILING_STATUS=MR","Sort=A","Dates=H","DateFormat=P","Fill=—","Direction=H","UseDPDF=Y")</f>
        <v>#N/A Requesting Data...</v>
      </c>
      <c r="AL20" s="21" t="str">
        <f>_xll.BDH("AKAM US Equity","CASH_FLOW_TO_TOT_LIAB","FQ1 2020","FQ1 2020","Currency=USD","Period=FQ","BEST_FPERIOD_OVERRIDE=FQ","FILING_STATUS=MR","Sort=A","Dates=H","DateFormat=P","Fill=—","Direction=H","UseDPDF=Y")</f>
        <v>#N/A Requesting Data...</v>
      </c>
      <c r="AM20" s="21">
        <f>_xll.BDH("AKAM US Equity","CASH_FLOW_TO_TOT_LIAB","FQ2 2020","FQ2 2020","Currency=USD","Period=FQ","BEST_FPERIOD_OVERRIDE=FQ","FILING_STATUS=MR","Sort=A","Dates=H","DateFormat=P","Fill=—","Direction=H","UseDPDF=Y")</f>
        <v>33.171500000000002</v>
      </c>
      <c r="AN20" s="21">
        <f>_xll.BDH("AKAM US Equity","CASH_FLOW_TO_TOT_LIAB","FQ3 2020","FQ3 2020","Currency=USD","Period=FQ","BEST_FPERIOD_OVERRIDE=FQ","FILING_STATUS=MR","Sort=A","Dates=H","DateFormat=P","Fill=—","Direction=H","UseDPDF=Y")</f>
        <v>35.401400000000002</v>
      </c>
      <c r="AO20" s="21">
        <f>_xll.BDH("AKAM US Equity","CASH_FLOW_TO_TOT_LIAB","FQ4 2020","FQ4 2020","Currency=USD","Period=FQ","BEST_FPERIOD_OVERRIDE=FQ","FILING_STATUS=MR","Sort=A","Dates=H","DateFormat=P","Fill=—","Direction=H","UseDPDF=Y")</f>
        <v>34.587499999999999</v>
      </c>
      <c r="AP20" s="21" t="str">
        <f>_xll.BDH("AKAM US Equity","CASH_FLOW_TO_TOT_LIAB","FQ1 2021","FQ1 2021","Currency=USD","Period=FQ","BEST_FPERIOD_OVERRIDE=FQ","FILING_STATUS=MR","Sort=A","Dates=H","DateFormat=P","Fill=—","Direction=H","UseDPDF=Y")</f>
        <v>#N/A Requesting Data...</v>
      </c>
    </row>
    <row r="21" spans="1:42" x14ac:dyDescent="0.25">
      <c r="A21" s="8" t="s">
        <v>171</v>
      </c>
      <c r="B21" s="8" t="s">
        <v>170</v>
      </c>
      <c r="C21" s="21" t="str">
        <f>_xll.BDH("AKAM US Equity","CAP_EXPEND_RATIO","FQ2 2011","FQ2 2011","Currency=USD","Period=FQ","BEST_FPERIOD_OVERRIDE=FQ","FILING_STATUS=MR","Sort=A","Dates=H","DateFormat=P","Fill=—","Direction=H","UseDPDF=Y")</f>
        <v>#N/A Requesting Data...</v>
      </c>
      <c r="D21" s="21" t="str">
        <f>_xll.BDH("AKAM US Equity","CAP_EXPEND_RATIO","FQ3 2011","FQ3 2011","Currency=USD","Period=FQ","BEST_FPERIOD_OVERRIDE=FQ","FILING_STATUS=MR","Sort=A","Dates=H","DateFormat=P","Fill=—","Direction=H","UseDPDF=Y")</f>
        <v>#N/A Requesting Data...</v>
      </c>
      <c r="E21" s="21" t="str">
        <f>_xll.BDH("AKAM US Equity","CAP_EXPEND_RATIO","FQ4 2011","FQ4 2011","Currency=USD","Period=FQ","BEST_FPERIOD_OVERRIDE=FQ","FILING_STATUS=MR","Sort=A","Dates=H","DateFormat=P","Fill=—","Direction=H","UseDPDF=Y")</f>
        <v>#N/A Requesting Data...</v>
      </c>
      <c r="F21" s="21" t="str">
        <f>_xll.BDH("AKAM US Equity","CAP_EXPEND_RATIO","FQ1 2012","FQ1 2012","Currency=USD","Period=FQ","BEST_FPERIOD_OVERRIDE=FQ","FILING_STATUS=MR","Sort=A","Dates=H","DateFormat=P","Fill=—","Direction=H","UseDPDF=Y")</f>
        <v>#N/A Requesting Data...</v>
      </c>
      <c r="G21" s="21" t="str">
        <f>_xll.BDH("AKAM US Equity","CAP_EXPEND_RATIO","FQ2 2012","FQ2 2012","Currency=USD","Period=FQ","BEST_FPERIOD_OVERRIDE=FQ","FILING_STATUS=MR","Sort=A","Dates=H","DateFormat=P","Fill=—","Direction=H","UseDPDF=Y")</f>
        <v>#N/A Requesting Data...</v>
      </c>
      <c r="H21" s="21" t="str">
        <f>_xll.BDH("AKAM US Equity","CAP_EXPEND_RATIO","FQ3 2012","FQ3 2012","Currency=USD","Period=FQ","BEST_FPERIOD_OVERRIDE=FQ","FILING_STATUS=MR","Sort=A","Dates=H","DateFormat=P","Fill=—","Direction=H","UseDPDF=Y")</f>
        <v>#N/A Requesting Data...</v>
      </c>
      <c r="I21" s="21" t="str">
        <f>_xll.BDH("AKAM US Equity","CAP_EXPEND_RATIO","FQ4 2012","FQ4 2012","Currency=USD","Period=FQ","BEST_FPERIOD_OVERRIDE=FQ","FILING_STATUS=MR","Sort=A","Dates=H","DateFormat=P","Fill=—","Direction=H","UseDPDF=Y")</f>
        <v>#N/A Requesting Data...</v>
      </c>
      <c r="J21" s="21" t="str">
        <f>_xll.BDH("AKAM US Equity","CAP_EXPEND_RATIO","FQ1 2013","FQ1 2013","Currency=USD","Period=FQ","BEST_FPERIOD_OVERRIDE=FQ","FILING_STATUS=MR","Sort=A","Dates=H","DateFormat=P","Fill=—","Direction=H","UseDPDF=Y")</f>
        <v>#N/A Requesting Data...</v>
      </c>
      <c r="K21" s="21">
        <f>_xll.BDH("AKAM US Equity","CAP_EXPEND_RATIO","FQ2 2013","FQ2 2013","Currency=USD","Period=FQ","BEST_FPERIOD_OVERRIDE=FQ","FILING_STATUS=MR","Sort=A","Dates=H","DateFormat=P","Fill=—","Direction=H","UseDPDF=Y")</f>
        <v>1.8435000000000001</v>
      </c>
      <c r="L21" s="21">
        <f>_xll.BDH("AKAM US Equity","CAP_EXPEND_RATIO","FQ3 2013","FQ3 2013","Currency=USD","Period=FQ","BEST_FPERIOD_OVERRIDE=FQ","FILING_STATUS=MR","Sort=A","Dates=H","DateFormat=P","Fill=—","Direction=H","UseDPDF=Y")</f>
        <v>2.6146000000000003</v>
      </c>
      <c r="M21" s="21">
        <f>_xll.BDH("AKAM US Equity","CAP_EXPEND_RATIO","FQ4 2013","FQ4 2013","Currency=USD","Period=FQ","BEST_FPERIOD_OVERRIDE=FQ","FILING_STATUS=MR","Sort=A","Dates=H","DateFormat=P","Fill=—","Direction=H","UseDPDF=Y")</f>
        <v>2.7549999999999999</v>
      </c>
      <c r="N21" s="21">
        <f>_xll.BDH("AKAM US Equity","CAP_EXPEND_RATIO","FQ1 2014","FQ1 2014","Currency=USD","Period=FQ","BEST_FPERIOD_OVERRIDE=FQ","FILING_STATUS=MR","Sort=A","Dates=H","DateFormat=P","Fill=—","Direction=H","UseDPDF=Y")</f>
        <v>1.0597000000000001</v>
      </c>
      <c r="O21" s="21" t="str">
        <f>_xll.BDH("AKAM US Equity","CAP_EXPEND_RATIO","FQ2 2014","FQ2 2014","Currency=USD","Period=FQ","BEST_FPERIOD_OVERRIDE=FQ","FILING_STATUS=MR","Sort=A","Dates=H","DateFormat=P","Fill=—","Direction=H","UseDPDF=Y")</f>
        <v>#N/A Requesting Data...</v>
      </c>
      <c r="P21" s="21" t="str">
        <f>_xll.BDH("AKAM US Equity","CAP_EXPEND_RATIO","FQ3 2014","FQ3 2014","Currency=USD","Period=FQ","BEST_FPERIOD_OVERRIDE=FQ","FILING_STATUS=MR","Sort=A","Dates=H","DateFormat=P","Fill=—","Direction=H","UseDPDF=Y")</f>
        <v>#N/A Requesting Data...</v>
      </c>
      <c r="Q21" s="21" t="str">
        <f>_xll.BDH("AKAM US Equity","CAP_EXPEND_RATIO","FQ4 2014","FQ4 2014","Currency=USD","Period=FQ","BEST_FPERIOD_OVERRIDE=FQ","FILING_STATUS=MR","Sort=A","Dates=H","DateFormat=P","Fill=—","Direction=H","UseDPDF=Y")</f>
        <v>#N/A Requesting Data...</v>
      </c>
      <c r="R21" s="21" t="str">
        <f>_xll.BDH("AKAM US Equity","CAP_EXPEND_RATIO","FQ1 2015","FQ1 2015","Currency=USD","Period=FQ","BEST_FPERIOD_OVERRIDE=FQ","FILING_STATUS=MR","Sort=A","Dates=H","DateFormat=P","Fill=—","Direction=H","UseDPDF=Y")</f>
        <v>#N/A Requesting Data...</v>
      </c>
      <c r="S21" s="21" t="str">
        <f>_xll.BDH("AKAM US Equity","CAP_EXPEND_RATIO","FQ2 2015","FQ2 2015","Currency=USD","Period=FQ","BEST_FPERIOD_OVERRIDE=FQ","FILING_STATUS=MR","Sort=A","Dates=H","DateFormat=P","Fill=—","Direction=H","UseDPDF=Y")</f>
        <v>#N/A Requesting Data...</v>
      </c>
      <c r="T21" s="21" t="str">
        <f>_xll.BDH("AKAM US Equity","CAP_EXPEND_RATIO","FQ3 2015","FQ3 2015","Currency=USD","Period=FQ","BEST_FPERIOD_OVERRIDE=FQ","FILING_STATUS=MR","Sort=A","Dates=H","DateFormat=P","Fill=—","Direction=H","UseDPDF=Y")</f>
        <v>#N/A Requesting Data...</v>
      </c>
      <c r="U21" s="21" t="str">
        <f>_xll.BDH("AKAM US Equity","CAP_EXPEND_RATIO","FQ4 2015","FQ4 2015","Currency=USD","Period=FQ","BEST_FPERIOD_OVERRIDE=FQ","FILING_STATUS=MR","Sort=A","Dates=H","DateFormat=P","Fill=—","Direction=H","UseDPDF=Y")</f>
        <v>#N/A Requesting Data...</v>
      </c>
      <c r="V21" s="21" t="str">
        <f>_xll.BDH("AKAM US Equity","CAP_EXPEND_RATIO","FQ1 2016","FQ1 2016","Currency=USD","Period=FQ","BEST_FPERIOD_OVERRIDE=FQ","FILING_STATUS=MR","Sort=A","Dates=H","DateFormat=P","Fill=—","Direction=H","UseDPDF=Y")</f>
        <v>#N/A Requesting Data...</v>
      </c>
      <c r="W21" s="21">
        <f>_xll.BDH("AKAM US Equity","CAP_EXPEND_RATIO","FQ2 2016","FQ2 2016","Currency=USD","Period=FQ","BEST_FPERIOD_OVERRIDE=FQ","FILING_STATUS=MR","Sort=A","Dates=H","DateFormat=P","Fill=—","Direction=H","UseDPDF=Y")</f>
        <v>3.1273</v>
      </c>
      <c r="X21" s="21">
        <f>_xll.BDH("AKAM US Equity","CAP_EXPEND_RATIO","FQ3 2016","FQ3 2016","Currency=USD","Period=FQ","BEST_FPERIOD_OVERRIDE=FQ","FILING_STATUS=MR","Sort=A","Dates=H","DateFormat=P","Fill=—","Direction=H","UseDPDF=Y")</f>
        <v>3.1532</v>
      </c>
      <c r="Y21" s="21">
        <f>_xll.BDH("AKAM US Equity","CAP_EXPEND_RATIO","FQ4 2016","FQ4 2016","Currency=USD","Period=FQ","BEST_FPERIOD_OVERRIDE=FQ","FILING_STATUS=MR","Sort=A","Dates=H","DateFormat=P","Fill=—","Direction=H","UseDPDF=Y")</f>
        <v>2.4260000000000002</v>
      </c>
      <c r="Z21" s="21">
        <f>_xll.BDH("AKAM US Equity","CAP_EXPEND_RATIO","FQ1 2017","FQ1 2017","Currency=USD","Period=FQ","BEST_FPERIOD_OVERRIDE=FQ","FILING_STATUS=MR","Sort=A","Dates=H","DateFormat=P","Fill=—","Direction=H","UseDPDF=Y")</f>
        <v>1.5641</v>
      </c>
      <c r="AA21" s="21">
        <f>_xll.BDH("AKAM US Equity","CAP_EXPEND_RATIO","FQ2 2017","FQ2 2017","Currency=USD","Period=FQ","BEST_FPERIOD_OVERRIDE=FQ","FILING_STATUS=MR","Sort=A","Dates=H","DateFormat=P","Fill=—","Direction=H","UseDPDF=Y")</f>
        <v>2.3157000000000001</v>
      </c>
      <c r="AB21" s="21" t="str">
        <f>_xll.BDH("AKAM US Equity","CAP_EXPEND_RATIO","FQ3 2017","FQ3 2017","Currency=USD","Period=FQ","BEST_FPERIOD_OVERRIDE=FQ","FILING_STATUS=MR","Sort=A","Dates=H","DateFormat=P","Fill=—","Direction=H","UseDPDF=Y")</f>
        <v>#N/A Requesting Data...</v>
      </c>
      <c r="AC21" s="21" t="str">
        <f>_xll.BDH("AKAM US Equity","CAP_EXPEND_RATIO","FQ4 2017","FQ4 2017","Currency=USD","Period=FQ","BEST_FPERIOD_OVERRIDE=FQ","FILING_STATUS=MR","Sort=A","Dates=H","DateFormat=P","Fill=—","Direction=H","UseDPDF=Y")</f>
        <v>#N/A Requesting Data...</v>
      </c>
      <c r="AD21" s="21" t="str">
        <f>_xll.BDH("AKAM US Equity","CAP_EXPEND_RATIO","FQ1 2018","FQ1 2018","Currency=USD","Period=FQ","BEST_FPERIOD_OVERRIDE=FQ","FILING_STATUS=MR","Sort=A","Dates=H","DateFormat=P","Fill=—","Direction=H","UseDPDF=Y")</f>
        <v>#N/A Requesting Data...</v>
      </c>
      <c r="AE21" s="21" t="str">
        <f>_xll.BDH("AKAM US Equity","CAP_EXPEND_RATIO","FQ2 2018","FQ2 2018","Currency=USD","Period=FQ","BEST_FPERIOD_OVERRIDE=FQ","FILING_STATUS=MR","Sort=A","Dates=H","DateFormat=P","Fill=—","Direction=H","UseDPDF=Y")</f>
        <v>#N/A Requesting Data...</v>
      </c>
      <c r="AF21" s="21" t="str">
        <f>_xll.BDH("AKAM US Equity","CAP_EXPEND_RATIO","FQ3 2018","FQ3 2018","Currency=USD","Period=FQ","BEST_FPERIOD_OVERRIDE=FQ","FILING_STATUS=MR","Sort=A","Dates=H","DateFormat=P","Fill=—","Direction=H","UseDPDF=Y")</f>
        <v>#N/A Requesting Data...</v>
      </c>
      <c r="AG21" s="21" t="str">
        <f>_xll.BDH("AKAM US Equity","CAP_EXPEND_RATIO","FQ4 2018","FQ4 2018","Currency=USD","Period=FQ","BEST_FPERIOD_OVERRIDE=FQ","FILING_STATUS=MR","Sort=A","Dates=H","DateFormat=P","Fill=—","Direction=H","UseDPDF=Y")</f>
        <v>#N/A Requesting Data...</v>
      </c>
      <c r="AH21" s="21" t="str">
        <f>_xll.BDH("AKAM US Equity","CAP_EXPEND_RATIO","FQ1 2019","FQ1 2019","Currency=USD","Period=FQ","BEST_FPERIOD_OVERRIDE=FQ","FILING_STATUS=MR","Sort=A","Dates=H","DateFormat=P","Fill=—","Direction=H","UseDPDF=Y")</f>
        <v>#N/A Requesting Data...</v>
      </c>
      <c r="AI21" s="21">
        <f>_xll.BDH("AKAM US Equity","CAP_EXPEND_RATIO","FQ2 2019","FQ2 2019","Currency=USD","Period=FQ","BEST_FPERIOD_OVERRIDE=FQ","FILING_STATUS=MR","Sort=A","Dates=H","DateFormat=P","Fill=—","Direction=H","UseDPDF=Y")</f>
        <v>2.3841999999999999</v>
      </c>
      <c r="AJ21" s="21">
        <f>_xll.BDH("AKAM US Equity","CAP_EXPEND_RATIO","FQ3 2019","FQ3 2019","Currency=USD","Period=FQ","BEST_FPERIOD_OVERRIDE=FQ","FILING_STATUS=MR","Sort=A","Dates=H","DateFormat=P","Fill=—","Direction=H","UseDPDF=Y")</f>
        <v>1.9483999999999999</v>
      </c>
      <c r="AK21" s="21" t="str">
        <f>_xll.BDH("AKAM US Equity","CAP_EXPEND_RATIO","FQ4 2019","FQ4 2019","Currency=USD","Period=FQ","BEST_FPERIOD_OVERRIDE=FQ","FILING_STATUS=MR","Sort=A","Dates=H","DateFormat=P","Fill=—","Direction=H","UseDPDF=Y")</f>
        <v>#N/A Requesting Data...</v>
      </c>
      <c r="AL21" s="21">
        <f>_xll.BDH("AKAM US Equity","CAP_EXPEND_RATIO","FQ1 2020","FQ1 2020","Currency=USD","Period=FQ","BEST_FPERIOD_OVERRIDE=FQ","FILING_STATUS=MR","Sort=A","Dates=H","DateFormat=P","Fill=—","Direction=H","UseDPDF=Y")</f>
        <v>1.0363</v>
      </c>
      <c r="AM21" s="21">
        <f>_xll.BDH("AKAM US Equity","CAP_EXPEND_RATIO","FQ2 2020","FQ2 2020","Currency=USD","Period=FQ","BEST_FPERIOD_OVERRIDE=FQ","FILING_STATUS=MR","Sort=A","Dates=H","DateFormat=P","Fill=—","Direction=H","UseDPDF=Y")</f>
        <v>2.4840999999999998</v>
      </c>
      <c r="AN21" s="21" t="str">
        <f>_xll.BDH("AKAM US Equity","CAP_EXPEND_RATIO","FQ3 2020","FQ3 2020","Currency=USD","Period=FQ","BEST_FPERIOD_OVERRIDE=FQ","FILING_STATUS=MR","Sort=A","Dates=H","DateFormat=P","Fill=—","Direction=H","UseDPDF=Y")</f>
        <v>#N/A Requesting Data...</v>
      </c>
      <c r="AO21" s="21" t="str">
        <f>_xll.BDH("AKAM US Equity","CAP_EXPEND_RATIO","FQ4 2020","FQ4 2020","Currency=USD","Period=FQ","BEST_FPERIOD_OVERRIDE=FQ","FILING_STATUS=MR","Sort=A","Dates=H","DateFormat=P","Fill=—","Direction=H","UseDPDF=Y")</f>
        <v>#N/A Requesting Data...</v>
      </c>
      <c r="AP21" s="21" t="str">
        <f>_xll.BDH("AKAM US Equity","CAP_EXPEND_RATIO","FQ1 2021","FQ1 2021","Currency=USD","Period=FQ","BEST_FPERIOD_OVERRIDE=FQ","FILING_STATUS=MR","Sort=A","Dates=H","DateFormat=P","Fill=—","Direction=H","UseDPDF=Y")</f>
        <v>#N/A Requesting Data...</v>
      </c>
    </row>
    <row r="22" spans="1:42" x14ac:dyDescent="0.25">
      <c r="A22" s="8" t="s">
        <v>169</v>
      </c>
      <c r="B22" s="8" t="s">
        <v>168</v>
      </c>
      <c r="C22" s="21" t="str">
        <f>_xll.BDH("AKAM US Equity","ALTMAN_Z_SCORE","FQ2 2011","FQ2 2011","Currency=USD","Period=FQ","BEST_FPERIOD_OVERRIDE=FQ","FILING_STATUS=MR","Sort=A","Dates=H","DateFormat=P","Fill=—","Direction=H","UseDPDF=Y")</f>
        <v>#N/A Requesting Data...</v>
      </c>
      <c r="D22" s="21" t="str">
        <f>_xll.BDH("AKAM US Equity","ALTMAN_Z_SCORE","FQ3 2011","FQ3 2011","Currency=USD","Period=FQ","BEST_FPERIOD_OVERRIDE=FQ","FILING_STATUS=MR","Sort=A","Dates=H","DateFormat=P","Fill=—","Direction=H","UseDPDF=Y")</f>
        <v>#N/A Requesting Data...</v>
      </c>
      <c r="E22" s="21" t="str">
        <f>_xll.BDH("AKAM US Equity","ALTMAN_Z_SCORE","FQ4 2011","FQ4 2011","Currency=USD","Period=FQ","BEST_FPERIOD_OVERRIDE=FQ","FILING_STATUS=MR","Sort=A","Dates=H","DateFormat=P","Fill=—","Direction=H","UseDPDF=Y")</f>
        <v>#N/A Requesting Data...</v>
      </c>
      <c r="F22" s="21" t="str">
        <f>_xll.BDH("AKAM US Equity","ALTMAN_Z_SCORE","FQ1 2012","FQ1 2012","Currency=USD","Period=FQ","BEST_FPERIOD_OVERRIDE=FQ","FILING_STATUS=MR","Sort=A","Dates=H","DateFormat=P","Fill=—","Direction=H","UseDPDF=Y")</f>
        <v>#N/A Requesting Data...</v>
      </c>
      <c r="G22" s="21">
        <f>_xll.BDH("AKAM US Equity","ALTMAN_Z_SCORE","FQ2 2012","FQ2 2012","Currency=USD","Period=FQ","BEST_FPERIOD_OVERRIDE=FQ","FILING_STATUS=MR","Sort=A","Dates=H","DateFormat=P","Fill=—","Direction=H","UseDPDF=Y")</f>
        <v>14.5511</v>
      </c>
      <c r="H22" s="21">
        <f>_xll.BDH("AKAM US Equity","ALTMAN_Z_SCORE","FQ3 2012","FQ3 2012","Currency=USD","Period=FQ","BEST_FPERIOD_OVERRIDE=FQ","FILING_STATUS=MR","Sort=A","Dates=H","DateFormat=P","Fill=—","Direction=H","UseDPDF=Y")</f>
        <v>14.4124</v>
      </c>
      <c r="I22" s="21">
        <f>_xll.BDH("AKAM US Equity","ALTMAN_Z_SCORE","FQ4 2012","FQ4 2012","Currency=USD","Period=FQ","BEST_FPERIOD_OVERRIDE=FQ","FILING_STATUS=MR","Sort=A","Dates=H","DateFormat=P","Fill=—","Direction=H","UseDPDF=Y")</f>
        <v>17.0502</v>
      </c>
      <c r="J22" s="21">
        <f>_xll.BDH("AKAM US Equity","ALTMAN_Z_SCORE","FQ1 2013","FQ1 2013","Currency=USD","Period=FQ","BEST_FPERIOD_OVERRIDE=FQ","FILING_STATUS=MR","Sort=A","Dates=H","DateFormat=P","Fill=—","Direction=H","UseDPDF=Y")</f>
        <v>14.549200000000001</v>
      </c>
      <c r="K22" s="21" t="str">
        <f>_xll.BDH("AKAM US Equity","ALTMAN_Z_SCORE","FQ2 2013","FQ2 2013","Currency=USD","Period=FQ","BEST_FPERIOD_OVERRIDE=FQ","FILING_STATUS=MR","Sort=A","Dates=H","DateFormat=P","Fill=—","Direction=H","UseDPDF=Y")</f>
        <v>#N/A Requesting Data...</v>
      </c>
      <c r="L22" s="21" t="str">
        <f>_xll.BDH("AKAM US Equity","ALTMAN_Z_SCORE","FQ3 2013","FQ3 2013","Currency=USD","Period=FQ","BEST_FPERIOD_OVERRIDE=FQ","FILING_STATUS=MR","Sort=A","Dates=H","DateFormat=P","Fill=—","Direction=H","UseDPDF=Y")</f>
        <v>#N/A Requesting Data...</v>
      </c>
      <c r="M22" s="21" t="str">
        <f>_xll.BDH("AKAM US Equity","ALTMAN_Z_SCORE","FQ4 2013","FQ4 2013","Currency=USD","Period=FQ","BEST_FPERIOD_OVERRIDE=FQ","FILING_STATUS=MR","Sort=A","Dates=H","DateFormat=P","Fill=—","Direction=H","UseDPDF=Y")</f>
        <v>#N/A Requesting Data...</v>
      </c>
      <c r="N22" s="21" t="str">
        <f>_xll.BDH("AKAM US Equity","ALTMAN_Z_SCORE","FQ1 2014","FQ1 2014","Currency=USD","Period=FQ","BEST_FPERIOD_OVERRIDE=FQ","FILING_STATUS=MR","Sort=A","Dates=H","DateFormat=P","Fill=—","Direction=H","UseDPDF=Y")</f>
        <v>#N/A Requesting Data...</v>
      </c>
      <c r="O22" s="21" t="str">
        <f>_xll.BDH("AKAM US Equity","ALTMAN_Z_SCORE","FQ2 2014","FQ2 2014","Currency=USD","Period=FQ","BEST_FPERIOD_OVERRIDE=FQ","FILING_STATUS=MR","Sort=A","Dates=H","DateFormat=P","Fill=—","Direction=H","UseDPDF=Y")</f>
        <v>#N/A Requesting Data...</v>
      </c>
      <c r="P22" s="21" t="str">
        <f>_xll.BDH("AKAM US Equity","ALTMAN_Z_SCORE","FQ3 2014","FQ3 2014","Currency=USD","Period=FQ","BEST_FPERIOD_OVERRIDE=FQ","FILING_STATUS=MR","Sort=A","Dates=H","DateFormat=P","Fill=—","Direction=H","UseDPDF=Y")</f>
        <v>#N/A Requesting Data...</v>
      </c>
      <c r="Q22" s="21" t="str">
        <f>_xll.BDH("AKAM US Equity","ALTMAN_Z_SCORE","FQ4 2014","FQ4 2014","Currency=USD","Period=FQ","BEST_FPERIOD_OVERRIDE=FQ","FILING_STATUS=MR","Sort=A","Dates=H","DateFormat=P","Fill=—","Direction=H","UseDPDF=Y")</f>
        <v>#N/A Requesting Data...</v>
      </c>
      <c r="R22" s="21" t="str">
        <f>_xll.BDH("AKAM US Equity","ALTMAN_Z_SCORE","FQ1 2015","FQ1 2015","Currency=USD","Period=FQ","BEST_FPERIOD_OVERRIDE=FQ","FILING_STATUS=MR","Sort=A","Dates=H","DateFormat=P","Fill=—","Direction=H","UseDPDF=Y")</f>
        <v>#N/A Requesting Data...</v>
      </c>
      <c r="S22" s="21">
        <f>_xll.BDH("AKAM US Equity","ALTMAN_Z_SCORE","FQ2 2015","FQ2 2015","Currency=USD","Period=FQ","BEST_FPERIOD_OVERRIDE=FQ","FILING_STATUS=MR","Sort=A","Dates=H","DateFormat=P","Fill=—","Direction=H","UseDPDF=Y")</f>
        <v>7.8181000000000003</v>
      </c>
      <c r="T22" s="21">
        <f>_xll.BDH("AKAM US Equity","ALTMAN_Z_SCORE","FQ3 2015","FQ3 2015","Currency=USD","Period=FQ","BEST_FPERIOD_OVERRIDE=FQ","FILING_STATUS=MR","Sort=A","Dates=H","DateFormat=P","Fill=—","Direction=H","UseDPDF=Y")</f>
        <v>7.7293000000000003</v>
      </c>
      <c r="U22" s="21">
        <f>_xll.BDH("AKAM US Equity","ALTMAN_Z_SCORE","FQ4 2015","FQ4 2015","Currency=USD","Period=FQ","BEST_FPERIOD_OVERRIDE=FQ","FILING_STATUS=MR","Sort=A","Dates=H","DateFormat=P","Fill=—","Direction=H","UseDPDF=Y")</f>
        <v>6.3586999999999998</v>
      </c>
      <c r="V22" s="21">
        <f>_xll.BDH("AKAM US Equity","ALTMAN_Z_SCORE","FQ1 2016","FQ1 2016","Currency=USD","Period=FQ","BEST_FPERIOD_OVERRIDE=FQ","FILING_STATUS=MR","Sort=A","Dates=H","DateFormat=P","Fill=—","Direction=H","UseDPDF=Y")</f>
        <v>6.6146000000000003</v>
      </c>
      <c r="W22" s="21" t="str">
        <f>_xll.BDH("AKAM US Equity","ALTMAN_Z_SCORE","FQ2 2016","FQ2 2016","Currency=USD","Period=FQ","BEST_FPERIOD_OVERRIDE=FQ","FILING_STATUS=MR","Sort=A","Dates=H","DateFormat=P","Fill=—","Direction=H","UseDPDF=Y")</f>
        <v>#N/A Requesting Data...</v>
      </c>
      <c r="X22" s="21" t="str">
        <f>_xll.BDH("AKAM US Equity","ALTMAN_Z_SCORE","FQ3 2016","FQ3 2016","Currency=USD","Period=FQ","BEST_FPERIOD_OVERRIDE=FQ","FILING_STATUS=MR","Sort=A","Dates=H","DateFormat=P","Fill=—","Direction=H","UseDPDF=Y")</f>
        <v>#N/A Requesting Data...</v>
      </c>
      <c r="Y22" s="21" t="str">
        <f>_xll.BDH("AKAM US Equity","ALTMAN_Z_SCORE","FQ4 2016","FQ4 2016","Currency=USD","Period=FQ","BEST_FPERIOD_OVERRIDE=FQ","FILING_STATUS=MR","Sort=A","Dates=H","DateFormat=P","Fill=—","Direction=H","UseDPDF=Y")</f>
        <v>#N/A Requesting Data...</v>
      </c>
      <c r="Z22" s="21" t="str">
        <f>_xll.BDH("AKAM US Equity","ALTMAN_Z_SCORE","FQ1 2017","FQ1 2017","Currency=USD","Period=FQ","BEST_FPERIOD_OVERRIDE=FQ","FILING_STATUS=MR","Sort=A","Dates=H","DateFormat=P","Fill=—","Direction=H","UseDPDF=Y")</f>
        <v>#N/A Requesting Data...</v>
      </c>
      <c r="AA22" s="21" t="str">
        <f>_xll.BDH("AKAM US Equity","ALTMAN_Z_SCORE","FQ2 2017","FQ2 2017","Currency=USD","Period=FQ","BEST_FPERIOD_OVERRIDE=FQ","FILING_STATUS=MR","Sort=A","Dates=H","DateFormat=P","Fill=—","Direction=H","UseDPDF=Y")</f>
        <v>#N/A Requesting Data...</v>
      </c>
      <c r="AB22" s="21" t="str">
        <f>_xll.BDH("AKAM US Equity","ALTMAN_Z_SCORE","FQ3 2017","FQ3 2017","Currency=USD","Period=FQ","BEST_FPERIOD_OVERRIDE=FQ","FILING_STATUS=MR","Sort=A","Dates=H","DateFormat=P","Fill=—","Direction=H","UseDPDF=Y")</f>
        <v>#N/A Requesting Data...</v>
      </c>
      <c r="AC22" s="21" t="str">
        <f>_xll.BDH("AKAM US Equity","ALTMAN_Z_SCORE","FQ4 2017","FQ4 2017","Currency=USD","Period=FQ","BEST_FPERIOD_OVERRIDE=FQ","FILING_STATUS=MR","Sort=A","Dates=H","DateFormat=P","Fill=—","Direction=H","UseDPDF=Y")</f>
        <v>#N/A Requesting Data...</v>
      </c>
      <c r="AD22" s="21" t="str">
        <f>_xll.BDH("AKAM US Equity","ALTMAN_Z_SCORE","FQ1 2018","FQ1 2018","Currency=USD","Period=FQ","BEST_FPERIOD_OVERRIDE=FQ","FILING_STATUS=MR","Sort=A","Dates=H","DateFormat=P","Fill=—","Direction=H","UseDPDF=Y")</f>
        <v>#N/A Requesting Data...</v>
      </c>
      <c r="AE22" s="21">
        <f>_xll.BDH("AKAM US Equity","ALTMAN_Z_SCORE","FQ2 2018","FQ2 2018","Currency=USD","Period=FQ","BEST_FPERIOD_OVERRIDE=FQ","FILING_STATUS=MR","Sort=A","Dates=H","DateFormat=P","Fill=—","Direction=H","UseDPDF=Y")</f>
        <v>4.5260999999999996</v>
      </c>
      <c r="AF22" s="21">
        <f>_xll.BDH("AKAM US Equity","ALTMAN_Z_SCORE","FQ3 2018","FQ3 2018","Currency=USD","Period=FQ","BEST_FPERIOD_OVERRIDE=FQ","FILING_STATUS=MR","Sort=A","Dates=H","DateFormat=P","Fill=—","Direction=H","UseDPDF=Y")</f>
        <v>4.5343999999999998</v>
      </c>
      <c r="AG22" s="21">
        <f>_xll.BDH("AKAM US Equity","ALTMAN_Z_SCORE","FQ4 2018","FQ4 2018","Currency=USD","Period=FQ","BEST_FPERIOD_OVERRIDE=FQ","FILING_STATUS=MR","Sort=A","Dates=H","DateFormat=P","Fill=—","Direction=H","UseDPDF=Y")</f>
        <v>3.9161999999999999</v>
      </c>
      <c r="AH22" s="21">
        <f>_xll.BDH("AKAM US Equity","ALTMAN_Z_SCORE","FQ1 2019","FQ1 2019","Currency=USD","Period=FQ","BEST_FPERIOD_OVERRIDE=FQ","FILING_STATUS=MR","Sort=A","Dates=H","DateFormat=P","Fill=—","Direction=H","UseDPDF=Y")</f>
        <v>5.2251000000000003</v>
      </c>
      <c r="AI22" s="21" t="str">
        <f>_xll.BDH("AKAM US Equity","ALTMAN_Z_SCORE","FQ2 2019","FQ2 2019","Currency=USD","Period=FQ","BEST_FPERIOD_OVERRIDE=FQ","FILING_STATUS=MR","Sort=A","Dates=H","DateFormat=P","Fill=—","Direction=H","UseDPDF=Y")</f>
        <v>#N/A Requesting Data...</v>
      </c>
      <c r="AJ22" s="21" t="str">
        <f>_xll.BDH("AKAM US Equity","ALTMAN_Z_SCORE","FQ3 2019","FQ3 2019","Currency=USD","Period=FQ","BEST_FPERIOD_OVERRIDE=FQ","FILING_STATUS=MR","Sort=A","Dates=H","DateFormat=P","Fill=—","Direction=H","UseDPDF=Y")</f>
        <v>#N/A Requesting Data...</v>
      </c>
      <c r="AK22" s="21" t="str">
        <f>_xll.BDH("AKAM US Equity","ALTMAN_Z_SCORE","FQ4 2019","FQ4 2019","Currency=USD","Period=FQ","BEST_FPERIOD_OVERRIDE=FQ","FILING_STATUS=MR","Sort=A","Dates=H","DateFormat=P","Fill=—","Direction=H","UseDPDF=Y")</f>
        <v>#N/A Requesting Data...</v>
      </c>
      <c r="AL22" s="21" t="str">
        <f>_xll.BDH("AKAM US Equity","ALTMAN_Z_SCORE","FQ1 2020","FQ1 2020","Currency=USD","Period=FQ","BEST_FPERIOD_OVERRIDE=FQ","FILING_STATUS=MR","Sort=A","Dates=H","DateFormat=P","Fill=—","Direction=H","UseDPDF=Y")</f>
        <v>#N/A Requesting Data...</v>
      </c>
      <c r="AM22" s="21" t="str">
        <f>_xll.BDH("AKAM US Equity","ALTMAN_Z_SCORE","FQ2 2020","FQ2 2020","Currency=USD","Period=FQ","BEST_FPERIOD_OVERRIDE=FQ","FILING_STATUS=MR","Sort=A","Dates=H","DateFormat=P","Fill=—","Direction=H","UseDPDF=Y")</f>
        <v>#N/A Requesting Data...</v>
      </c>
      <c r="AN22" s="21" t="str">
        <f>_xll.BDH("AKAM US Equity","ALTMAN_Z_SCORE","FQ3 2020","FQ3 2020","Currency=USD","Period=FQ","BEST_FPERIOD_OVERRIDE=FQ","FILING_STATUS=MR","Sort=A","Dates=H","DateFormat=P","Fill=—","Direction=H","UseDPDF=Y")</f>
        <v>#N/A Requesting Data...</v>
      </c>
      <c r="AO22" s="21" t="str">
        <f>_xll.BDH("AKAM US Equity","ALTMAN_Z_SCORE","FQ4 2020","FQ4 2020","Currency=USD","Period=FQ","BEST_FPERIOD_OVERRIDE=FQ","FILING_STATUS=MR","Sort=A","Dates=H","DateFormat=P","Fill=—","Direction=H","UseDPDF=Y")</f>
        <v>#N/A Requesting Data...</v>
      </c>
      <c r="AP22" s="21" t="str">
        <f>_xll.BDH("AKAM US Equity","ALTMAN_Z_SCORE","FQ1 2021","FQ1 2021","Currency=USD","Period=FQ","BEST_FPERIOD_OVERRIDE=FQ","FILING_STATUS=MR","Sort=A","Dates=H","DateFormat=P","Fill=—","Direction=H","UseDPDF=Y")</f>
        <v>#N/A Requesting Data...</v>
      </c>
    </row>
    <row r="23" spans="1:42" x14ac:dyDescent="0.25">
      <c r="A23" s="8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</row>
    <row r="24" spans="1:42" x14ac:dyDescent="0.25">
      <c r="A24" s="8" t="s">
        <v>167</v>
      </c>
      <c r="B24" s="8" t="s">
        <v>166</v>
      </c>
      <c r="C24" s="1" t="str">
        <f>_xll.BDH("AKAM US Equity","BS_TOTAL_LINE_OF_CREDIT","FQ2 2011","FQ2 2011","Currency=USD","Period=FQ","BEST_FPERIOD_OVERRIDE=FQ","FILING_STATUS=MR","SCALING_FORMAT=MLN","Sort=A","Dates=H","DateFormat=P","Fill=—","Direction=H","UseDPDF=Y")</f>
        <v>—</v>
      </c>
      <c r="D24" s="1">
        <f>_xll.BDH("AKAM US Equity","BS_TOTAL_LINE_OF_CREDIT","FQ3 2011","FQ3 2011","Currency=USD","Period=FQ","BEST_FPERIOD_OVERRIDE=FQ","FILING_STATUS=MR","SCALING_FORMAT=MLN","Sort=A","Dates=H","DateFormat=P","Fill=—","Direction=H","UseDPDF=Y")</f>
        <v>0</v>
      </c>
      <c r="E24" s="1" t="str">
        <f>_xll.BDH("AKAM US Equity","BS_TOTAL_LINE_OF_CREDIT","FQ4 2011","FQ4 2011","Currency=USD","Period=FQ","BEST_FPERIOD_OVERRIDE=FQ","FILING_STATUS=MR","SCALING_FORMAT=MLN","Sort=A","Dates=H","DateFormat=P","Fill=—","Direction=H","UseDPDF=Y")</f>
        <v>—</v>
      </c>
      <c r="F24" s="1">
        <f>_xll.BDH("AKAM US Equity","BS_TOTAL_LINE_OF_CREDIT","FQ1 2012","FQ1 2012","Currency=USD","Period=FQ","BEST_FPERIOD_OVERRIDE=FQ","FILING_STATUS=MR","SCALING_FORMAT=MLN","Sort=A","Dates=H","DateFormat=P","Fill=—","Direction=H","UseDPDF=Y")</f>
        <v>0</v>
      </c>
      <c r="G24" s="1" t="str">
        <f>_xll.BDH("AKAM US Equity","BS_TOTAL_LINE_OF_CREDIT","FQ2 2012","FQ2 2012","Currency=USD","Period=FQ","BEST_FPERIOD_OVERRIDE=FQ","FILING_STATUS=MR","SCALING_FORMAT=MLN","Sort=A","Dates=H","DateFormat=P","Fill=—","Direction=H","UseDPDF=Y")</f>
        <v>#N/A Requesting Data...</v>
      </c>
      <c r="H24" s="1" t="str">
        <f>_xll.BDH("AKAM US Equity","BS_TOTAL_LINE_OF_CREDIT","FQ3 2012","FQ3 2012","Currency=USD","Period=FQ","BEST_FPERIOD_OVERRIDE=FQ","FILING_STATUS=MR","SCALING_FORMAT=MLN","Sort=A","Dates=H","DateFormat=P","Fill=—","Direction=H","UseDPDF=Y")</f>
        <v>#N/A Requesting Data...</v>
      </c>
      <c r="I24" s="1" t="str">
        <f>_xll.BDH("AKAM US Equity","BS_TOTAL_LINE_OF_CREDIT","FQ4 2012","FQ4 2012","Currency=USD","Period=FQ","BEST_FPERIOD_OVERRIDE=FQ","FILING_STATUS=MR","SCALING_FORMAT=MLN","Sort=A","Dates=H","DateFormat=P","Fill=—","Direction=H","UseDPDF=Y")</f>
        <v>#N/A Requesting Data...</v>
      </c>
      <c r="J24" s="1" t="str">
        <f>_xll.BDH("AKAM US Equity","BS_TOTAL_LINE_OF_CREDIT","FQ1 2013","FQ1 2013","Currency=USD","Period=FQ","BEST_FPERIOD_OVERRIDE=FQ","FILING_STATUS=MR","SCALING_FORMAT=MLN","Sort=A","Dates=H","DateFormat=P","Fill=—","Direction=H","UseDPDF=Y")</f>
        <v>#N/A Requesting Data...</v>
      </c>
      <c r="K24" s="1" t="str">
        <f>_xll.BDH("AKAM US Equity","BS_TOTAL_LINE_OF_CREDIT","FQ2 2013","FQ2 2013","Currency=USD","Period=FQ","BEST_FPERIOD_OVERRIDE=FQ","FILING_STATUS=MR","SCALING_FORMAT=MLN","Sort=A","Dates=H","DateFormat=P","Fill=—","Direction=H","UseDPDF=Y")</f>
        <v>#N/A Requesting Data...</v>
      </c>
      <c r="L24" s="1" t="str">
        <f>_xll.BDH("AKAM US Equity","BS_TOTAL_LINE_OF_CREDIT","FQ3 2013","FQ3 2013","Currency=USD","Period=FQ","BEST_FPERIOD_OVERRIDE=FQ","FILING_STATUS=MR","SCALING_FORMAT=MLN","Sort=A","Dates=H","DateFormat=P","Fill=—","Direction=H","UseDPDF=Y")</f>
        <v>#N/A Requesting Data...</v>
      </c>
      <c r="M24" s="1" t="str">
        <f>_xll.BDH("AKAM US Equity","BS_TOTAL_LINE_OF_CREDIT","FQ4 2013","FQ4 2013","Currency=USD","Period=FQ","BEST_FPERIOD_OVERRIDE=FQ","FILING_STATUS=MR","SCALING_FORMAT=MLN","Sort=A","Dates=H","DateFormat=P","Fill=—","Direction=H","UseDPDF=Y")</f>
        <v>#N/A Requesting Data...</v>
      </c>
      <c r="N24" s="1" t="str">
        <f>_xll.BDH("AKAM US Equity","BS_TOTAL_LINE_OF_CREDIT","FQ1 2014","FQ1 2014","Currency=USD","Period=FQ","BEST_FPERIOD_OVERRIDE=FQ","FILING_STATUS=MR","SCALING_FORMAT=MLN","Sort=A","Dates=H","DateFormat=P","Fill=—","Direction=H","UseDPDF=Y")</f>
        <v>#N/A Requesting Data...</v>
      </c>
      <c r="O24" s="1">
        <f>_xll.BDH("AKAM US Equity","BS_TOTAL_LINE_OF_CREDIT","FQ2 2014","FQ2 2014","Currency=USD","Period=FQ","BEST_FPERIOD_OVERRIDE=FQ","FILING_STATUS=MR","SCALING_FORMAT=MLN","Sort=A","Dates=H","DateFormat=P","Fill=—","Direction=H","UseDPDF=Y")</f>
        <v>0</v>
      </c>
      <c r="P24" s="1" t="str">
        <f>_xll.BDH("AKAM US Equity","BS_TOTAL_LINE_OF_CREDIT","FQ3 2014","FQ3 2014","Currency=USD","Period=FQ","BEST_FPERIOD_OVERRIDE=FQ","FILING_STATUS=MR","SCALING_FORMAT=MLN","Sort=A","Dates=H","DateFormat=P","Fill=—","Direction=H","UseDPDF=Y")</f>
        <v>—</v>
      </c>
      <c r="Q24" s="1" t="str">
        <f>_xll.BDH("AKAM US Equity","BS_TOTAL_LINE_OF_CREDIT","FQ4 2014","FQ4 2014","Currency=USD","Period=FQ","BEST_FPERIOD_OVERRIDE=FQ","FILING_STATUS=MR","SCALING_FORMAT=MLN","Sort=A","Dates=H","DateFormat=P","Fill=—","Direction=H","UseDPDF=Y")</f>
        <v>—</v>
      </c>
      <c r="R24" s="1" t="str">
        <f>_xll.BDH("AKAM US Equity","BS_TOTAL_LINE_OF_CREDIT","FQ1 2015","FQ1 2015","Currency=USD","Period=FQ","BEST_FPERIOD_OVERRIDE=FQ","FILING_STATUS=MR","SCALING_FORMAT=MLN","Sort=A","Dates=H","DateFormat=P","Fill=—","Direction=H","UseDPDF=Y")</f>
        <v>—</v>
      </c>
      <c r="S24" s="1" t="str">
        <f>_xll.BDH("AKAM US Equity","BS_TOTAL_LINE_OF_CREDIT","FQ2 2015","FQ2 2015","Currency=USD","Period=FQ","BEST_FPERIOD_OVERRIDE=FQ","FILING_STATUS=MR","SCALING_FORMAT=MLN","Sort=A","Dates=H","DateFormat=P","Fill=—","Direction=H","UseDPDF=Y")</f>
        <v>#N/A Requesting Data...</v>
      </c>
      <c r="T24" s="1" t="str">
        <f>_xll.BDH("AKAM US Equity","BS_TOTAL_LINE_OF_CREDIT","FQ3 2015","FQ3 2015","Currency=USD","Period=FQ","BEST_FPERIOD_OVERRIDE=FQ","FILING_STATUS=MR","SCALING_FORMAT=MLN","Sort=A","Dates=H","DateFormat=P","Fill=—","Direction=H","UseDPDF=Y")</f>
        <v>#N/A Requesting Data...</v>
      </c>
      <c r="U24" s="1" t="str">
        <f>_xll.BDH("AKAM US Equity","BS_TOTAL_LINE_OF_CREDIT","FQ4 2015","FQ4 2015","Currency=USD","Period=FQ","BEST_FPERIOD_OVERRIDE=FQ","FILING_STATUS=MR","SCALING_FORMAT=MLN","Sort=A","Dates=H","DateFormat=P","Fill=—","Direction=H","UseDPDF=Y")</f>
        <v>#N/A Requesting Data...</v>
      </c>
      <c r="V24" s="1" t="str">
        <f>_xll.BDH("AKAM US Equity","BS_TOTAL_LINE_OF_CREDIT","FQ1 2016","FQ1 2016","Currency=USD","Period=FQ","BEST_FPERIOD_OVERRIDE=FQ","FILING_STATUS=MR","SCALING_FORMAT=MLN","Sort=A","Dates=H","DateFormat=P","Fill=—","Direction=H","UseDPDF=Y")</f>
        <v>#N/A Requesting Data...</v>
      </c>
      <c r="W24" s="1" t="str">
        <f>_xll.BDH("AKAM US Equity","BS_TOTAL_LINE_OF_CREDIT","FQ2 2016","FQ2 2016","Currency=USD","Period=FQ","BEST_FPERIOD_OVERRIDE=FQ","FILING_STATUS=MR","SCALING_FORMAT=MLN","Sort=A","Dates=H","DateFormat=P","Fill=—","Direction=H","UseDPDF=Y")</f>
        <v>#N/A Requesting Data...</v>
      </c>
      <c r="X24" s="1" t="str">
        <f>_xll.BDH("AKAM US Equity","BS_TOTAL_LINE_OF_CREDIT","FQ3 2016","FQ3 2016","Currency=USD","Period=FQ","BEST_FPERIOD_OVERRIDE=FQ","FILING_STATUS=MR","SCALING_FORMAT=MLN","Sort=A","Dates=H","DateFormat=P","Fill=—","Direction=H","UseDPDF=Y")</f>
        <v>#N/A Requesting Data...</v>
      </c>
      <c r="Y24" s="1" t="str">
        <f>_xll.BDH("AKAM US Equity","BS_TOTAL_LINE_OF_CREDIT","FQ4 2016","FQ4 2016","Currency=USD","Period=FQ","BEST_FPERIOD_OVERRIDE=FQ","FILING_STATUS=MR","SCALING_FORMAT=MLN","Sort=A","Dates=H","DateFormat=P","Fill=—","Direction=H","UseDPDF=Y")</f>
        <v>#N/A Requesting Data...</v>
      </c>
      <c r="Z24" s="1" t="str">
        <f>_xll.BDH("AKAM US Equity","BS_TOTAL_LINE_OF_CREDIT","FQ1 2017","FQ1 2017","Currency=USD","Period=FQ","BEST_FPERIOD_OVERRIDE=FQ","FILING_STATUS=MR","SCALING_FORMAT=MLN","Sort=A","Dates=H","DateFormat=P","Fill=—","Direction=H","UseDPDF=Y")</f>
        <v>#N/A Requesting Data...</v>
      </c>
      <c r="AA24" s="1" t="str">
        <f>_xll.BDH("AKAM US Equity","BS_TOTAL_LINE_OF_CREDIT","FQ2 2017","FQ2 2017","Currency=USD","Period=FQ","BEST_FPERIOD_OVERRIDE=FQ","FILING_STATUS=MR","SCALING_FORMAT=MLN","Sort=A","Dates=H","DateFormat=P","Fill=—","Direction=H","UseDPDF=Y")</f>
        <v>—</v>
      </c>
      <c r="AB24" s="1" t="str">
        <f>_xll.BDH("AKAM US Equity","BS_TOTAL_LINE_OF_CREDIT","FQ3 2017","FQ3 2017","Currency=USD","Period=FQ","BEST_FPERIOD_OVERRIDE=FQ","FILING_STATUS=MR","SCALING_FORMAT=MLN","Sort=A","Dates=H","DateFormat=P","Fill=—","Direction=H","UseDPDF=Y")</f>
        <v>—</v>
      </c>
      <c r="AC24" s="1" t="str">
        <f>_xll.BDH("AKAM US Equity","BS_TOTAL_LINE_OF_CREDIT","FQ4 2017","FQ4 2017","Currency=USD","Period=FQ","BEST_FPERIOD_OVERRIDE=FQ","FILING_STATUS=MR","SCALING_FORMAT=MLN","Sort=A","Dates=H","DateFormat=P","Fill=—","Direction=H","UseDPDF=Y")</f>
        <v>—</v>
      </c>
      <c r="AD24" s="1" t="str">
        <f>_xll.BDH("AKAM US Equity","BS_TOTAL_LINE_OF_CREDIT","FQ1 2018","FQ1 2018","Currency=USD","Period=FQ","BEST_FPERIOD_OVERRIDE=FQ","FILING_STATUS=MR","SCALING_FORMAT=MLN","Sort=A","Dates=H","DateFormat=P","Fill=—","Direction=H","UseDPDF=Y")</f>
        <v>—</v>
      </c>
      <c r="AE24" s="1" t="str">
        <f>_xll.BDH("AKAM US Equity","BS_TOTAL_LINE_OF_CREDIT","FQ2 2018","FQ2 2018","Currency=USD","Period=FQ","BEST_FPERIOD_OVERRIDE=FQ","FILING_STATUS=MR","SCALING_FORMAT=MLN","Sort=A","Dates=H","DateFormat=P","Fill=—","Direction=H","UseDPDF=Y")</f>
        <v>#N/A Requesting Data...</v>
      </c>
      <c r="AF24" s="1" t="str">
        <f>_xll.BDH("AKAM US Equity","BS_TOTAL_LINE_OF_CREDIT","FQ3 2018","FQ3 2018","Currency=USD","Period=FQ","BEST_FPERIOD_OVERRIDE=FQ","FILING_STATUS=MR","SCALING_FORMAT=MLN","Sort=A","Dates=H","DateFormat=P","Fill=—","Direction=H","UseDPDF=Y")</f>
        <v>#N/A Requesting Data...</v>
      </c>
      <c r="AG24" s="1" t="str">
        <f>_xll.BDH("AKAM US Equity","BS_TOTAL_LINE_OF_CREDIT","FQ4 2018","FQ4 2018","Currency=USD","Period=FQ","BEST_FPERIOD_OVERRIDE=FQ","FILING_STATUS=MR","SCALING_FORMAT=MLN","Sort=A","Dates=H","DateFormat=P","Fill=—","Direction=H","UseDPDF=Y")</f>
        <v>#N/A Requesting Data...</v>
      </c>
      <c r="AH24" s="1" t="str">
        <f>_xll.BDH("AKAM US Equity","BS_TOTAL_LINE_OF_CREDIT","FQ1 2019","FQ1 2019","Currency=USD","Period=FQ","BEST_FPERIOD_OVERRIDE=FQ","FILING_STATUS=MR","SCALING_FORMAT=MLN","Sort=A","Dates=H","DateFormat=P","Fill=—","Direction=H","UseDPDF=Y")</f>
        <v>#N/A Requesting Data...</v>
      </c>
      <c r="AI24" s="1" t="str">
        <f>_xll.BDH("AKAM US Equity","BS_TOTAL_LINE_OF_CREDIT","FQ2 2019","FQ2 2019","Currency=USD","Period=FQ","BEST_FPERIOD_OVERRIDE=FQ","FILING_STATUS=MR","SCALING_FORMAT=MLN","Sort=A","Dates=H","DateFormat=P","Fill=—","Direction=H","UseDPDF=Y")</f>
        <v>#N/A Requesting Data...</v>
      </c>
      <c r="AJ24" s="1" t="str">
        <f>_xll.BDH("AKAM US Equity","BS_TOTAL_LINE_OF_CREDIT","FQ3 2019","FQ3 2019","Currency=USD","Period=FQ","BEST_FPERIOD_OVERRIDE=FQ","FILING_STATUS=MR","SCALING_FORMAT=MLN","Sort=A","Dates=H","DateFormat=P","Fill=—","Direction=H","UseDPDF=Y")</f>
        <v>#N/A Requesting Data...</v>
      </c>
      <c r="AK24" s="1" t="str">
        <f>_xll.BDH("AKAM US Equity","BS_TOTAL_LINE_OF_CREDIT","FQ4 2019","FQ4 2019","Currency=USD","Period=FQ","BEST_FPERIOD_OVERRIDE=FQ","FILING_STATUS=MR","SCALING_FORMAT=MLN","Sort=A","Dates=H","DateFormat=P","Fill=—","Direction=H","UseDPDF=Y")</f>
        <v>#N/A Requesting Data...</v>
      </c>
      <c r="AL24" s="1" t="str">
        <f>_xll.BDH("AKAM US Equity","BS_TOTAL_LINE_OF_CREDIT","FQ1 2020","FQ1 2020","Currency=USD","Period=FQ","BEST_FPERIOD_OVERRIDE=FQ","FILING_STATUS=MR","SCALING_FORMAT=MLN","Sort=A","Dates=H","DateFormat=P","Fill=—","Direction=H","UseDPDF=Y")</f>
        <v>#N/A Requesting Data...</v>
      </c>
      <c r="AM24" s="1">
        <f>_xll.BDH("AKAM US Equity","BS_TOTAL_LINE_OF_CREDIT","FQ2 2020","FQ2 2020","Currency=USD","Period=FQ","BEST_FPERIOD_OVERRIDE=FQ","FILING_STATUS=MR","SCALING_FORMAT=MLN","Sort=A","Dates=H","DateFormat=P","Fill=—","Direction=H","UseDPDF=Y")</f>
        <v>500</v>
      </c>
      <c r="AN24" s="1">
        <f>_xll.BDH("AKAM US Equity","BS_TOTAL_LINE_OF_CREDIT","FQ3 2020","FQ3 2020","Currency=USD","Period=FQ","BEST_FPERIOD_OVERRIDE=FQ","FILING_STATUS=MR","SCALING_FORMAT=MLN","Sort=A","Dates=H","DateFormat=P","Fill=—","Direction=H","UseDPDF=Y")</f>
        <v>500</v>
      </c>
      <c r="AO24" s="1" t="str">
        <f>_xll.BDH("AKAM US Equity","BS_TOTAL_LINE_OF_CREDIT","FQ4 2020","FQ4 2020","Currency=USD","Period=FQ","BEST_FPERIOD_OVERRIDE=FQ","FILING_STATUS=MR","SCALING_FORMAT=MLN","Sort=A","Dates=H","DateFormat=P","Fill=—","Direction=H","UseDPDF=Y")</f>
        <v>#N/A Requesting Data...</v>
      </c>
      <c r="AP24" s="1">
        <f>_xll.BDH("AKAM US Equity","BS_TOTAL_LINE_OF_CREDIT","FQ1 2021","FQ1 2021","Currency=USD","Period=FQ","BEST_FPERIOD_OVERRIDE=FQ","FILING_STATUS=MR","SCALING_FORMAT=MLN","Sort=A","Dates=H","DateFormat=P","Fill=—","Direction=H","UseDPDF=Y")</f>
        <v>500</v>
      </c>
    </row>
    <row r="25" spans="1:42" x14ac:dyDescent="0.25">
      <c r="A25" s="8" t="s">
        <v>165</v>
      </c>
      <c r="B25" s="8" t="s">
        <v>164</v>
      </c>
      <c r="C25" s="1" t="str">
        <f>_xll.BDH("AKAM US Equity","BS_TOTAL_AVAIL_LINE_OF_CREDIT","FQ2 2011","FQ2 2011","Currency=USD","Period=FQ","BEST_FPERIOD_OVERRIDE=FQ","FILING_STATUS=MR","SCALING_FORMAT=MLN","Sort=A","Dates=H","DateFormat=P","Fill=—","Direction=H","UseDPDF=Y")</f>
        <v>#N/A Requesting Data...</v>
      </c>
      <c r="D25" s="1" t="str">
        <f>_xll.BDH("AKAM US Equity","BS_TOTAL_AVAIL_LINE_OF_CREDIT","FQ3 2011","FQ3 2011","Currency=USD","Period=FQ","BEST_FPERIOD_OVERRIDE=FQ","FILING_STATUS=MR","SCALING_FORMAT=MLN","Sort=A","Dates=H","DateFormat=P","Fill=—","Direction=H","UseDPDF=Y")</f>
        <v>#N/A Requesting Data...</v>
      </c>
      <c r="E25" s="1" t="str">
        <f>_xll.BDH("AKAM US Equity","BS_TOTAL_AVAIL_LINE_OF_CREDIT","FQ4 2011","FQ4 2011","Currency=USD","Period=FQ","BEST_FPERIOD_OVERRIDE=FQ","FILING_STATUS=MR","SCALING_FORMAT=MLN","Sort=A","Dates=H","DateFormat=P","Fill=—","Direction=H","UseDPDF=Y")</f>
        <v>#N/A Requesting Data...</v>
      </c>
      <c r="F25" s="1" t="str">
        <f>_xll.BDH("AKAM US Equity","BS_TOTAL_AVAIL_LINE_OF_CREDIT","FQ1 2012","FQ1 2012","Currency=USD","Period=FQ","BEST_FPERIOD_OVERRIDE=FQ","FILING_STATUS=MR","SCALING_FORMAT=MLN","Sort=A","Dates=H","DateFormat=P","Fill=—","Direction=H","UseDPDF=Y")</f>
        <v>#N/A Requesting Data...</v>
      </c>
      <c r="G25" s="1" t="str">
        <f>_xll.BDH("AKAM US Equity","BS_TOTAL_AVAIL_LINE_OF_CREDIT","FQ2 2012","FQ2 2012","Currency=USD","Period=FQ","BEST_FPERIOD_OVERRIDE=FQ","FILING_STATUS=MR","SCALING_FORMAT=MLN","Sort=A","Dates=H","DateFormat=P","Fill=—","Direction=H","UseDPDF=Y")</f>
        <v>#N/A Requesting Data...</v>
      </c>
      <c r="H25" s="1" t="str">
        <f>_xll.BDH("AKAM US Equity","BS_TOTAL_AVAIL_LINE_OF_CREDIT","FQ3 2012","FQ3 2012","Currency=USD","Period=FQ","BEST_FPERIOD_OVERRIDE=FQ","FILING_STATUS=MR","SCALING_FORMAT=MLN","Sort=A","Dates=H","DateFormat=P","Fill=—","Direction=H","UseDPDF=Y")</f>
        <v>#N/A Requesting Data...</v>
      </c>
      <c r="I25" s="1" t="str">
        <f>_xll.BDH("AKAM US Equity","BS_TOTAL_AVAIL_LINE_OF_CREDIT","FQ4 2012","FQ4 2012","Currency=USD","Period=FQ","BEST_FPERIOD_OVERRIDE=FQ","FILING_STATUS=MR","SCALING_FORMAT=MLN","Sort=A","Dates=H","DateFormat=P","Fill=—","Direction=H","UseDPDF=Y")</f>
        <v>#N/A Requesting Data...</v>
      </c>
      <c r="J25" s="1" t="str">
        <f>_xll.BDH("AKAM US Equity","BS_TOTAL_AVAIL_LINE_OF_CREDIT","FQ1 2013","FQ1 2013","Currency=USD","Period=FQ","BEST_FPERIOD_OVERRIDE=FQ","FILING_STATUS=MR","SCALING_FORMAT=MLN","Sort=A","Dates=H","DateFormat=P","Fill=—","Direction=H","UseDPDF=Y")</f>
        <v>#N/A Requesting Data...</v>
      </c>
      <c r="K25" s="1">
        <f>_xll.BDH("AKAM US Equity","BS_TOTAL_AVAIL_LINE_OF_CREDIT","FQ2 2013","FQ2 2013","Currency=USD","Period=FQ","BEST_FPERIOD_OVERRIDE=FQ","FILING_STATUS=MR","SCALING_FORMAT=MLN","Sort=A","Dates=H","DateFormat=P","Fill=—","Direction=H","UseDPDF=Y")</f>
        <v>0</v>
      </c>
      <c r="L25" s="1" t="str">
        <f>_xll.BDH("AKAM US Equity","BS_TOTAL_AVAIL_LINE_OF_CREDIT","FQ3 2013","FQ3 2013","Currency=USD","Period=FQ","BEST_FPERIOD_OVERRIDE=FQ","FILING_STATUS=MR","SCALING_FORMAT=MLN","Sort=A","Dates=H","DateFormat=P","Fill=—","Direction=H","UseDPDF=Y")</f>
        <v>—</v>
      </c>
      <c r="M25" s="1" t="str">
        <f>_xll.BDH("AKAM US Equity","BS_TOTAL_AVAIL_LINE_OF_CREDIT","FQ4 2013","FQ4 2013","Currency=USD","Period=FQ","BEST_FPERIOD_OVERRIDE=FQ","FILING_STATUS=MR","SCALING_FORMAT=MLN","Sort=A","Dates=H","DateFormat=P","Fill=—","Direction=H","UseDPDF=Y")</f>
        <v>—</v>
      </c>
      <c r="N25" s="1" t="str">
        <f>_xll.BDH("AKAM US Equity","BS_TOTAL_AVAIL_LINE_OF_CREDIT","FQ1 2014","FQ1 2014","Currency=USD","Period=FQ","BEST_FPERIOD_OVERRIDE=FQ","FILING_STATUS=MR","SCALING_FORMAT=MLN","Sort=A","Dates=H","DateFormat=P","Fill=—","Direction=H","UseDPDF=Y")</f>
        <v>—</v>
      </c>
      <c r="O25" s="1" t="str">
        <f>_xll.BDH("AKAM US Equity","BS_TOTAL_AVAIL_LINE_OF_CREDIT","FQ2 2014","FQ2 2014","Currency=USD","Period=FQ","BEST_FPERIOD_OVERRIDE=FQ","FILING_STATUS=MR","SCALING_FORMAT=MLN","Sort=A","Dates=H","DateFormat=P","Fill=—","Direction=H","UseDPDF=Y")</f>
        <v>#N/A Requesting Data...</v>
      </c>
      <c r="P25" s="1" t="str">
        <f>_xll.BDH("AKAM US Equity","BS_TOTAL_AVAIL_LINE_OF_CREDIT","FQ3 2014","FQ3 2014","Currency=USD","Period=FQ","BEST_FPERIOD_OVERRIDE=FQ","FILING_STATUS=MR","SCALING_FORMAT=MLN","Sort=A","Dates=H","DateFormat=P","Fill=—","Direction=H","UseDPDF=Y")</f>
        <v>#N/A Requesting Data...</v>
      </c>
      <c r="Q25" s="1" t="str">
        <f>_xll.BDH("AKAM US Equity","BS_TOTAL_AVAIL_LINE_OF_CREDIT","FQ4 2014","FQ4 2014","Currency=USD","Period=FQ","BEST_FPERIOD_OVERRIDE=FQ","FILING_STATUS=MR","SCALING_FORMAT=MLN","Sort=A","Dates=H","DateFormat=P","Fill=—","Direction=H","UseDPDF=Y")</f>
        <v>#N/A Requesting Data...</v>
      </c>
      <c r="R25" s="1" t="str">
        <f>_xll.BDH("AKAM US Equity","BS_TOTAL_AVAIL_LINE_OF_CREDIT","FQ1 2015","FQ1 2015","Currency=USD","Period=FQ","BEST_FPERIOD_OVERRIDE=FQ","FILING_STATUS=MR","SCALING_FORMAT=MLN","Sort=A","Dates=H","DateFormat=P","Fill=—","Direction=H","UseDPDF=Y")</f>
        <v>#N/A Requesting Data...</v>
      </c>
      <c r="S25" s="1" t="str">
        <f>_xll.BDH("AKAM US Equity","BS_TOTAL_AVAIL_LINE_OF_CREDIT","FQ2 2015","FQ2 2015","Currency=USD","Period=FQ","BEST_FPERIOD_OVERRIDE=FQ","FILING_STATUS=MR","SCALING_FORMAT=MLN","Sort=A","Dates=H","DateFormat=P","Fill=—","Direction=H","UseDPDF=Y")</f>
        <v>#N/A Requesting Data...</v>
      </c>
      <c r="T25" s="1" t="str">
        <f>_xll.BDH("AKAM US Equity","BS_TOTAL_AVAIL_LINE_OF_CREDIT","FQ3 2015","FQ3 2015","Currency=USD","Period=FQ","BEST_FPERIOD_OVERRIDE=FQ","FILING_STATUS=MR","SCALING_FORMAT=MLN","Sort=A","Dates=H","DateFormat=P","Fill=—","Direction=H","UseDPDF=Y")</f>
        <v>#N/A Requesting Data...</v>
      </c>
      <c r="U25" s="1" t="str">
        <f>_xll.BDH("AKAM US Equity","BS_TOTAL_AVAIL_LINE_OF_CREDIT","FQ4 2015","FQ4 2015","Currency=USD","Period=FQ","BEST_FPERIOD_OVERRIDE=FQ","FILING_STATUS=MR","SCALING_FORMAT=MLN","Sort=A","Dates=H","DateFormat=P","Fill=—","Direction=H","UseDPDF=Y")</f>
        <v>#N/A Requesting Data...</v>
      </c>
      <c r="V25" s="1" t="str">
        <f>_xll.BDH("AKAM US Equity","BS_TOTAL_AVAIL_LINE_OF_CREDIT","FQ1 2016","FQ1 2016","Currency=USD","Period=FQ","BEST_FPERIOD_OVERRIDE=FQ","FILING_STATUS=MR","SCALING_FORMAT=MLN","Sort=A","Dates=H","DateFormat=P","Fill=—","Direction=H","UseDPDF=Y")</f>
        <v>#N/A Requesting Data...</v>
      </c>
      <c r="W25" s="1" t="str">
        <f>_xll.BDH("AKAM US Equity","BS_TOTAL_AVAIL_LINE_OF_CREDIT","FQ2 2016","FQ2 2016","Currency=USD","Period=FQ","BEST_FPERIOD_OVERRIDE=FQ","FILING_STATUS=MR","SCALING_FORMAT=MLN","Sort=A","Dates=H","DateFormat=P","Fill=—","Direction=H","UseDPDF=Y")</f>
        <v>—</v>
      </c>
      <c r="X25" s="1" t="str">
        <f>_xll.BDH("AKAM US Equity","BS_TOTAL_AVAIL_LINE_OF_CREDIT","FQ3 2016","FQ3 2016","Currency=USD","Period=FQ","BEST_FPERIOD_OVERRIDE=FQ","FILING_STATUS=MR","SCALING_FORMAT=MLN","Sort=A","Dates=H","DateFormat=P","Fill=—","Direction=H","UseDPDF=Y")</f>
        <v>—</v>
      </c>
      <c r="Y25" s="1" t="str">
        <f>_xll.BDH("AKAM US Equity","BS_TOTAL_AVAIL_LINE_OF_CREDIT","FQ4 2016","FQ4 2016","Currency=USD","Period=FQ","BEST_FPERIOD_OVERRIDE=FQ","FILING_STATUS=MR","SCALING_FORMAT=MLN","Sort=A","Dates=H","DateFormat=P","Fill=—","Direction=H","UseDPDF=Y")</f>
        <v>—</v>
      </c>
      <c r="Z25" s="1" t="str">
        <f>_xll.BDH("AKAM US Equity","BS_TOTAL_AVAIL_LINE_OF_CREDIT","FQ1 2017","FQ1 2017","Currency=USD","Period=FQ","BEST_FPERIOD_OVERRIDE=FQ","FILING_STATUS=MR","SCALING_FORMAT=MLN","Sort=A","Dates=H","DateFormat=P","Fill=—","Direction=H","UseDPDF=Y")</f>
        <v>—</v>
      </c>
      <c r="AA25" s="1" t="str">
        <f>_xll.BDH("AKAM US Equity","BS_TOTAL_AVAIL_LINE_OF_CREDIT","FQ2 2017","FQ2 2017","Currency=USD","Period=FQ","BEST_FPERIOD_OVERRIDE=FQ","FILING_STATUS=MR","SCALING_FORMAT=MLN","Sort=A","Dates=H","DateFormat=P","Fill=—","Direction=H","UseDPDF=Y")</f>
        <v>#N/A Requesting Data...</v>
      </c>
      <c r="AB25" s="1" t="str">
        <f>_xll.BDH("AKAM US Equity","BS_TOTAL_AVAIL_LINE_OF_CREDIT","FQ3 2017","FQ3 2017","Currency=USD","Period=FQ","BEST_FPERIOD_OVERRIDE=FQ","FILING_STATUS=MR","SCALING_FORMAT=MLN","Sort=A","Dates=H","DateFormat=P","Fill=—","Direction=H","UseDPDF=Y")</f>
        <v>#N/A Requesting Data...</v>
      </c>
      <c r="AC25" s="1" t="str">
        <f>_xll.BDH("AKAM US Equity","BS_TOTAL_AVAIL_LINE_OF_CREDIT","FQ4 2017","FQ4 2017","Currency=USD","Period=FQ","BEST_FPERIOD_OVERRIDE=FQ","FILING_STATUS=MR","SCALING_FORMAT=MLN","Sort=A","Dates=H","DateFormat=P","Fill=—","Direction=H","UseDPDF=Y")</f>
        <v>#N/A Requesting Data...</v>
      </c>
      <c r="AD25" s="1" t="str">
        <f>_xll.BDH("AKAM US Equity","BS_TOTAL_AVAIL_LINE_OF_CREDIT","FQ1 2018","FQ1 2018","Currency=USD","Period=FQ","BEST_FPERIOD_OVERRIDE=FQ","FILING_STATUS=MR","SCALING_FORMAT=MLN","Sort=A","Dates=H","DateFormat=P","Fill=—","Direction=H","UseDPDF=Y")</f>
        <v>#N/A Requesting Data...</v>
      </c>
      <c r="AE25" s="1" t="str">
        <f>_xll.BDH("AKAM US Equity","BS_TOTAL_AVAIL_LINE_OF_CREDIT","FQ2 2018","FQ2 2018","Currency=USD","Period=FQ","BEST_FPERIOD_OVERRIDE=FQ","FILING_STATUS=MR","SCALING_FORMAT=MLN","Sort=A","Dates=H","DateFormat=P","Fill=—","Direction=H","UseDPDF=Y")</f>
        <v>#N/A Requesting Data...</v>
      </c>
      <c r="AF25" s="1" t="str">
        <f>_xll.BDH("AKAM US Equity","BS_TOTAL_AVAIL_LINE_OF_CREDIT","FQ3 2018","FQ3 2018","Currency=USD","Period=FQ","BEST_FPERIOD_OVERRIDE=FQ","FILING_STATUS=MR","SCALING_FORMAT=MLN","Sort=A","Dates=H","DateFormat=P","Fill=—","Direction=H","UseDPDF=Y")</f>
        <v>#N/A Requesting Data...</v>
      </c>
      <c r="AG25" s="1" t="str">
        <f>_xll.BDH("AKAM US Equity","BS_TOTAL_AVAIL_LINE_OF_CREDIT","FQ4 2018","FQ4 2018","Currency=USD","Period=FQ","BEST_FPERIOD_OVERRIDE=FQ","FILING_STATUS=MR","SCALING_FORMAT=MLN","Sort=A","Dates=H","DateFormat=P","Fill=—","Direction=H","UseDPDF=Y")</f>
        <v>#N/A Requesting Data...</v>
      </c>
      <c r="AH25" s="1" t="str">
        <f>_xll.BDH("AKAM US Equity","BS_TOTAL_AVAIL_LINE_OF_CREDIT","FQ1 2019","FQ1 2019","Currency=USD","Period=FQ","BEST_FPERIOD_OVERRIDE=FQ","FILING_STATUS=MR","SCALING_FORMAT=MLN","Sort=A","Dates=H","DateFormat=P","Fill=—","Direction=H","UseDPDF=Y")</f>
        <v>#N/A Requesting Data...</v>
      </c>
      <c r="AI25" s="1" t="str">
        <f>_xll.BDH("AKAM US Equity","BS_TOTAL_AVAIL_LINE_OF_CREDIT","FQ2 2019","FQ2 2019","Currency=USD","Period=FQ","BEST_FPERIOD_OVERRIDE=FQ","FILING_STATUS=MR","SCALING_FORMAT=MLN","Sort=A","Dates=H","DateFormat=P","Fill=—","Direction=H","UseDPDF=Y")</f>
        <v>—</v>
      </c>
      <c r="AJ25" s="1" t="str">
        <f>_xll.BDH("AKAM US Equity","BS_TOTAL_AVAIL_LINE_OF_CREDIT","FQ3 2019","FQ3 2019","Currency=USD","Period=FQ","BEST_FPERIOD_OVERRIDE=FQ","FILING_STATUS=MR","SCALING_FORMAT=MLN","Sort=A","Dates=H","DateFormat=P","Fill=—","Direction=H","UseDPDF=Y")</f>
        <v>—</v>
      </c>
      <c r="AK25" s="1" t="str">
        <f>_xll.BDH("AKAM US Equity","BS_TOTAL_AVAIL_LINE_OF_CREDIT","FQ4 2019","FQ4 2019","Currency=USD","Period=FQ","BEST_FPERIOD_OVERRIDE=FQ","FILING_STATUS=MR","SCALING_FORMAT=MLN","Sort=A","Dates=H","DateFormat=P","Fill=—","Direction=H","UseDPDF=Y")</f>
        <v>—</v>
      </c>
      <c r="AL25" s="1">
        <f>_xll.BDH("AKAM US Equity","BS_TOTAL_AVAIL_LINE_OF_CREDIT","FQ1 2020","FQ1 2020","Currency=USD","Period=FQ","BEST_FPERIOD_OVERRIDE=FQ","FILING_STATUS=MR","SCALING_FORMAT=MLN","Sort=A","Dates=H","DateFormat=P","Fill=—","Direction=H","UseDPDF=Y")</f>
        <v>500</v>
      </c>
      <c r="AM25" s="1" t="str">
        <f>_xll.BDH("AKAM US Equity","BS_TOTAL_AVAIL_LINE_OF_CREDIT","FQ2 2020","FQ2 2020","Currency=USD","Period=FQ","BEST_FPERIOD_OVERRIDE=FQ","FILING_STATUS=MR","SCALING_FORMAT=MLN","Sort=A","Dates=H","DateFormat=P","Fill=—","Direction=H","UseDPDF=Y")</f>
        <v>#N/A Requesting Data...</v>
      </c>
      <c r="AN25" s="1" t="str">
        <f>_xll.BDH("AKAM US Equity","BS_TOTAL_AVAIL_LINE_OF_CREDIT","FQ3 2020","FQ3 2020","Currency=USD","Period=FQ","BEST_FPERIOD_OVERRIDE=FQ","FILING_STATUS=MR","SCALING_FORMAT=MLN","Sort=A","Dates=H","DateFormat=P","Fill=—","Direction=H","UseDPDF=Y")</f>
        <v>#N/A Requesting Data...</v>
      </c>
      <c r="AO25" s="1" t="str">
        <f>_xll.BDH("AKAM US Equity","BS_TOTAL_AVAIL_LINE_OF_CREDIT","FQ4 2020","FQ4 2020","Currency=USD","Period=FQ","BEST_FPERIOD_OVERRIDE=FQ","FILING_STATUS=MR","SCALING_FORMAT=MLN","Sort=A","Dates=H","DateFormat=P","Fill=—","Direction=H","UseDPDF=Y")</f>
        <v>#N/A Requesting Data...</v>
      </c>
      <c r="AP25" s="1" t="str">
        <f>_xll.BDH("AKAM US Equity","BS_TOTAL_AVAIL_LINE_OF_CREDIT","FQ1 2021","FQ1 2021","Currency=USD","Period=FQ","BEST_FPERIOD_OVERRIDE=FQ","FILING_STATUS=MR","SCALING_FORMAT=MLN","Sort=A","Dates=H","DateFormat=P","Fill=—","Direction=H","UseDPDF=Y")</f>
        <v>#N/A Requesting Data...</v>
      </c>
    </row>
    <row r="26" spans="1:42" x14ac:dyDescent="0.25">
      <c r="A26" s="8" t="s">
        <v>163</v>
      </c>
      <c r="B26" s="8" t="s">
        <v>162</v>
      </c>
      <c r="C26" s="1" t="str">
        <f>_xll.BDH("AKAM US Equity","LINE_OF_CREDIT_UTILIZED_AMOUNT","FQ2 2011","FQ2 2011","Currency=USD","Period=FQ","BEST_FPERIOD_OVERRIDE=FQ","FILING_STATUS=MR","SCALING_FORMAT=MLN","Sort=A","Dates=H","DateFormat=P","Fill=—","Direction=H","UseDPDF=Y")</f>
        <v>#N/A Requesting Data...</v>
      </c>
      <c r="D26" s="1" t="str">
        <f>_xll.BDH("AKAM US Equity","LINE_OF_CREDIT_UTILIZED_AMOUNT","FQ3 2011","FQ3 2011","Currency=USD","Period=FQ","BEST_FPERIOD_OVERRIDE=FQ","FILING_STATUS=MR","SCALING_FORMAT=MLN","Sort=A","Dates=H","DateFormat=P","Fill=—","Direction=H","UseDPDF=Y")</f>
        <v>#N/A Requesting Data...</v>
      </c>
      <c r="E26" s="1" t="str">
        <f>_xll.BDH("AKAM US Equity","LINE_OF_CREDIT_UTILIZED_AMOUNT","FQ4 2011","FQ4 2011","Currency=USD","Period=FQ","BEST_FPERIOD_OVERRIDE=FQ","FILING_STATUS=MR","SCALING_FORMAT=MLN","Sort=A","Dates=H","DateFormat=P","Fill=—","Direction=H","UseDPDF=Y")</f>
        <v>#N/A Requesting Data...</v>
      </c>
      <c r="F26" s="1" t="str">
        <f>_xll.BDH("AKAM US Equity","LINE_OF_CREDIT_UTILIZED_AMOUNT","FQ1 2012","FQ1 2012","Currency=USD","Period=FQ","BEST_FPERIOD_OVERRIDE=FQ","FILING_STATUS=MR","SCALING_FORMAT=MLN","Sort=A","Dates=H","DateFormat=P","Fill=—","Direction=H","UseDPDF=Y")</f>
        <v>#N/A Requesting Data...</v>
      </c>
      <c r="G26" s="1">
        <f>_xll.BDH("AKAM US Equity","LINE_OF_CREDIT_UTILIZED_AMOUNT","FQ2 2012","FQ2 2012","Currency=USD","Period=FQ","BEST_FPERIOD_OVERRIDE=FQ","FILING_STATUS=MR","SCALING_FORMAT=MLN","Sort=A","Dates=H","DateFormat=P","Fill=—","Direction=H","UseDPDF=Y")</f>
        <v>0</v>
      </c>
      <c r="H26" s="1">
        <f>_xll.BDH("AKAM US Equity","LINE_OF_CREDIT_UTILIZED_AMOUNT","FQ3 2012","FQ3 2012","Currency=USD","Period=FQ","BEST_FPERIOD_OVERRIDE=FQ","FILING_STATUS=MR","SCALING_FORMAT=MLN","Sort=A","Dates=H","DateFormat=P","Fill=—","Direction=H","UseDPDF=Y")</f>
        <v>0</v>
      </c>
      <c r="I26" s="1" t="str">
        <f>_xll.BDH("AKAM US Equity","LINE_OF_CREDIT_UTILIZED_AMOUNT","FQ4 2012","FQ4 2012","Currency=USD","Period=FQ","BEST_FPERIOD_OVERRIDE=FQ","FILING_STATUS=MR","SCALING_FORMAT=MLN","Sort=A","Dates=H","DateFormat=P","Fill=—","Direction=H","UseDPDF=Y")</f>
        <v>—</v>
      </c>
      <c r="J26" s="1" t="str">
        <f>_xll.BDH("AKAM US Equity","LINE_OF_CREDIT_UTILIZED_AMOUNT","FQ1 2013","FQ1 2013","Currency=USD","Period=FQ","BEST_FPERIOD_OVERRIDE=FQ","FILING_STATUS=MR","SCALING_FORMAT=MLN","Sort=A","Dates=H","DateFormat=P","Fill=—","Direction=H","UseDPDF=Y")</f>
        <v>—</v>
      </c>
      <c r="K26" s="1" t="str">
        <f>_xll.BDH("AKAM US Equity","LINE_OF_CREDIT_UTILIZED_AMOUNT","FQ2 2013","FQ2 2013","Currency=USD","Period=FQ","BEST_FPERIOD_OVERRIDE=FQ","FILING_STATUS=MR","SCALING_FORMAT=MLN","Sort=A","Dates=H","DateFormat=P","Fill=—","Direction=H","UseDPDF=Y")</f>
        <v>#N/A Requesting Data...</v>
      </c>
      <c r="L26" s="1" t="str">
        <f>_xll.BDH("AKAM US Equity","LINE_OF_CREDIT_UTILIZED_AMOUNT","FQ3 2013","FQ3 2013","Currency=USD","Period=FQ","BEST_FPERIOD_OVERRIDE=FQ","FILING_STATUS=MR","SCALING_FORMAT=MLN","Sort=A","Dates=H","DateFormat=P","Fill=—","Direction=H","UseDPDF=Y")</f>
        <v>#N/A Requesting Data...</v>
      </c>
      <c r="M26" s="1" t="str">
        <f>_xll.BDH("AKAM US Equity","LINE_OF_CREDIT_UTILIZED_AMOUNT","FQ4 2013","FQ4 2013","Currency=USD","Period=FQ","BEST_FPERIOD_OVERRIDE=FQ","FILING_STATUS=MR","SCALING_FORMAT=MLN","Sort=A","Dates=H","DateFormat=P","Fill=—","Direction=H","UseDPDF=Y")</f>
        <v>#N/A Requesting Data...</v>
      </c>
      <c r="N26" s="1" t="str">
        <f>_xll.BDH("AKAM US Equity","LINE_OF_CREDIT_UTILIZED_AMOUNT","FQ1 2014","FQ1 2014","Currency=USD","Period=FQ","BEST_FPERIOD_OVERRIDE=FQ","FILING_STATUS=MR","SCALING_FORMAT=MLN","Sort=A","Dates=H","DateFormat=P","Fill=—","Direction=H","UseDPDF=Y")</f>
        <v>#N/A Requesting Data...</v>
      </c>
      <c r="O26" s="1" t="str">
        <f>_xll.BDH("AKAM US Equity","LINE_OF_CREDIT_UTILIZED_AMOUNT","FQ2 2014","FQ2 2014","Currency=USD","Period=FQ","BEST_FPERIOD_OVERRIDE=FQ","FILING_STATUS=MR","SCALING_FORMAT=MLN","Sort=A","Dates=H","DateFormat=P","Fill=—","Direction=H","UseDPDF=Y")</f>
        <v>#N/A Requesting Data...</v>
      </c>
      <c r="P26" s="1" t="str">
        <f>_xll.BDH("AKAM US Equity","LINE_OF_CREDIT_UTILIZED_AMOUNT","FQ3 2014","FQ3 2014","Currency=USD","Period=FQ","BEST_FPERIOD_OVERRIDE=FQ","FILING_STATUS=MR","SCALING_FORMAT=MLN","Sort=A","Dates=H","DateFormat=P","Fill=—","Direction=H","UseDPDF=Y")</f>
        <v>#N/A Requesting Data...</v>
      </c>
      <c r="Q26" s="1" t="str">
        <f>_xll.BDH("AKAM US Equity","LINE_OF_CREDIT_UTILIZED_AMOUNT","FQ4 2014","FQ4 2014","Currency=USD","Period=FQ","BEST_FPERIOD_OVERRIDE=FQ","FILING_STATUS=MR","SCALING_FORMAT=MLN","Sort=A","Dates=H","DateFormat=P","Fill=—","Direction=H","UseDPDF=Y")</f>
        <v>#N/A Requesting Data...</v>
      </c>
      <c r="R26" s="1" t="str">
        <f>_xll.BDH("AKAM US Equity","LINE_OF_CREDIT_UTILIZED_AMOUNT","FQ1 2015","FQ1 2015","Currency=USD","Period=FQ","BEST_FPERIOD_OVERRIDE=FQ","FILING_STATUS=MR","SCALING_FORMAT=MLN","Sort=A","Dates=H","DateFormat=P","Fill=—","Direction=H","UseDPDF=Y")</f>
        <v>#N/A Requesting Data...</v>
      </c>
      <c r="S26" s="1">
        <f>_xll.BDH("AKAM US Equity","LINE_OF_CREDIT_UTILIZED_AMOUNT","FQ2 2015","FQ2 2015","Currency=USD","Period=FQ","BEST_FPERIOD_OVERRIDE=FQ","FILING_STATUS=MR","SCALING_FORMAT=MLN","Sort=A","Dates=H","DateFormat=P","Fill=—","Direction=H","UseDPDF=Y")</f>
        <v>0</v>
      </c>
      <c r="T26" s="1" t="str">
        <f>_xll.BDH("AKAM US Equity","LINE_OF_CREDIT_UTILIZED_AMOUNT","FQ3 2015","FQ3 2015","Currency=USD","Period=FQ","BEST_FPERIOD_OVERRIDE=FQ","FILING_STATUS=MR","SCALING_FORMAT=MLN","Sort=A","Dates=H","DateFormat=P","Fill=—","Direction=H","UseDPDF=Y")</f>
        <v>—</v>
      </c>
      <c r="U26" s="1" t="str">
        <f>_xll.BDH("AKAM US Equity","LINE_OF_CREDIT_UTILIZED_AMOUNT","FQ4 2015","FQ4 2015","Currency=USD","Period=FQ","BEST_FPERIOD_OVERRIDE=FQ","FILING_STATUS=MR","SCALING_FORMAT=MLN","Sort=A","Dates=H","DateFormat=P","Fill=—","Direction=H","UseDPDF=Y")</f>
        <v>—</v>
      </c>
      <c r="V26" s="1" t="str">
        <f>_xll.BDH("AKAM US Equity","LINE_OF_CREDIT_UTILIZED_AMOUNT","FQ1 2016","FQ1 2016","Currency=USD","Period=FQ","BEST_FPERIOD_OVERRIDE=FQ","FILING_STATUS=MR","SCALING_FORMAT=MLN","Sort=A","Dates=H","DateFormat=P","Fill=—","Direction=H","UseDPDF=Y")</f>
        <v>—</v>
      </c>
      <c r="W26" s="1" t="str">
        <f>_xll.BDH("AKAM US Equity","LINE_OF_CREDIT_UTILIZED_AMOUNT","FQ2 2016","FQ2 2016","Currency=USD","Period=FQ","BEST_FPERIOD_OVERRIDE=FQ","FILING_STATUS=MR","SCALING_FORMAT=MLN","Sort=A","Dates=H","DateFormat=P","Fill=—","Direction=H","UseDPDF=Y")</f>
        <v>#N/A Requesting Data...</v>
      </c>
      <c r="X26" s="1" t="str">
        <f>_xll.BDH("AKAM US Equity","LINE_OF_CREDIT_UTILIZED_AMOUNT","FQ3 2016","FQ3 2016","Currency=USD","Period=FQ","BEST_FPERIOD_OVERRIDE=FQ","FILING_STATUS=MR","SCALING_FORMAT=MLN","Sort=A","Dates=H","DateFormat=P","Fill=—","Direction=H","UseDPDF=Y")</f>
        <v>#N/A Requesting Data...</v>
      </c>
      <c r="Y26" s="1" t="str">
        <f>_xll.BDH("AKAM US Equity","LINE_OF_CREDIT_UTILIZED_AMOUNT","FQ4 2016","FQ4 2016","Currency=USD","Period=FQ","BEST_FPERIOD_OVERRIDE=FQ","FILING_STATUS=MR","SCALING_FORMAT=MLN","Sort=A","Dates=H","DateFormat=P","Fill=—","Direction=H","UseDPDF=Y")</f>
        <v>#N/A Requesting Data...</v>
      </c>
      <c r="Z26" s="1" t="str">
        <f>_xll.BDH("AKAM US Equity","LINE_OF_CREDIT_UTILIZED_AMOUNT","FQ1 2017","FQ1 2017","Currency=USD","Period=FQ","BEST_FPERIOD_OVERRIDE=FQ","FILING_STATUS=MR","SCALING_FORMAT=MLN","Sort=A","Dates=H","DateFormat=P","Fill=—","Direction=H","UseDPDF=Y")</f>
        <v>#N/A Requesting Data...</v>
      </c>
      <c r="AA26" s="1" t="str">
        <f>_xll.BDH("AKAM US Equity","LINE_OF_CREDIT_UTILIZED_AMOUNT","FQ2 2017","FQ2 2017","Currency=USD","Period=FQ","BEST_FPERIOD_OVERRIDE=FQ","FILING_STATUS=MR","SCALING_FORMAT=MLN","Sort=A","Dates=H","DateFormat=P","Fill=—","Direction=H","UseDPDF=Y")</f>
        <v>#N/A Requesting Data...</v>
      </c>
      <c r="AB26" s="1" t="str">
        <f>_xll.BDH("AKAM US Equity","LINE_OF_CREDIT_UTILIZED_AMOUNT","FQ3 2017","FQ3 2017","Currency=USD","Period=FQ","BEST_FPERIOD_OVERRIDE=FQ","FILING_STATUS=MR","SCALING_FORMAT=MLN","Sort=A","Dates=H","DateFormat=P","Fill=—","Direction=H","UseDPDF=Y")</f>
        <v>#N/A Requesting Data...</v>
      </c>
      <c r="AC26" s="1" t="str">
        <f>_xll.BDH("AKAM US Equity","LINE_OF_CREDIT_UTILIZED_AMOUNT","FQ4 2017","FQ4 2017","Currency=USD","Period=FQ","BEST_FPERIOD_OVERRIDE=FQ","FILING_STATUS=MR","SCALING_FORMAT=MLN","Sort=A","Dates=H","DateFormat=P","Fill=—","Direction=H","UseDPDF=Y")</f>
        <v>#N/A Requesting Data...</v>
      </c>
      <c r="AD26" s="1" t="str">
        <f>_xll.BDH("AKAM US Equity","LINE_OF_CREDIT_UTILIZED_AMOUNT","FQ1 2018","FQ1 2018","Currency=USD","Period=FQ","BEST_FPERIOD_OVERRIDE=FQ","FILING_STATUS=MR","SCALING_FORMAT=MLN","Sort=A","Dates=H","DateFormat=P","Fill=—","Direction=H","UseDPDF=Y")</f>
        <v>#N/A Requesting Data...</v>
      </c>
      <c r="AE26" s="1" t="str">
        <f>_xll.BDH("AKAM US Equity","LINE_OF_CREDIT_UTILIZED_AMOUNT","FQ2 2018","FQ2 2018","Currency=USD","Period=FQ","BEST_FPERIOD_OVERRIDE=FQ","FILING_STATUS=MR","SCALING_FORMAT=MLN","Sort=A","Dates=H","DateFormat=P","Fill=—","Direction=H","UseDPDF=Y")</f>
        <v>—</v>
      </c>
      <c r="AF26" s="1" t="str">
        <f>_xll.BDH("AKAM US Equity","LINE_OF_CREDIT_UTILIZED_AMOUNT","FQ3 2018","FQ3 2018","Currency=USD","Period=FQ","BEST_FPERIOD_OVERRIDE=FQ","FILING_STATUS=MR","SCALING_FORMAT=MLN","Sort=A","Dates=H","DateFormat=P","Fill=—","Direction=H","UseDPDF=Y")</f>
        <v>—</v>
      </c>
      <c r="AG26" s="1" t="str">
        <f>_xll.BDH("AKAM US Equity","LINE_OF_CREDIT_UTILIZED_AMOUNT","FQ4 2018","FQ4 2018","Currency=USD","Period=FQ","BEST_FPERIOD_OVERRIDE=FQ","FILING_STATUS=MR","SCALING_FORMAT=MLN","Sort=A","Dates=H","DateFormat=P","Fill=—","Direction=H","UseDPDF=Y")</f>
        <v>—</v>
      </c>
      <c r="AH26" s="1" t="str">
        <f>_xll.BDH("AKAM US Equity","LINE_OF_CREDIT_UTILIZED_AMOUNT","FQ1 2019","FQ1 2019","Currency=USD","Period=FQ","BEST_FPERIOD_OVERRIDE=FQ","FILING_STATUS=MR","SCALING_FORMAT=MLN","Sort=A","Dates=H","DateFormat=P","Fill=—","Direction=H","UseDPDF=Y")</f>
        <v>—</v>
      </c>
      <c r="AI26" s="1" t="str">
        <f>_xll.BDH("AKAM US Equity","LINE_OF_CREDIT_UTILIZED_AMOUNT","FQ2 2019","FQ2 2019","Currency=USD","Period=FQ","BEST_FPERIOD_OVERRIDE=FQ","FILING_STATUS=MR","SCALING_FORMAT=MLN","Sort=A","Dates=H","DateFormat=P","Fill=—","Direction=H","UseDPDF=Y")</f>
        <v>#N/A Requesting Data...</v>
      </c>
      <c r="AJ26" s="1" t="str">
        <f>_xll.BDH("AKAM US Equity","LINE_OF_CREDIT_UTILIZED_AMOUNT","FQ3 2019","FQ3 2019","Currency=USD","Period=FQ","BEST_FPERIOD_OVERRIDE=FQ","FILING_STATUS=MR","SCALING_FORMAT=MLN","Sort=A","Dates=H","DateFormat=P","Fill=—","Direction=H","UseDPDF=Y")</f>
        <v>#N/A Requesting Data...</v>
      </c>
      <c r="AK26" s="1" t="str">
        <f>_xll.BDH("AKAM US Equity","LINE_OF_CREDIT_UTILIZED_AMOUNT","FQ4 2019","FQ4 2019","Currency=USD","Period=FQ","BEST_FPERIOD_OVERRIDE=FQ","FILING_STATUS=MR","SCALING_FORMAT=MLN","Sort=A","Dates=H","DateFormat=P","Fill=—","Direction=H","UseDPDF=Y")</f>
        <v>#N/A Requesting Data...</v>
      </c>
      <c r="AL26" s="1" t="str">
        <f>_xll.BDH("AKAM US Equity","LINE_OF_CREDIT_UTILIZED_AMOUNT","FQ1 2020","FQ1 2020","Currency=USD","Period=FQ","BEST_FPERIOD_OVERRIDE=FQ","FILING_STATUS=MR","SCALING_FORMAT=MLN","Sort=A","Dates=H","DateFormat=P","Fill=—","Direction=H","UseDPDF=Y")</f>
        <v>#N/A Requesting Data...</v>
      </c>
      <c r="AM26" s="1" t="str">
        <f>_xll.BDH("AKAM US Equity","LINE_OF_CREDIT_UTILIZED_AMOUNT","FQ2 2020","FQ2 2020","Currency=USD","Period=FQ","BEST_FPERIOD_OVERRIDE=FQ","FILING_STATUS=MR","SCALING_FORMAT=MLN","Sort=A","Dates=H","DateFormat=P","Fill=—","Direction=H","UseDPDF=Y")</f>
        <v>#N/A Requesting Data...</v>
      </c>
      <c r="AN26" s="1" t="str">
        <f>_xll.BDH("AKAM US Equity","LINE_OF_CREDIT_UTILIZED_AMOUNT","FQ3 2020","FQ3 2020","Currency=USD","Period=FQ","BEST_FPERIOD_OVERRIDE=FQ","FILING_STATUS=MR","SCALING_FORMAT=MLN","Sort=A","Dates=H","DateFormat=P","Fill=—","Direction=H","UseDPDF=Y")</f>
        <v>#N/A Requesting Data...</v>
      </c>
      <c r="AO26" s="1" t="str">
        <f>_xll.BDH("AKAM US Equity","LINE_OF_CREDIT_UTILIZED_AMOUNT","FQ4 2020","FQ4 2020","Currency=USD","Period=FQ","BEST_FPERIOD_OVERRIDE=FQ","FILING_STATUS=MR","SCALING_FORMAT=MLN","Sort=A","Dates=H","DateFormat=P","Fill=—","Direction=H","UseDPDF=Y")</f>
        <v>#N/A Requesting Data...</v>
      </c>
      <c r="AP26" s="1" t="str">
        <f>_xll.BDH("AKAM US Equity","LINE_OF_CREDIT_UTILIZED_AMOUNT","FQ1 2021","FQ1 2021","Currency=USD","Period=FQ","BEST_FPERIOD_OVERRIDE=FQ","FILING_STATUS=MR","SCALING_FORMAT=MLN","Sort=A","Dates=H","DateFormat=P","Fill=—","Direction=H","UseDPDF=Y")</f>
        <v>#N/A Requesting Data...</v>
      </c>
    </row>
    <row r="27" spans="1:42" x14ac:dyDescent="0.25">
      <c r="A27" s="8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</row>
    <row r="28" spans="1:42" x14ac:dyDescent="0.25">
      <c r="A28" s="8" t="s">
        <v>161</v>
      </c>
      <c r="B28" s="8" t="s">
        <v>160</v>
      </c>
      <c r="C28" s="1" t="str">
        <f>_xll.BDH("AKAM US Equity","BS_TOT_COM_PAPER_ISSUED","FQ2 2011","FQ2 2011","Currency=USD","Period=FQ","BEST_FPERIOD_OVERRIDE=FQ","FILING_STATUS=MR","SCALING_FORMAT=MLN","Sort=A","Dates=H","DateFormat=P","Fill=—","Direction=H","UseDPDF=Y")</f>
        <v>—</v>
      </c>
      <c r="D28" s="1" t="str">
        <f>_xll.BDH("AKAM US Equity","BS_TOT_COM_PAPER_ISSUED","FQ3 2011","FQ3 2011","Currency=USD","Period=FQ","BEST_FPERIOD_OVERRIDE=FQ","FILING_STATUS=MR","SCALING_FORMAT=MLN","Sort=A","Dates=H","DateFormat=P","Fill=—","Direction=H","UseDPDF=Y")</f>
        <v>—</v>
      </c>
      <c r="E28" s="1" t="str">
        <f>_xll.BDH("AKAM US Equity","BS_TOT_COM_PAPER_ISSUED","FQ4 2011","FQ4 2011","Currency=USD","Period=FQ","BEST_FPERIOD_OVERRIDE=FQ","FILING_STATUS=MR","SCALING_FORMAT=MLN","Sort=A","Dates=H","DateFormat=P","Fill=—","Direction=H","UseDPDF=Y")</f>
        <v>—</v>
      </c>
      <c r="F28" s="1" t="str">
        <f>_xll.BDH("AKAM US Equity","BS_TOT_COM_PAPER_ISSUED","FQ1 2012","FQ1 2012","Currency=USD","Period=FQ","BEST_FPERIOD_OVERRIDE=FQ","FILING_STATUS=MR","SCALING_FORMAT=MLN","Sort=A","Dates=H","DateFormat=P","Fill=—","Direction=H","UseDPDF=Y")</f>
        <v>—</v>
      </c>
      <c r="G28" s="1">
        <f>_xll.BDH("AKAM US Equity","BS_TOT_COM_PAPER_ISSUED","FQ2 2012","FQ2 2012","Currency=USD","Period=FQ","BEST_FPERIOD_OVERRIDE=FQ","FILING_STATUS=MR","SCALING_FORMAT=MLN","Sort=A","Dates=H","DateFormat=P","Fill=—","Direction=H","UseDPDF=Y")</f>
        <v>0</v>
      </c>
      <c r="H28" s="1" t="str">
        <f>_xll.BDH("AKAM US Equity","BS_TOT_COM_PAPER_ISSUED","FQ3 2012","FQ3 2012","Currency=USD","Period=FQ","BEST_FPERIOD_OVERRIDE=FQ","FILING_STATUS=MR","SCALING_FORMAT=MLN","Sort=A","Dates=H","DateFormat=P","Fill=—","Direction=H","UseDPDF=Y")</f>
        <v>#N/A Requesting Data...</v>
      </c>
      <c r="I28" s="1" t="str">
        <f>_xll.BDH("AKAM US Equity","BS_TOT_COM_PAPER_ISSUED","FQ4 2012","FQ4 2012","Currency=USD","Period=FQ","BEST_FPERIOD_OVERRIDE=FQ","FILING_STATUS=MR","SCALING_FORMAT=MLN","Sort=A","Dates=H","DateFormat=P","Fill=—","Direction=H","UseDPDF=Y")</f>
        <v>#N/A Requesting Data...</v>
      </c>
      <c r="J28" s="1" t="str">
        <f>_xll.BDH("AKAM US Equity","BS_TOT_COM_PAPER_ISSUED","FQ1 2013","FQ1 2013","Currency=USD","Period=FQ","BEST_FPERIOD_OVERRIDE=FQ","FILING_STATUS=MR","SCALING_FORMAT=MLN","Sort=A","Dates=H","DateFormat=P","Fill=—","Direction=H","UseDPDF=Y")</f>
        <v>#N/A Requesting Data...</v>
      </c>
      <c r="K28" s="1" t="str">
        <f>_xll.BDH("AKAM US Equity","BS_TOT_COM_PAPER_ISSUED","FQ2 2013","FQ2 2013","Currency=USD","Period=FQ","BEST_FPERIOD_OVERRIDE=FQ","FILING_STATUS=MR","SCALING_FORMAT=MLN","Sort=A","Dates=H","DateFormat=P","Fill=—","Direction=H","UseDPDF=Y")</f>
        <v>#N/A Requesting Data...</v>
      </c>
      <c r="L28" s="1" t="str">
        <f>_xll.BDH("AKAM US Equity","BS_TOT_COM_PAPER_ISSUED","FQ3 2013","FQ3 2013","Currency=USD","Period=FQ","BEST_FPERIOD_OVERRIDE=FQ","FILING_STATUS=MR","SCALING_FORMAT=MLN","Sort=A","Dates=H","DateFormat=P","Fill=—","Direction=H","UseDPDF=Y")</f>
        <v>#N/A Requesting Data...</v>
      </c>
      <c r="M28" s="1" t="str">
        <f>_xll.BDH("AKAM US Equity","BS_TOT_COM_PAPER_ISSUED","FQ4 2013","FQ4 2013","Currency=USD","Period=FQ","BEST_FPERIOD_OVERRIDE=FQ","FILING_STATUS=MR","SCALING_FORMAT=MLN","Sort=A","Dates=H","DateFormat=P","Fill=—","Direction=H","UseDPDF=Y")</f>
        <v>#N/A Requesting Data...</v>
      </c>
      <c r="N28" s="1" t="str">
        <f>_xll.BDH("AKAM US Equity","BS_TOT_COM_PAPER_ISSUED","FQ1 2014","FQ1 2014","Currency=USD","Period=FQ","BEST_FPERIOD_OVERRIDE=FQ","FILING_STATUS=MR","SCALING_FORMAT=MLN","Sort=A","Dates=H","DateFormat=P","Fill=—","Direction=H","UseDPDF=Y")</f>
        <v>#N/A Requesting Data...</v>
      </c>
      <c r="O28" s="1" t="str">
        <f>_xll.BDH("AKAM US Equity","BS_TOT_COM_PAPER_ISSUED","FQ2 2014","FQ2 2014","Currency=USD","Period=FQ","BEST_FPERIOD_OVERRIDE=FQ","FILING_STATUS=MR","SCALING_FORMAT=MLN","Sort=A","Dates=H","DateFormat=P","Fill=—","Direction=H","UseDPDF=Y")</f>
        <v>#N/A Requesting Data...</v>
      </c>
      <c r="P28" s="1" t="str">
        <f>_xll.BDH("AKAM US Equity","BS_TOT_COM_PAPER_ISSUED","FQ3 2014","FQ3 2014","Currency=USD","Period=FQ","BEST_FPERIOD_OVERRIDE=FQ","FILING_STATUS=MR","SCALING_FORMAT=MLN","Sort=A","Dates=H","DateFormat=P","Fill=—","Direction=H","UseDPDF=Y")</f>
        <v>—</v>
      </c>
      <c r="Q28" s="1" t="str">
        <f>_xll.BDH("AKAM US Equity","BS_TOT_COM_PAPER_ISSUED","FQ4 2014","FQ4 2014","Currency=USD","Period=FQ","BEST_FPERIOD_OVERRIDE=FQ","FILING_STATUS=MR","SCALING_FORMAT=MLN","Sort=A","Dates=H","DateFormat=P","Fill=—","Direction=H","UseDPDF=Y")</f>
        <v>—</v>
      </c>
      <c r="R28" s="1" t="str">
        <f>_xll.BDH("AKAM US Equity","BS_TOT_COM_PAPER_ISSUED","FQ1 2015","FQ1 2015","Currency=USD","Period=FQ","BEST_FPERIOD_OVERRIDE=FQ","FILING_STATUS=MR","SCALING_FORMAT=MLN","Sort=A","Dates=H","DateFormat=P","Fill=—","Direction=H","UseDPDF=Y")</f>
        <v>—</v>
      </c>
      <c r="S28" s="1">
        <f>_xll.BDH("AKAM US Equity","BS_TOT_COM_PAPER_ISSUED","FQ2 2015","FQ2 2015","Currency=USD","Period=FQ","BEST_FPERIOD_OVERRIDE=FQ","FILING_STATUS=MR","SCALING_FORMAT=MLN","Sort=A","Dates=H","DateFormat=P","Fill=—","Direction=H","UseDPDF=Y")</f>
        <v>0</v>
      </c>
      <c r="T28" s="1" t="str">
        <f>_xll.BDH("AKAM US Equity","BS_TOT_COM_PAPER_ISSUED","FQ3 2015","FQ3 2015","Currency=USD","Period=FQ","BEST_FPERIOD_OVERRIDE=FQ","FILING_STATUS=MR","SCALING_FORMAT=MLN","Sort=A","Dates=H","DateFormat=P","Fill=—","Direction=H","UseDPDF=Y")</f>
        <v>#N/A Requesting Data...</v>
      </c>
      <c r="U28" s="1" t="str">
        <f>_xll.BDH("AKAM US Equity","BS_TOT_COM_PAPER_ISSUED","FQ4 2015","FQ4 2015","Currency=USD","Period=FQ","BEST_FPERIOD_OVERRIDE=FQ","FILING_STATUS=MR","SCALING_FORMAT=MLN","Sort=A","Dates=H","DateFormat=P","Fill=—","Direction=H","UseDPDF=Y")</f>
        <v>#N/A Requesting Data...</v>
      </c>
      <c r="V28" s="1" t="str">
        <f>_xll.BDH("AKAM US Equity","BS_TOT_COM_PAPER_ISSUED","FQ1 2016","FQ1 2016","Currency=USD","Period=FQ","BEST_FPERIOD_OVERRIDE=FQ","FILING_STATUS=MR","SCALING_FORMAT=MLN","Sort=A","Dates=H","DateFormat=P","Fill=—","Direction=H","UseDPDF=Y")</f>
        <v>#N/A Requesting Data...</v>
      </c>
      <c r="W28" s="1" t="str">
        <f>_xll.BDH("AKAM US Equity","BS_TOT_COM_PAPER_ISSUED","FQ2 2016","FQ2 2016","Currency=USD","Period=FQ","BEST_FPERIOD_OVERRIDE=FQ","FILING_STATUS=MR","SCALING_FORMAT=MLN","Sort=A","Dates=H","DateFormat=P","Fill=—","Direction=H","UseDPDF=Y")</f>
        <v>#N/A Requesting Data...</v>
      </c>
      <c r="X28" s="1" t="str">
        <f>_xll.BDH("AKAM US Equity","BS_TOT_COM_PAPER_ISSUED","FQ3 2016","FQ3 2016","Currency=USD","Period=FQ","BEST_FPERIOD_OVERRIDE=FQ","FILING_STATUS=MR","SCALING_FORMAT=MLN","Sort=A","Dates=H","DateFormat=P","Fill=—","Direction=H","UseDPDF=Y")</f>
        <v>#N/A Requesting Data...</v>
      </c>
      <c r="Y28" s="1" t="str">
        <f>_xll.BDH("AKAM US Equity","BS_TOT_COM_PAPER_ISSUED","FQ4 2016","FQ4 2016","Currency=USD","Period=FQ","BEST_FPERIOD_OVERRIDE=FQ","FILING_STATUS=MR","SCALING_FORMAT=MLN","Sort=A","Dates=H","DateFormat=P","Fill=—","Direction=H","UseDPDF=Y")</f>
        <v>#N/A Requesting Data...</v>
      </c>
      <c r="Z28" s="1" t="str">
        <f>_xll.BDH("AKAM US Equity","BS_TOT_COM_PAPER_ISSUED","FQ1 2017","FQ1 2017","Currency=USD","Period=FQ","BEST_FPERIOD_OVERRIDE=FQ","FILING_STATUS=MR","SCALING_FORMAT=MLN","Sort=A","Dates=H","DateFormat=P","Fill=—","Direction=H","UseDPDF=Y")</f>
        <v>#N/A Requesting Data...</v>
      </c>
      <c r="AA28" s="1" t="str">
        <f>_xll.BDH("AKAM US Equity","BS_TOT_COM_PAPER_ISSUED","FQ2 2017","FQ2 2017","Currency=USD","Period=FQ","BEST_FPERIOD_OVERRIDE=FQ","FILING_STATUS=MR","SCALING_FORMAT=MLN","Sort=A","Dates=H","DateFormat=P","Fill=—","Direction=H","UseDPDF=Y")</f>
        <v>—</v>
      </c>
      <c r="AB28" s="1" t="str">
        <f>_xll.BDH("AKAM US Equity","BS_TOT_COM_PAPER_ISSUED","FQ3 2017","FQ3 2017","Currency=USD","Period=FQ","BEST_FPERIOD_OVERRIDE=FQ","FILING_STATUS=MR","SCALING_FORMAT=MLN","Sort=A","Dates=H","DateFormat=P","Fill=—","Direction=H","UseDPDF=Y")</f>
        <v>—</v>
      </c>
      <c r="AC28" s="1" t="str">
        <f>_xll.BDH("AKAM US Equity","BS_TOT_COM_PAPER_ISSUED","FQ4 2017","FQ4 2017","Currency=USD","Period=FQ","BEST_FPERIOD_OVERRIDE=FQ","FILING_STATUS=MR","SCALING_FORMAT=MLN","Sort=A","Dates=H","DateFormat=P","Fill=—","Direction=H","UseDPDF=Y")</f>
        <v>—</v>
      </c>
      <c r="AD28" s="1" t="str">
        <f>_xll.BDH("AKAM US Equity","BS_TOT_COM_PAPER_ISSUED","FQ1 2018","FQ1 2018","Currency=USD","Period=FQ","BEST_FPERIOD_OVERRIDE=FQ","FILING_STATUS=MR","SCALING_FORMAT=MLN","Sort=A","Dates=H","DateFormat=P","Fill=—","Direction=H","UseDPDF=Y")</f>
        <v>—</v>
      </c>
      <c r="AE28" s="1" t="str">
        <f>_xll.BDH("AKAM US Equity","BS_TOT_COM_PAPER_ISSUED","FQ2 2018","FQ2 2018","Currency=USD","Period=FQ","BEST_FPERIOD_OVERRIDE=FQ","FILING_STATUS=MR","SCALING_FORMAT=MLN","Sort=A","Dates=H","DateFormat=P","Fill=—","Direction=H","UseDPDF=Y")</f>
        <v>#N/A Requesting Data...</v>
      </c>
      <c r="AF28" s="1" t="str">
        <f>_xll.BDH("AKAM US Equity","BS_TOT_COM_PAPER_ISSUED","FQ3 2018","FQ3 2018","Currency=USD","Period=FQ","BEST_FPERIOD_OVERRIDE=FQ","FILING_STATUS=MR","SCALING_FORMAT=MLN","Sort=A","Dates=H","DateFormat=P","Fill=—","Direction=H","UseDPDF=Y")</f>
        <v>#N/A Requesting Data...</v>
      </c>
      <c r="AG28" s="1" t="str">
        <f>_xll.BDH("AKAM US Equity","BS_TOT_COM_PAPER_ISSUED","FQ4 2018","FQ4 2018","Currency=USD","Period=FQ","BEST_FPERIOD_OVERRIDE=FQ","FILING_STATUS=MR","SCALING_FORMAT=MLN","Sort=A","Dates=H","DateFormat=P","Fill=—","Direction=H","UseDPDF=Y")</f>
        <v>#N/A Requesting Data...</v>
      </c>
      <c r="AH28" s="1" t="str">
        <f>_xll.BDH("AKAM US Equity","BS_TOT_COM_PAPER_ISSUED","FQ1 2019","FQ1 2019","Currency=USD","Period=FQ","BEST_FPERIOD_OVERRIDE=FQ","FILING_STATUS=MR","SCALING_FORMAT=MLN","Sort=A","Dates=H","DateFormat=P","Fill=—","Direction=H","UseDPDF=Y")</f>
        <v>#N/A Requesting Data...</v>
      </c>
      <c r="AI28" s="1" t="str">
        <f>_xll.BDH("AKAM US Equity","BS_TOT_COM_PAPER_ISSUED","FQ2 2019","FQ2 2019","Currency=USD","Period=FQ","BEST_FPERIOD_OVERRIDE=FQ","FILING_STATUS=MR","SCALING_FORMAT=MLN","Sort=A","Dates=H","DateFormat=P","Fill=—","Direction=H","UseDPDF=Y")</f>
        <v>#N/A Requesting Data...</v>
      </c>
      <c r="AJ28" s="1" t="str">
        <f>_xll.BDH("AKAM US Equity","BS_TOT_COM_PAPER_ISSUED","FQ3 2019","FQ3 2019","Currency=USD","Period=FQ","BEST_FPERIOD_OVERRIDE=FQ","FILING_STATUS=MR","SCALING_FORMAT=MLN","Sort=A","Dates=H","DateFormat=P","Fill=—","Direction=H","UseDPDF=Y")</f>
        <v>#N/A Requesting Data...</v>
      </c>
      <c r="AK28" s="1" t="str">
        <f>_xll.BDH("AKAM US Equity","BS_TOT_COM_PAPER_ISSUED","FQ4 2019","FQ4 2019","Currency=USD","Period=FQ","BEST_FPERIOD_OVERRIDE=FQ","FILING_STATUS=MR","SCALING_FORMAT=MLN","Sort=A","Dates=H","DateFormat=P","Fill=—","Direction=H","UseDPDF=Y")</f>
        <v>#N/A Requesting Data...</v>
      </c>
      <c r="AL28" s="1" t="str">
        <f>_xll.BDH("AKAM US Equity","BS_TOT_COM_PAPER_ISSUED","FQ1 2020","FQ1 2020","Currency=USD","Period=FQ","BEST_FPERIOD_OVERRIDE=FQ","FILING_STATUS=MR","SCALING_FORMAT=MLN","Sort=A","Dates=H","DateFormat=P","Fill=—","Direction=H","UseDPDF=Y")</f>
        <v>#N/A Requesting Data...</v>
      </c>
      <c r="AM28" s="1" t="str">
        <f>_xll.BDH("AKAM US Equity","BS_TOT_COM_PAPER_ISSUED","FQ2 2020","FQ2 2020","Currency=USD","Period=FQ","BEST_FPERIOD_OVERRIDE=FQ","FILING_STATUS=MR","SCALING_FORMAT=MLN","Sort=A","Dates=H","DateFormat=P","Fill=—","Direction=H","UseDPDF=Y")</f>
        <v>—</v>
      </c>
      <c r="AN28" s="1" t="str">
        <f>_xll.BDH("AKAM US Equity","BS_TOT_COM_PAPER_ISSUED","FQ3 2020","FQ3 2020","Currency=USD","Period=FQ","BEST_FPERIOD_OVERRIDE=FQ","FILING_STATUS=MR","SCALING_FORMAT=MLN","Sort=A","Dates=H","DateFormat=P","Fill=—","Direction=H","UseDPDF=Y")</f>
        <v>—</v>
      </c>
      <c r="AO28" s="1" t="str">
        <f>_xll.BDH("AKAM US Equity","BS_TOT_COM_PAPER_ISSUED","FQ4 2020","FQ4 2020","Currency=USD","Period=FQ","BEST_FPERIOD_OVERRIDE=FQ","FILING_STATUS=MR","SCALING_FORMAT=MLN","Sort=A","Dates=H","DateFormat=P","Fill=—","Direction=H","UseDPDF=Y")</f>
        <v>—</v>
      </c>
      <c r="AP28" s="1" t="str">
        <f>_xll.BDH("AKAM US Equity","BS_TOT_COM_PAPER_ISSUED","FQ1 2021","FQ1 2021","Currency=USD","Period=FQ","BEST_FPERIOD_OVERRIDE=FQ","FILING_STATUS=MR","SCALING_FORMAT=MLN","Sort=A","Dates=H","DateFormat=P","Fill=—","Direction=H","UseDPDF=Y")</f>
        <v>—</v>
      </c>
    </row>
    <row r="29" spans="1:42" x14ac:dyDescent="0.25">
      <c r="A29" s="15" t="s">
        <v>118</v>
      </c>
      <c r="B29" s="15"/>
      <c r="C29" s="15" t="s">
        <v>0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Profitability</vt:lpstr>
      <vt:lpstr>Profitability (2)</vt:lpstr>
      <vt:lpstr>Liquidity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SUHARDJO, Johanes</cp:lastModifiedBy>
  <dcterms:created xsi:type="dcterms:W3CDTF">2013-04-03T15:49:21Z</dcterms:created>
  <dcterms:modified xsi:type="dcterms:W3CDTF">2021-07-07T12:44:49Z</dcterms:modified>
</cp:coreProperties>
</file>