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uhardjo\Desktop\"/>
    </mc:Choice>
  </mc:AlternateContent>
  <bookViews>
    <workbookView xWindow="10395" yWindow="-105" windowWidth="14850" windowHeight="12735" activeTab="2"/>
  </bookViews>
  <sheets>
    <sheet name="Profitability" sheetId="2" r:id="rId1"/>
    <sheet name="Profitability (2)" sheetId="3" r:id="rId2"/>
    <sheet name="Liquidity" sheetId="4" r:id="rId3"/>
  </sheets>
  <calcPr calcId="162913"/>
</workbook>
</file>

<file path=xl/calcChain.xml><?xml version="1.0" encoding="utf-8"?>
<calcChain xmlns="http://schemas.openxmlformats.org/spreadsheetml/2006/main">
  <c r="AM14" i="4" l="1"/>
  <c r="AP14" i="4"/>
  <c r="AH13" i="2"/>
  <c r="AP14" i="2"/>
  <c r="K17" i="2"/>
  <c r="AN10" i="2"/>
  <c r="AI25" i="2"/>
  <c r="AN17" i="2"/>
  <c r="K14" i="2"/>
  <c r="O17" i="2"/>
  <c r="D10" i="2"/>
  <c r="E8" i="2"/>
  <c r="Y18" i="2"/>
  <c r="U19" i="2"/>
  <c r="AD17" i="2"/>
  <c r="AN9" i="2"/>
  <c r="I17" i="2"/>
  <c r="Y19" i="2"/>
  <c r="F16" i="4"/>
  <c r="AI9" i="4"/>
  <c r="C12" i="4"/>
  <c r="W13" i="4"/>
  <c r="AE14" i="4"/>
  <c r="AM16" i="4"/>
  <c r="AA20" i="4"/>
  <c r="D8" i="4"/>
  <c r="T14" i="4"/>
  <c r="L17" i="4"/>
  <c r="H18" i="4"/>
  <c r="AB20" i="4"/>
  <c r="L21" i="4"/>
  <c r="AK6" i="4"/>
  <c r="AG7" i="4"/>
  <c r="M9" i="4"/>
  <c r="AO8" i="4"/>
  <c r="AC12" i="4"/>
  <c r="E16" i="4"/>
  <c r="I18" i="4"/>
  <c r="AO20" i="4"/>
  <c r="L9" i="4"/>
  <c r="F8" i="4"/>
  <c r="Z17" i="4"/>
  <c r="J22" i="4"/>
  <c r="AI10" i="4"/>
  <c r="AI14" i="4"/>
  <c r="X7" i="4"/>
  <c r="AJ7" i="4"/>
  <c r="T8" i="4"/>
  <c r="D9" i="4"/>
  <c r="P9" i="4"/>
  <c r="AB9" i="4"/>
  <c r="L10" i="4"/>
  <c r="AJ10" i="4"/>
  <c r="T12" i="4"/>
  <c r="P13" i="4"/>
  <c r="AB13" i="4"/>
  <c r="L14" i="4"/>
  <c r="X14" i="4"/>
  <c r="AJ14" i="4"/>
  <c r="H16" i="4"/>
  <c r="T16" i="4"/>
  <c r="D17" i="4"/>
  <c r="AB17" i="4"/>
  <c r="AN17" i="4"/>
  <c r="X18" i="4"/>
  <c r="AJ18" i="4"/>
  <c r="H20" i="4"/>
  <c r="AF20" i="4"/>
  <c r="D21" i="4"/>
  <c r="P21" i="4"/>
  <c r="AB21" i="4"/>
  <c r="L22" i="4"/>
  <c r="AJ22" i="4"/>
  <c r="AF7" i="4"/>
  <c r="N6" i="4"/>
  <c r="R8" i="4"/>
  <c r="F12" i="4"/>
  <c r="V14" i="4"/>
  <c r="AL21" i="4"/>
  <c r="K7" i="4"/>
  <c r="AI18" i="4"/>
  <c r="K22" i="4"/>
  <c r="AO6" i="4"/>
  <c r="AK7" i="4"/>
  <c r="U8" i="4"/>
  <c r="AG8" i="4"/>
  <c r="E9" i="4"/>
  <c r="AC9" i="4"/>
  <c r="M10" i="4"/>
  <c r="Y10" i="4"/>
  <c r="AK10" i="4"/>
  <c r="U12" i="4"/>
  <c r="E13" i="4"/>
  <c r="C6" i="4"/>
  <c r="D6" i="4"/>
  <c r="E6" i="4"/>
  <c r="F6" i="4"/>
  <c r="G6" i="4"/>
  <c r="H6" i="4"/>
  <c r="I6" i="4"/>
  <c r="J6" i="4"/>
  <c r="K6" i="4"/>
  <c r="L6" i="4"/>
  <c r="M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L6" i="4"/>
  <c r="AM6" i="4"/>
  <c r="AN6" i="4"/>
  <c r="AP6" i="4"/>
  <c r="C7" i="4"/>
  <c r="D7" i="4"/>
  <c r="E7" i="4"/>
  <c r="F7" i="4"/>
  <c r="G7" i="4"/>
  <c r="H7" i="4"/>
  <c r="I7" i="4"/>
  <c r="J7" i="4"/>
  <c r="L7" i="4"/>
  <c r="M7" i="4"/>
  <c r="N7" i="4"/>
  <c r="O7" i="4"/>
  <c r="P7" i="4"/>
  <c r="Q7" i="4"/>
  <c r="R7" i="4"/>
  <c r="S7" i="4"/>
  <c r="T7" i="4"/>
  <c r="U7" i="4"/>
  <c r="V7" i="4"/>
  <c r="W7" i="4"/>
  <c r="Y7" i="4"/>
  <c r="Z7" i="4"/>
  <c r="AA7" i="4"/>
  <c r="AB7" i="4"/>
  <c r="AC7" i="4"/>
  <c r="AD7" i="4"/>
  <c r="AE7" i="4"/>
  <c r="AH7" i="4"/>
  <c r="AI7" i="4"/>
  <c r="AL7" i="4"/>
  <c r="AM7" i="4"/>
  <c r="AN7" i="4"/>
  <c r="AO7" i="4"/>
  <c r="AP7" i="4"/>
  <c r="C8" i="4"/>
  <c r="E8" i="4"/>
  <c r="G8" i="4"/>
  <c r="H8" i="4"/>
  <c r="I8" i="4"/>
  <c r="J8" i="4"/>
  <c r="K8" i="4"/>
  <c r="L8" i="4"/>
  <c r="M8" i="4"/>
  <c r="N8" i="4"/>
  <c r="O8" i="4"/>
  <c r="P8" i="4"/>
  <c r="Q8" i="4"/>
  <c r="S8" i="4"/>
  <c r="V8" i="4"/>
  <c r="W8" i="4"/>
  <c r="X8" i="4"/>
  <c r="Y8" i="4"/>
  <c r="Z8" i="4"/>
  <c r="AA8" i="4"/>
  <c r="AB8" i="4"/>
  <c r="AC8" i="4"/>
  <c r="AD8" i="4"/>
  <c r="AE8" i="4"/>
  <c r="AF8" i="4"/>
  <c r="AH8" i="4"/>
  <c r="AI8" i="4"/>
  <c r="AJ8" i="4"/>
  <c r="AK8" i="4"/>
  <c r="AL8" i="4"/>
  <c r="AM8" i="4"/>
  <c r="AN8" i="4"/>
  <c r="AP8" i="4"/>
  <c r="C9" i="4"/>
  <c r="F9" i="4"/>
  <c r="G9" i="4"/>
  <c r="H9" i="4"/>
  <c r="I9" i="4"/>
  <c r="J9" i="4"/>
  <c r="K9" i="4"/>
  <c r="N9" i="4"/>
  <c r="O9" i="4"/>
  <c r="Q9" i="4"/>
  <c r="R9" i="4"/>
  <c r="S9" i="4"/>
  <c r="T9" i="4"/>
  <c r="U9" i="4"/>
  <c r="V9" i="4"/>
  <c r="W9" i="4"/>
  <c r="X9" i="4"/>
  <c r="Y9" i="4"/>
  <c r="Z9" i="4"/>
  <c r="AA9" i="4"/>
  <c r="AD9" i="4"/>
  <c r="AE9" i="4"/>
  <c r="AF9" i="4"/>
  <c r="AG9" i="4"/>
  <c r="AH9" i="4"/>
  <c r="AJ9" i="4"/>
  <c r="AK9" i="4"/>
  <c r="AL9" i="4"/>
  <c r="AM9" i="4"/>
  <c r="AN9" i="4"/>
  <c r="AO9" i="4"/>
  <c r="AP9" i="4"/>
  <c r="C10" i="4"/>
  <c r="D10" i="4"/>
  <c r="E10" i="4"/>
  <c r="F10" i="4"/>
  <c r="G10" i="4"/>
  <c r="H10" i="4"/>
  <c r="I10" i="4"/>
  <c r="J10" i="4"/>
  <c r="K10" i="4"/>
  <c r="N10" i="4"/>
  <c r="O10" i="4"/>
  <c r="P10" i="4"/>
  <c r="Q10" i="4"/>
  <c r="R10" i="4"/>
  <c r="S10" i="4"/>
  <c r="T10" i="4"/>
  <c r="U10" i="4"/>
  <c r="V10" i="4"/>
  <c r="W10" i="4"/>
  <c r="X10" i="4"/>
  <c r="Z10" i="4"/>
  <c r="AA10" i="4"/>
  <c r="AB10" i="4"/>
  <c r="AC10" i="4"/>
  <c r="AD10" i="4"/>
  <c r="AE10" i="4"/>
  <c r="AF10" i="4"/>
  <c r="AG10" i="4"/>
  <c r="AH10" i="4"/>
  <c r="AL10" i="4"/>
  <c r="AM10" i="4"/>
  <c r="AN10" i="4"/>
  <c r="AO10" i="4"/>
  <c r="AP10" i="4"/>
  <c r="D12" i="4"/>
  <c r="E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V12" i="4"/>
  <c r="W12" i="4"/>
  <c r="X12" i="4"/>
  <c r="Y12" i="4"/>
  <c r="Z12" i="4"/>
  <c r="AA12" i="4"/>
  <c r="AB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C13" i="4"/>
  <c r="D13" i="4"/>
  <c r="F13" i="4"/>
  <c r="G13" i="4"/>
  <c r="H13" i="4"/>
  <c r="I13" i="4"/>
  <c r="J13" i="4"/>
  <c r="K13" i="4"/>
  <c r="L13" i="4"/>
  <c r="M13" i="4"/>
  <c r="N13" i="4"/>
  <c r="O13" i="4"/>
  <c r="Q13" i="4"/>
  <c r="R13" i="4"/>
  <c r="S13" i="4"/>
  <c r="T13" i="4"/>
  <c r="U13" i="4"/>
  <c r="V13" i="4"/>
  <c r="X13" i="4"/>
  <c r="Y13" i="4"/>
  <c r="Z13" i="4"/>
  <c r="AA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C14" i="4"/>
  <c r="D14" i="4"/>
  <c r="E14" i="4"/>
  <c r="F14" i="4"/>
  <c r="G14" i="4"/>
  <c r="H14" i="4"/>
  <c r="I14" i="4"/>
  <c r="J14" i="4"/>
  <c r="K14" i="4"/>
  <c r="M14" i="4"/>
  <c r="N14" i="4"/>
  <c r="O14" i="4"/>
  <c r="P14" i="4"/>
  <c r="Q14" i="4"/>
  <c r="R14" i="4"/>
  <c r="S14" i="4"/>
  <c r="U14" i="4"/>
  <c r="W14" i="4"/>
  <c r="Y14" i="4"/>
  <c r="Z14" i="4"/>
  <c r="AA14" i="4"/>
  <c r="AB14" i="4"/>
  <c r="AC14" i="4"/>
  <c r="AD14" i="4"/>
  <c r="AF14" i="4"/>
  <c r="AG14" i="4"/>
  <c r="AH14" i="4"/>
  <c r="AK14" i="4"/>
  <c r="AL14" i="4"/>
  <c r="AN14" i="4"/>
  <c r="AO14" i="4"/>
  <c r="C16" i="4"/>
  <c r="D16" i="4"/>
  <c r="G16" i="4"/>
  <c r="I16" i="4"/>
  <c r="J16" i="4"/>
  <c r="K16" i="4"/>
  <c r="L16" i="4"/>
  <c r="M16" i="4"/>
  <c r="N16" i="4"/>
  <c r="O16" i="4"/>
  <c r="P16" i="4"/>
  <c r="Q16" i="4"/>
  <c r="R16" i="4"/>
  <c r="S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N16" i="4"/>
  <c r="AO16" i="4"/>
  <c r="AP16" i="4"/>
  <c r="C17" i="4"/>
  <c r="E17" i="4"/>
  <c r="F17" i="4"/>
  <c r="G17" i="4"/>
  <c r="H17" i="4"/>
  <c r="I17" i="4"/>
  <c r="J17" i="4"/>
  <c r="K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AA17" i="4"/>
  <c r="AC17" i="4"/>
  <c r="AD17" i="4"/>
  <c r="AE17" i="4"/>
  <c r="AF17" i="4"/>
  <c r="AG17" i="4"/>
  <c r="AH17" i="4"/>
  <c r="AI17" i="4"/>
  <c r="AJ17" i="4"/>
  <c r="AK17" i="4"/>
  <c r="AL17" i="4"/>
  <c r="AM17" i="4"/>
  <c r="AO17" i="4"/>
  <c r="AP17" i="4"/>
  <c r="C18" i="4"/>
  <c r="D18" i="4"/>
  <c r="E18" i="4"/>
  <c r="F18" i="4"/>
  <c r="G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Y18" i="4"/>
  <c r="Z18" i="4"/>
  <c r="AA18" i="4"/>
  <c r="AB18" i="4"/>
  <c r="AC18" i="4"/>
  <c r="AD18" i="4"/>
  <c r="AE18" i="4"/>
  <c r="AF18" i="4"/>
  <c r="AG18" i="4"/>
  <c r="AH18" i="4"/>
  <c r="AK18" i="4"/>
  <c r="AL18" i="4"/>
  <c r="AM18" i="4"/>
  <c r="AN18" i="4"/>
  <c r="AO18" i="4"/>
  <c r="AP18" i="4"/>
  <c r="C20" i="4"/>
  <c r="D20" i="4"/>
  <c r="E20" i="4"/>
  <c r="F20" i="4"/>
  <c r="G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C20" i="4"/>
  <c r="AD20" i="4"/>
  <c r="AE20" i="4"/>
  <c r="AG20" i="4"/>
  <c r="AH20" i="4"/>
  <c r="AI20" i="4"/>
  <c r="AJ20" i="4"/>
  <c r="AK20" i="4"/>
  <c r="AL20" i="4"/>
  <c r="AM20" i="4"/>
  <c r="AN20" i="4"/>
  <c r="AP20" i="4"/>
  <c r="C21" i="4"/>
  <c r="E21" i="4"/>
  <c r="F21" i="4"/>
  <c r="G21" i="4"/>
  <c r="H21" i="4"/>
  <c r="I21" i="4"/>
  <c r="J21" i="4"/>
  <c r="K21" i="4"/>
  <c r="M21" i="4"/>
  <c r="N21" i="4"/>
  <c r="O21" i="4"/>
  <c r="Q21" i="4"/>
  <c r="R21" i="4"/>
  <c r="S21" i="4"/>
  <c r="T21" i="4"/>
  <c r="U21" i="4"/>
  <c r="V21" i="4"/>
  <c r="W21" i="4"/>
  <c r="X21" i="4"/>
  <c r="Y21" i="4"/>
  <c r="Z21" i="4"/>
  <c r="AA21" i="4"/>
  <c r="AC21" i="4"/>
  <c r="AD21" i="4"/>
  <c r="AE21" i="4"/>
  <c r="AF21" i="4"/>
  <c r="AG21" i="4"/>
  <c r="AH21" i="4"/>
  <c r="AI21" i="4"/>
  <c r="AJ21" i="4"/>
  <c r="AK21" i="4"/>
  <c r="AM21" i="4"/>
  <c r="AN21" i="4"/>
  <c r="AO21" i="4"/>
  <c r="AP21" i="4"/>
  <c r="C22" i="4"/>
  <c r="D22" i="4"/>
  <c r="E22" i="4"/>
  <c r="F22" i="4"/>
  <c r="G22" i="4"/>
  <c r="H22" i="4"/>
  <c r="I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K22" i="4"/>
  <c r="AL22" i="4"/>
  <c r="AM22" i="4"/>
  <c r="AN22" i="4"/>
  <c r="AO22" i="4"/>
  <c r="AP22" i="4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A10" i="2"/>
  <c r="AM16" i="2"/>
  <c r="AC7" i="2"/>
  <c r="U26" i="2"/>
  <c r="Z10" i="2"/>
  <c r="R9" i="2"/>
  <c r="AL10" i="2"/>
  <c r="J13" i="2"/>
  <c r="V13" i="2"/>
  <c r="R16" i="2"/>
  <c r="R14" i="2"/>
  <c r="F14" i="2"/>
  <c r="AD14" i="2"/>
  <c r="N16" i="2"/>
  <c r="C7" i="2"/>
  <c r="O7" i="2"/>
  <c r="K8" i="2"/>
  <c r="AA7" i="2"/>
  <c r="AM7" i="2"/>
  <c r="AI8" i="2"/>
  <c r="W8" i="2"/>
  <c r="G9" i="2"/>
  <c r="AE9" i="2"/>
  <c r="O10" i="2"/>
  <c r="S9" i="2"/>
  <c r="C10" i="2"/>
  <c r="AM10" i="2"/>
  <c r="AI13" i="2"/>
  <c r="G14" i="2"/>
  <c r="K13" i="2"/>
  <c r="W13" i="2"/>
  <c r="S14" i="2"/>
  <c r="C16" i="2"/>
  <c r="AE14" i="2"/>
  <c r="O16" i="2"/>
  <c r="AA16" i="2"/>
  <c r="W17" i="2"/>
  <c r="G18" i="2"/>
  <c r="AI17" i="2"/>
  <c r="S18" i="2"/>
  <c r="AE18" i="2"/>
  <c r="C19" i="2"/>
  <c r="AA19" i="2"/>
  <c r="O19" i="2"/>
  <c r="AM19" i="2"/>
  <c r="K20" i="2"/>
  <c r="AI20" i="2"/>
  <c r="W20" i="2"/>
  <c r="G21" i="2"/>
  <c r="S21" i="2"/>
  <c r="C24" i="2"/>
  <c r="O24" i="2"/>
  <c r="AE21" i="2"/>
  <c r="AM24" i="2"/>
  <c r="AA24" i="2"/>
  <c r="K25" i="2"/>
  <c r="W25" i="2"/>
  <c r="G26" i="2"/>
  <c r="S26" i="2"/>
  <c r="AH8" i="2"/>
  <c r="AE26" i="2"/>
  <c r="X8" i="2"/>
  <c r="P16" i="2"/>
  <c r="D19" i="2"/>
  <c r="X20" i="2"/>
  <c r="AF26" i="2"/>
  <c r="AO7" i="2"/>
  <c r="AB24" i="2"/>
  <c r="M8" i="2"/>
  <c r="AK8" i="2"/>
  <c r="I9" i="2"/>
  <c r="Y8" i="2"/>
  <c r="AG9" i="2"/>
  <c r="U9" i="2"/>
  <c r="Q10" i="2"/>
  <c r="E10" i="2"/>
  <c r="AC10" i="2"/>
  <c r="AO10" i="2"/>
  <c r="M13" i="2"/>
  <c r="Y13" i="2"/>
  <c r="AK13" i="2"/>
  <c r="I14" i="2"/>
  <c r="U14" i="2"/>
  <c r="AG14" i="2"/>
  <c r="AJ21" i="2"/>
  <c r="Q16" i="2"/>
  <c r="E16" i="2"/>
  <c r="AC16" i="2"/>
  <c r="T7" i="2"/>
  <c r="M17" i="2"/>
  <c r="AO16" i="2"/>
  <c r="Y17" i="2"/>
  <c r="I18" i="2"/>
  <c r="AG18" i="2"/>
  <c r="AK17" i="2"/>
  <c r="U18" i="2"/>
  <c r="E19" i="2"/>
  <c r="AC19" i="2"/>
  <c r="Q19" i="2"/>
  <c r="AO19" i="2"/>
  <c r="M20" i="2"/>
  <c r="Y20" i="2"/>
  <c r="I21" i="2"/>
  <c r="AC24" i="2"/>
  <c r="AG21" i="2"/>
  <c r="AK20" i="2"/>
  <c r="U21" i="2"/>
  <c r="Q24" i="2"/>
  <c r="E24" i="2"/>
  <c r="AO24" i="2"/>
  <c r="Y25" i="2"/>
  <c r="I26" i="2"/>
  <c r="AK25" i="2"/>
  <c r="M25" i="2"/>
  <c r="AG26" i="2"/>
  <c r="J8" i="2"/>
  <c r="U16" i="2"/>
  <c r="D7" i="2"/>
  <c r="H9" i="2"/>
  <c r="AB19" i="2"/>
  <c r="L25" i="2"/>
  <c r="AJ13" i="2"/>
  <c r="L17" i="2"/>
  <c r="E7" i="2"/>
  <c r="AF21" i="2"/>
  <c r="R7" i="2"/>
  <c r="AD7" i="2"/>
  <c r="Z8" i="2"/>
  <c r="N8" i="2"/>
  <c r="AP7" i="2"/>
  <c r="AL8" i="2"/>
  <c r="J9" i="2"/>
  <c r="V9" i="2"/>
  <c r="F10" i="2"/>
  <c r="AH9" i="2"/>
  <c r="R10" i="2"/>
  <c r="Z13" i="2"/>
  <c r="AD10" i="2"/>
  <c r="N13" i="2"/>
  <c r="AP10" i="2"/>
  <c r="AH14" i="2"/>
  <c r="AL13" i="2"/>
  <c r="J14" i="2"/>
  <c r="V14" i="2"/>
  <c r="F16" i="2"/>
  <c r="AP16" i="2"/>
  <c r="AD16" i="2"/>
  <c r="N17" i="2"/>
  <c r="J18" i="2"/>
  <c r="AL17" i="2"/>
  <c r="Z17" i="2"/>
  <c r="V18" i="2"/>
  <c r="AH18" i="2"/>
  <c r="F19" i="2"/>
  <c r="AD19" i="2"/>
  <c r="N20" i="2"/>
  <c r="R19" i="2"/>
  <c r="Z20" i="2"/>
  <c r="AP19" i="2"/>
  <c r="J21" i="2"/>
  <c r="V21" i="2"/>
  <c r="AL20" i="2"/>
  <c r="R24" i="2"/>
  <c r="AD24" i="2"/>
  <c r="AH21" i="2"/>
  <c r="F24" i="2"/>
  <c r="AP24" i="2"/>
  <c r="Z25" i="2"/>
  <c r="N25" i="2"/>
  <c r="AL25" i="2"/>
  <c r="J26" i="2"/>
  <c r="Z7" i="2"/>
  <c r="V26" i="2"/>
  <c r="N10" i="2"/>
  <c r="AH26" i="2"/>
  <c r="AJ8" i="2"/>
  <c r="AN19" i="2"/>
  <c r="P10" i="2"/>
  <c r="X17" i="2"/>
  <c r="AF14" i="2"/>
  <c r="T21" i="2"/>
  <c r="AM8" i="2"/>
  <c r="AJ25" i="2"/>
  <c r="W9" i="2"/>
  <c r="G10" i="2"/>
  <c r="S10" i="2"/>
  <c r="AI9" i="2"/>
  <c r="AE10" i="2"/>
  <c r="C13" i="2"/>
  <c r="O13" i="2"/>
  <c r="W14" i="2"/>
  <c r="AM13" i="2"/>
  <c r="AA13" i="2"/>
  <c r="AI14" i="2"/>
  <c r="G16" i="2"/>
  <c r="AE16" i="2"/>
  <c r="S16" i="2"/>
  <c r="AM17" i="2"/>
  <c r="AA17" i="2"/>
  <c r="C17" i="2"/>
  <c r="AI18" i="2"/>
  <c r="W18" i="2"/>
  <c r="K18" i="2"/>
  <c r="G19" i="2"/>
  <c r="S19" i="2"/>
  <c r="AE19" i="2"/>
  <c r="C20" i="2"/>
  <c r="AA20" i="2"/>
  <c r="K21" i="2"/>
  <c r="AM20" i="2"/>
  <c r="O20" i="2"/>
  <c r="D24" i="2"/>
  <c r="W21" i="2"/>
  <c r="AE24" i="2"/>
  <c r="S24" i="2"/>
  <c r="AI21" i="2"/>
  <c r="G24" i="2"/>
  <c r="C25" i="2"/>
  <c r="H13" i="2"/>
  <c r="AA25" i="2"/>
  <c r="AM25" i="2"/>
  <c r="O25" i="2"/>
  <c r="K26" i="2"/>
  <c r="AI26" i="2"/>
  <c r="W26" i="2"/>
  <c r="F9" i="2"/>
  <c r="AN7" i="2"/>
  <c r="T14" i="2"/>
  <c r="AJ17" i="2"/>
  <c r="AF9" i="2"/>
  <c r="L20" i="2"/>
  <c r="X25" i="2"/>
  <c r="O8" i="2"/>
  <c r="S7" i="2"/>
  <c r="H7" i="2"/>
  <c r="Q7" i="2"/>
  <c r="AF7" i="2"/>
  <c r="P8" i="2"/>
  <c r="D8" i="2"/>
  <c r="AN8" i="2"/>
  <c r="AB8" i="2"/>
  <c r="L9" i="2"/>
  <c r="X9" i="2"/>
  <c r="L14" i="2"/>
  <c r="AJ9" i="2"/>
  <c r="T10" i="2"/>
  <c r="H10" i="2"/>
  <c r="AF10" i="2"/>
  <c r="D13" i="2"/>
  <c r="X14" i="2"/>
  <c r="P13" i="2"/>
  <c r="AJ14" i="2"/>
  <c r="AB13" i="2"/>
  <c r="AN13" i="2"/>
  <c r="AF16" i="2"/>
  <c r="H16" i="2"/>
  <c r="D17" i="2"/>
  <c r="T16" i="2"/>
  <c r="AB17" i="2"/>
  <c r="L18" i="2"/>
  <c r="P17" i="2"/>
  <c r="X18" i="2"/>
  <c r="AJ18" i="2"/>
  <c r="H19" i="2"/>
  <c r="X21" i="2"/>
  <c r="AF19" i="2"/>
  <c r="T19" i="2"/>
  <c r="L21" i="2"/>
  <c r="D20" i="2"/>
  <c r="AN20" i="2"/>
  <c r="P20" i="2"/>
  <c r="H24" i="2"/>
  <c r="AB20" i="2"/>
  <c r="T24" i="2"/>
  <c r="AF24" i="2"/>
  <c r="L26" i="2"/>
  <c r="AB25" i="2"/>
  <c r="X26" i="2"/>
  <c r="D25" i="2"/>
  <c r="P25" i="2"/>
  <c r="AN25" i="2"/>
  <c r="AJ26" i="2"/>
  <c r="AD9" i="2"/>
  <c r="D16" i="2"/>
  <c r="H21" i="2"/>
  <c r="T18" i="2"/>
  <c r="AN24" i="2"/>
  <c r="C8" i="2"/>
  <c r="G7" i="2"/>
  <c r="T26" i="2"/>
  <c r="K9" i="2"/>
  <c r="AG7" i="2"/>
  <c r="I7" i="2"/>
  <c r="U7" i="2"/>
  <c r="Q8" i="2"/>
  <c r="AC8" i="2"/>
  <c r="AO8" i="2"/>
  <c r="M9" i="2"/>
  <c r="I10" i="2"/>
  <c r="AK9" i="2"/>
  <c r="Y9" i="2"/>
  <c r="U10" i="2"/>
  <c r="AG10" i="2"/>
  <c r="N24" i="2"/>
  <c r="V20" i="2"/>
  <c r="E13" i="2"/>
  <c r="AD26" i="2"/>
  <c r="Q13" i="2"/>
  <c r="AC13" i="2"/>
  <c r="I16" i="2"/>
  <c r="AO13" i="2"/>
  <c r="AG16" i="2"/>
  <c r="AK14" i="2"/>
  <c r="M14" i="2"/>
  <c r="AO17" i="2"/>
  <c r="E17" i="2"/>
  <c r="Y14" i="2"/>
  <c r="Q17" i="2"/>
  <c r="E20" i="2"/>
  <c r="I19" i="2"/>
  <c r="AC17" i="2"/>
  <c r="AK18" i="2"/>
  <c r="M18" i="2"/>
  <c r="AG19" i="2"/>
  <c r="Q20" i="2"/>
  <c r="AC20" i="2"/>
  <c r="AO20" i="2"/>
  <c r="Y21" i="2"/>
  <c r="M21" i="2"/>
  <c r="I24" i="2"/>
  <c r="AG24" i="2"/>
  <c r="U24" i="2"/>
  <c r="M26" i="2"/>
  <c r="Y26" i="2"/>
  <c r="Q25" i="2"/>
  <c r="AC25" i="2"/>
  <c r="AK21" i="2"/>
  <c r="E25" i="2"/>
  <c r="L8" i="2"/>
  <c r="AO25" i="2"/>
  <c r="L13" i="2"/>
  <c r="P24" i="2"/>
  <c r="V8" i="2"/>
  <c r="AK26" i="2"/>
  <c r="AB16" i="2"/>
  <c r="AJ20" i="2"/>
  <c r="P19" i="2"/>
  <c r="F7" i="2"/>
  <c r="AE7" i="2"/>
  <c r="H26" i="2"/>
  <c r="AA8" i="2"/>
  <c r="J7" i="2"/>
  <c r="V7" i="2"/>
  <c r="F8" i="2"/>
  <c r="AH7" i="2"/>
  <c r="AD8" i="2"/>
  <c r="R8" i="2"/>
  <c r="F13" i="2"/>
  <c r="AL9" i="2"/>
  <c r="Z9" i="2"/>
  <c r="N9" i="2"/>
  <c r="AP8" i="2"/>
  <c r="Z14" i="2"/>
  <c r="AL14" i="2"/>
  <c r="AH10" i="2"/>
  <c r="AD13" i="2"/>
  <c r="J10" i="2"/>
  <c r="AP13" i="2"/>
  <c r="V10" i="2"/>
  <c r="R13" i="2"/>
  <c r="N14" i="2"/>
  <c r="J16" i="2"/>
  <c r="V16" i="2"/>
  <c r="F17" i="2"/>
  <c r="AH16" i="2"/>
  <c r="R17" i="2"/>
  <c r="AP17" i="2"/>
  <c r="N18" i="2"/>
  <c r="AH19" i="2"/>
  <c r="Z18" i="2"/>
  <c r="F20" i="2"/>
  <c r="V19" i="2"/>
  <c r="AL18" i="2"/>
  <c r="R20" i="2"/>
  <c r="J19" i="2"/>
  <c r="AD20" i="2"/>
  <c r="J24" i="2"/>
  <c r="V24" i="2"/>
  <c r="R25" i="2"/>
  <c r="AP20" i="2"/>
  <c r="N21" i="2"/>
  <c r="Z21" i="2"/>
  <c r="AL21" i="2"/>
  <c r="F25" i="2"/>
  <c r="AH24" i="2"/>
  <c r="AD25" i="2"/>
  <c r="AP25" i="2"/>
  <c r="N26" i="2"/>
  <c r="Z26" i="2"/>
  <c r="AL26" i="2"/>
  <c r="AB7" i="2"/>
  <c r="AF18" i="2"/>
  <c r="X13" i="2"/>
  <c r="O9" i="2"/>
  <c r="G8" i="2"/>
  <c r="AA14" i="2"/>
  <c r="AI19" i="2"/>
  <c r="AE13" i="2"/>
  <c r="W10" i="2"/>
  <c r="AM14" i="2"/>
  <c r="K16" i="2"/>
  <c r="AI16" i="2"/>
  <c r="G17" i="2"/>
  <c r="AA18" i="2"/>
  <c r="O18" i="2"/>
  <c r="W16" i="2"/>
  <c r="K19" i="2"/>
  <c r="S17" i="2"/>
  <c r="C18" i="2"/>
  <c r="AE17" i="2"/>
  <c r="W19" i="2"/>
  <c r="AM18" i="2"/>
  <c r="G20" i="2"/>
  <c r="S20" i="2"/>
  <c r="AA21" i="2"/>
  <c r="O21" i="2"/>
  <c r="AE20" i="2"/>
  <c r="C21" i="2"/>
  <c r="W24" i="2"/>
  <c r="K24" i="2"/>
  <c r="G25" i="2"/>
  <c r="AM21" i="2"/>
  <c r="AI24" i="2"/>
  <c r="C26" i="2"/>
  <c r="AA26" i="2"/>
  <c r="O26" i="2"/>
  <c r="S25" i="2"/>
  <c r="AE25" i="2"/>
  <c r="AL7" i="2"/>
  <c r="AM26" i="2"/>
  <c r="AE8" i="2"/>
  <c r="AN16" i="2"/>
  <c r="AI7" i="2"/>
  <c r="P7" i="2"/>
  <c r="AB10" i="2"/>
  <c r="K7" i="2"/>
  <c r="K10" i="2"/>
  <c r="G13" i="2"/>
  <c r="AA9" i="2"/>
  <c r="C14" i="2"/>
  <c r="D14" i="2"/>
  <c r="X7" i="2"/>
  <c r="H8" i="2"/>
  <c r="T8" i="2"/>
  <c r="AF8" i="2"/>
  <c r="P9" i="2"/>
  <c r="AB9" i="2"/>
  <c r="D9" i="2"/>
  <c r="AF13" i="2"/>
  <c r="X10" i="2"/>
  <c r="T13" i="2"/>
  <c r="L10" i="2"/>
  <c r="AB14" i="2"/>
  <c r="P14" i="2"/>
  <c r="AJ10" i="2"/>
  <c r="H17" i="2"/>
  <c r="AF17" i="2"/>
  <c r="AN14" i="2"/>
  <c r="L16" i="2"/>
  <c r="AJ16" i="2"/>
  <c r="T17" i="2"/>
  <c r="D18" i="2"/>
  <c r="X16" i="2"/>
  <c r="AB18" i="2"/>
  <c r="X19" i="2"/>
  <c r="AN18" i="2"/>
  <c r="P18" i="2"/>
  <c r="H20" i="2"/>
  <c r="H25" i="2"/>
  <c r="D21" i="2"/>
  <c r="AJ19" i="2"/>
  <c r="L19" i="2"/>
  <c r="AF20" i="2"/>
  <c r="P21" i="2"/>
  <c r="X24" i="2"/>
  <c r="AB21" i="2"/>
  <c r="T25" i="2"/>
  <c r="D26" i="2"/>
  <c r="T20" i="2"/>
  <c r="AF25" i="2"/>
  <c r="AN21" i="2"/>
  <c r="AP9" i="2"/>
  <c r="N7" i="2"/>
  <c r="AN26" i="2"/>
  <c r="L24" i="2"/>
  <c r="P26" i="2"/>
  <c r="T9" i="2"/>
  <c r="H14" i="2"/>
  <c r="AJ24" i="2"/>
  <c r="AB26" i="2"/>
  <c r="H18" i="2"/>
  <c r="L7" i="2"/>
  <c r="S8" i="2"/>
  <c r="C9" i="2"/>
  <c r="S13" i="2"/>
  <c r="W7" i="2"/>
  <c r="AM9" i="2"/>
  <c r="M7" i="2"/>
  <c r="I8" i="2"/>
  <c r="U8" i="2"/>
  <c r="O14" i="2"/>
  <c r="AJ7" i="2"/>
  <c r="AI10" i="2"/>
  <c r="AK7" i="2"/>
  <c r="Q9" i="2"/>
  <c r="AK10" i="2"/>
  <c r="Q14" i="2"/>
  <c r="E9" i="2"/>
  <c r="AC9" i="2"/>
  <c r="U13" i="2"/>
  <c r="Y7" i="2"/>
  <c r="AO9" i="2"/>
  <c r="Y10" i="2"/>
  <c r="M10" i="2"/>
  <c r="AG13" i="2"/>
  <c r="AG8" i="2"/>
  <c r="I13" i="2"/>
  <c r="E14" i="2"/>
  <c r="AC14" i="2"/>
  <c r="M16" i="2"/>
  <c r="M19" i="2"/>
  <c r="AO14" i="2"/>
  <c r="AG17" i="2"/>
  <c r="E18" i="2"/>
  <c r="Y16" i="2"/>
  <c r="AK16" i="2"/>
  <c r="U17" i="2"/>
  <c r="U25" i="2"/>
  <c r="AK24" i="2"/>
  <c r="AK19" i="2"/>
  <c r="AO21" i="2"/>
  <c r="M24" i="2"/>
  <c r="Q21" i="2"/>
  <c r="I25" i="2"/>
  <c r="Q18" i="2"/>
  <c r="I20" i="2"/>
  <c r="AC21" i="2"/>
  <c r="E21" i="2"/>
  <c r="AO18" i="2"/>
  <c r="AC18" i="2"/>
  <c r="U20" i="2"/>
  <c r="AG20" i="2"/>
  <c r="AG25" i="2"/>
  <c r="E26" i="2"/>
  <c r="Y24" i="2"/>
  <c r="R18" i="2"/>
  <c r="AH20" i="2"/>
  <c r="J25" i="2"/>
  <c r="AH17" i="2"/>
  <c r="R26" i="2"/>
  <c r="J20" i="2"/>
  <c r="AD18" i="2"/>
  <c r="F26" i="2"/>
  <c r="AL24" i="2"/>
  <c r="V17" i="2"/>
  <c r="AP26" i="2"/>
  <c r="Z16" i="2"/>
  <c r="AC26" i="2"/>
  <c r="AP18" i="2"/>
  <c r="Q26" i="2"/>
  <c r="J17" i="2"/>
  <c r="F21" i="2"/>
  <c r="AO26" i="2"/>
  <c r="AH25" i="2"/>
  <c r="AD21" i="2"/>
  <c r="Z19" i="2"/>
  <c r="R21" i="2"/>
  <c r="N19" i="2"/>
  <c r="AL19" i="2"/>
  <c r="Z24" i="2"/>
  <c r="AP21" i="2"/>
  <c r="V25" i="2"/>
  <c r="AL16" i="2"/>
  <c r="F18" i="2"/>
</calcChain>
</file>

<file path=xl/sharedStrings.xml><?xml version="1.0" encoding="utf-8"?>
<sst xmlns="http://schemas.openxmlformats.org/spreadsheetml/2006/main" count="338" uniqueCount="190">
  <si>
    <t>Right click to show data transparency (not supported for all values)</t>
  </si>
  <si>
    <t>Berkshire Hathaway Inc (BRK/A US) - Profitability</t>
  </si>
  <si>
    <t>In Millions of USD except Per Share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</si>
  <si>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</si>
  <si>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</si>
  <si>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</si>
  <si>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</si>
  <si>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</si>
  <si>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</si>
  <si>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</si>
  <si>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</si>
  <si>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</si>
  <si>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</si>
  <si>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</si>
  <si>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</si>
  <si>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</si>
  <si>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</si>
  <si>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</si>
  <si>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</si>
  <si>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</si>
  <si>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</si>
  <si>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</si>
  <si>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</si>
  <si>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</si>
  <si>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</si>
  <si>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</si>
  <si>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</si>
  <si>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</si>
  <si>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</si>
  <si>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</si>
  <si>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</si>
  <si>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</si>
  <si>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</si>
  <si>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</si>
  <si>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</si>
  <si>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</si>
  <si>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</si>
  <si>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</si>
  <si>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</si>
  <si>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</si>
  <si>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</si>
  <si>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</si>
  <si>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</si>
  <si>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3 Months Ending</t>
  </si>
  <si>
    <t>06/30/2011</t>
  </si>
  <si>
    <t>09/30/2011</t>
  </si>
  <si>
    <t>12/31/2011</t>
  </si>
  <si>
    <t>03/31/2012</t>
  </si>
  <si>
    <t>06/30/2012</t>
  </si>
  <si>
    <t>09/30/2012</t>
  </si>
  <si>
    <t>12/31/2012</t>
  </si>
  <si>
    <t>03/31/2013</t>
  </si>
  <si>
    <t>06/30/2013</t>
  </si>
  <si>
    <t>09/30/2013</t>
  </si>
  <si>
    <t>12/31/2013</t>
  </si>
  <si>
    <t>03/31/2014</t>
  </si>
  <si>
    <t>06/30/2014</t>
  </si>
  <si>
    <t>09/30/2014</t>
  </si>
  <si>
    <t>12/31/2014</t>
  </si>
  <si>
    <t>03/31/2015</t>
  </si>
  <si>
    <t>06/30/2015</t>
  </si>
  <si>
    <t>09/30/2015</t>
  </si>
  <si>
    <t>12/31/2015</t>
  </si>
  <si>
    <t>03/31/2016</t>
  </si>
  <si>
    <t>06/30/2016</t>
  </si>
  <si>
    <t>09/30/2016</t>
  </si>
  <si>
    <t>12/31/2016</t>
  </si>
  <si>
    <t>03/31/2017</t>
  </si>
  <si>
    <t>06/30/2017</t>
  </si>
  <si>
    <t>09/30/2017</t>
  </si>
  <si>
    <t>12/31/2017</t>
  </si>
  <si>
    <t>03/31/2018</t>
  </si>
  <si>
    <t>06/30/2018</t>
  </si>
  <si>
    <t>09/30/2018</t>
  </si>
  <si>
    <t>12/31/2018</t>
  </si>
  <si>
    <t>03/31/2019</t>
  </si>
  <si>
    <t>06/30/2019</t>
  </si>
  <si>
    <t>09/30/2019</t>
  </si>
  <si>
    <t>12/31/2019</t>
  </si>
  <si>
    <t>03/31/2020</t>
  </si>
  <si>
    <t>06/30/2020</t>
  </si>
  <si>
    <t>09/30/2020</t>
  </si>
  <si>
    <t>12/31/2020</t>
  </si>
  <si>
    <t>03/31/2021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</si>
  <si>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</si>
  <si>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</si>
  <si>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</si>
  <si>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</si>
  <si>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</si>
  <si>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</si>
  <si>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</si>
  <si>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</si>
  <si>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</si>
  <si>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</si>
  <si>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Gross Margin</t>
  </si>
  <si>
    <t>GROSS_MARGIN</t>
  </si>
  <si>
    <t>EBITDA Margin</t>
  </si>
  <si>
    <t>EBITDA_TO_REVENUE</t>
  </si>
  <si>
    <t xml:space="preserve">    Growth (YoY)</t>
  </si>
  <si>
    <t>—</t>
  </si>
  <si>
    <t>Operating Margin</t>
  </si>
  <si>
    <t>OPER_MARGIN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</si>
  <si>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</si>
  <si>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</si>
  <si>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</si>
  <si>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</si>
  <si>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</si>
  <si>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</si>
  <si>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</si>
  <si>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PROF_MARGIN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</si>
  <si>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</si>
  <si>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</si>
  <si>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</si>
  <si>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</si>
  <si>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</si>
  <si>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</si>
  <si>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</si>
  <si>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</si>
  <si>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</si>
  <si>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Source: Bloomberg</t>
  </si>
  <si>
    <t>Period ending</t>
  </si>
  <si>
    <t>CQ1 2021</t>
  </si>
  <si>
    <t>CQ4 2020</t>
  </si>
  <si>
    <t>CQ3 2020</t>
  </si>
  <si>
    <t>CQ2 2020</t>
  </si>
  <si>
    <t>CQ1 2020</t>
  </si>
  <si>
    <t>CQ4 2019</t>
  </si>
  <si>
    <t>CQ3 2019</t>
  </si>
  <si>
    <t>CQ2 2019</t>
  </si>
  <si>
    <t>CQ1 2019</t>
  </si>
  <si>
    <t>CQ4 2018</t>
  </si>
  <si>
    <t>CQ3 2018</t>
  </si>
  <si>
    <t>CQ2 2018</t>
  </si>
  <si>
    <t>CQ1 2018</t>
  </si>
  <si>
    <t>CQ4 2017</t>
  </si>
  <si>
    <t>CQ3 2017</t>
  </si>
  <si>
    <t>CQ2 2017</t>
  </si>
  <si>
    <t>CQ1 2017</t>
  </si>
  <si>
    <t>CQ4 2016</t>
  </si>
  <si>
    <t>CQ3 2016</t>
  </si>
  <si>
    <t>CQ2 2016</t>
  </si>
  <si>
    <t>CQ1 2016</t>
  </si>
  <si>
    <t>CQ4 2015</t>
  </si>
  <si>
    <t>CQ3 2015</t>
  </si>
  <si>
    <t>CQ2 2015</t>
  </si>
  <si>
    <t>CQ1 2015</t>
  </si>
  <si>
    <t>CQ4 2014</t>
  </si>
  <si>
    <t>CQ3 2014</t>
  </si>
  <si>
    <t>CQ2 2014</t>
  </si>
  <si>
    <t>CQ1 2014</t>
  </si>
  <si>
    <t>CQ4 2013</t>
  </si>
  <si>
    <t>CQ3 2013</t>
  </si>
  <si>
    <t>CQ2 2013</t>
  </si>
  <si>
    <t>CQ1 2013</t>
  </si>
  <si>
    <t>CQ4 2012</t>
  </si>
  <si>
    <t>CQ3 2012</t>
  </si>
  <si>
    <t>CQ2 2012</t>
  </si>
  <si>
    <t>CQ1 2012</t>
  </si>
  <si>
    <t>CQ4 2011</t>
  </si>
  <si>
    <t>CQ3 2011</t>
  </si>
  <si>
    <t>CQ2 2011</t>
  </si>
  <si>
    <t>ALTMAN_Z_SCORE</t>
  </si>
  <si>
    <t>Altman's Z-Score</t>
  </si>
  <si>
    <t>CAP_EXPEND_RATIO</t>
  </si>
  <si>
    <t>CFO/CapEx</t>
  </si>
  <si>
    <t>CASH_FLOW_TO_TOT_LIAB</t>
  </si>
  <si>
    <t>CFO/Total Liabilities</t>
  </si>
  <si>
    <t>TOT_DEBT_TO_TOT_ASSET</t>
  </si>
  <si>
    <t>Total Debt/Total Assets</t>
  </si>
  <si>
    <t>TOT_DEBT_TO_TOT_CAP</t>
  </si>
  <si>
    <t>Total Debt/Capital</t>
  </si>
  <si>
    <t>TOT_DEBT_TO_TOT_EQY</t>
  </si>
  <si>
    <t>Total Debt/Equity</t>
  </si>
  <si>
    <t>LT_DEBT_TO_TOT_ASSET</t>
  </si>
  <si>
    <t>Long-Term Debt/Total Assets</t>
  </si>
  <si>
    <t>LT_DEBT_TO_TOT_CAP</t>
  </si>
  <si>
    <t>Long-Term Debt/Capital</t>
  </si>
  <si>
    <t>LT_DEBT_TO_TOT_EQY</t>
  </si>
  <si>
    <t>Long-Term Debt/Equity</t>
  </si>
  <si>
    <t>COM_EQY_TO_TOT_ASSET</t>
  </si>
  <si>
    <t>Common Equity/Total Assets</t>
  </si>
  <si>
    <t>CFO_TO_AVG_CURRENT_LIABILITIES</t>
  </si>
  <si>
    <t>CFO/Avg Current Liab</t>
  </si>
  <si>
    <t>QUICK_RATIO</t>
  </si>
  <si>
    <t>Quick Ratio</t>
  </si>
  <si>
    <t>CUR_RATIO</t>
  </si>
  <si>
    <t>Current Ratio</t>
  </si>
  <si>
    <t>CASH_RATIO</t>
  </si>
  <si>
    <t>Cash Ratio</t>
  </si>
  <si>
    <t>Berkshire Hathaway Inc (BRK/A US) - Liquidity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</si>
</sst>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4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  <xf numFmtId="3" fontId="8" fillId="34" borderId="2">
      <alignment horizontal="right"/>
    </xf>
    <xf numFmtId="171" fontId="11" fillId="34" borderId="2">
      <alignment horizontal="right"/>
    </xf>
    <xf numFmtId="0" fontId="7" fillId="33" borderId="16">
      <alignment horizontal="left"/>
    </xf>
    <xf numFmtId="0" fontId="7" fillId="33" borderId="16">
      <alignment horizontal="right"/>
    </xf>
    <xf numFmtId="0" fontId="7" fillId="33" borderId="17">
      <alignment horizontal="left"/>
    </xf>
    <xf numFmtId="0" fontId="7" fillId="33" borderId="17">
      <alignment horizontal="right"/>
    </xf>
    <xf numFmtId="0" fontId="4" fillId="34" borderId="18"/>
    <xf numFmtId="0" fontId="8" fillId="34" borderId="18"/>
    <xf numFmtId="0" fontId="3" fillId="34" borderId="18"/>
  </cellStyleXfs>
  <cellXfs count="23">
    <xf numFmtId="0" fontId="0" fillId="0" borderId="0" xfId="0"/>
    <xf numFmtId="0" fontId="7" fillId="33" borderId="16" xfId="57" applyNumberFormat="1" applyFont="1" applyFill="1" applyBorder="1" applyAlignment="1" applyProtection="1">
      <alignment horizontal="left"/>
    </xf>
    <xf numFmtId="0" fontId="7" fillId="33" borderId="16" xfId="58" applyNumberFormat="1" applyFont="1" applyFill="1" applyBorder="1" applyAlignment="1" applyProtection="1">
      <alignment horizontal="right"/>
    </xf>
    <xf numFmtId="0" fontId="7" fillId="33" borderId="17" xfId="59">
      <alignment horizontal="left"/>
    </xf>
    <xf numFmtId="0" fontId="7" fillId="33" borderId="17" xfId="60" applyNumberFormat="1" applyFont="1" applyFill="1" applyBorder="1" applyAlignment="1" applyProtection="1">
      <alignment horizontal="right"/>
    </xf>
    <xf numFmtId="0" fontId="4" fillId="34" borderId="18" xfId="61" applyNumberFormat="1" applyFont="1" applyFill="1" applyBorder="1" applyAlignment="1" applyProtection="1"/>
    <xf numFmtId="0" fontId="8" fillId="34" borderId="18" xfId="62" applyNumberFormat="1" applyFont="1" applyFill="1" applyBorder="1" applyAlignment="1" applyProtection="1"/>
    <xf numFmtId="0" fontId="3" fillId="34" borderId="18" xfId="63" applyNumberFormat="1" applyFont="1" applyFill="1" applyBorder="1" applyAlignment="1" applyProtection="1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5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4" fontId="1" fillId="34" borderId="2" xfId="54" applyNumberFormat="1" applyFont="1" applyFill="1" applyBorder="1" applyAlignment="1" applyProtection="1">
      <alignment horizontal="right"/>
    </xf>
    <xf numFmtId="3" fontId="8" fillId="34" borderId="2" xfId="55" applyNumberFormat="1" applyFont="1" applyFill="1" applyBorder="1" applyAlignment="1" applyProtection="1">
      <alignment horizontal="right"/>
    </xf>
    <xf numFmtId="171" fontId="11" fillId="34" borderId="2" xfId="56" applyNumberFormat="1" applyFont="1" applyFill="1" applyBorder="1" applyAlignment="1" applyProtection="1">
      <alignment horizontal="right"/>
    </xf>
  </cellXfs>
  <cellStyles count="6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51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 2" xfId="60"/>
    <cellStyle name="fa_column_header_bottom_left" xfId="52"/>
    <cellStyle name="fa_column_header_bottom_left 2" xfId="59"/>
    <cellStyle name="fa_column_header_empty" xfId="31"/>
    <cellStyle name="fa_column_header_top" xfId="32"/>
    <cellStyle name="fa_column_header_top 2" xfId="58"/>
    <cellStyle name="fa_column_header_top_left" xfId="33"/>
    <cellStyle name="fa_column_header_top_left 2" xfId="57"/>
    <cellStyle name="fa_data_bold_0_grouped" xfId="55"/>
    <cellStyle name="fa_data_italic_1_grouped" xfId="56"/>
    <cellStyle name="fa_data_standard_0_grouped" xfId="53"/>
    <cellStyle name="fa_data_standard_2_grouped" xfId="54"/>
    <cellStyle name="fa_footer_italic" xfId="34"/>
    <cellStyle name="fa_row_header_bold" xfId="35"/>
    <cellStyle name="fa_row_header_bold 2" xfId="62"/>
    <cellStyle name="fa_row_header_italic" xfId="36"/>
    <cellStyle name="fa_row_header_italic 2" xfId="61"/>
    <cellStyle name="fa_row_header_standard" xfId="37"/>
    <cellStyle name="fa_row_header_standard 2" xfId="63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BDP|14666912209080667759</stp>
        <tr r="AN16" s="3"/>
      </tp>
      <tp t="s">
        <v>#N/A N/A</v>
        <stp/>
        <stp>BDP|11155443839934135803</stp>
        <tr r="T9" s="3"/>
      </tp>
      <tp t="s">
        <v>#N/A N/A</v>
        <stp/>
        <stp>BDP|12319056863637930902</stp>
        <tr r="I12" s="3"/>
      </tp>
      <tp t="s">
        <v>#N/A N/A</v>
        <stp/>
        <stp>BDP|16888722580841537234</stp>
        <tr r="D17" s="3"/>
      </tp>
      <tp t="s">
        <v>#N/A N/A</v>
        <stp/>
        <stp>BDP|15269693847005328811</stp>
        <tr r="AI16" s="3"/>
      </tp>
      <tp t="s">
        <v>#N/A N/A</v>
        <stp/>
        <stp>BDP|17137241431479004572</stp>
        <tr r="G12" s="3"/>
      </tp>
      <tp t="s">
        <v>#N/A N/A</v>
        <stp/>
        <stp>BDP|17969812631362913421</stp>
        <tr r="Y13" s="3"/>
      </tp>
      <tp t="s">
        <v>#N/A N/A</v>
        <stp/>
        <stp>BDP|10186042462259026534</stp>
        <tr r="AP13" s="3"/>
      </tp>
      <tp t="s">
        <v>#N/A N/A</v>
        <stp/>
        <stp>BDP|17109004437009070723</stp>
        <tr r="M9" s="3"/>
      </tp>
      <tp t="s">
        <v>#N/A N/A</v>
        <stp/>
        <stp>BDP|17589763971065606828</stp>
        <tr r="O13" s="3"/>
      </tp>
      <tp t="s">
        <v>#N/A N/A</v>
        <stp/>
        <stp>BDH|18135384289818471151</stp>
        <tr r="Y13" s="2"/>
      </tp>
      <tp t="s">
        <v>#N/A N/A</v>
        <stp/>
        <stp>BDH|10681424118188977747</stp>
        <tr r="E19" s="2"/>
      </tp>
      <tp t="s">
        <v>#N/A N/A</v>
        <stp/>
        <stp>BDH|13748766594514116354</stp>
        <tr r="I26" s="2"/>
      </tp>
      <tp t="s">
        <v>#N/A N/A</v>
        <stp/>
        <stp>BDH|16596866874741386257</stp>
        <tr r="Q21" s="2"/>
      </tp>
      <tp t="s">
        <v>#N/A N/A</v>
        <stp/>
        <stp>BDH|12898779552388947244</stp>
        <tr r="H17" s="2"/>
      </tp>
      <tp t="s">
        <v>#N/A N/A</v>
        <stp/>
        <stp>BDH|11623577326645319946</stp>
        <tr r="M21" s="4"/>
      </tp>
      <tp t="s">
        <v>#N/A N/A</v>
        <stp/>
        <stp>BDH|16680264672831111801</stp>
        <tr r="I12" s="4"/>
      </tp>
      <tp t="s">
        <v>#N/A N/A</v>
        <stp/>
        <stp>BDH|16821844721955831368</stp>
        <tr r="S13" s="4"/>
      </tp>
      <tp t="s">
        <v>#N/A N/A</v>
        <stp/>
        <stp>BDH|14134467292380701378</stp>
        <tr r="X17" s="4"/>
      </tp>
      <tp t="s">
        <v>#N/A N/A</v>
        <stp/>
        <stp>BDH|10666143738960850874</stp>
        <tr r="W13" s="2"/>
      </tp>
      <tp t="s">
        <v>#N/A N/A</v>
        <stp/>
        <stp>BDH|13200398608339609309</stp>
        <tr r="T14" s="2"/>
      </tp>
      <tp t="s">
        <v>#N/A N/A</v>
        <stp/>
        <stp>BDH|11025820274656535260</stp>
        <tr r="AH6" s="4"/>
      </tp>
      <tp t="s">
        <v>#N/A N/A</v>
        <stp/>
        <stp>BDH|16468804928272170482</stp>
        <tr r="AA7" s="4"/>
      </tp>
      <tp t="s">
        <v>#N/A N/A</v>
        <stp/>
        <stp>BDH|16829857405182485699</stp>
        <tr r="AI6" s="4"/>
      </tp>
      <tp t="s">
        <v>#N/A N/A</v>
        <stp/>
        <stp>BDH|13180807742260134569</stp>
        <tr r="AA9" s="2"/>
      </tp>
      <tp t="s">
        <v>#N/A N/A</v>
        <stp/>
        <stp>BDH|16188648873445512872</stp>
        <tr r="AM13" s="2"/>
      </tp>
      <tp t="s">
        <v>#N/A N/A</v>
        <stp/>
        <stp>BDH|13631649995021062706</stp>
        <tr r="D14" s="2"/>
      </tp>
      <tp t="s">
        <v>#N/A N/A</v>
        <stp/>
        <stp>BDH|14083011234694412967</stp>
        <tr r="AF21" s="2"/>
      </tp>
      <tp t="s">
        <v>#N/A N/A</v>
        <stp/>
        <stp>BDH|12546800573810931788</stp>
        <tr r="AP6" s="4"/>
      </tp>
      <tp t="s">
        <v>#N/A N/A</v>
        <stp/>
        <stp>BDH|14629533113338829270</stp>
        <tr r="G9" s="2"/>
      </tp>
      <tp t="s">
        <v>#N/A N/A</v>
        <stp/>
        <stp>BDH|13477087274199488743</stp>
        <tr r="AN14" s="2"/>
      </tp>
      <tp t="s">
        <v>#N/A N/A</v>
        <stp/>
        <stp>BDH|15112930726066419289</stp>
        <tr r="E26" s="2"/>
      </tp>
      <tp t="s">
        <v>#N/A N/A</v>
        <stp/>
        <stp>BDH|13756242754437937963</stp>
        <tr r="Y8" s="4"/>
      </tp>
      <tp t="s">
        <v>#N/A N/A</v>
        <stp/>
        <stp>BDH|12351416694845535086</stp>
        <tr r="O8" s="4"/>
      </tp>
      <tp t="s">
        <v>#N/A N/A</v>
        <stp/>
        <stp>BDH|16006485006369614136</stp>
        <tr r="P14" s="2"/>
      </tp>
      <tp t="s">
        <v>#N/A N/A</v>
        <stp/>
        <stp>BDH|15821890468255080442</stp>
        <tr r="Q13" s="2"/>
      </tp>
      <tp t="s">
        <v>#N/A N/A</v>
        <stp/>
        <stp>BDH|15119847985936457998</stp>
        <tr r="Z26" s="2"/>
      </tp>
      <tp t="s">
        <v>#N/A N/A</v>
        <stp/>
        <stp>BDH|11550309399620404147</stp>
        <tr r="Y14" s="4"/>
      </tp>
      <tp t="s">
        <v>#N/A N/A</v>
        <stp/>
        <stp>BDH|18237348856121905558</stp>
        <tr r="Q17" s="2"/>
      </tp>
      <tp t="s">
        <v>#N/A N/A</v>
        <stp/>
        <stp>BDH|16103630312552560992</stp>
        <tr r="O26" s="2"/>
      </tp>
      <tp t="s">
        <v>#N/A N/A</v>
        <stp/>
        <stp>BDH|18139784973657302566</stp>
        <tr r="N22" s="4"/>
      </tp>
      <tp t="s">
        <v>#N/A N/A</v>
        <stp/>
        <stp>BDH|14884825993768282758</stp>
        <tr r="G12" s="4"/>
      </tp>
      <tp t="s">
        <v>#N/A N/A</v>
        <stp/>
        <stp>BDH|14855348663622656977</stp>
        <tr r="AJ20" s="2"/>
      </tp>
      <tp t="s">
        <v>#N/A N/A</v>
        <stp/>
        <stp>BDP|15895449353219066644</stp>
        <tr r="AN9" s="3"/>
      </tp>
      <tp t="s">
        <v>#N/A N/A</v>
        <stp/>
        <stp>BDP|16824379387145633339</stp>
        <tr r="W12" s="3"/>
      </tp>
      <tp t="s">
        <v>#N/A N/A</v>
        <stp/>
        <stp>BDP|16556876498159470520</stp>
        <tr r="AO9" s="3"/>
      </tp>
      <tp t="s">
        <v>#N/A N/A</v>
        <stp/>
        <stp>BDP|10532450486335962203</stp>
        <tr r="D13" s="3"/>
      </tp>
      <tp t="s">
        <v>#N/A N/A</v>
        <stp/>
        <stp>BDP|15053006836419063472</stp>
        <tr r="M10" s="3"/>
      </tp>
      <tp t="s">
        <v>#N/A N/A</v>
        <stp/>
        <stp>BDP|16143025217215758927</stp>
        <tr r="N16" s="3"/>
      </tp>
      <tp t="s">
        <v>#N/A N/A</v>
        <stp/>
        <stp>BDP|11713378882973474266</stp>
        <tr r="AC9" s="3"/>
      </tp>
      <tp t="s">
        <v>#N/A N/A</v>
        <stp/>
        <stp>BDP|17586155953040906882</stp>
        <tr r="AD9" s="3"/>
      </tp>
      <tp t="s">
        <v>#N/A N/A</v>
        <stp/>
        <stp>BDH|12798735140659630337</stp>
        <tr r="M9" s="2"/>
      </tp>
      <tp t="s">
        <v>#N/A N/A</v>
        <stp/>
        <stp>BDH|12035931295538513122</stp>
        <tr r="C20" s="2"/>
      </tp>
      <tp t="s">
        <v>#N/A N/A</v>
        <stp/>
        <stp>BDH|11310913225843792209</stp>
        <tr r="O9" s="4"/>
      </tp>
      <tp t="s">
        <v>#N/A N/A</v>
        <stp/>
        <stp>BDH|17215595520133228896</stp>
        <tr r="O7" s="4"/>
      </tp>
      <tp t="s">
        <v>#N/A N/A</v>
        <stp/>
        <stp>BDH|14975701495570500193</stp>
        <tr r="AC26" s="2"/>
      </tp>
      <tp t="s">
        <v>#N/A N/A</v>
        <stp/>
        <stp>BDH|12045421513138297400</stp>
        <tr r="P16" s="2"/>
      </tp>
      <tp t="s">
        <v>#N/A N/A</v>
        <stp/>
        <stp>BDH|12477153773766813996</stp>
        <tr r="L24" s="2"/>
      </tp>
      <tp t="s">
        <v>#N/A N/A</v>
        <stp/>
        <stp>BDH|10380734010659719452</stp>
        <tr r="V20" s="2"/>
      </tp>
      <tp t="s">
        <v>#N/A N/A</v>
        <stp/>
        <stp>BDH|14778595969909042552</stp>
        <tr r="AD8" s="4"/>
      </tp>
      <tp t="s">
        <v>#N/A N/A</v>
        <stp/>
        <stp>BDH|12562002396054578429</stp>
        <tr r="W7" s="2"/>
      </tp>
      <tp t="s">
        <v>#N/A N/A</v>
        <stp/>
        <stp>BDH|12787052654614290805</stp>
        <tr r="M7" s="2"/>
      </tp>
      <tp t="s">
        <v>#N/A N/A</v>
        <stp/>
        <stp>BDH|12461626457779796314</stp>
        <tr r="AK17" s="4"/>
      </tp>
      <tp t="s">
        <v>#N/A N/A</v>
        <stp/>
        <stp>BDH|15960621153989834471</stp>
        <tr r="M13" s="4"/>
      </tp>
      <tp t="s">
        <v>#N/A N/A</v>
        <stp/>
        <stp>BDH|16509824867556354540</stp>
        <tr r="AK8" s="2"/>
      </tp>
      <tp t="s">
        <v>#N/A N/A</v>
        <stp/>
        <stp>BDH|15294828061032348244</stp>
        <tr r="N16" s="4"/>
      </tp>
      <tp t="s">
        <v>#N/A N/A</v>
        <stp/>
        <stp>BDH|16421188053121987804</stp>
        <tr r="D16" s="2"/>
      </tp>
      <tp t="s">
        <v>#N/A N/A</v>
        <stp/>
        <stp>BDH|17110915544096314710</stp>
        <tr r="AN7" s="2"/>
      </tp>
      <tp t="s">
        <v>#N/A N/A</v>
        <stp/>
        <stp>BDH|18283410889728946783</stp>
        <tr r="N25" s="2"/>
      </tp>
      <tp t="s">
        <v>#N/A N/A</v>
        <stp/>
        <stp>BDH|10189851939358786812</stp>
        <tr r="V9" s="4"/>
      </tp>
      <tp t="s">
        <v>#N/A N/A</v>
        <stp/>
        <stp>BDH|15284145318108309673</stp>
        <tr r="AI16" s="4"/>
      </tp>
      <tp t="s">
        <v>#N/A N/A</v>
        <stp/>
        <stp>BDH|17648997106144163128</stp>
        <tr r="AJ26" s="2"/>
      </tp>
      <tp t="s">
        <v>#N/A N/A</v>
        <stp/>
        <stp>BDH|15050296167649051343</stp>
        <tr r="X18" s="4"/>
      </tp>
      <tp t="s">
        <v>#N/A N/A</v>
        <stp/>
        <stp>BDH|11291480812457052853</stp>
        <tr r="Y17" s="4"/>
      </tp>
      <tp t="s">
        <v>#N/A N/A</v>
        <stp/>
        <stp>BDH|17916059094404206150</stp>
        <tr r="AL10" s="4"/>
      </tp>
      <tp t="s">
        <v>#N/A N/A</v>
        <stp/>
        <stp>BDH|11156854423162825201</stp>
        <tr r="P21" s="2"/>
      </tp>
      <tp t="s">
        <v>#N/A N/A</v>
        <stp/>
        <stp>BDH|13144185334549136336</stp>
        <tr r="Y14" s="2"/>
      </tp>
      <tp t="s">
        <v>#N/A N/A</v>
        <stp/>
        <stp>BDH|10567569922579681594</stp>
        <tr r="AK26" s="2"/>
      </tp>
      <tp t="s">
        <v>#N/A N/A</v>
        <stp/>
        <stp>BDP|14045353892693953575</stp>
        <tr r="T17" s="3"/>
      </tp>
      <tp t="s">
        <v>#N/A N/A</v>
        <stp/>
        <stp>BDP|12453327583357735699</stp>
        <tr r="Z13" s="3"/>
      </tp>
      <tp t="s">
        <v>#N/A N/A</v>
        <stp/>
        <stp>BDP|14145436914470222999</stp>
        <tr r="AI13" s="3"/>
      </tp>
      <tp t="s">
        <v>#N/A N/A</v>
        <stp/>
        <stp>BDP|14236745796973400154</stp>
        <tr r="AD17" s="3"/>
      </tp>
      <tp t="s">
        <v>#N/A N/A</v>
        <stp/>
        <stp>BDP|17165044032914153856</stp>
        <tr r="U16" s="3"/>
      </tp>
      <tp t="s">
        <v>#N/A N/A</v>
        <stp/>
        <stp>BDP|16008505213463921980</stp>
        <tr r="H12" s="3"/>
      </tp>
      <tp t="s">
        <v>#N/A N/A</v>
        <stp/>
        <stp>BDP|10195375380664148733</stp>
        <tr r="W16" s="3"/>
      </tp>
      <tp t="s">
        <v>#N/A N/A</v>
        <stp/>
        <stp>BDP|14735751078355988958</stp>
        <tr r="AL9" s="3"/>
      </tp>
      <tp t="s">
        <v>#N/A N/A</v>
        <stp/>
        <stp>BDH|11015457851798496017</stp>
        <tr r="AO7" s="4"/>
      </tp>
      <tp t="s">
        <v>#N/A N/A</v>
        <stp/>
        <stp>BDH|10089248487177471565</stp>
        <tr r="M12" s="4"/>
      </tp>
      <tp t="s">
        <v>#N/A N/A</v>
        <stp/>
        <stp>BDH|11365900723914415645</stp>
        <tr r="X14" s="2"/>
      </tp>
      <tp t="s">
        <v>#N/A N/A</v>
        <stp/>
        <stp>BDH|11469734891964628304</stp>
        <tr r="AD7" s="4"/>
      </tp>
      <tp t="s">
        <v>#N/A N/A</v>
        <stp/>
        <stp>BDH|11135917825994785626</stp>
        <tr r="E17" s="2"/>
      </tp>
      <tp t="s">
        <v>#N/A N/A</v>
        <stp/>
        <stp>BDH|16371692833593033895</stp>
        <tr r="K20" s="2"/>
      </tp>
      <tp t="s">
        <v>#N/A N/A</v>
        <stp/>
        <stp>BDH|14085795399055645750</stp>
        <tr r="AB9" s="4"/>
      </tp>
      <tp t="s">
        <v>#N/A N/A</v>
        <stp/>
        <stp>BDH|11584964607860609015</stp>
        <tr r="AJ13" s="4"/>
      </tp>
      <tp t="s">
        <v>#N/A N/A</v>
        <stp/>
        <stp>BDH|10922181987080035150</stp>
        <tr r="G6" s="4"/>
      </tp>
      <tp t="s">
        <v>#N/A N/A</v>
        <stp/>
        <stp>BDH|12534699188992300646</stp>
        <tr r="AL13" s="4"/>
      </tp>
      <tp t="s">
        <v>#N/A N/A</v>
        <stp/>
        <stp>BDH|14137745087937912496</stp>
        <tr r="K20" s="4"/>
      </tp>
      <tp t="s">
        <v>#N/A N/A</v>
        <stp/>
        <stp>BDH|14279882658224554556</stp>
        <tr r="S7" s="4"/>
      </tp>
      <tp t="s">
        <v>#N/A N/A</v>
        <stp/>
        <stp>BDH|16644151136155699964</stp>
        <tr r="C16" s="4"/>
      </tp>
      <tp t="s">
        <v>#N/A N/A</v>
        <stp/>
        <stp>BDH|17636058953342593800</stp>
        <tr r="AP25" s="2"/>
      </tp>
      <tp t="s">
        <v>#N/A N/A</v>
        <stp/>
        <stp>BDH|11787439569183970817</stp>
        <tr r="AI9" s="4"/>
      </tp>
      <tp t="s">
        <v>#N/A N/A</v>
        <stp/>
        <stp>BDH|12330776289682121795</stp>
        <tr r="Y22" s="4"/>
      </tp>
      <tp t="s">
        <v>#N/A N/A</v>
        <stp/>
        <stp>BDH|13786927373594413169</stp>
        <tr r="AG7" s="4"/>
      </tp>
      <tp t="s">
        <v>#N/A N/A</v>
        <stp/>
        <stp>BDH|12553584478019565147</stp>
        <tr r="M13" s="2"/>
      </tp>
      <tp t="s">
        <v>#N/A N/A</v>
        <stp/>
        <stp>BDH|10364725723099108477</stp>
        <tr r="AA22" s="4"/>
      </tp>
      <tp t="s">
        <v>#N/A N/A</v>
        <stp/>
        <stp>BDH|16070268707128742417</stp>
        <tr r="AD10" s="2"/>
      </tp>
      <tp t="s">
        <v>#N/A N/A</v>
        <stp/>
        <stp>BDH|10775632795733319454</stp>
        <tr r="V10" s="4"/>
      </tp>
      <tp t="s">
        <v>#N/A N/A</v>
        <stp/>
        <stp>BDH|10277348133298069031</stp>
        <tr r="T19" s="2"/>
      </tp>
      <tp t="s">
        <v>#N/A N/A</v>
        <stp/>
        <stp>BDH|11463230363035746852</stp>
        <tr r="R14" s="4"/>
      </tp>
      <tp t="s">
        <v>#N/A N/A</v>
        <stp/>
        <stp>BDH|10024286433039530075</stp>
        <tr r="E10" s="4"/>
      </tp>
      <tp t="s">
        <v>#N/A N/A</v>
        <stp/>
        <stp>BDH|18238487833351109608</stp>
        <tr r="I21" s="2"/>
      </tp>
      <tp t="s">
        <v>#N/A N/A</v>
        <stp/>
        <stp>BDH|16424389118764817842</stp>
        <tr r="AC20" s="2"/>
      </tp>
      <tp t="s">
        <v>#N/A N/A</v>
        <stp/>
        <stp>BDH|14957530095985053579</stp>
        <tr r="AI18" s="4"/>
      </tp>
      <tp t="s">
        <v>#N/A N/A</v>
        <stp/>
        <stp>BDH|12792984206597186400</stp>
        <tr r="S18" s="2"/>
      </tp>
      <tp t="s">
        <v>#N/A N/A</v>
        <stp/>
        <stp>BDH|17957716589259861912</stp>
        <tr r="T21" s="4"/>
      </tp>
      <tp t="s">
        <v>#N/A N/A</v>
        <stp/>
        <stp>BDH|17742667447384462994</stp>
        <tr r="AC13" s="2"/>
      </tp>
      <tp t="s">
        <v>#N/A N/A</v>
        <stp/>
        <stp>BDH|16047636872699851620</stp>
        <tr r="F13" s="2"/>
      </tp>
      <tp t="s">
        <v>#N/A N/A</v>
        <stp/>
        <stp>BDH|18358680645543535106</stp>
        <tr r="D26" s="2"/>
      </tp>
      <tp t="s">
        <v>#N/A N/A</v>
        <stp/>
        <stp>BDH|18385182540152392737</stp>
        <tr r="S12" s="4"/>
      </tp>
      <tp t="s">
        <v>#N/A N/A</v>
        <stp/>
        <stp>BDH|13494975695669812248</stp>
        <tr r="AL20" s="2"/>
      </tp>
      <tp t="s">
        <v>#N/A N/A</v>
        <stp/>
        <stp>BDH|16690296388036954233</stp>
        <tr r="C21" s="2"/>
      </tp>
      <tp t="s">
        <v>#N/A N/A</v>
        <stp/>
        <stp>BDH|14624112480661391491</stp>
        <tr r="H21" s="2"/>
      </tp>
      <tp t="s">
        <v>#N/A N/A</v>
        <stp/>
        <stp>BDH|18347199947140581554</stp>
        <tr r="G7" s="4"/>
      </tp>
      <tp t="s">
        <v>#N/A N/A</v>
        <stp/>
        <stp>BDH|15710989617012436700</stp>
        <tr r="N21" s="4"/>
      </tp>
      <tp t="s">
        <v>#N/A N/A</v>
        <stp/>
        <stp>BDH|18134242989563715977</stp>
        <tr r="D18" s="4"/>
      </tp>
      <tp t="s">
        <v>#N/A N/A</v>
        <stp/>
        <stp>BDH|12796278286488940831</stp>
        <tr r="AE26" s="2"/>
      </tp>
      <tp t="s">
        <v>#N/A N/A</v>
        <stp/>
        <stp>BDH|16613630183340846014</stp>
        <tr r="AC9" s="4"/>
      </tp>
      <tp t="s">
        <v>#N/A N/A</v>
        <stp/>
        <stp>BDH|14563372437155365988</stp>
        <tr r="U20" s="2"/>
      </tp>
      <tp t="s">
        <v>#N/A N/A</v>
        <stp/>
        <stp>BDH|18020408201406831272</stp>
        <tr r="N18" s="2"/>
      </tp>
      <tp t="s">
        <v>#N/A N/A</v>
        <stp/>
        <stp>BDP|14848945872425469602</stp>
        <tr r="W10" s="3"/>
      </tp>
      <tp t="s">
        <v>#N/A N/A</v>
        <stp/>
        <stp>BDP|14564549936443586883</stp>
        <tr r="Q10" s="3"/>
      </tp>
      <tp t="s">
        <v>#N/A N/A</v>
        <stp/>
        <stp>BDH|14459952748431082191</stp>
        <tr r="AP21" s="4"/>
      </tp>
      <tp t="s">
        <v>#N/A N/A</v>
        <stp/>
        <stp>BDH|17428415225999221126</stp>
        <tr r="F13" s="4"/>
      </tp>
      <tp t="s">
        <v>#N/A N/A</v>
        <stp/>
        <stp>BDH|14121447631352357877</stp>
        <tr r="AF20" s="4"/>
      </tp>
      <tp t="s">
        <v>#N/A N/A</v>
        <stp/>
        <stp>BDH|13859852501634783686</stp>
        <tr r="U24" s="2"/>
      </tp>
      <tp t="s">
        <v>#N/A N/A</v>
        <stp/>
        <stp>BDH|12005515907788782628</stp>
        <tr r="N14" s="4"/>
      </tp>
      <tp t="s">
        <v>#N/A N/A</v>
        <stp/>
        <stp>BDH|15456752387475367661</stp>
        <tr r="AN21" s="4"/>
      </tp>
      <tp t="s">
        <v>#N/A N/A</v>
        <stp/>
        <stp>BDH|17598887139602534735</stp>
        <tr r="AL21" s="2"/>
      </tp>
      <tp t="s">
        <v>#N/A N/A</v>
        <stp/>
        <stp>BDH|10365863639150690281</stp>
        <tr r="AO20" s="2"/>
      </tp>
      <tp t="s">
        <v>#N/A N/A</v>
        <stp/>
        <stp>BDH|14621589510169264099</stp>
        <tr r="U26" s="2"/>
      </tp>
      <tp t="s">
        <v>#N/A N/A</v>
        <stp/>
        <stp>BDH|15007307161911838804</stp>
        <tr r="D8" s="2"/>
      </tp>
      <tp t="s">
        <v>#N/A N/A</v>
        <stp/>
        <stp>BDH|17606446759747085820</stp>
        <tr r="T22" s="4"/>
      </tp>
      <tp t="s">
        <v>#N/A N/A</v>
        <stp/>
        <stp>BDH|14391557956154190989</stp>
        <tr r="L21" s="4"/>
      </tp>
      <tp t="s">
        <v>#N/A N/A</v>
        <stp/>
        <stp>BDH|12086880545882189558</stp>
        <tr r="AI12" s="4"/>
      </tp>
      <tp t="s">
        <v>#N/A N/A</v>
        <stp/>
        <stp>BDH|11809781590231163781</stp>
        <tr r="J22" s="4"/>
      </tp>
      <tp t="s">
        <v>#N/A N/A</v>
        <stp/>
        <stp>BDH|16226658708100479934</stp>
        <tr r="Z10" s="4"/>
      </tp>
      <tp t="s">
        <v>#N/A N/A</v>
        <stp/>
        <stp>BDH|16493999600595371364</stp>
        <tr r="AB8" s="4"/>
      </tp>
      <tp t="s">
        <v>#N/A N/A</v>
        <stp/>
        <stp>BDH|17640570169794605958</stp>
        <tr r="W12" s="4"/>
      </tp>
      <tp t="s">
        <v>#N/A N/A</v>
        <stp/>
        <stp>BDH|10085408560182866925</stp>
        <tr r="L26" s="2"/>
      </tp>
      <tp t="s">
        <v>#N/A N/A</v>
        <stp/>
        <stp>BDH|15400421899117402610</stp>
        <tr r="AH22" s="4"/>
      </tp>
      <tp t="s">
        <v>#N/A N/A</v>
        <stp/>
        <stp>BDH|14659083909874246984</stp>
        <tr r="K14" s="2"/>
      </tp>
      <tp t="s">
        <v>#N/A N/A</v>
        <stp/>
        <stp>BDH|10628651643489921256</stp>
        <tr r="Q14" s="2"/>
      </tp>
      <tp t="s">
        <v>#N/A N/A</v>
        <stp/>
        <stp>BDH|12367552547449542385</stp>
        <tr r="AM24" s="2"/>
      </tp>
      <tp t="s">
        <v>#N/A N/A</v>
        <stp/>
        <stp>BDH|18267098651722303670</stp>
        <tr r="L20" s="2"/>
      </tp>
      <tp t="s">
        <v>#N/A N/A</v>
        <stp/>
        <stp>BDH|12010298833099066347</stp>
        <tr r="AM26" s="2"/>
      </tp>
      <tp t="s">
        <v>#N/A N/A</v>
        <stp/>
        <stp>BDP|12109749935421956925</stp>
        <tr r="AD12" s="3"/>
      </tp>
      <tp t="s">
        <v>#N/A N/A</v>
        <stp/>
        <stp>BDP|14481035579574810922</stp>
        <tr r="AA10" s="3"/>
      </tp>
      <tp t="s">
        <v>#N/A N/A</v>
        <stp/>
        <stp>BDH|10419019541073505911</stp>
        <tr r="C12" s="4"/>
      </tp>
      <tp t="s">
        <v>#N/A N/A</v>
        <stp/>
        <stp>BDH|15012890009475242628</stp>
        <tr r="AO21" s="2"/>
      </tp>
      <tp t="s">
        <v>#N/A N/A</v>
        <stp/>
        <stp>BDH|15365142788521554392</stp>
        <tr r="AN22" s="4"/>
      </tp>
      <tp t="s">
        <v>#N/A N/A</v>
        <stp/>
        <stp>BDH|17385048081955557413</stp>
        <tr r="Y6" s="4"/>
      </tp>
      <tp t="s">
        <v>#N/A N/A</v>
        <stp/>
        <stp>BDH|12774324283350271761</stp>
        <tr r="E13" s="2"/>
      </tp>
      <tp t="s">
        <v>#N/A N/A</v>
        <stp/>
        <stp>BDH|10192861663443996381</stp>
        <tr r="AI10" s="2"/>
      </tp>
      <tp t="s">
        <v>#N/A N/A</v>
        <stp/>
        <stp>BDH|12435475699603702299</stp>
        <tr r="R22" s="4"/>
      </tp>
      <tp t="s">
        <v>#N/A N/A</v>
        <stp/>
        <stp>BDH|11611848064564441542</stp>
        <tr r="M8" s="4"/>
      </tp>
      <tp t="s">
        <v>#N/A N/A</v>
        <stp/>
        <stp>BDH|17945398853616669934</stp>
        <tr r="X16" s="2"/>
      </tp>
      <tp t="s">
        <v>#N/A N/A</v>
        <stp/>
        <stp>BDH|15315222934068128222</stp>
        <tr r="AN13" s="2"/>
      </tp>
      <tp t="s">
        <v>#N/A N/A</v>
        <stp/>
        <stp>BDH|17715549327936654844</stp>
        <tr r="AE21" s="4"/>
      </tp>
      <tp t="s">
        <v>#N/A N/A</v>
        <stp/>
        <stp>BDH|11247464853789792792</stp>
        <tr r="Z18" s="4"/>
      </tp>
      <tp t="s">
        <v>#N/A N/A</v>
        <stp/>
        <stp>BDH|16909502543289086038</stp>
        <tr r="L17" s="4"/>
      </tp>
      <tp t="s">
        <v>#N/A N/A</v>
        <stp/>
        <stp>BDH|17940859884291589852</stp>
        <tr r="R21" s="4"/>
      </tp>
      <tp t="s">
        <v>#N/A N/A</v>
        <stp/>
        <stp>BDH|15396185446429282775</stp>
        <tr r="K9" s="2"/>
      </tp>
      <tp t="s">
        <v>#N/A N/A</v>
        <stp/>
        <stp>BDH|13201895482739714459</stp>
        <tr r="N14" s="2"/>
      </tp>
      <tp t="s">
        <v>#N/A N/A</v>
        <stp/>
        <stp>BDH|10150684311811481860</stp>
        <tr r="M20" s="2"/>
      </tp>
      <tp t="s">
        <v>#N/A N/A</v>
        <stp/>
        <stp>BDH|14753771099405788137</stp>
        <tr r="AH24" s="2"/>
      </tp>
      <tp t="s">
        <v>#N/A N/A</v>
        <stp/>
        <stp>BDH|14596960719253127167</stp>
        <tr r="AK25" s="2"/>
      </tp>
      <tp t="s">
        <v>#N/A N/A</v>
        <stp/>
        <stp>BDH|11704838178936234632</stp>
        <tr r="K18" s="4"/>
      </tp>
      <tp t="s">
        <v>#N/A N/A</v>
        <stp/>
        <stp>BDH|15840905303042205056</stp>
        <tr r="AP13" s="2"/>
      </tp>
      <tp t="s">
        <v>#N/A N/A</v>
        <stp/>
        <stp>BDH|10060141188520631767</stp>
        <tr r="X17" s="2"/>
      </tp>
      <tp t="s">
        <v>#N/A N/A</v>
        <stp/>
        <stp>BDH|11755520239328237121</stp>
        <tr r="H10" s="4"/>
      </tp>
      <tp t="s">
        <v>#N/A N/A</v>
        <stp/>
        <stp>BDH|16490076812241630887</stp>
        <tr r="AK17" s="2"/>
      </tp>
      <tp t="s">
        <v>#N/A N/A</v>
        <stp/>
        <stp>BDH|11057548969134319811</stp>
        <tr r="AD19" s="2"/>
      </tp>
      <tp t="s">
        <v>#N/A N/A</v>
        <stp/>
        <stp>BDH|12039407489566356640</stp>
        <tr r="C10" s="4"/>
      </tp>
    </main>
    <main first="bofaddin.rtdserver">
      <tp t="s">
        <v>#N/A N/A</v>
        <stp/>
        <stp>BDP|18364384828574201294</stp>
        <tr r="AO12" s="3"/>
      </tp>
      <tp t="s">
        <v>#N/A N/A</v>
        <stp/>
        <stp>BDP|17456731182956039186</stp>
        <tr r="R9" s="3"/>
      </tp>
      <tp t="s">
        <v>#N/A N/A</v>
        <stp/>
        <stp>BDP|13728071791453432646</stp>
        <tr r="T10" s="3"/>
      </tp>
      <tp t="s">
        <v>#N/A N/A</v>
        <stp/>
        <stp>BDP|10910573527340875853</stp>
        <tr r="M17" s="3"/>
      </tp>
      <tp t="s">
        <v>#N/A N/A</v>
        <stp/>
        <stp>BDP|12707921241637063730</stp>
        <tr r="AC13" s="3"/>
      </tp>
      <tp t="s">
        <v>#N/A N/A</v>
        <stp/>
        <stp>BDP|14281406784940125714</stp>
        <tr r="AJ10" s="3"/>
      </tp>
      <tp t="s">
        <v>#N/A N/A</v>
        <stp/>
        <stp>BDH|13776934394008347428</stp>
        <tr r="D8" s="4"/>
      </tp>
      <tp t="s">
        <v>#N/A N/A</v>
        <stp/>
        <stp>BDH|11532324001259112463</stp>
        <tr r="AD20" s="2"/>
      </tp>
      <tp t="s">
        <v>#N/A N/A</v>
        <stp/>
        <stp>BDH|12466215608347930841</stp>
        <tr r="H17" s="4"/>
      </tp>
      <tp t="s">
        <v>#N/A N/A</v>
        <stp/>
        <stp>BDH|18238950511566530934</stp>
        <tr r="C10" s="2"/>
      </tp>
      <tp t="s">
        <v>#N/A N/A</v>
        <stp/>
        <stp>BDH|17315806600447043736</stp>
        <tr r="R17" s="4"/>
      </tp>
      <tp t="s">
        <v>#N/A N/A</v>
        <stp/>
        <stp>BDH|18266155251392355168</stp>
        <tr r="AN18" s="2"/>
      </tp>
      <tp t="s">
        <v>#N/A N/A</v>
        <stp/>
        <stp>BDH|15773225746448205425</stp>
        <tr r="AM9" s="2"/>
      </tp>
      <tp t="s">
        <v>#N/A N/A</v>
        <stp/>
        <stp>BDH|13338871052812774329</stp>
        <tr r="I9" s="4"/>
      </tp>
      <tp t="s">
        <v>#N/A N/A</v>
        <stp/>
        <stp>BDH|14682834916212266031</stp>
        <tr r="AG18" s="4"/>
      </tp>
      <tp t="s">
        <v>#N/A N/A</v>
        <stp/>
        <stp>BDH|13873822052857415694</stp>
        <tr r="Q25" s="2"/>
      </tp>
      <tp t="s">
        <v>#N/A N/A</v>
        <stp/>
        <stp>BDH|11678835584936108854</stp>
        <tr r="AB21" s="2"/>
      </tp>
      <tp t="s">
        <v>#N/A N/A</v>
        <stp/>
        <stp>BDH|10513181381672049494</stp>
        <tr r="P19" s="2"/>
      </tp>
    </main>
    <main first="bofaddin.rtdserver">
      <tp t="s">
        <v>#N/A N/A</v>
        <stp/>
        <stp>BDH|16309990218853523231</stp>
        <tr r="Z20" s="4"/>
      </tp>
      <tp t="s">
        <v>#N/A N/A</v>
        <stp/>
        <stp>BDH|14080784983632821672</stp>
        <tr r="I16" s="2"/>
      </tp>
      <tp t="s">
        <v>#N/A N/A</v>
        <stp/>
        <stp>BDH|12705924429685146398</stp>
        <tr r="AE10" s="4"/>
      </tp>
      <tp t="s">
        <v>#N/A N/A</v>
        <stp/>
        <stp>BDH|12114952640590718071</stp>
        <tr r="Y21" s="4"/>
      </tp>
      <tp t="s">
        <v>#N/A N/A</v>
        <stp/>
        <stp>BDH|13176968113292057630</stp>
        <tr r="H9" s="4"/>
      </tp>
      <tp t="s">
        <v>#N/A N/A</v>
        <stp/>
        <stp>BDH|15133531657563041923</stp>
        <tr r="AI14" s="2"/>
      </tp>
      <tp t="s">
        <v>#N/A N/A</v>
        <stp/>
        <stp>BDH|11120725391678633825</stp>
        <tr r="Y12" s="4"/>
      </tp>
      <tp t="s">
        <v>#N/A N/A</v>
        <stp/>
        <stp>BDH|11016792936203005995</stp>
        <tr r="G8" s="4"/>
      </tp>
      <tp t="s">
        <v>#N/A N/A</v>
        <stp/>
        <stp>BDH|16888495509715978883</stp>
        <tr r="G13" s="2"/>
      </tp>
      <tp t="s">
        <v>#N/A N/A</v>
        <stp/>
        <stp>BDH|13536838303203579798</stp>
        <tr r="AE20" s="4"/>
      </tp>
      <tp t="s">
        <v>#N/A N/A</v>
        <stp/>
        <stp>BDH|17476064349688017422</stp>
        <tr r="D13" s="2"/>
      </tp>
      <tp t="s">
        <v>#N/A N/A</v>
        <stp/>
        <stp>BDH|12779409668339359645</stp>
        <tr r="AM21" s="4"/>
      </tp>
      <tp t="s">
        <v>#N/A N/A</v>
        <stp/>
        <stp>BDH|16337096782384125510</stp>
        <tr r="W21" s="4"/>
      </tp>
      <tp t="s">
        <v>#N/A N/A</v>
        <stp/>
        <stp>BDH|15697493247759518367</stp>
        <tr r="Z18" s="2"/>
      </tp>
      <tp t="s">
        <v>#N/A N/A</v>
        <stp/>
        <stp>BDH|14630473855683788981</stp>
        <tr r="C13" s="4"/>
      </tp>
      <tp t="s">
        <v>#N/A N/A</v>
        <stp/>
        <stp>BDH|12535655287871428282</stp>
        <tr r="AL9" s="2"/>
      </tp>
      <tp t="s">
        <v>#N/A N/A</v>
        <stp/>
        <stp>BDH|10020440661599621484</stp>
        <tr r="S10" s="4"/>
      </tp>
      <tp t="s">
        <v>#N/A N/A</v>
        <stp/>
        <stp>BDH|14848934781959067319</stp>
        <tr r="M26" s="2"/>
      </tp>
      <tp t="s">
        <v>#N/A N/A</v>
        <stp/>
        <stp>BDH|14417842198088019242</stp>
        <tr r="D21" s="2"/>
      </tp>
      <tp t="s">
        <v>#N/A N/A</v>
        <stp/>
        <stp>BDH|15442034188845389705</stp>
        <tr r="M21" s="2"/>
      </tp>
      <tp t="s">
        <v>#N/A N/A</v>
        <stp/>
        <stp>BDH|12974501336138355307</stp>
        <tr r="AK10" s="2"/>
      </tp>
      <tp t="s">
        <v>#N/A N/A</v>
        <stp/>
        <stp>BDH|11485873413204829374</stp>
        <tr r="AL12" s="4"/>
      </tp>
      <tp t="s">
        <v>#N/A N/A</v>
        <stp/>
        <stp>BDH|10390008605256997905</stp>
        <tr r="W21" s="2"/>
      </tp>
      <tp t="s">
        <v>#N/A N/A</v>
        <stp/>
        <stp>BDH|14663662056478036093</stp>
        <tr r="AG24" s="2"/>
      </tp>
      <tp t="s">
        <v>#N/A N/A</v>
        <stp/>
        <stp>BDH|12387051170558889210</stp>
        <tr r="AM20" s="2"/>
      </tp>
      <tp t="s">
        <v>#N/A N/A</v>
        <stp/>
        <stp>BDP|17333317516090875966</stp>
        <tr r="G10" s="3"/>
      </tp>
      <tp t="s">
        <v>#N/A N/A</v>
        <stp/>
        <stp>BDP|13441565199745167648</stp>
        <tr r="AF17" s="3"/>
      </tp>
      <tp t="s">
        <v>#N/A N/A</v>
        <stp/>
        <stp>BDP|15341741166499605161</stp>
        <tr r="L10" s="3"/>
      </tp>
      <tp t="s">
        <v>#N/A N/A</v>
        <stp/>
        <stp>BDP|14776618991133429469</stp>
        <tr r="AE9" s="3"/>
      </tp>
      <tp t="s">
        <v>#N/A N/A</v>
        <stp/>
        <stp>BDH|17741005846956765974</stp>
        <tr r="T17" s="2"/>
      </tp>
      <tp t="s">
        <v>#N/A N/A</v>
        <stp/>
        <stp>BDH|13175049311716508806</stp>
        <tr r="O10" s="4"/>
      </tp>
      <tp t="s">
        <v>#N/A N/A</v>
        <stp/>
        <stp>BDH|17989024617002454898</stp>
        <tr r="Q21" s="4"/>
      </tp>
      <tp t="s">
        <v>#N/A N/A</v>
        <stp/>
        <stp>BDH|16376721386343244641</stp>
        <tr r="AI21" s="2"/>
      </tp>
      <tp t="s">
        <v>#N/A N/A</v>
        <stp/>
        <stp>BDH|12178935612021386731</stp>
        <tr r="I17" s="2"/>
      </tp>
      <tp t="s">
        <v>#N/A N/A</v>
        <stp/>
        <stp>BDH|13384786639128793358</stp>
        <tr r="H8" s="4"/>
      </tp>
      <tp t="s">
        <v>#N/A N/A</v>
        <stp/>
        <stp>BDH|12572700043828721519</stp>
        <tr r="V13" s="4"/>
      </tp>
      <tp t="s">
        <v>#N/A N/A</v>
        <stp/>
        <stp>BDH|13411932672035191474</stp>
        <tr r="S16" s="4"/>
      </tp>
      <tp t="s">
        <v>#N/A N/A</v>
        <stp/>
        <stp>BDH|11652575694272141369</stp>
        <tr r="AO10" s="2"/>
      </tp>
      <tp t="s">
        <v>#N/A N/A</v>
        <stp/>
        <stp>BDH|17346150614082390930</stp>
        <tr r="I14" s="4"/>
      </tp>
      <tp t="s">
        <v>#N/A N/A</v>
        <stp/>
        <stp>BDH|11938120166763732985</stp>
        <tr r="AD7" s="2"/>
      </tp>
      <tp t="s">
        <v>#N/A N/A</v>
        <stp/>
        <stp>BDH|15118772444373437945</stp>
        <tr r="AH18" s="4"/>
      </tp>
      <tp t="s">
        <v>#N/A N/A</v>
        <stp/>
        <stp>BDH|14677328731398506054</stp>
        <tr r="E9" s="4"/>
      </tp>
      <tp t="s">
        <v>#N/A N/A</v>
        <stp/>
        <stp>BDH|15127550542688608059</stp>
        <tr r="Q20" s="4"/>
      </tp>
      <tp t="s">
        <v>#N/A N/A</v>
        <stp/>
        <stp>BDH|11491449841124247963</stp>
        <tr r="AG12" s="4"/>
      </tp>
      <tp t="s">
        <v>#N/A N/A</v>
        <stp/>
        <stp>BDH|14483041157055394814</stp>
        <tr r="AA14" s="4"/>
      </tp>
      <tp t="s">
        <v>#N/A N/A</v>
        <stp/>
        <stp>BDH|10264153475572699803</stp>
        <tr r="W22" s="4"/>
      </tp>
      <tp t="s">
        <v>#N/A N/A</v>
        <stp/>
        <stp>BDH|16623804461932055630</stp>
        <tr r="AJ16" s="2"/>
      </tp>
      <tp t="s">
        <v>#N/A N/A</v>
        <stp/>
        <stp>BDH|12173916945015508646</stp>
        <tr r="AP7" s="4"/>
      </tp>
      <tp t="s">
        <v>#N/A N/A</v>
        <stp/>
        <stp>BDH|14145906540465082060</stp>
        <tr r="H14" s="4"/>
      </tp>
      <tp t="s">
        <v>#N/A N/A</v>
        <stp/>
        <stp>BDH|14399961786108453113</stp>
        <tr r="N7" s="4"/>
      </tp>
      <tp t="s">
        <v>#N/A N/A</v>
        <stp/>
        <stp>BDH|17687816802670092330</stp>
        <tr r="Y16" s="4"/>
      </tp>
      <tp t="s">
        <v>#N/A N/A</v>
        <stp/>
        <stp>BDH|10987962770166365451</stp>
        <tr r="AC7" s="2"/>
      </tp>
      <tp t="s">
        <v>#N/A N/A</v>
        <stp/>
        <stp>BDH|13487987784546957896</stp>
        <tr r="AF13" s="2"/>
      </tp>
      <tp t="s">
        <v>#N/A N/A</v>
        <stp/>
        <stp>BDH|12689661345685827953</stp>
        <tr r="L17" s="2"/>
      </tp>
      <tp t="s">
        <v>#N/A N/A</v>
        <stp/>
        <stp>BDH|17030563893084804353</stp>
        <tr r="AD22" s="4"/>
      </tp>
      <tp t="s">
        <v>#N/A N/A</v>
        <stp/>
        <stp>BDH|12619237481387832346</stp>
        <tr r="AK7" s="4"/>
      </tp>
      <tp t="s">
        <v>#N/A N/A</v>
        <stp/>
        <stp>BDH|11806439863028681755</stp>
        <tr r="E8" s="2"/>
      </tp>
      <tp t="s">
        <v>#N/A N/A</v>
        <stp/>
        <stp>BDH|10213876116473796697</stp>
        <tr r="P10" s="4"/>
      </tp>
      <tp t="s">
        <v>#N/A N/A</v>
        <stp/>
        <stp>BDH|14308704222579990458</stp>
        <tr r="AC18" s="2"/>
      </tp>
      <tp t="s">
        <v>#N/A N/A</v>
        <stp/>
        <stp>BDH|12969650695950497101</stp>
        <tr r="AC21" s="2"/>
      </tp>
      <tp t="s">
        <v>#N/A N/A</v>
        <stp/>
        <stp>BDH|15016897464446750164</stp>
        <tr r="AG10" s="4"/>
      </tp>
      <tp t="s">
        <v>#N/A N/A</v>
        <stp/>
        <stp>BDH|15916015748699647499</stp>
        <tr r="AJ8" s="4"/>
      </tp>
      <tp t="s">
        <v>#N/A N/A</v>
        <stp/>
        <stp>BDH|10019099482622377674</stp>
        <tr r="J26" s="2"/>
      </tp>
      <tp t="s">
        <v>#N/A N/A</v>
        <stp/>
        <stp>BDH|12111547358466178839</stp>
        <tr r="I8" s="2"/>
      </tp>
      <tp t="s">
        <v>#N/A N/A</v>
        <stp/>
        <stp>BDH|12124076859572136902</stp>
        <tr r="T10" s="4"/>
      </tp>
      <tp t="s">
        <v>#N/A N/A</v>
        <stp/>
        <stp>BDP|11452589164599061605</stp>
        <tr r="E10" s="3"/>
      </tp>
      <tp t="s">
        <v>#N/A N/A</v>
        <stp/>
        <stp>BDP|15017330773298856478</stp>
        <tr r="W9" s="3"/>
      </tp>
      <tp t="s">
        <v>#N/A N/A</v>
        <stp/>
        <stp>BDP|15600051999087458604</stp>
        <tr r="S10" s="3"/>
      </tp>
      <tp t="s">
        <v>#N/A N/A</v>
        <stp/>
        <stp>BDP|14555851220932111108</stp>
        <tr r="AK9" s="3"/>
      </tp>
      <tp t="s">
        <v>#N/A N/A</v>
        <stp/>
        <stp>BDP|15568843271942184525</stp>
        <tr r="L16" s="3"/>
      </tp>
      <tp t="s">
        <v>#N/A N/A</v>
        <stp/>
        <stp>BDP|12059744232608340300</stp>
        <tr r="AO16" s="3"/>
      </tp>
      <tp t="s">
        <v>#N/A N/A</v>
        <stp/>
        <stp>BDP|16169332722338581218</stp>
        <tr r="F17" s="3"/>
      </tp>
      <tp t="s">
        <v>#N/A N/A</v>
        <stp/>
        <stp>BDP|18056751478911994438</stp>
        <tr r="X16" s="3"/>
      </tp>
      <tp t="s">
        <v>#N/A N/A</v>
        <stp/>
        <stp>BDP|11031350619958246680</stp>
        <tr r="L13" s="3"/>
      </tp>
      <tp t="s">
        <v>#N/A N/A</v>
        <stp/>
        <stp>BDH|16260539904137617921</stp>
        <tr r="AB18" s="4"/>
      </tp>
      <tp t="s">
        <v>#N/A N/A</v>
        <stp/>
        <stp>BDH|11210963938220444699</stp>
        <tr r="U7" s="2"/>
      </tp>
      <tp t="s">
        <v>#N/A N/A</v>
        <stp/>
        <stp>BDH|16735832720646431718</stp>
        <tr r="U8" s="4"/>
      </tp>
      <tp t="s">
        <v>#N/A N/A</v>
        <stp/>
        <stp>BDH|16931575338404054938</stp>
        <tr r="Z14" s="2"/>
      </tp>
      <tp t="s">
        <v>#N/A N/A</v>
        <stp/>
        <stp>BDH|11192608676639404463</stp>
        <tr r="AO14" s="4"/>
      </tp>
      <tp t="s">
        <v>#N/A N/A</v>
        <stp/>
        <stp>BDH|14278034868907440896</stp>
        <tr r="I21" s="4"/>
      </tp>
      <tp t="s">
        <v>#N/A N/A</v>
        <stp/>
        <stp>BDH|14245311073439039446</stp>
        <tr r="AO22" s="4"/>
      </tp>
      <tp t="s">
        <v>#N/A N/A</v>
        <stp/>
        <stp>BDH|15411363155037278921</stp>
        <tr r="V6" s="4"/>
      </tp>
      <tp t="s">
        <v>#N/A N/A</v>
        <stp/>
        <stp>BDH|16217505781727595102</stp>
        <tr r="O17" s="4"/>
      </tp>
      <tp t="s">
        <v>#N/A N/A</v>
        <stp/>
        <stp>BDH|14727623192133750595</stp>
        <tr r="I20" s="2"/>
      </tp>
      <tp t="s">
        <v>#N/A N/A</v>
        <stp/>
        <stp>BDH|14053432472708265284</stp>
        <tr r="H13" s="4"/>
      </tp>
      <tp t="s">
        <v>#N/A N/A</v>
        <stp/>
        <stp>BDH|15992288801309821335</stp>
        <tr r="AL7" s="4"/>
      </tp>
      <tp t="s">
        <v>#N/A N/A</v>
        <stp/>
        <stp>BDH|14070473245999054084</stp>
        <tr r="X10" s="2"/>
      </tp>
      <tp t="s">
        <v>#N/A N/A</v>
        <stp/>
        <stp>BDH|15750110522388170388</stp>
        <tr r="I22" s="4"/>
      </tp>
      <tp t="s">
        <v>#N/A N/A</v>
        <stp/>
        <stp>BDH|16281950560596238289</stp>
        <tr r="U13" s="2"/>
      </tp>
      <tp t="s">
        <v>#N/A N/A</v>
        <stp/>
        <stp>BDH|13210388204564830992</stp>
        <tr r="AM7" s="4"/>
      </tp>
      <tp t="s">
        <v>#N/A N/A</v>
        <stp/>
        <stp>BDH|14432225508682175904</stp>
        <tr r="F6" s="4"/>
      </tp>
      <tp t="s">
        <v>#N/A N/A</v>
        <stp/>
        <stp>BDH|15198844133997977401</stp>
        <tr r="X13" s="4"/>
      </tp>
      <tp t="s">
        <v>#N/A N/A</v>
        <stp/>
        <stp>BDH|12376716880577819750</stp>
        <tr r="F17" s="2"/>
      </tp>
      <tp t="s">
        <v>#N/A N/A</v>
        <stp/>
        <stp>BDP|10862872417748597351</stp>
        <tr r="AG10" s="3"/>
      </tp>
      <tp t="s">
        <v>#N/A N/A</v>
        <stp/>
        <stp>BDP|15096489071443617752</stp>
        <tr r="AB9" s="3"/>
      </tp>
      <tp t="s">
        <v>#N/A N/A</v>
        <stp/>
        <stp>BDP|12816174901406780752</stp>
        <tr r="AO13" s="3"/>
      </tp>
      <tp t="s">
        <v>#N/A N/A</v>
        <stp/>
        <stp>BDP|15334267253307265781</stp>
        <tr r="AP17" s="3"/>
      </tp>
      <tp t="s">
        <v>#N/A N/A</v>
        <stp/>
        <stp>BDP|13009351156285597296</stp>
        <tr r="R10" s="3"/>
      </tp>
      <tp t="s">
        <v>#N/A N/A</v>
        <stp/>
        <stp>BDP|12220666034071106418</stp>
        <tr r="S12" s="3"/>
      </tp>
      <tp t="s">
        <v>#N/A N/A</v>
        <stp/>
        <stp>BDP|10518831543036888887</stp>
        <tr r="C16" s="3"/>
      </tp>
      <tp t="s">
        <v>#N/A N/A</v>
        <stp/>
        <stp>BDP|15309018756194468669</stp>
        <tr r="AH16" s="3"/>
      </tp>
      <tp t="s">
        <v>#N/A N/A</v>
        <stp/>
        <stp>BDH|17040630014817529536</stp>
        <tr r="AP8" s="4"/>
      </tp>
      <tp t="s">
        <v>#N/A N/A</v>
        <stp/>
        <stp>BDH|10661378605261205073</stp>
        <tr r="AJ13" s="2"/>
      </tp>
      <tp t="s">
        <v>#N/A N/A</v>
        <stp/>
        <stp>BDH|12077493397515797887</stp>
        <tr r="H6" s="4"/>
      </tp>
      <tp t="s">
        <v>#N/A N/A</v>
        <stp/>
        <stp>BDH|15741731337606732557</stp>
        <tr r="AN8" s="2"/>
      </tp>
      <tp t="s">
        <v>#N/A N/A</v>
        <stp/>
        <stp>BDH|13480663552095187718</stp>
        <tr r="AK21" s="4"/>
      </tp>
      <tp t="s">
        <v>#N/A N/A</v>
        <stp/>
        <stp>BDH|16463986799466755223</stp>
        <tr r="AO26" s="2"/>
      </tp>
      <tp t="s">
        <v>#N/A N/A</v>
        <stp/>
        <stp>BDH|11015903407479288363</stp>
        <tr r="L12" s="4"/>
      </tp>
      <tp t="s">
        <v>#N/A N/A</v>
        <stp/>
        <stp>BDH|15534607422164067756</stp>
        <tr r="C22" s="4"/>
      </tp>
      <tp t="s">
        <v>#N/A N/A</v>
        <stp/>
        <stp>BDH|17292207654674553618</stp>
        <tr r="AP13" s="4"/>
      </tp>
      <tp t="s">
        <v>#N/A N/A</v>
        <stp/>
        <stp>BDH|15012195978218536919</stp>
        <tr r="AD9" s="4"/>
      </tp>
      <tp t="s">
        <v>#N/A N/A</v>
        <stp/>
        <stp>BDH|10863244025487525595</stp>
        <tr r="R24" s="2"/>
      </tp>
      <tp t="s">
        <v>#N/A N/A</v>
        <stp/>
        <stp>BDH|10281475974880057152</stp>
        <tr r="AN20" s="2"/>
      </tp>
      <tp t="s">
        <v>#N/A N/A</v>
        <stp/>
        <stp>BDH|13947075411080978027</stp>
        <tr r="AK18" s="4"/>
      </tp>
      <tp t="s">
        <v>#N/A N/A</v>
        <stp/>
        <stp>BDH|10184439375867016612</stp>
        <tr r="AG21" s="4"/>
      </tp>
      <tp t="s">
        <v>#N/A N/A</v>
        <stp/>
        <stp>BDH|15282685344122947710</stp>
        <tr r="P21" s="4"/>
      </tp>
      <tp t="s">
        <v>#N/A N/A</v>
        <stp/>
        <stp>BDH|14034738009155563494</stp>
        <tr r="J16" s="4"/>
      </tp>
      <tp t="s">
        <v>#N/A N/A</v>
        <stp/>
        <stp>BDH|13992604933262480682</stp>
        <tr r="AD18" s="2"/>
      </tp>
      <tp t="s">
        <v>#N/A N/A</v>
        <stp/>
        <stp>BDH|13363350279862282745</stp>
        <tr r="X8" s="2"/>
      </tp>
      <tp t="s">
        <v>#N/A N/A</v>
        <stp/>
        <stp>BDH|16122285846531322347</stp>
        <tr r="AH10" s="2"/>
      </tp>
      <tp t="s">
        <v>#N/A N/A</v>
        <stp/>
        <stp>BDH|17614452999019750160</stp>
        <tr r="AC17" s="2"/>
      </tp>
      <tp t="s">
        <v>#N/A N/A</v>
        <stp/>
        <stp>BDH|13949149360321860785</stp>
        <tr r="AE17" s="2"/>
      </tp>
      <tp t="s">
        <v>#N/A N/A</v>
        <stp/>
        <stp>BDH|14521492714431713224</stp>
        <tr r="AE17" s="4"/>
      </tp>
      <tp t="s">
        <v>#N/A N/A</v>
        <stp/>
        <stp>BDH|11698326285759885146</stp>
        <tr r="G13" s="4"/>
      </tp>
      <tp t="s">
        <v>#N/A N/A</v>
        <stp/>
        <stp>BDH|11347387610489424834</stp>
        <tr r="AF12" s="4"/>
      </tp>
      <tp t="s">
        <v>#N/A N/A</v>
        <stp/>
        <stp>BDH|11193781540950691039</stp>
        <tr r="AK14" s="2"/>
      </tp>
      <tp t="s">
        <v>#N/A N/A</v>
        <stp/>
        <stp>BDH|11675303967017901140</stp>
        <tr r="P7" s="4"/>
      </tp>
      <tp t="s">
        <v>#N/A N/A</v>
        <stp/>
        <stp>BDH|12494952798822683200</stp>
        <tr r="AL10" s="2"/>
      </tp>
      <tp t="s">
        <v>#N/A N/A</v>
        <stp/>
        <stp>BDH|12995053152211370426</stp>
        <tr r="H18" s="4"/>
      </tp>
      <tp t="s">
        <v>#N/A N/A</v>
        <stp/>
        <stp>BDH|13427991883428241830</stp>
        <tr r="C24" s="2"/>
      </tp>
      <tp t="s">
        <v>#N/A N/A</v>
        <stp/>
        <stp>BDH|16380085204980218420</stp>
        <tr r="AH20" s="2"/>
      </tp>
      <tp t="s">
        <v>#N/A N/A</v>
        <stp/>
        <stp>BDP|13198750863660851176</stp>
        <tr r="S17" s="3"/>
      </tp>
      <tp t="s">
        <v>#N/A N/A</v>
        <stp/>
        <stp>BDP|11794539153417993541</stp>
        <tr r="U10" s="3"/>
      </tp>
      <tp t="s">
        <v>#N/A N/A</v>
        <stp/>
        <stp>BDP|12583790315502430515</stp>
        <tr r="AE13" s="3"/>
      </tp>
      <tp t="s">
        <v>#N/A N/A</v>
        <stp/>
        <stp>BDP|18210958268324325007</stp>
        <tr r="AB17" s="3"/>
      </tp>
      <tp t="s">
        <v>#N/A N/A</v>
        <stp/>
        <stp>BDP|11077730157293028385</stp>
        <tr r="Z16" s="3"/>
      </tp>
      <tp t="s">
        <v>#N/A N/A</v>
        <stp/>
        <stp>BDP|18224620889490347562</stp>
        <tr r="E16" s="3"/>
      </tp>
      <tp t="s">
        <v>#N/A N/A</v>
        <stp/>
        <stp>BDP|11552420668380291023</stp>
        <tr r="O16" s="3"/>
      </tp>
      <tp t="s">
        <v>#N/A N/A</v>
        <stp/>
        <stp>BDP|14175947187513508544</stp>
        <tr r="C17" s="3"/>
      </tp>
      <tp t="s">
        <v>#N/A N/A</v>
        <stp/>
        <stp>BDP|15340425375061820498</stp>
        <tr r="D9" s="3"/>
      </tp>
      <tp t="s">
        <v>#N/A N/A</v>
        <stp/>
        <stp>BDP|18441453028054921953</stp>
        <tr r="I17" s="3"/>
      </tp>
      <tp t="s">
        <v>#N/A N/A</v>
        <stp/>
        <stp>BDP|12953743131600203594</stp>
        <tr r="AB10" s="3"/>
      </tp>
      <tp t="s">
        <v>#N/A N/A</v>
        <stp/>
        <stp>BDH|15452533117391562341</stp>
        <tr r="AG21" s="2"/>
      </tp>
      <tp t="s">
        <v>#N/A N/A</v>
        <stp/>
        <stp>BDH|10307781178413356016</stp>
        <tr r="V20" s="4"/>
      </tp>
      <tp t="s">
        <v>#N/A N/A</v>
        <stp/>
        <stp>BDH|14911599423527487763</stp>
        <tr r="K9" s="4"/>
      </tp>
      <tp t="s">
        <v>#N/A N/A</v>
        <stp/>
        <stp>BDH|10661137831467259668</stp>
        <tr r="AP24" s="2"/>
      </tp>
      <tp t="s">
        <v>#N/A N/A</v>
        <stp/>
        <stp>BDH|11082664614730603545</stp>
        <tr r="S8" s="2"/>
      </tp>
      <tp t="s">
        <v>#N/A N/A</v>
        <stp/>
        <stp>BDH|11632492758630383374</stp>
        <tr r="AO8" s="2"/>
      </tp>
      <tp t="s">
        <v>#N/A N/A</v>
        <stp/>
        <stp>BDH|17561631695563921894</stp>
        <tr r="L22" s="4"/>
      </tp>
      <tp t="s">
        <v>#N/A N/A</v>
        <stp/>
        <stp>BDH|16061519830395641650</stp>
        <tr r="X9" s="4"/>
      </tp>
      <tp t="s">
        <v>#N/A N/A</v>
        <stp/>
        <stp>BDH|11029406646477755530</stp>
        <tr r="O25" s="2"/>
      </tp>
      <tp t="s">
        <v>#N/A N/A</v>
        <stp/>
        <stp>BDH|11742202732495282622</stp>
        <tr r="AI20" s="2"/>
      </tp>
      <tp t="s">
        <v>#N/A N/A</v>
        <stp/>
        <stp>BDH|18379070016479641318</stp>
        <tr r="X6" s="4"/>
      </tp>
      <tp t="s">
        <v>#N/A N/A</v>
        <stp/>
        <stp>BDH|15329136822467791207</stp>
        <tr r="I24" s="2"/>
      </tp>
      <tp t="s">
        <v>#N/A N/A</v>
        <stp/>
        <stp>BDH|15063988381015501293</stp>
        <tr r="AP20" s="4"/>
      </tp>
      <tp t="s">
        <v>#N/A N/A</v>
        <stp/>
        <stp>BDH|16652317545913735104</stp>
        <tr r="K16" s="4"/>
      </tp>
      <tp t="s">
        <v>#N/A N/A</v>
        <stp/>
        <stp>BDH|16746368401144176248</stp>
        <tr r="T12" s="4"/>
      </tp>
      <tp t="s">
        <v>#N/A N/A</v>
        <stp/>
        <stp>BDH|11032742833637274104</stp>
        <tr r="G17" s="4"/>
      </tp>
      <tp t="s">
        <v>#N/A N/A</v>
        <stp/>
        <stp>BDH|17204764164940098549</stp>
        <tr r="AN8" s="4"/>
      </tp>
      <tp t="s">
        <v>#N/A N/A</v>
        <stp/>
        <stp>BDH|13133083431893404085</stp>
        <tr r="P12" s="4"/>
      </tp>
      <tp t="s">
        <v>#N/A N/A</v>
        <stp/>
        <stp>BDH|17599518624686161553</stp>
        <tr r="S14" s="4"/>
      </tp>
      <tp t="s">
        <v>#N/A N/A</v>
        <stp/>
        <stp>BDH|15136830058279629285</stp>
        <tr r="W25" s="2"/>
      </tp>
      <tp t="s">
        <v>#N/A N/A</v>
        <stp/>
        <stp>BDH|12336104755162406760</stp>
        <tr r="H10" s="2"/>
      </tp>
      <tp t="s">
        <v>#N/A N/A</v>
        <stp/>
        <stp>BDH|12457578443933185365</stp>
        <tr r="AM14" s="4"/>
      </tp>
      <tp t="s">
        <v>#N/A N/A</v>
        <stp/>
        <stp>BDH|15759550025091328031</stp>
        <tr r="N13" s="4"/>
      </tp>
      <tp t="s">
        <v>#N/A N/A</v>
        <stp/>
        <stp>BDH|16522235870083860395</stp>
        <tr r="U18" s="4"/>
      </tp>
      <tp t="s">
        <v>#N/A N/A</v>
        <stp/>
        <stp>BDH|13083011753537182252</stp>
        <tr r="AH20" s="4"/>
      </tp>
      <tp t="s">
        <v>#N/A N/A</v>
        <stp/>
        <stp>BDH|12334830283596139743</stp>
        <tr r="AC9" s="2"/>
      </tp>
      <tp t="s">
        <v>#N/A N/A</v>
        <stp/>
        <stp>BDH|12774246918416864456</stp>
        <tr r="D9" s="2"/>
      </tp>
      <tp t="s">
        <v>#N/A N/A</v>
        <stp/>
        <stp>BDH|15820249156412072336</stp>
        <tr r="J9" s="4"/>
      </tp>
      <tp t="s">
        <v>#N/A N/A</v>
        <stp/>
        <stp>BDH|18404481335185230927</stp>
        <tr r="R8" s="4"/>
      </tp>
      <tp t="s">
        <v>#N/A N/A</v>
        <stp/>
        <stp>BDH|16160113242974334494</stp>
        <tr r="Y9" s="4"/>
      </tp>
      <tp t="s">
        <v>#N/A N/A</v>
        <stp/>
        <stp>BDH|13673500217492014696</stp>
        <tr r="AI26" s="2"/>
      </tp>
      <tp t="s">
        <v>#N/A N/A</v>
        <stp/>
        <stp>BDH|13858718932610216421</stp>
        <tr r="Y7" s="4"/>
      </tp>
      <tp t="s">
        <v>#N/A N/A</v>
        <stp/>
        <stp>BDH|13033439679592501143</stp>
        <tr r="H7" s="4"/>
      </tp>
      <tp t="s">
        <v>#N/A N/A</v>
        <stp/>
        <stp>BDH|10890324843575330118</stp>
        <tr r="AN6" s="4"/>
      </tp>
      <tp t="s">
        <v>#N/A N/A</v>
        <stp/>
        <stp>BDH|11620597083646526922</stp>
        <tr r="AP16" s="4"/>
      </tp>
      <tp t="s">
        <v>#N/A N/A</v>
        <stp/>
        <stp>BDH|16604755986548918271</stp>
        <tr r="R20" s="4"/>
      </tp>
      <tp t="s">
        <v>#N/A N/A</v>
        <stp/>
        <stp>BDH|15356936867741978854</stp>
        <tr r="AE14" s="2"/>
      </tp>
      <tp t="s">
        <v>#N/A N/A</v>
        <stp/>
        <stp>BDH|16778198952948101978</stp>
        <tr r="G26" s="2"/>
      </tp>
      <tp t="s">
        <v>#N/A N/A</v>
        <stp/>
        <stp>BDH|10520993686490692260</stp>
        <tr r="R9" s="4"/>
      </tp>
      <tp t="s">
        <v>#N/A N/A</v>
        <stp/>
        <stp>BDH|15633500818615750735</stp>
        <tr r="F14" s="4"/>
      </tp>
      <tp t="s">
        <v>#N/A N/A</v>
        <stp/>
        <stp>BDH|11276361108964200535</stp>
        <tr r="AM21" s="2"/>
      </tp>
      <tp t="s">
        <v>#N/A N/A</v>
        <stp/>
        <stp>BDH|10962664928702895524</stp>
        <tr r="I19" s="2"/>
      </tp>
      <tp t="s">
        <v>#N/A N/A</v>
        <stp/>
        <stp>BDH|17225836918129499402</stp>
        <tr r="X18" s="2"/>
      </tp>
      <tp t="s">
        <v>#N/A N/A</v>
        <stp/>
        <stp>BDH|12835207055756171008</stp>
        <tr r="AK9" s="2"/>
      </tp>
      <tp t="s">
        <v>#N/A N/A</v>
        <stp/>
        <stp>BDH|16975337618360982745</stp>
        <tr r="I14" s="2"/>
      </tp>
      <tp t="s">
        <v>#N/A N/A</v>
        <stp/>
        <stp>BDH|14006462338373695374</stp>
        <tr r="D7" s="2"/>
      </tp>
      <tp t="s">
        <v>#N/A N/A</v>
        <stp/>
        <stp>BDH|12704759679381415009</stp>
        <tr r="D16" s="4"/>
      </tp>
      <tp t="s">
        <v>#N/A N/A</v>
        <stp/>
        <stp>BDH|11421307678781198729</stp>
        <tr r="Q24" s="2"/>
      </tp>
      <tp t="s">
        <v>#N/A N/A</v>
        <stp/>
        <stp>BDH|10005798401303696713</stp>
        <tr r="AN21" s="2"/>
      </tp>
      <tp t="s">
        <v>#N/A N/A</v>
        <stp/>
        <stp>BDH|16428073473761923376</stp>
        <tr r="AM16" s="2"/>
      </tp>
      <tp t="s">
        <v>#N/A N/A</v>
        <stp/>
        <stp>BDP|17851627505790043121</stp>
        <tr r="AJ13" s="3"/>
      </tp>
      <tp t="s">
        <v>#N/A N/A</v>
        <stp/>
        <stp>BDP|17491866397223935526</stp>
        <tr r="Y10" s="3"/>
      </tp>
      <tp t="s">
        <v>#N/A N/A</v>
        <stp/>
        <stp>BDP|14805099197969737404</stp>
        <tr r="L9" s="3"/>
      </tp>
      <tp t="s">
        <v>#N/A N/A</v>
        <stp/>
        <stp>BDP|11520909551425555861</stp>
        <tr r="AA12" s="3"/>
      </tp>
      <tp t="s">
        <v>#N/A N/A</v>
        <stp/>
        <stp>BDP|11555360092562244945</stp>
        <tr r="AH13" s="3"/>
      </tp>
      <tp t="s">
        <v>#N/A N/A</v>
        <stp/>
        <stp>BDH|14010107450846004617</stp>
        <tr r="E21" s="4"/>
      </tp>
      <tp t="s">
        <v>#N/A N/A</v>
        <stp/>
        <stp>BDH|17153035074284643436</stp>
        <tr r="AI17" s="2"/>
      </tp>
      <tp t="s">
        <v>#N/A N/A</v>
        <stp/>
        <stp>BDH|13886992381633632159</stp>
        <tr r="AP26" s="2"/>
      </tp>
      <tp t="s">
        <v>#N/A N/A</v>
        <stp/>
        <stp>BDH|11626775152782626166</stp>
        <tr r="AC14" s="4"/>
      </tp>
      <tp t="s">
        <v>#N/A N/A</v>
        <stp/>
        <stp>BDH|11920018473250169686</stp>
        <tr r="V19" s="2"/>
      </tp>
      <tp t="s">
        <v>#N/A N/A</v>
        <stp/>
        <stp>BDH|16171045397587332832</stp>
        <tr r="W17" s="2"/>
      </tp>
      <tp t="s">
        <v>#N/A N/A</v>
        <stp/>
        <stp>BDH|18303099275976965938</stp>
        <tr r="Q13" s="4"/>
      </tp>
      <tp t="s">
        <v>#N/A N/A</v>
        <stp/>
        <stp>BDH|15024345479408948917</stp>
        <tr r="AK20" s="2"/>
      </tp>
      <tp t="s">
        <v>#N/A N/A</v>
        <stp/>
        <stp>BDH|13585733158647309688</stp>
        <tr r="V16" s="2"/>
      </tp>
      <tp t="s">
        <v>#N/A N/A</v>
        <stp/>
        <stp>BDH|13741769255734430549</stp>
        <tr r="N7" s="2"/>
      </tp>
      <tp t="s">
        <v>#N/A N/A</v>
        <stp/>
        <stp>BDH|15623922626138008665</stp>
        <tr r="AN13" s="4"/>
      </tp>
      <tp t="s">
        <v>#N/A N/A</v>
        <stp/>
        <stp>BDH|15076324930531578435</stp>
        <tr r="W6" s="4"/>
      </tp>
      <tp t="s">
        <v>#N/A N/A</v>
        <stp/>
        <stp>BDH|13881497106356733177</stp>
        <tr r="E13" s="4"/>
      </tp>
      <tp t="s">
        <v>#N/A N/A</v>
        <stp/>
        <stp>BDH|15617759707264241610</stp>
        <tr r="K13" s="2"/>
      </tp>
      <tp t="s">
        <v>#N/A N/A</v>
        <stp/>
        <stp>BDH|11004597949115726503</stp>
        <tr r="T13" s="4"/>
      </tp>
      <tp t="s">
        <v>#N/A N/A</v>
        <stp/>
        <stp>BDH|17090537667585616143</stp>
        <tr r="AJ22" s="4"/>
      </tp>
      <tp t="s">
        <v>#N/A N/A</v>
        <stp/>
        <stp>BDH|15051773313427883451</stp>
        <tr r="AB19" s="2"/>
      </tp>
      <tp t="s">
        <v>#N/A N/A</v>
        <stp/>
        <stp>BDH|18165501737147746988</stp>
        <tr r="AE19" s="2"/>
      </tp>
      <tp t="s">
        <v>#N/A N/A</v>
        <stp/>
        <stp>BDH|15710522800430454098</stp>
        <tr r="AE24" s="2"/>
      </tp>
      <tp t="s">
        <v>#N/A N/A</v>
        <stp/>
        <stp>BDH|16536901640893592889</stp>
        <tr r="J14" s="4"/>
      </tp>
      <tp t="s">
        <v>#N/A N/A</v>
        <stp/>
        <stp>BDH|12093497246180334245</stp>
        <tr r="AI7" s="2"/>
      </tp>
      <tp t="s">
        <v>#N/A N/A</v>
        <stp/>
        <stp>BDH|17354638639402452053</stp>
        <tr r="M16" s="2"/>
      </tp>
      <tp t="s">
        <v>#N/A N/A</v>
        <stp/>
        <stp>BDH|18054848342187979346</stp>
        <tr r="T7" s="4"/>
      </tp>
      <tp t="s">
        <v>#N/A N/A</v>
        <stp/>
        <stp>BDH|14654051813585888035</stp>
        <tr r="W9" s="4"/>
      </tp>
      <tp t="s">
        <v>#N/A N/A</v>
        <stp/>
        <stp>BDH|13012421848013338022</stp>
        <tr r="Z8" s="2"/>
      </tp>
      <tp t="s">
        <v>#N/A N/A</v>
        <stp/>
        <stp>BDH|17129086763284832592</stp>
        <tr r="R8" s="2"/>
      </tp>
      <tp t="s">
        <v>#N/A N/A</v>
        <stp/>
        <stp>BDH|12825401714093786416</stp>
        <tr r="AM17" s="2"/>
      </tp>
      <tp t="s">
        <v>#N/A N/A</v>
        <stp/>
        <stp>BDH|11470252305836780596</stp>
        <tr r="AM8" s="2"/>
      </tp>
      <tp t="s">
        <v>#N/A N/A</v>
        <stp/>
        <stp>BDH|13070777314386039396</stp>
        <tr r="J24" s="2"/>
      </tp>
      <tp t="s">
        <v>#N/A N/A</v>
        <stp/>
        <stp>BDH|11351789257594286732</stp>
        <tr r="AF18" s="4"/>
      </tp>
      <tp t="s">
        <v>#N/A N/A</v>
        <stp/>
        <stp>BDH|17831290647621826034</stp>
        <tr r="H19" s="2"/>
      </tp>
      <tp t="s">
        <v>#N/A N/A</v>
        <stp/>
        <stp>BDH|13211354318086075725</stp>
        <tr r="AA18" s="2"/>
      </tp>
      <tp t="s">
        <v>#N/A N/A</v>
        <stp/>
        <stp>BDH|10752086871436360107</stp>
        <tr r="AM6" s="4"/>
      </tp>
      <tp t="s">
        <v>#N/A N/A</v>
        <stp/>
        <stp>BDH|11277416056808824814</stp>
        <tr r="C17" s="4"/>
      </tp>
      <tp t="s">
        <v>#N/A N/A</v>
        <stp/>
        <stp>BDH|18295484716215560856</stp>
        <tr r="U21" s="4"/>
      </tp>
      <tp t="s">
        <v>#N/A N/A</v>
        <stp/>
        <stp>BDH|14633173704175870018</stp>
        <tr r="U17" s="4"/>
      </tp>
      <tp t="s">
        <v>#N/A N/A</v>
        <stp/>
        <stp>BDH|11549989572546699967</stp>
        <tr r="AJ25" s="2"/>
      </tp>
    </main>
    <main first="bofaddin.rtdserver">
      <tp t="s">
        <v>#N/A N/A</v>
        <stp/>
        <stp>BDP|16962336717042567711</stp>
        <tr r="T12" s="3"/>
      </tp>
      <tp t="s">
        <v>#N/A N/A</v>
        <stp/>
        <stp>BDP|16400232223541982609</stp>
        <tr r="V12" s="3"/>
      </tp>
      <tp t="s">
        <v>#N/A N/A</v>
        <stp/>
        <stp>BDP|15051389878300566094</stp>
        <tr r="C9" s="3"/>
      </tp>
    </main>
    <main first="bofaddin.rtdserver">
      <tp t="s">
        <v>#N/A N/A</v>
        <stp/>
        <stp>BDP|16787153721715894180</stp>
        <tr r="L12" s="3"/>
      </tp>
      <tp t="s">
        <v>#N/A N/A</v>
        <stp/>
        <stp>BDP|15334920025128502751</stp>
        <tr r="AM17" s="3"/>
      </tp>
      <tp t="s">
        <v>#N/A N/A</v>
        <stp/>
        <stp>BDH|18436003593996402622</stp>
        <tr r="AL26" s="2"/>
      </tp>
      <tp t="s">
        <v>#N/A N/A</v>
        <stp/>
        <stp>BDH|12697129030090656136</stp>
        <tr r="F20" s="2"/>
      </tp>
      <tp t="s">
        <v>#N/A N/A</v>
        <stp/>
        <stp>BDH|11708711666790522147</stp>
        <tr r="AI21" s="4"/>
      </tp>
      <tp t="s">
        <v>#N/A N/A</v>
        <stp/>
        <stp>BDH|12006359535421970291</stp>
        <tr r="J20" s="2"/>
      </tp>
      <tp t="s">
        <v>#N/A N/A</v>
        <stp/>
        <stp>BDH|16723397040647982771</stp>
        <tr r="AC16" s="2"/>
      </tp>
      <tp t="s">
        <v>#N/A N/A</v>
        <stp/>
        <stp>BDH|15410320147413329019</stp>
        <tr r="AP9" s="4"/>
      </tp>
      <tp t="s">
        <v>#N/A N/A</v>
        <stp/>
        <stp>BDH|10447185658861130469</stp>
        <tr r="W14" s="4"/>
      </tp>
      <tp t="s">
        <v>#N/A N/A</v>
        <stp/>
        <stp>BDH|12038081398598723244</stp>
        <tr r="AJ18" s="4"/>
      </tp>
      <tp t="s">
        <v>#N/A N/A</v>
        <stp/>
        <stp>BDH|12337352065420014601</stp>
        <tr r="M17" s="2"/>
      </tp>
      <tp t="s">
        <v>#N/A N/A</v>
        <stp/>
        <stp>BDH|13691619874996340538</stp>
        <tr r="S21" s="2"/>
      </tp>
      <tp t="s">
        <v>#N/A N/A</v>
        <stp/>
        <stp>BDH|17621388585809863412</stp>
        <tr r="AA10" s="4"/>
      </tp>
      <tp t="s">
        <v>#N/A N/A</v>
        <stp/>
        <stp>BDH|17624939466378993185</stp>
        <tr r="F16" s="4"/>
      </tp>
      <tp t="s">
        <v>#N/A N/A</v>
        <stp/>
        <stp>BDH|10593313497798311356</stp>
        <tr r="I18" s="4"/>
      </tp>
      <tp t="s">
        <v>#N/A N/A</v>
        <stp/>
        <stp>BDH|14474409353265442162</stp>
        <tr r="O17" s="2"/>
      </tp>
      <tp t="s">
        <v>#N/A N/A</v>
        <stp/>
        <stp>BDH|13868354265486500195</stp>
        <tr r="R7" s="4"/>
      </tp>
      <tp t="s">
        <v>#N/A N/A</v>
        <stp/>
        <stp>BDH|16758694748487445261</stp>
        <tr r="AD25" s="2"/>
      </tp>
      <tp t="s">
        <v>#N/A N/A</v>
        <stp/>
        <stp>BDH|15509139390375869992</stp>
        <tr r="I10" s="4"/>
      </tp>
      <tp t="s">
        <v>#N/A N/A</v>
        <stp/>
        <stp>BDH|12173251101559246819</stp>
        <tr r="AI19" s="2"/>
      </tp>
      <tp t="s">
        <v>#N/A N/A</v>
        <stp/>
        <stp>BDH|10184063083638057126</stp>
        <tr r="J14" s="2"/>
      </tp>
      <tp t="s">
        <v>#N/A N/A</v>
        <stp/>
        <stp>BDH|13215217223992200043</stp>
        <tr r="Y10" s="4"/>
      </tp>
      <tp t="s">
        <v>#N/A N/A</v>
        <stp/>
        <stp>BDH|16385251364812703130</stp>
        <tr r="L21" s="2"/>
      </tp>
      <tp t="s">
        <v>#N/A N/A</v>
        <stp/>
        <stp>BDH|14506657518111824361</stp>
        <tr r="AD16" s="2"/>
      </tp>
      <tp t="s">
        <v>#N/A N/A</v>
        <stp/>
        <stp>BDH|10762293616571005311</stp>
        <tr r="W14" s="2"/>
      </tp>
      <tp t="s">
        <v>#N/A N/A</v>
        <stp/>
        <stp>BDH|12599574158820106338</stp>
        <tr r="AA20" s="4"/>
      </tp>
      <tp t="s">
        <v>#N/A N/A</v>
        <stp/>
        <stp>BDH|15152995895397243377</stp>
        <tr r="E14" s="2"/>
      </tp>
      <tp t="s">
        <v>#N/A N/A</v>
        <stp/>
        <stp>BDH|10549567513187904216</stp>
        <tr r="V12" s="4"/>
      </tp>
      <tp t="s">
        <v>#N/A N/A</v>
        <stp/>
        <stp>BDH|17545028816803297484</stp>
        <tr r="P8" s="2"/>
      </tp>
      <tp t="s">
        <v>#N/A N/A</v>
        <stp/>
        <stp>BDH|17347210206135833175</stp>
        <tr r="T8" s="2"/>
      </tp>
      <tp t="s">
        <v>#N/A N/A</v>
        <stp/>
        <stp>BDH|17415588374647294312</stp>
        <tr r="AK10" s="4"/>
      </tp>
      <tp t="s">
        <v>#N/A N/A</v>
        <stp/>
        <stp>BDH|14068907216535462889</stp>
        <tr r="M14" s="4"/>
      </tp>
      <tp t="s">
        <v>#N/A N/A</v>
        <stp/>
        <stp>BDH|13135987242939646676</stp>
        <tr r="X7" s="2"/>
      </tp>
      <tp t="s">
        <v>#N/A N/A</v>
        <stp/>
        <stp>BDH|13742529464373370285</stp>
        <tr r="Q7" s="2"/>
      </tp>
      <tp t="s">
        <v>#N/A N/A</v>
        <stp/>
        <stp>BDH|14331251047960988325</stp>
        <tr r="AK9" s="4"/>
      </tp>
      <tp t="s">
        <v>#N/A N/A</v>
        <stp/>
        <stp>BDH|10126787110610094742</stp>
        <tr r="AI7" s="4"/>
      </tp>
      <tp t="s">
        <v>#N/A N/A</v>
        <stp/>
        <stp>BDH|17947789958672136655</stp>
        <tr r="AB14" s="4"/>
      </tp>
      <tp t="s">
        <v>#N/A N/A</v>
        <stp/>
        <stp>BDH|14110602991212415891</stp>
        <tr r="AP7" s="2"/>
      </tp>
      <tp t="s">
        <v>#N/A N/A</v>
        <stp/>
        <stp>BDH|13129248558003747664</stp>
        <tr r="G10" s="4"/>
      </tp>
      <tp t="s">
        <v>#N/A N/A</v>
        <stp/>
        <stp>BDH|17645767198338424002</stp>
        <tr r="V14" s="2"/>
      </tp>
      <tp t="s">
        <v>#N/A N/A</v>
        <stp/>
        <stp>BDH|17863359094554784824</stp>
        <tr r="T25" s="2"/>
      </tp>
      <tp t="s">
        <v>#N/A N/A</v>
        <stp/>
        <stp>BDH|15057022655728089982</stp>
        <tr r="AM13" s="4"/>
      </tp>
      <tp t="s">
        <v>#N/A N/A</v>
        <stp/>
        <stp>BDH|16672384951117865687</stp>
        <tr r="AK13" s="2"/>
      </tp>
      <tp t="s">
        <v>#N/A N/A</v>
        <stp/>
        <stp>BDH|12341780952162742314</stp>
        <tr r="Y10" s="2"/>
      </tp>
      <tp t="s">
        <v>#N/A N/A</v>
        <stp/>
        <stp>BDH|17213600215840164181</stp>
        <tr r="N10" s="2"/>
      </tp>
      <tp t="s">
        <v>#N/A N/A</v>
        <stp/>
        <stp>BDH|13000572303631200684</stp>
        <tr r="AA25" s="2"/>
      </tp>
      <tp t="s">
        <v>#N/A N/A</v>
        <stp/>
        <stp>BDP|15529345769772751446</stp>
        <tr r="AJ17" s="3"/>
      </tp>
      <tp t="s">
        <v>#N/A N/A</v>
        <stp/>
        <stp>BDP|15047705641834498499</stp>
        <tr r="R17" s="3"/>
      </tp>
      <tp t="s">
        <v>#N/A N/A</v>
        <stp/>
        <stp>BDP|15020251602120201195</stp>
        <tr r="AA17" s="3"/>
      </tp>
      <tp t="s">
        <v>#N/A N/A</v>
        <stp/>
        <stp>BDP|11584231385745027827</stp>
        <tr r="AC10" s="3"/>
      </tp>
      <tp t="s">
        <v>#N/A N/A</v>
        <stp/>
        <stp>BDP|14249375974891682760</stp>
        <tr r="AG9" s="3"/>
      </tp>
      <tp t="s">
        <v>#N/A N/A</v>
        <stp/>
        <stp>BDP|10278259633061342673</stp>
        <tr r="P16" s="3"/>
      </tp>
      <tp t="s">
        <v>#N/A N/A</v>
        <stp/>
        <stp>BDP|10018099418744186309</stp>
        <tr r="Y9" s="3"/>
      </tp>
      <tp t="s">
        <v>#N/A N/A</v>
        <stp/>
        <stp>BDP|16665686768135205545</stp>
        <tr r="H13" s="3"/>
      </tp>
      <tp t="s">
        <v>#N/A N/A</v>
        <stp/>
        <stp>BDP|12321600557243342456</stp>
        <tr r="Q13" s="3"/>
      </tp>
      <tp t="s">
        <v>#N/A N/A</v>
        <stp/>
        <stp>BDP|13997653648164786316</stp>
        <tr r="F12" s="3"/>
      </tp>
      <tp t="s">
        <v>#N/A N/A</v>
        <stp/>
        <stp>BDP|14419937334061027959</stp>
        <tr r="S16" s="3"/>
      </tp>
      <tp t="s">
        <v>#N/A N/A</v>
        <stp/>
        <stp>BDH|17581077312147467753</stp>
        <tr r="AO14" s="2"/>
      </tp>
      <tp t="s">
        <v>#N/A N/A</v>
        <stp/>
        <stp>BDH|14690210371930276758</stp>
        <tr r="O18" s="2"/>
      </tp>
      <tp t="s">
        <v>#N/A N/A</v>
        <stp/>
        <stp>BDH|10172302259817823712</stp>
        <tr r="AE7" s="2"/>
      </tp>
      <tp t="s">
        <v>#N/A N/A</v>
        <stp/>
        <stp>BDH|14782010085673258908</stp>
        <tr r="M14" s="2"/>
      </tp>
      <tp t="s">
        <v>#N/A N/A</v>
        <stp/>
        <stp>BDH|13731122693595050875</stp>
        <tr r="AC21" s="4"/>
      </tp>
      <tp t="s">
        <v>#N/A N/A</v>
        <stp/>
        <stp>BDH|13024338467189798926</stp>
        <tr r="AG9" s="4"/>
      </tp>
      <tp t="s">
        <v>#N/A N/A</v>
        <stp/>
        <stp>BDH|16814060703132668289</stp>
        <tr r="AP22" s="4"/>
      </tp>
      <tp t="s">
        <v>#N/A N/A</v>
        <stp/>
        <stp>BDH|15320588329846878298</stp>
        <tr r="AJ18" s="2"/>
      </tp>
      <tp t="s">
        <v>#N/A N/A</v>
        <stp/>
        <stp>BDH|11564371843816645646</stp>
        <tr r="P18" s="4"/>
      </tp>
      <tp t="s">
        <v>#N/A N/A</v>
        <stp/>
        <stp>BDH|14192739461896894584</stp>
        <tr r="Q8" s="4"/>
      </tp>
    </main>
    <main first="bofaddin.rtdserver">
      <tp t="s">
        <v>#N/A N/A</v>
        <stp/>
        <stp>BDH|16905794221552722749</stp>
        <tr r="C25" s="2"/>
      </tp>
      <tp t="s">
        <v>#N/A N/A</v>
        <stp/>
        <stp>BDH|16350075530155625602</stp>
        <tr r="U6" s="4"/>
      </tp>
      <tp t="s">
        <v>#N/A N/A</v>
        <stp/>
        <stp>BDH|12059009553523126277</stp>
        <tr r="AB14" s="2"/>
      </tp>
      <tp t="s">
        <v>#N/A N/A</v>
        <stp/>
        <stp>BDH|13095023803863207666</stp>
        <tr r="E18" s="2"/>
      </tp>
      <tp t="s">
        <v>#N/A N/A</v>
        <stp/>
        <stp>BDH|13052849587797246250</stp>
        <tr r="S7" s="2"/>
      </tp>
      <tp t="s">
        <v>#N/A N/A</v>
        <stp/>
        <stp>BDH|17759251031064616426</stp>
        <tr r="T21" s="2"/>
      </tp>
      <tp t="s">
        <v>#N/A N/A</v>
        <stp/>
        <stp>BDH|15374032956440553647</stp>
        <tr r="AE25" s="2"/>
      </tp>
      <tp t="s">
        <v>#N/A N/A</v>
        <stp/>
        <stp>BDH|11531355836436741167</stp>
        <tr r="E14" s="4"/>
      </tp>
      <tp t="s">
        <v>#N/A N/A</v>
        <stp/>
        <stp>BDH|16804903822648518381</stp>
        <tr r="N18" s="4"/>
      </tp>
      <tp t="s">
        <v>#N/A N/A</v>
        <stp/>
        <stp>BDH|14174690357900060167</stp>
        <tr r="AG14" s="4"/>
      </tp>
      <tp t="s">
        <v>#N/A N/A</v>
        <stp/>
        <stp>BDH|15310149938704229542</stp>
        <tr r="AG17" s="2"/>
      </tp>
      <tp t="s">
        <v>#N/A N/A</v>
        <stp/>
        <stp>BDH|11043914089016150008</stp>
        <tr r="Z19" s="2"/>
      </tp>
      <tp t="s">
        <v>#N/A N/A</v>
        <stp/>
        <stp>BDH|11751910845473334997</stp>
        <tr r="M18" s="4"/>
      </tp>
      <tp t="s">
        <v>#N/A N/A</v>
        <stp/>
        <stp>BDH|15083475189148005765</stp>
        <tr r="I8" s="4"/>
      </tp>
      <tp t="s">
        <v>#N/A N/A</v>
        <stp/>
        <stp>BDH|12239784324948790925</stp>
        <tr r="AI18" s="2"/>
      </tp>
      <tp t="s">
        <v>#N/A N/A</v>
        <stp/>
        <stp>BDH|10908177820464073149</stp>
        <tr r="M16" s="4"/>
      </tp>
      <tp t="s">
        <v>#N/A N/A</v>
        <stp/>
        <stp>BDH|14886088216151817247</stp>
        <tr r="AJ16" s="4"/>
      </tp>
      <tp t="s">
        <v>#N/A N/A</v>
        <stp/>
        <stp>BDH|15328206168501536644</stp>
        <tr r="F12" s="4"/>
      </tp>
      <tp t="s">
        <v>#N/A N/A</v>
        <stp/>
        <stp>BDH|18379952452927143582</stp>
        <tr r="AH19" s="2"/>
      </tp>
      <tp t="s">
        <v>#N/A N/A</v>
        <stp/>
        <stp>BDH|13399669055341408793</stp>
        <tr r="AI14" s="4"/>
      </tp>
      <tp t="s">
        <v>#N/A N/A</v>
        <stp/>
        <stp>BDH|13041398033063275644</stp>
        <tr r="U8" s="2"/>
      </tp>
      <tp t="s">
        <v>#N/A N/A</v>
        <stp/>
        <stp>BDH|15920110188768412281</stp>
        <tr r="S13" s="2"/>
      </tp>
      <tp t="s">
        <v>#N/A N/A</v>
        <stp/>
        <stp>BDH|11376892331018553418</stp>
        <tr r="M10" s="4"/>
      </tp>
      <tp t="s">
        <v>#N/A N/A</v>
        <stp/>
        <stp>BDH|14944515240596346540</stp>
        <tr r="AF7" s="2"/>
      </tp>
      <tp t="s">
        <v>#N/A N/A</v>
        <stp/>
        <stp>BDH|14078756003110824515</stp>
        <tr r="K21" s="4"/>
      </tp>
      <tp t="s">
        <v>#N/A N/A</v>
        <stp/>
        <stp>BDH|15894944567758080445</stp>
        <tr r="AA9" s="4"/>
      </tp>
      <tp t="s">
        <v>#N/A N/A</v>
        <stp/>
        <stp>BDH|17176658035011857573</stp>
        <tr r="P18" s="2"/>
      </tp>
      <tp t="s">
        <v>#N/A N/A</v>
        <stp/>
        <stp>BDH|17094760586968998671</stp>
        <tr r="D17" s="2"/>
      </tp>
      <tp t="s">
        <v>#N/A N/A</v>
        <stp/>
        <stp>BDH|13294594543843119777</stp>
        <tr r="AK7" s="2"/>
      </tp>
      <tp t="s">
        <v>#N/A N/A</v>
        <stp/>
        <stp>BDH|14949566028602143787</stp>
        <tr r="AB22" s="4"/>
      </tp>
      <tp t="s">
        <v>#N/A N/A</v>
        <stp/>
        <stp>BDH|14248268218922148336</stp>
        <tr r="V17" s="2"/>
      </tp>
      <tp t="s">
        <v>#N/A N/A</v>
        <stp/>
        <stp>BDP|12752443494179805169</stp>
        <tr r="AN12" s="3"/>
      </tp>
      <tp t="s">
        <v>#N/A N/A</v>
        <stp/>
        <stp>BDP|17965365026222323321</stp>
        <tr r="AJ12" s="3"/>
      </tp>
      <tp t="s">
        <v>#N/A N/A</v>
        <stp/>
        <stp>BDP|14103180214955933654</stp>
        <tr r="N17" s="3"/>
      </tp>
      <tp t="s">
        <v>#N/A N/A</v>
        <stp/>
        <stp>BDP|10895141754726987519</stp>
        <tr r="AH9" s="3"/>
      </tp>
      <tp t="s">
        <v>#N/A N/A</v>
        <stp/>
        <stp>BDP|13949207002240870634</stp>
        <tr r="U17" s="3"/>
      </tp>
      <tp t="s">
        <v>#N/A N/A</v>
        <stp/>
        <stp>BDP|16663175536123568021</stp>
        <tr r="D10" s="3"/>
      </tp>
      <tp t="s">
        <v>#N/A N/A</v>
        <stp/>
        <stp>BDP|13600643839083829210</stp>
        <tr r="G17" s="3"/>
      </tp>
      <tp t="s">
        <v>#N/A N/A</v>
        <stp/>
        <stp>BDP|18325878083348357701</stp>
        <tr r="AL12" s="3"/>
      </tp>
      <tp t="s">
        <v>#N/A N/A</v>
        <stp/>
        <stp>BDP|12632571387921517978</stp>
        <tr r="R16" s="3"/>
      </tp>
      <tp t="s">
        <v>#N/A N/A</v>
        <stp/>
        <stp>BDP|10978698556380861484</stp>
        <tr r="AJ16" s="3"/>
      </tp>
      <tp t="s">
        <v>#N/A N/A</v>
        <stp/>
        <stp>BDH|17099663401176546036</stp>
        <tr r="N19" s="2"/>
      </tp>
      <tp t="s">
        <v>#N/A N/A</v>
        <stp/>
        <stp>BDH|14227467845771463246</stp>
        <tr r="Q19" s="2"/>
      </tp>
      <tp t="s">
        <v>#N/A N/A</v>
        <stp/>
        <stp>BDH|18089997558427188415</stp>
        <tr r="D14" s="4"/>
      </tp>
      <tp t="s">
        <v>#N/A N/A</v>
        <stp/>
        <stp>BDH|12961897295086588200</stp>
        <tr r="AJ9" s="2"/>
      </tp>
      <tp t="s">
        <v>#N/A N/A</v>
        <stp/>
        <stp>BDH|13383104934394485235</stp>
        <tr r="S19" s="2"/>
      </tp>
      <tp t="s">
        <v>#N/A N/A</v>
        <stp/>
        <stp>BDH|14839103996513972877</stp>
        <tr r="R13" s="4"/>
      </tp>
      <tp t="s">
        <v>#N/A N/A</v>
        <stp/>
        <stp>BDH|11204234602676633262</stp>
        <tr r="Q10" s="2"/>
      </tp>
      <tp t="s">
        <v>#N/A N/A</v>
        <stp/>
        <stp>BDH|13633749906382280153</stp>
        <tr r="AJ21" s="2"/>
      </tp>
      <tp t="s">
        <v>#N/A N/A</v>
        <stp/>
        <stp>BDH|11741702319153403390</stp>
        <tr r="AL17" s="4"/>
      </tp>
      <tp t="s">
        <v>#N/A N/A</v>
        <stp/>
        <stp>BDH|14001059863711469400</stp>
        <tr r="AE12" s="4"/>
      </tp>
      <tp t="s">
        <v>#N/A N/A</v>
        <stp/>
        <stp>BDH|13688741660224602111</stp>
        <tr r="AG7" s="2"/>
      </tp>
      <tp t="s">
        <v>#N/A N/A</v>
        <stp/>
        <stp>BDH|15495543063386108773</stp>
        <tr r="U22" s="4"/>
      </tp>
      <tp t="s">
        <v>#N/A N/A</v>
        <stp/>
        <stp>BDH|14118452473649513975</stp>
        <tr r="AN7" s="4"/>
      </tp>
      <tp t="s">
        <v>#N/A N/A</v>
        <stp/>
        <stp>BDH|13333484134187277484</stp>
        <tr r="AG13" s="2"/>
      </tp>
      <tp t="s">
        <v>#N/A N/A</v>
        <stp/>
        <stp>BDH|17662515665287560403</stp>
        <tr r="E25" s="2"/>
      </tp>
      <tp t="s">
        <v>#N/A N/A</v>
        <stp/>
        <stp>BDH|13649225019137281094</stp>
        <tr r="D17" s="4"/>
      </tp>
      <tp t="s">
        <v>#N/A N/A</v>
        <stp/>
        <stp>BDH|18147056102978127715</stp>
        <tr r="AB13" s="2"/>
      </tp>
      <tp t="s">
        <v>#N/A N/A</v>
        <stp/>
        <stp>BDH|12202455600571878096</stp>
        <tr r="AE9" s="2"/>
      </tp>
      <tp t="s">
        <v>#N/A N/A</v>
        <stp/>
        <stp>BDH|11738426672850707568</stp>
        <tr r="AF19" s="2"/>
      </tp>
      <tp t="s">
        <v>#N/A N/A</v>
        <stp/>
        <stp>BDH|15615589433195603137</stp>
        <tr r="AO16" s="4"/>
      </tp>
      <tp t="s">
        <v>#N/A N/A</v>
        <stp/>
        <stp>BDH|11633174726653646694</stp>
        <tr r="F26" s="2"/>
      </tp>
      <tp t="s">
        <v>#N/A N/A</v>
        <stp/>
        <stp>BDH|17201593523232468541</stp>
        <tr r="AA8" s="2"/>
      </tp>
      <tp t="s">
        <v>#N/A N/A</v>
        <stp/>
        <stp>BDH|12890737619385088694</stp>
        <tr r="T13" s="2"/>
      </tp>
      <tp t="s">
        <v>#N/A N/A</v>
        <stp/>
        <stp>BDH|12577683428165760494</stp>
        <tr r="AL13" s="2"/>
      </tp>
      <tp t="s">
        <v>#N/A N/A</v>
        <stp/>
        <stp>BDH|16916713581499077731</stp>
        <tr r="AN9" s="2"/>
      </tp>
      <tp t="s">
        <v>#N/A N/A</v>
        <stp/>
        <stp>BDH|10374531508111636342</stp>
        <tr r="AM7" s="2"/>
      </tp>
      <tp t="s">
        <v>#N/A N/A</v>
        <stp/>
        <stp>BDH|17525708869378183901</stp>
        <tr r="W16" s="2"/>
      </tp>
      <tp t="s">
        <v>#N/A N/A</v>
        <stp/>
        <stp>BDH|13601535096348620081</stp>
        <tr r="AC24" s="2"/>
      </tp>
      <tp t="s">
        <v>#N/A N/A</v>
        <stp/>
        <stp>BDH|13362509913969453997</stp>
        <tr r="F21" s="2"/>
      </tp>
      <tp t="s">
        <v>#N/A N/A</v>
        <stp/>
        <stp>BDH|17034159422633259099</stp>
        <tr r="F25" s="2"/>
      </tp>
      <tp t="s">
        <v>#N/A N/A</v>
        <stp/>
        <stp>BDH|15263279409235381535</stp>
        <tr r="L10" s="4"/>
      </tp>
      <tp t="s">
        <v>#N/A N/A</v>
        <stp/>
        <stp>BDH|10068089714392028423</stp>
        <tr r="AC16" s="4"/>
      </tp>
    </main>
    <main first="bofaddin.rtdserver">
      <tp t="s">
        <v>#N/A N/A</v>
        <stp/>
        <stp>BDP|17337137738333879290</stp>
        <tr r="AP10" s="3"/>
      </tp>
      <tp t="s">
        <v>#N/A N/A</v>
        <stp/>
        <stp>BDP|10566362524822875776</stp>
        <tr r="O10" s="3"/>
      </tp>
      <tp t="s">
        <v>#N/A N/A</v>
        <stp/>
        <stp>BDP|15415007109429118875</stp>
        <tr r="J17" s="3"/>
      </tp>
      <tp t="s">
        <v>#N/A N/A</v>
        <stp/>
        <stp>BDP|16967702085964312916</stp>
        <tr r="AA13" s="3"/>
      </tp>
      <tp t="s">
        <v>#N/A N/A</v>
        <stp/>
        <stp>BDP|13388852754898619259</stp>
        <tr r="K16" s="3"/>
      </tp>
      <tp t="s">
        <v>#N/A N/A</v>
        <stp/>
        <stp>BDP|10697443352751186414</stp>
        <tr r="P12" s="3"/>
      </tp>
      <tp t="s">
        <v>#N/A N/A</v>
        <stp/>
        <stp>BDP|17600988514853929834</stp>
        <tr r="O9" s="3"/>
      </tp>
      <tp t="s">
        <v>#N/A N/A</v>
        <stp/>
        <stp>BDP|13600336746760229022</stp>
        <tr r="X17" s="3"/>
      </tp>
      <tp t="s">
        <v>#N/A N/A</v>
        <stp/>
        <stp>BDP|11284722145940045611</stp>
        <tr r="AK13" s="3"/>
      </tp>
      <tp t="s">
        <v>#N/A N/A</v>
        <stp/>
        <stp>BDP|18137030190871472409</stp>
        <tr r="E13" s="3"/>
      </tp>
      <tp t="s">
        <v>#N/A N/A</v>
        <stp/>
        <stp>BDH|16695851690563668047</stp>
        <tr r="H16" s="2"/>
      </tp>
      <tp t="s">
        <v>#N/A N/A</v>
        <stp/>
        <stp>BDH|13340347444370449068</stp>
        <tr r="P16" s="4"/>
      </tp>
      <tp t="s">
        <v>#N/A N/A</v>
        <stp/>
        <stp>BDH|12133573490073635911</stp>
        <tr r="G17" s="2"/>
      </tp>
      <tp t="s">
        <v>#N/A N/A</v>
        <stp/>
        <stp>BDH|15505099673285962350</stp>
        <tr r="AH21" s="2"/>
      </tp>
      <tp t="s">
        <v>#N/A N/A</v>
        <stp/>
        <stp>BDH|12197213941447377715</stp>
        <tr r="J9" s="2"/>
      </tp>
      <tp t="s">
        <v>#N/A N/A</v>
        <stp/>
        <stp>BDH|16187571656626178428</stp>
        <tr r="J8" s="4"/>
      </tp>
      <tp t="s">
        <v>#N/A N/A</v>
        <stp/>
        <stp>BDH|17639200469643864444</stp>
        <tr r="R14" s="2"/>
      </tp>
      <tp t="s">
        <v>#N/A N/A</v>
        <stp/>
        <stp>BDH|11776510070025317279</stp>
        <tr r="K17" s="2"/>
      </tp>
      <tp t="s">
        <v>#N/A N/A</v>
        <stp/>
        <stp>BDH|12389330364564128708</stp>
        <tr r="AE20" s="2"/>
      </tp>
      <tp t="s">
        <v>#N/A N/A</v>
        <stp/>
        <stp>BDH|17450582183346931828</stp>
        <tr r="H14" s="2"/>
      </tp>
      <tp t="s">
        <v>#N/A N/A</v>
        <stp/>
        <stp>BDH|17644312075263521437</stp>
        <tr r="Q16" s="4"/>
      </tp>
      <tp t="s">
        <v>#N/A N/A</v>
        <stp/>
        <stp>BDH|13024585305926899411</stp>
        <tr r="AE13" s="2"/>
      </tp>
      <tp t="s">
        <v>#N/A N/A</v>
        <stp/>
        <stp>BDH|14126208514804418757</stp>
        <tr r="E21" s="2"/>
      </tp>
      <tp t="s">
        <v>#N/A N/A</v>
        <stp/>
        <stp>BDH|18141461694977772620</stp>
        <tr r="AD10" s="4"/>
      </tp>
      <tp t="s">
        <v>#N/A N/A</v>
        <stp/>
        <stp>BDH|15295291410582454064</stp>
        <tr r="AH17" s="4"/>
      </tp>
      <tp t="s">
        <v>#N/A N/A</v>
        <stp/>
        <stp>BDH|15448496834770866680</stp>
        <tr r="H16" s="4"/>
      </tp>
      <tp t="s">
        <v>#N/A N/A</v>
        <stp/>
        <stp>BDH|12337760566574392387</stp>
        <tr r="AD16" s="4"/>
      </tp>
      <tp t="s">
        <v>#N/A N/A</v>
        <stp/>
        <stp>BDH|10581447320337029593</stp>
        <tr r="AA13" s="2"/>
      </tp>
      <tp t="s">
        <v>#N/A N/A</v>
        <stp/>
        <stp>BDH|11118465877094026284</stp>
        <tr r="C14" s="4"/>
      </tp>
      <tp t="s">
        <v>#N/A N/A</v>
        <stp/>
        <stp>BDH|15875543245659039915</stp>
        <tr r="AE16" s="2"/>
      </tp>
      <tp t="s">
        <v>#N/A N/A</v>
        <stp/>
        <stp>BDH|14173077549982472602</stp>
        <tr r="AH13" s="4"/>
      </tp>
      <tp t="s">
        <v>#N/A N/A</v>
        <stp/>
        <stp>BDH|13423302851162733390</stp>
        <tr r="AK14" s="4"/>
      </tp>
      <tp t="s">
        <v>#N/A N/A</v>
        <stp/>
        <stp>BDH|12727071548920682254</stp>
        <tr r="Q12" s="4"/>
      </tp>
      <tp t="s">
        <v>#N/A N/A</v>
        <stp/>
        <stp>BDH|16249201818162258322</stp>
        <tr r="AJ21" s="4"/>
      </tp>
      <tp t="s">
        <v>#N/A N/A</v>
        <stp/>
        <stp>BDH|16786205377634201389</stp>
        <tr r="H21" s="4"/>
      </tp>
      <tp t="s">
        <v>#N/A N/A</v>
        <stp/>
        <stp>BDH|10981579134546217420</stp>
        <tr r="AC13" s="4"/>
      </tp>
      <tp t="s">
        <v>#N/A N/A</v>
        <stp/>
        <stp>BDH|11250934775168015398</stp>
        <tr r="P22" s="4"/>
      </tp>
      <tp t="s">
        <v>#N/A N/A</v>
        <stp/>
        <stp>BDH|15031757622536995234</stp>
        <tr r="AN16" s="4"/>
      </tp>
      <tp t="s">
        <v>#N/A N/A</v>
        <stp/>
        <stp>BDH|11149012862982842167</stp>
        <tr r="AP14" s="2"/>
      </tp>
      <tp t="s">
        <v>#N/A N/A</v>
        <stp/>
        <stp>BDH|17825761785525397975</stp>
        <tr r="AO17" s="4"/>
      </tp>
      <tp t="s">
        <v>#N/A N/A</v>
        <stp/>
        <stp>BDH|12890640662503439552</stp>
        <tr r="X13" s="2"/>
      </tp>
      <tp t="s">
        <v>#N/A N/A</v>
        <stp/>
        <stp>BDH|15445405028961161632</stp>
        <tr r="I13" s="4"/>
      </tp>
      <tp t="s">
        <v>#N/A N/A</v>
        <stp/>
        <stp>BDH|14762581253103386318</stp>
        <tr r="T18" s="4"/>
      </tp>
      <tp t="s">
        <v>#N/A N/A</v>
        <stp/>
        <stp>BDP|15002346810524965665</stp>
        <tr r="AF16" s="3"/>
      </tp>
      <tp t="s">
        <v>#N/A N/A</v>
        <stp/>
        <stp>BDP|14860530953310667145</stp>
        <tr r="AC16" s="3"/>
      </tp>
      <tp t="s">
        <v>#N/A N/A</v>
        <stp/>
        <stp>BDP|13989945327389485428</stp>
        <tr r="U9" s="3"/>
      </tp>
      <tp t="s">
        <v>#N/A N/A</v>
        <stp/>
        <stp>BDP|16042168443517197148</stp>
        <tr r="AB13" s="3"/>
      </tp>
      <tp t="s">
        <v>#N/A N/A</v>
        <stp/>
        <stp>BDP|12661948984876224045</stp>
        <tr r="I10" s="3"/>
      </tp>
      <tp t="s">
        <v>#N/A N/A</v>
        <stp/>
        <stp>BDP|10667848680156043307</stp>
        <tr r="AD13" s="3"/>
      </tp>
      <tp t="s">
        <v>#N/A N/A</v>
        <stp/>
        <stp>BDH|11279575726943543075</stp>
        <tr r="AO24" s="2"/>
      </tp>
      <tp t="s">
        <v>#N/A N/A</v>
        <stp/>
        <stp>BDH|13565332312225145140</stp>
        <tr r="L16" s="4"/>
      </tp>
      <tp t="s">
        <v>#N/A N/A</v>
        <stp/>
        <stp>BDH|15483299559262700521</stp>
        <tr r="AE16" s="4"/>
      </tp>
      <tp t="s">
        <v>#N/A N/A</v>
        <stp/>
        <stp>BDH|16774662508410028582</stp>
        <tr r="AC8" s="4"/>
      </tp>
      <tp t="s">
        <v>#N/A N/A</v>
        <stp/>
        <stp>BDH|17230148438858631896</stp>
        <tr r="Y16" s="2"/>
      </tp>
      <tp t="s">
        <v>#N/A N/A</v>
        <stp/>
        <stp>BDH|16271761298944489988</stp>
        <tr r="R26" s="2"/>
      </tp>
      <tp t="s">
        <v>#N/A N/A</v>
        <stp/>
        <stp>BDH|17133412025463518703</stp>
        <tr r="N10" s="4"/>
      </tp>
      <tp t="s">
        <v>#N/A N/A</v>
        <stp/>
        <stp>BDH|14982708279395318403</stp>
        <tr r="S26" s="2"/>
      </tp>
      <tp t="s">
        <v>#N/A N/A</v>
        <stp/>
        <stp>BDH|18032367283037395144</stp>
        <tr r="D22" s="4"/>
      </tp>
      <tp t="s">
        <v>#N/A N/A</v>
        <stp/>
        <stp>BDH|17439348218330848021</stp>
        <tr r="R20" s="2"/>
      </tp>
      <tp t="s">
        <v>#N/A N/A</v>
        <stp/>
        <stp>BDH|14728602520067569205</stp>
        <tr r="AL8" s="4"/>
      </tp>
      <tp t="s">
        <v>#N/A N/A</v>
        <stp/>
        <stp>BDH|13567037773489127819</stp>
        <tr r="C17" s="2"/>
      </tp>
      <tp t="s">
        <v>#N/A N/A</v>
        <stp/>
        <stp>BDH|12263447367753212665</stp>
        <tr r="AA7" s="2"/>
      </tp>
      <tp t="s">
        <v>#N/A N/A</v>
        <stp/>
        <stp>BDH|11619215085767320941</stp>
        <tr r="AO20" s="4"/>
      </tp>
      <tp t="s">
        <v>#N/A N/A</v>
        <stp/>
        <stp>BDH|15483554143089400825</stp>
        <tr r="N8" s="2"/>
      </tp>
      <tp t="s">
        <v>#N/A N/A</v>
        <stp/>
        <stp>BDH|13480335392375467950</stp>
        <tr r="L9" s="2"/>
      </tp>
      <tp t="s">
        <v>#N/A N/A</v>
        <stp/>
        <stp>BDH|17447711481885224820</stp>
        <tr r="X8" s="4"/>
      </tp>
      <tp t="s">
        <v>#N/A N/A</v>
        <stp/>
        <stp>BDH|15195871268939829722</stp>
        <tr r="Y19" s="2"/>
      </tp>
      <tp t="s">
        <v>#N/A N/A</v>
        <stp/>
        <stp>BDH|18369434359714500880</stp>
        <tr r="O18" s="4"/>
      </tp>
      <tp t="s">
        <v>#N/A N/A</v>
        <stp/>
        <stp>BDH|14466481049505708458</stp>
        <tr r="J10" s="2"/>
      </tp>
      <tp t="s">
        <v>#N/A N/A</v>
        <stp/>
        <stp>BDH|18313651309789854206</stp>
        <tr r="Y8" s="2"/>
      </tp>
      <tp t="s">
        <v>#N/A N/A</v>
        <stp/>
        <stp>BDH|15357279631549225811</stp>
        <tr r="AA16" s="4"/>
      </tp>
      <tp t="s">
        <v>#N/A N/A</v>
        <stp/>
        <stp>BDH|15615426865813092177</stp>
        <tr r="AI17" s="4"/>
      </tp>
      <tp t="s">
        <v>#N/A N/A</v>
        <stp/>
        <stp>BDH|14763727833694529153</stp>
        <tr r="AJ10" s="4"/>
      </tp>
      <tp t="s">
        <v>#N/A N/A</v>
        <stp/>
        <stp>BDH|12230642292308476060</stp>
        <tr r="AC10" s="2"/>
      </tp>
      <tp t="s">
        <v>#N/A N/A</v>
        <stp/>
        <stp>BDH|14355275058980410610</stp>
        <tr r="P20" s="2"/>
      </tp>
      <tp t="s">
        <v>#N/A N/A</v>
        <stp/>
        <stp>BDH|16695985684894253619</stp>
        <tr r="X12" s="4"/>
      </tp>
      <tp t="s">
        <v>#N/A N/A</v>
        <stp/>
        <stp>BDH|16549890701288545304</stp>
        <tr r="K6" s="4"/>
      </tp>
      <tp t="s">
        <v>#N/A N/A</v>
        <stp/>
        <stp>BDH|13771703310457870741</stp>
        <tr r="J18" s="2"/>
      </tp>
      <tp t="s">
        <v>#N/A N/A</v>
        <stp/>
        <stp>BDH|11403052806266501294</stp>
        <tr r="T20" s="2"/>
      </tp>
      <tp t="s">
        <v>#N/A N/A</v>
        <stp/>
        <stp>BDH|17425696266023355129</stp>
        <tr r="AL20" s="4"/>
      </tp>
      <tp t="s">
        <v>#N/A N/A</v>
        <stp/>
        <stp>BDH|17202039678014531167</stp>
        <tr r="K10" s="2"/>
      </tp>
      <tp t="s">
        <v>#N/A N/A</v>
        <stp/>
        <stp>BDH|10993951356228988191</stp>
        <tr r="V9" s="2"/>
      </tp>
      <tp t="s">
        <v>#N/A N/A</v>
        <stp/>
        <stp>BDH|12661003660501525092</stp>
        <tr r="AM14" s="2"/>
      </tp>
      <tp t="s">
        <v>#N/A N/A</v>
        <stp/>
        <stp>BDH|15278357837934389497</stp>
        <tr r="X26" s="2"/>
      </tp>
      <tp t="s">
        <v>#N/A N/A</v>
        <stp/>
        <stp>BDH|10754683222941179013</stp>
        <tr r="Y13" s="4"/>
      </tp>
      <tp t="s">
        <v>#N/A N/A</v>
        <stp/>
        <stp>BDH|13926421300467686504</stp>
        <tr r="AD20" s="4"/>
      </tp>
      <tp t="s">
        <v>#N/A N/A</v>
        <stp/>
        <stp>BDH|16181339151335985078</stp>
        <tr r="AG10" s="2"/>
      </tp>
      <tp t="s">
        <v>#N/A N/A</v>
        <stp/>
        <stp>BDH|16409325852066970305</stp>
        <tr r="I25" s="2"/>
      </tp>
      <tp t="s">
        <v>#N/A N/A</v>
        <stp/>
        <stp>BDH|14931241731761679162</stp>
        <tr r="AN12" s="4"/>
      </tp>
      <tp t="s">
        <v>#N/A N/A</v>
        <stp/>
        <stp>BDH|11359031148195486531</stp>
        <tr r="C8" s="4"/>
      </tp>
      <tp t="s">
        <v>#N/A N/A</v>
        <stp/>
        <stp>BDH|14288158471376845110</stp>
        <tr r="AJ19" s="2"/>
      </tp>
      <tp t="s">
        <v>#N/A N/A</v>
        <stp/>
        <stp>BDH|17116123669771769438</stp>
        <tr r="AA18" s="4"/>
      </tp>
      <tp t="s">
        <v>#N/A N/A</v>
        <stp/>
        <stp>BDH|12631217575294847648</stp>
        <tr r="AN10" s="2"/>
      </tp>
      <tp t="s">
        <v>#N/A N/A</v>
        <stp/>
        <stp>BDH|14889080409597216653</stp>
        <tr r="Q22" s="4"/>
      </tp>
      <tp t="s">
        <v>#N/A N/A</v>
        <stp/>
        <stp>BDH|15736282831752427347</stp>
        <tr r="AC19" s="2"/>
      </tp>
      <tp t="s">
        <v>#N/A N/A</v>
        <stp/>
        <stp>BDH|12741079417422827418</stp>
        <tr r="K26" s="2"/>
      </tp>
      <tp t="s">
        <v>#N/A N/A</v>
        <stp/>
        <stp>BDH|18000456396199506980</stp>
        <tr r="J16" s="2"/>
      </tp>
    </main>
    <main first="bofaddin.rtdserver">
      <tp t="s">
        <v>#N/A N/A</v>
        <stp/>
        <stp>BDP|8971317148735281</stp>
        <tr r="X10" s="3"/>
      </tp>
    </main>
    <main first="bofaddin.rtdserver">
      <tp t="s">
        <v>#N/A N/A</v>
        <stp/>
        <stp>BDH|2638201792772351</stp>
        <tr r="L16" s="2"/>
      </tp>
    </main>
    <main first="bofaddin.rtdserver">
      <tp t="s">
        <v>#N/A N/A</v>
        <stp/>
        <stp>BDH|6431237705609053180</stp>
        <tr r="K7" s="4"/>
      </tp>
      <tp t="s">
        <v>#N/A N/A</v>
        <stp/>
        <stp>BDH|1195084792601243534</stp>
        <tr r="AL16" s="4"/>
      </tp>
      <tp t="s">
        <v>#N/A N/A</v>
        <stp/>
        <stp>BDH|3788668235232808869</stp>
        <tr r="AP14" s="4"/>
      </tp>
      <tp t="s">
        <v>#N/A N/A</v>
        <stp/>
        <stp>BDH|1991121762738517265</stp>
        <tr r="AB21" s="4"/>
      </tp>
      <tp t="s">
        <v>#N/A N/A</v>
        <stp/>
        <stp>BDP|9857945048701874974</stp>
        <tr r="AE16" s="3"/>
      </tp>
      <tp t="s">
        <v>#N/A N/A</v>
        <stp/>
        <stp>BDH|2134605177317842852</stp>
        <tr r="F18" s="2"/>
      </tp>
      <tp t="s">
        <v>#N/A N/A</v>
        <stp/>
        <stp>BDH|4065304457556863842</stp>
        <tr r="AC6" s="4"/>
      </tp>
      <tp t="s">
        <v>#N/A N/A</v>
        <stp/>
        <stp>BDH|2471744296329930976</stp>
        <tr r="Q7" s="4"/>
      </tp>
      <tp t="s">
        <v>#N/A N/A</v>
        <stp/>
        <stp>BDH|4987337485675388646</stp>
        <tr r="L25" s="2"/>
      </tp>
      <tp t="s">
        <v>#N/A N/A</v>
        <stp/>
        <stp>BDH|2359353574419285390</stp>
        <tr r="E9" s="2"/>
      </tp>
      <tp t="s">
        <v>#N/A N/A</v>
        <stp/>
        <stp>BDH|6572908309514004722</stp>
        <tr r="R10" s="2"/>
      </tp>
      <tp t="s">
        <v>#N/A N/A</v>
        <stp/>
        <stp>BDH|5881805221193218043</stp>
        <tr r="K18" s="2"/>
      </tp>
      <tp t="s">
        <v>#N/A N/A</v>
        <stp/>
        <stp>BDH|9852136233357274067</stp>
        <tr r="AD17" s="4"/>
      </tp>
      <tp t="s">
        <v>#N/A N/A</v>
        <stp/>
        <stp>BDH|7672065831561811954</stp>
        <tr r="W10" s="2"/>
      </tp>
      <tp t="s">
        <v>#N/A N/A</v>
        <stp/>
        <stp>BDH|7604926328214522458</stp>
        <tr r="AH9" s="2"/>
      </tp>
      <tp t="s">
        <v>#N/A N/A</v>
        <stp/>
        <stp>BDP|3183189827708435470</stp>
        <tr r="E17" s="3"/>
      </tp>
      <tp t="s">
        <v>#N/A N/A</v>
        <stp/>
        <stp>BDH|4004865102549187987</stp>
        <tr r="AM12" s="4"/>
      </tp>
      <tp t="s">
        <v>#N/A N/A</v>
        <stp/>
        <stp>BDH|3784994668588470809</stp>
        <tr r="D6" s="4"/>
      </tp>
      <tp t="s">
        <v>#N/A N/A</v>
        <stp/>
        <stp>BDH|8672259589677821902</stp>
        <tr r="F16" s="2"/>
      </tp>
      <tp t="s">
        <v>#N/A N/A</v>
        <stp/>
        <stp>BDP|1679459097039460908</stp>
        <tr r="AG13" s="3"/>
      </tp>
      <tp t="s">
        <v>#N/A N/A</v>
        <stp/>
        <stp>BDH|8007111936586402035</stp>
        <tr r="AK24" s="2"/>
      </tp>
      <tp t="s">
        <v>#N/A N/A</v>
        <stp/>
        <stp>BDH|4629831446391400573</stp>
        <tr r="AD18" s="4"/>
      </tp>
      <tp t="s">
        <v>#N/A N/A</v>
        <stp/>
        <stp>BDH|8887502232540884223</stp>
        <tr r="C13" s="2"/>
      </tp>
      <tp t="s">
        <v>#N/A N/A</v>
        <stp/>
        <stp>BDH|6236874844126629064</stp>
        <tr r="S21" s="4"/>
      </tp>
      <tp t="s">
        <v>#N/A N/A</v>
        <stp/>
        <stp>BDH|6701354836689428315</stp>
        <tr r="E6" s="4"/>
      </tp>
      <tp t="s">
        <v>#N/A N/A</v>
        <stp/>
        <stp>BDH|9489267214890623613</stp>
        <tr r="AD14" s="2"/>
      </tp>
      <tp t="s">
        <v>#N/A N/A</v>
        <stp/>
        <stp>BDH|6483165762758557544</stp>
        <tr r="AA17" s="2"/>
      </tp>
      <tp t="s">
        <v>#N/A N/A</v>
        <stp/>
        <stp>BDH|5164296853129991736</stp>
        <tr r="W17" s="4"/>
      </tp>
      <tp t="s">
        <v>#N/A N/A</v>
        <stp/>
        <stp>BDH|6344108970728196441</stp>
        <tr r="I20" s="4"/>
      </tp>
      <tp t="s">
        <v>#N/A N/A</v>
        <stp/>
        <stp>BDH|7774405453178010227</stp>
        <tr r="N17" s="4"/>
      </tp>
      <tp t="s">
        <v>#N/A N/A</v>
        <stp/>
        <stp>BDH|1126544267167796938</stp>
        <tr r="L13" s="4"/>
      </tp>
      <tp t="s">
        <v>#N/A N/A</v>
        <stp/>
        <stp>BDH|2755472396661891299</stp>
        <tr r="AC17" s="4"/>
      </tp>
      <tp t="s">
        <v>#N/A N/A</v>
        <stp/>
        <stp>BDH|3326876658432812031</stp>
        <tr r="AO7" s="2"/>
      </tp>
      <tp t="s">
        <v>#N/A N/A</v>
        <stp/>
        <stp>BDH|9319386774807055688</stp>
        <tr r="Z16" s="2"/>
      </tp>
      <tp t="s">
        <v>#N/A N/A</v>
        <stp/>
        <stp>BDP|2787962503862545538</stp>
        <tr r="F9" s="3"/>
      </tp>
      <tp t="s">
        <v>#N/A N/A</v>
        <stp/>
        <stp>BDP|9317922380246128255</stp>
        <tr r="W17" s="3"/>
      </tp>
      <tp t="s">
        <v>#N/A N/A</v>
        <stp/>
        <stp>BDH|9470533625330670218</stp>
        <tr r="Z17" s="4"/>
      </tp>
      <tp t="s">
        <v>#N/A N/A</v>
        <stp/>
        <stp>BDH|6170852524692276387</stp>
        <tr r="V26" s="2"/>
      </tp>
      <tp t="s">
        <v>#N/A N/A</v>
        <stp/>
        <stp>BDH|3624986471708252860</stp>
        <tr r="E12" s="4"/>
      </tp>
      <tp t="s">
        <v>#N/A N/A</v>
        <stp/>
        <stp>BDH|4636898200932573318</stp>
        <tr r="C6" s="4"/>
      </tp>
      <tp t="s">
        <v>#N/A N/A</v>
        <stp/>
        <stp>BDP|7971877241957100165</stp>
        <tr r="M16" s="3"/>
      </tp>
      <tp t="s">
        <v>#N/A N/A</v>
        <stp/>
        <stp>BDP|7689982122157287675</stp>
        <tr r="R12" s="3"/>
      </tp>
      <tp t="s">
        <v>#N/A N/A</v>
        <stp/>
        <stp>BDH|6104481396415862390</stp>
        <tr r="AM10" s="2"/>
      </tp>
      <tp t="s">
        <v>#N/A N/A</v>
        <stp/>
        <stp>BDH|1804781788544414722</stp>
        <tr r="X7" s="4"/>
      </tp>
      <tp t="s">
        <v>#N/A N/A</v>
        <stp/>
        <stp>BDH|9889148763462071104</stp>
        <tr r="AM22" s="4"/>
      </tp>
      <tp t="s">
        <v>#N/A N/A</v>
        <stp/>
        <stp>BDH|6897484889316740122</stp>
        <tr r="M18" s="2"/>
      </tp>
      <tp t="s">
        <v>#N/A N/A</v>
        <stp/>
        <stp>BDH|4786782003709321724</stp>
        <tr r="AM9" s="4"/>
      </tp>
      <tp t="s">
        <v>#N/A N/A</v>
        <stp/>
        <stp>BDP|4763034243088620533</stp>
        <tr r="L17" s="3"/>
      </tp>
      <tp t="s">
        <v>#N/A N/A</v>
        <stp/>
        <stp>BDP|9370022870382232110</stp>
        <tr r="AN17" s="3"/>
      </tp>
      <tp t="s">
        <v>#N/A N/A</v>
        <stp/>
        <stp>BDH|8377486259007574351</stp>
        <tr r="AD13" s="4"/>
      </tp>
      <tp t="s">
        <v>#N/A N/A</v>
        <stp/>
        <stp>BDH|4827466393983854773</stp>
        <tr r="R16" s="2"/>
      </tp>
      <tp t="s">
        <v>#N/A N/A</v>
        <stp/>
        <stp>BDH|7293278697267755679</stp>
        <tr r="AB20" s="4"/>
      </tp>
      <tp t="s">
        <v>#N/A N/A</v>
        <stp/>
        <stp>BDH|9236238452391543243</stp>
        <tr r="R7" s="2"/>
      </tp>
      <tp t="s">
        <v>#N/A N/A</v>
        <stp/>
        <stp>BDP|7385428796655254260</stp>
        <tr r="K13" s="3"/>
      </tp>
      <tp t="s">
        <v>#N/A N/A</v>
        <stp/>
        <stp>BDH|4880628588726904182</stp>
        <tr r="K12" s="4"/>
      </tp>
      <tp t="s">
        <v>#N/A N/A</v>
        <stp/>
        <stp>BDH|4650246891905785779</stp>
        <tr r="AF6" s="4"/>
      </tp>
      <tp t="s">
        <v>#N/A N/A</v>
        <stp/>
        <stp>BDP|2483830476010696076</stp>
        <tr r="C12" s="3"/>
      </tp>
      <tp t="s">
        <v>#N/A N/A</v>
        <stp/>
        <stp>BDH|9946626110652303185</stp>
        <tr r="W19" s="2"/>
      </tp>
      <tp t="s">
        <v>#N/A N/A</v>
        <stp/>
        <stp>BDH|2222473598271570380</stp>
        <tr r="R21" s="2"/>
      </tp>
      <tp t="s">
        <v>#N/A N/A</v>
        <stp/>
        <stp>BDH|2458254266698267356</stp>
        <tr r="Z13" s="4"/>
      </tp>
      <tp t="s">
        <v>#N/A N/A</v>
        <stp/>
        <stp>BDH|7098108696820385256</stp>
        <tr r="AC7" s="4"/>
      </tp>
      <tp t="s">
        <v>#N/A N/A</v>
        <stp/>
        <stp>BDH|8591526478695820271</stp>
        <tr r="U14" s="2"/>
      </tp>
      <tp t="s">
        <v>#N/A N/A</v>
        <stp/>
        <stp>BDH|9797003755363536262</stp>
        <tr r="T17" s="4"/>
      </tp>
      <tp t="s">
        <v>#N/A N/A</v>
        <stp/>
        <stp>BDH|8448120713920558516</stp>
        <tr r="I13" s="2"/>
      </tp>
      <tp t="s">
        <v>#N/A N/A</v>
        <stp/>
        <stp>BDH|5118008646009741513</stp>
        <tr r="K16" s="2"/>
      </tp>
      <tp t="s">
        <v>#N/A N/A</v>
        <stp/>
        <stp>BDP|8464245630945202146</stp>
        <tr r="W13" s="3"/>
      </tp>
      <tp t="s">
        <v>#N/A N/A</v>
        <stp/>
        <stp>BDH|2378930316936403149</stp>
        <tr r="AF25" s="2"/>
      </tp>
      <tp t="s">
        <v>#N/A N/A</v>
        <stp/>
        <stp>BDH|9082997700919729488</stp>
        <tr r="AM19" s="2"/>
      </tp>
      <tp t="s">
        <v>#N/A N/A</v>
        <stp/>
        <stp>BDP|3623672441158768408</stp>
        <tr r="P17" s="3"/>
      </tp>
      <tp t="s">
        <v>#N/A N/A</v>
        <stp/>
        <stp>BDH|8108550154492176757</stp>
        <tr r="T9" s="2"/>
      </tp>
      <tp t="s">
        <v>#N/A N/A</v>
        <stp/>
        <stp>BDH|1387594180028851966</stp>
        <tr r="L8" s="4"/>
      </tp>
      <tp t="s">
        <v>#N/A N/A</v>
        <stp/>
        <stp>BDH|8088024366974591749</stp>
        <tr r="D18" s="2"/>
      </tp>
      <tp t="s">
        <v>#N/A N/A</v>
        <stp/>
        <stp>BDH|3864509401008470382</stp>
        <tr r="V7" s="2"/>
      </tp>
      <tp t="s">
        <v>#N/A N/A</v>
        <stp/>
        <stp>BDH|9113628368464094310</stp>
        <tr r="G9" s="4"/>
      </tp>
      <tp t="s">
        <v>#N/A N/A</v>
        <stp/>
        <stp>BDH|3368037118678054430</stp>
        <tr r="P6" s="4"/>
      </tp>
      <tp t="s">
        <v>#N/A N/A</v>
        <stp/>
        <stp>BDH|5938379987215187535</stp>
        <tr r="AG8" s="2"/>
      </tp>
      <tp t="s">
        <v>#N/A N/A</v>
        <stp/>
        <stp>BDH|2926418595194598536</stp>
        <tr r="Q17" s="4"/>
      </tp>
      <tp t="s">
        <v>#N/A N/A</v>
        <stp/>
        <stp>BDH|3696807799004693823</stp>
        <tr r="AI20" s="4"/>
      </tp>
      <tp t="s">
        <v>#N/A N/A</v>
        <stp/>
        <stp>BDH|8043107520656263394</stp>
        <tr r="V18" s="4"/>
      </tp>
      <tp t="s">
        <v>#N/A N/A</v>
        <stp/>
        <stp>BDH|3243994540350410048</stp>
        <tr r="AA19" s="2"/>
      </tp>
      <tp t="s">
        <v>#N/A N/A</v>
        <stp/>
        <stp>BDH|6725038281393537389</stp>
        <tr r="H25" s="2"/>
      </tp>
      <tp t="s">
        <v>#N/A N/A</v>
        <stp/>
        <stp>BDH|8623096770138280956</stp>
        <tr r="U7" s="4"/>
      </tp>
      <tp t="s">
        <v>#N/A N/A</v>
        <stp/>
        <stp>BDP|9448902056259905229</stp>
        <tr r="O17" s="3"/>
      </tp>
      <tp t="s">
        <v>#N/A N/A</v>
        <stp/>
        <stp>BDH|9289591456785192256</stp>
        <tr r="L6" s="4"/>
      </tp>
      <tp t="s">
        <v>#N/A N/A</v>
        <stp/>
        <stp>BDH|4523690205194754872</stp>
        <tr r="AD24" s="2"/>
      </tp>
      <tp t="s">
        <v>#N/A N/A</v>
        <stp/>
        <stp>BDH|2599095703185538939</stp>
        <tr r="T18" s="2"/>
      </tp>
      <tp t="s">
        <v>#N/A N/A</v>
        <stp/>
        <stp>BDH|3410485412280293856</stp>
        <tr r="H9" s="2"/>
      </tp>
      <tp t="s">
        <v>#N/A N/A</v>
        <stp/>
        <stp>BDH|1208189253763018803</stp>
        <tr r="AH7" s="4"/>
      </tp>
      <tp t="s">
        <v>#N/A N/A</v>
        <stp/>
        <stp>BDH|3865911505835046122</stp>
        <tr r="K8" s="4"/>
      </tp>
      <tp t="s">
        <v>#N/A N/A</v>
        <stp/>
        <stp>BDH|3300329882626453097</stp>
        <tr r="S25" s="2"/>
      </tp>
      <tp t="s">
        <v>#N/A N/A</v>
        <stp/>
        <stp>BDH|7521875289831474816</stp>
        <tr r="N16" s="2"/>
      </tp>
      <tp t="s">
        <v>#N/A N/A</v>
        <stp/>
        <stp>BDP|7476572789277408315</stp>
        <tr r="H9" s="3"/>
      </tp>
      <tp t="s">
        <v>#N/A N/A</v>
        <stp/>
        <stp>BDH|9147675582131386883</stp>
        <tr r="J18" s="4"/>
      </tp>
      <tp t="s">
        <v>#N/A N/A</v>
        <stp/>
        <stp>BDH|5695827219932164009</stp>
        <tr r="M20" s="4"/>
      </tp>
      <tp t="s">
        <v>#N/A N/A</v>
        <stp/>
        <stp>BDH|9270689987080421954</stp>
        <tr r="R17" s="2"/>
      </tp>
      <tp t="s">
        <v>#N/A N/A</v>
        <stp/>
        <stp>BDP|6093648393603269487</stp>
        <tr r="E9" s="3"/>
      </tp>
      <tp t="s">
        <v>#N/A N/A</v>
        <stp/>
        <stp>BDH|8887573073377906387</stp>
        <tr r="AH9" s="4"/>
      </tp>
      <tp t="s">
        <v>#N/A N/A</v>
        <stp/>
        <stp>BDP|1301871539751954566</stp>
        <tr r="AC12" s="3"/>
      </tp>
      <tp t="s">
        <v>#N/A N/A</v>
        <stp/>
        <stp>BDH|1113919736847524211</stp>
        <tr r="AB18" s="2"/>
      </tp>
      <tp t="s">
        <v>#N/A N/A</v>
        <stp/>
        <stp>BDH|3704566887162178253</stp>
        <tr r="K19" s="2"/>
      </tp>
      <tp t="s">
        <v>#N/A N/A</v>
        <stp/>
        <stp>BDH|2837097488293890736</stp>
        <tr r="AL18" s="4"/>
      </tp>
      <tp t="s">
        <v>#N/A N/A</v>
        <stp/>
        <stp>BDH|2353839251543376202</stp>
        <tr r="J20" s="4"/>
      </tp>
      <tp t="s">
        <v>#N/A N/A</v>
        <stp/>
        <stp>BDH|7792479756451519919</stp>
        <tr r="AJ12" s="4"/>
      </tp>
      <tp t="s">
        <v>#N/A N/A</v>
        <stp/>
        <stp>BDH|6887881262921720766</stp>
        <tr r="N24" s="2"/>
      </tp>
      <tp t="s">
        <v>#N/A N/A</v>
        <stp/>
        <stp>BDH|1817016905249876675</stp>
        <tr r="M7" s="4"/>
      </tp>
      <tp t="s">
        <v>#N/A N/A</v>
        <stp/>
        <stp>BDH|5298337990707505670</stp>
        <tr r="U19" s="2"/>
      </tp>
      <tp t="s">
        <v>#N/A N/A</v>
        <stp/>
        <stp>BDH|5615660294664284065</stp>
        <tr r="AC22" s="4"/>
      </tp>
      <tp t="s">
        <v>#N/A N/A</v>
        <stp/>
        <stp>BDH|3794227653309257355</stp>
        <tr r="AJ24" s="2"/>
      </tp>
      <tp t="s">
        <v>#N/A N/A</v>
        <stp/>
        <stp>BDH|1893925657037384484</stp>
        <tr r="O20" s="2"/>
      </tp>
      <tp t="s">
        <v>#N/A N/A</v>
        <stp/>
        <stp>BDH|1914080773881725939</stp>
        <tr r="G14" s="2"/>
      </tp>
      <tp t="s">
        <v>#N/A N/A</v>
        <stp/>
        <stp>BDH|5548217591870511062</stp>
        <tr r="AA21" s="4"/>
      </tp>
      <tp t="s">
        <v>#N/A N/A</v>
        <stp/>
        <stp>BDH|9794643903016419727</stp>
        <tr r="J21" s="4"/>
      </tp>
      <tp t="s">
        <v>#N/A N/A</v>
        <stp/>
        <stp>BDH|8357563561754312101</stp>
        <tr r="K17" s="4"/>
      </tp>
      <tp t="s">
        <v>#N/A N/A</v>
        <stp/>
        <stp>BDH|6281216982866114477</stp>
        <tr r="E24" s="2"/>
      </tp>
      <tp t="s">
        <v>#N/A N/A</v>
        <stp/>
        <stp>BDH|1273344885455693125</stp>
        <tr r="M25" s="2"/>
      </tp>
      <tp t="s">
        <v>#N/A N/A</v>
        <stp/>
        <stp>BDH|6910690066099136134</stp>
        <tr r="I17" s="4"/>
      </tp>
      <tp t="s">
        <v>#N/A N/A</v>
        <stp/>
        <stp>BDH|2630835754985239468</stp>
        <tr r="X24" s="2"/>
      </tp>
      <tp t="s">
        <v>#N/A N/A</v>
        <stp/>
        <stp>BDH|9068825486213528445</stp>
        <tr r="N9" s="4"/>
      </tp>
      <tp t="s">
        <v>#N/A N/A</v>
        <stp/>
        <stp>BDH|9369752819921944032</stp>
        <tr r="N20" s="4"/>
      </tp>
      <tp t="s">
        <v>#N/A N/A</v>
        <stp/>
        <stp>BDH|5987577275470918888</stp>
        <tr r="AH10" s="4"/>
      </tp>
      <tp t="s">
        <v>#N/A N/A</v>
        <stp/>
        <stp>BDH|2192238378008724076</stp>
        <tr r="M9" s="4"/>
      </tp>
      <tp t="s">
        <v>#N/A N/A</v>
        <stp/>
        <stp>BDH|4826101256128294760</stp>
        <tr r="N21" s="2"/>
      </tp>
      <tp t="s">
        <v>#N/A N/A</v>
        <stp/>
        <stp>BDH|2144090293970342430</stp>
        <tr r="AO18" s="4"/>
      </tp>
      <tp t="s">
        <v>#N/A N/A</v>
        <stp/>
        <stp>BDH|3537653082411898314</stp>
        <tr r="V14" s="4"/>
      </tp>
      <tp t="s">
        <v>#N/A N/A</v>
        <stp/>
        <stp>BDH|9724041757392832143</stp>
        <tr r="L13" s="2"/>
      </tp>
      <tp t="s">
        <v>#N/A N/A</v>
        <stp/>
        <stp>BDH|2698774412498955324</stp>
        <tr r="G24" s="2"/>
      </tp>
      <tp t="s">
        <v>#N/A N/A</v>
        <stp/>
        <stp>BDP|5488067202602973805</stp>
        <tr r="T16" s="3"/>
      </tp>
      <tp t="s">
        <v>#N/A N/A</v>
        <stp/>
        <stp>BDH|8510433667363920617</stp>
        <tr r="AD14" s="4"/>
      </tp>
      <tp t="s">
        <v>#N/A N/A</v>
        <stp/>
        <stp>BDH|2277930020924142291</stp>
        <tr r="AA13" s="4"/>
      </tp>
      <tp t="s">
        <v>#N/A N/A</v>
        <stp/>
        <stp>BDH|1899908701816566155</stp>
        <tr r="AB6" s="4"/>
      </tp>
      <tp t="s">
        <v>#N/A N/A</v>
        <stp/>
        <stp>BDP|7866900967180711769</stp>
        <tr r="F16" s="3"/>
      </tp>
      <tp t="s">
        <v>#N/A N/A</v>
        <stp/>
        <stp>BDH|7928510652108168056</stp>
        <tr r="P26" s="2"/>
      </tp>
      <tp t="s">
        <v>#N/A N/A</v>
        <stp/>
        <stp>BDH|1195424738430431909</stp>
        <tr r="AM17" s="4"/>
      </tp>
      <tp t="s">
        <v>#N/A N/A</v>
        <stp/>
        <stp>BDH|7940813764226499078</stp>
        <tr r="AO13" s="2"/>
      </tp>
      <tp t="s">
        <v>#N/A N/A</v>
        <stp/>
        <stp>BDH|4626683631467681964</stp>
        <tr r="F22" s="4"/>
      </tp>
      <tp t="s">
        <v>#N/A N/A</v>
        <stp/>
        <stp>BDH|5486799677542692835</stp>
        <tr r="AP10" s="4"/>
      </tp>
      <tp t="s">
        <v>#N/A N/A</v>
        <stp/>
        <stp>BDH|3968918227876222106</stp>
        <tr r="AL8" s="2"/>
      </tp>
      <tp t="s">
        <v>#N/A N/A</v>
        <stp/>
        <stp>BDH|1689977531881831550</stp>
        <tr r="AF26" s="2"/>
      </tp>
      <tp t="s">
        <v>#N/A N/A</v>
        <stp/>
        <stp>BDH|9091880585510396633</stp>
        <tr r="Z14" s="4"/>
      </tp>
      <tp t="s">
        <v>#N/A N/A</v>
        <stp/>
        <stp>BDH|1893314783707019289</stp>
        <tr r="AF20" s="2"/>
      </tp>
      <tp t="s">
        <v>#N/A N/A</v>
        <stp/>
        <stp>BDH|5621005665019079512</stp>
        <tr r="AG8" s="4"/>
      </tp>
      <tp t="s">
        <v>#N/A N/A</v>
        <stp/>
        <stp>BDH|6486211087181536252</stp>
        <tr r="AL25" s="2"/>
      </tp>
      <tp t="s">
        <v>#N/A N/A</v>
        <stp/>
        <stp>BDH|8768760407515007548</stp>
        <tr r="E22" s="4"/>
      </tp>
      <tp t="s">
        <v>#N/A N/A</v>
        <stp/>
        <stp>BDP|3791997699308575426</stp>
        <tr r="AO17" s="3"/>
      </tp>
      <tp t="s">
        <v>#N/A N/A</v>
        <stp/>
        <stp>BDP|8318231437777100168</stp>
        <tr r="Z10" s="3"/>
      </tp>
      <tp t="s">
        <v>#N/A N/A</v>
        <stp/>
        <stp>BDH|5450813153695039267</stp>
        <tr r="Q18" s="2"/>
      </tp>
      <tp t="s">
        <v>#N/A N/A</v>
        <stp/>
        <stp>BDH|9319245602725080150</stp>
        <tr r="AH7" s="2"/>
      </tp>
      <tp t="s">
        <v>#N/A N/A</v>
        <stp/>
        <stp>BDP|9697659452842013702</stp>
        <tr r="N10" s="3"/>
      </tp>
      <tp t="s">
        <v>#N/A N/A</v>
        <stp/>
        <stp>BDP|1158801877593157267</stp>
        <tr r="Z17" s="3"/>
      </tp>
      <tp t="s">
        <v>#N/A N/A</v>
        <stp/>
        <stp>BDH|1628058586494269268</stp>
        <tr r="C18" s="4"/>
      </tp>
      <tp t="s">
        <v>#N/A N/A</v>
        <stp/>
        <stp>BDH|9487827694607161052</stp>
        <tr r="AO8" s="4"/>
      </tp>
      <tp t="s">
        <v>#N/A N/A</v>
        <stp/>
        <stp>BDH|5750611028007186993</stp>
        <tr r="N26" s="2"/>
      </tp>
      <tp t="s">
        <v>#N/A N/A</v>
        <stp/>
        <stp>BDH|1438049296747867085</stp>
        <tr r="F21" s="4"/>
      </tp>
      <tp t="s">
        <v>#N/A N/A</v>
        <stp/>
        <stp>BDP|4988181453329307660</stp>
        <tr r="H10" s="3"/>
      </tp>
      <tp t="s">
        <v>#N/A N/A</v>
        <stp/>
        <stp>BDP|2954675919473285928</stp>
        <tr r="Z9" s="3"/>
      </tp>
      <tp t="s">
        <v>#N/A N/A</v>
        <stp/>
        <stp>BDH|8466765085371522955</stp>
        <tr r="AA16" s="2"/>
      </tp>
      <tp t="s">
        <v>#N/A N/A</v>
        <stp/>
        <stp>BDH|2034141030398690753</stp>
        <tr r="AN16" s="2"/>
      </tp>
      <tp t="s">
        <v>#N/A N/A</v>
        <stp/>
        <stp>BDH|5006599427335293882</stp>
        <tr r="X22" s="4"/>
      </tp>
      <tp t="s">
        <v>#N/A N/A</v>
        <stp/>
        <stp>BDH|3234317376369408157</stp>
        <tr r="X16" s="4"/>
      </tp>
      <tp t="s">
        <v>#N/A N/A</v>
        <stp/>
        <stp>BDH|7811504187700921523</stp>
        <tr r="Q9" s="2"/>
      </tp>
      <tp t="s">
        <v>#N/A N/A</v>
        <stp/>
        <stp>BDH|9762776940184466114</stp>
        <tr r="AJ6" s="4"/>
      </tp>
      <tp t="s">
        <v>#N/A N/A</v>
        <stp/>
        <stp>BDH|1615248075672787951</stp>
        <tr r="S17" s="4"/>
      </tp>
      <tp t="s">
        <v>#N/A N/A</v>
        <stp/>
        <stp>BDP|1341180952984772940</stp>
        <tr r="V13" s="3"/>
      </tp>
      <tp t="s">
        <v>#N/A N/A</v>
        <stp/>
        <stp>BDH|3776135147139912709</stp>
        <tr r="F9" s="4"/>
      </tp>
      <tp t="s">
        <v>#N/A N/A</v>
        <stp/>
        <stp>BDH|1156346375328251588</stp>
        <tr r="AL22" s="4"/>
      </tp>
      <tp t="s">
        <v>#N/A N/A</v>
        <stp/>
        <stp>BDH|3720294882927076678</stp>
        <tr r="AG22" s="4"/>
      </tp>
      <tp t="s">
        <v>#N/A N/A</v>
        <stp/>
        <stp>BDH|1817766875419404049</stp>
        <tr r="AF16" s="2"/>
      </tp>
      <tp t="s">
        <v>#N/A N/A</v>
        <stp/>
        <stp>BDH|2267797402585815894</stp>
        <tr r="N20" s="2"/>
      </tp>
      <tp t="s">
        <v>#N/A N/A</v>
        <stp/>
        <stp>BDH|3970138980291562377</stp>
        <tr r="N13" s="2"/>
      </tp>
      <tp t="s">
        <v>#N/A N/A</v>
        <stp/>
        <stp>BDH|4457851831907946008</stp>
        <tr r="AO10" s="4"/>
      </tp>
      <tp t="s">
        <v>#N/A N/A</v>
        <stp/>
        <stp>BDH|9911123052121559453</stp>
        <tr r="AJ14" s="2"/>
      </tp>
      <tp t="s">
        <v>#N/A N/A</v>
        <stp/>
        <stp>BDH|5412990200680015449</stp>
        <tr r="AF14" s="4"/>
      </tp>
      <tp t="s">
        <v>#N/A N/A</v>
        <stp/>
        <stp>BDH|1141720559993114850</stp>
        <tr r="O8" s="2"/>
      </tp>
      <tp t="s">
        <v>#N/A N/A</v>
        <stp/>
        <stp>BDH|9085949407410839846</stp>
        <tr r="S10" s="2"/>
      </tp>
      <tp t="s">
        <v>#N/A N/A</v>
        <stp/>
        <stp>BDH|6239180528818563589</stp>
        <tr r="U21" s="2"/>
      </tp>
      <tp t="s">
        <v>#N/A N/A</v>
        <stp/>
        <stp>BDH|5186178114759939462</stp>
        <tr r="C19" s="2"/>
      </tp>
      <tp t="s">
        <v>#N/A N/A</v>
        <stp/>
        <stp>BDH|6163904708555859233</stp>
        <tr r="AD9" s="2"/>
      </tp>
      <tp t="s">
        <v>#N/A N/A</v>
        <stp/>
        <stp>BDH|3016823481008636372</stp>
        <tr r="P9" s="4"/>
      </tp>
      <tp t="s">
        <v>#N/A N/A</v>
        <stp/>
        <stp>BDH|2488511453622245868</stp>
        <tr r="F24" s="2"/>
      </tp>
      <tp t="s">
        <v>#N/A N/A</v>
        <stp/>
        <stp>BDH|1751408016248027437</stp>
        <tr r="V13" s="2"/>
      </tp>
      <tp t="s">
        <v>#N/A N/A</v>
        <stp/>
        <stp>BDH|7083639933639653368</stp>
        <tr r="AI13" s="4"/>
      </tp>
      <tp t="s">
        <v>#N/A N/A</v>
        <stp/>
        <stp>BDH|2107452269901957942</stp>
        <tr r="W16" s="4"/>
      </tp>
      <tp t="s">
        <v>#N/A N/A</v>
        <stp/>
        <stp>BDH|6268802817677247064</stp>
        <tr r="AL24" s="2"/>
      </tp>
      <tp t="s">
        <v>#N/A N/A</v>
        <stp/>
        <stp>BDH|1840829232831950372</stp>
        <tr r="AP20" s="2"/>
      </tp>
      <tp t="s">
        <v>#N/A N/A</v>
        <stp/>
        <stp>BDH|6277622631478166361</stp>
        <tr r="U20" s="4"/>
      </tp>
      <tp t="s">
        <v>#N/A N/A</v>
        <stp/>
        <stp>BDH|1330151268478077688</stp>
        <tr r="AO18" s="2"/>
      </tp>
      <tp t="s">
        <v>#N/A N/A</v>
        <stp/>
        <stp>BDH|8397845192322289304</stp>
        <tr r="C7" s="2"/>
      </tp>
      <tp t="s">
        <v>#N/A N/A</v>
        <stp/>
        <stp>BDH|9450975972136017963</stp>
        <tr r="AD17" s="2"/>
      </tp>
      <tp t="s">
        <v>#N/A N/A</v>
        <stp/>
        <stp>BDH|3011637426749013629</stp>
        <tr r="I7" s="2"/>
      </tp>
      <tp t="s">
        <v>#N/A N/A</v>
        <stp/>
        <stp>BDH|3050324987435780556</stp>
        <tr r="U10" s="2"/>
      </tp>
      <tp t="s">
        <v>#N/A N/A</v>
        <stp/>
        <stp>BDH|2311109699326814457</stp>
        <tr r="E7" s="4"/>
      </tp>
      <tp t="s">
        <v>#N/A N/A</v>
        <stp/>
        <stp>BDH|2571978415404510656</stp>
        <tr r="AP19" s="2"/>
      </tp>
      <tp t="s">
        <v>#N/A N/A</v>
        <stp/>
        <stp>BDH|8661841450548313553</stp>
        <tr r="AH21" s="4"/>
      </tp>
      <tp t="s">
        <v>#N/A N/A</v>
        <stp/>
        <stp>BDH|9639181997958989141</stp>
        <tr r="AJ17" s="2"/>
      </tp>
      <tp t="s">
        <v>#N/A N/A</v>
        <stp/>
        <stp>BDH|4602675270999399461</stp>
        <tr r="AG16" s="2"/>
      </tp>
      <tp t="s">
        <v>#N/A N/A</v>
        <stp/>
        <stp>BDH|9467530360173345112</stp>
        <tr r="AF9" s="2"/>
      </tp>
      <tp t="s">
        <v>#N/A N/A</v>
        <stp/>
        <stp>BDH|9614702965596607605</stp>
        <tr r="AK16" s="2"/>
      </tp>
      <tp t="s">
        <v>#N/A N/A</v>
        <stp/>
        <stp>BDH|8412764566811182001</stp>
        <tr r="AF17" s="4"/>
      </tp>
      <tp t="s">
        <v>#N/A N/A</v>
        <stp/>
        <stp>BDH|51379468312494285</stp>
        <tr r="F7" s="2"/>
      </tp>
      <tp t="s">
        <v>#N/A N/A</v>
        <stp/>
        <stp>BDH|1138867101114877446</stp>
        <tr r="U9" s="2"/>
      </tp>
      <tp t="s">
        <v>#N/A N/A</v>
        <stp/>
        <stp>BDP|9530835410821426899</stp>
        <tr r="V9" s="3"/>
      </tp>
      <tp t="s">
        <v>#N/A N/A</v>
        <stp/>
        <stp>BDH|3044070901118700292</stp>
        <tr r="S8" s="4"/>
      </tp>
      <tp t="s">
        <v>#N/A N/A</v>
        <stp/>
        <stp>BDH|8950549865630148211</stp>
        <tr r="E10" s="2"/>
      </tp>
    </main>
    <main first="bofaddin.rtdserver">
      <tp t="s">
        <v>#N/A N/A</v>
        <stp/>
        <stp>BDP|6108873979894306420</stp>
        <tr r="F10" s="3"/>
      </tp>
      <tp t="s">
        <v>#N/A N/A</v>
        <stp/>
        <stp>BDH|2511646868598002373</stp>
        <tr r="E20" s="2"/>
      </tp>
      <tp t="s">
        <v>#N/A N/A</v>
        <stp/>
        <stp>BDH|2240321318438275141</stp>
        <tr r="S24" s="2"/>
      </tp>
      <tp t="s">
        <v>#N/A N/A</v>
        <stp/>
        <stp>BDH|9806588803164584196</stp>
        <tr r="W20" s="4"/>
      </tp>
      <tp t="s">
        <v>#N/A N/A</v>
        <stp/>
        <stp>BDH|4118909050564664585</stp>
        <tr r="G7" s="2"/>
      </tp>
      <tp t="s">
        <v>#N/A N/A</v>
        <stp/>
        <stp>BDP|6951913628463549792</stp>
        <tr r="I13" s="3"/>
      </tp>
      <tp t="s">
        <v>#N/A N/A</v>
        <stp/>
        <stp>BDP|7459998446544442721</stp>
        <tr r="P10" s="3"/>
      </tp>
      <tp t="s">
        <v>#N/A N/A</v>
        <stp/>
        <stp>BDH|6433240513188961473</stp>
        <tr r="O6" s="4"/>
      </tp>
      <tp t="s">
        <v>#N/A N/A</v>
        <stp/>
        <stp>BDH|9928433574562522160</stp>
        <tr r="AP21" s="2"/>
      </tp>
      <tp t="s">
        <v>#N/A N/A</v>
        <stp/>
        <stp>BDH|1181752762841893831</stp>
        <tr r="O22" s="4"/>
      </tp>
      <tp t="s">
        <v>#N/A N/A</v>
        <stp/>
        <stp>BDH|5266936163530170318</stp>
        <tr r="P14" s="4"/>
      </tp>
      <tp t="s">
        <v>#N/A N/A</v>
        <stp/>
        <stp>BDP|9775074410337124628</stp>
        <tr r="AA9" s="3"/>
      </tp>
      <tp t="s">
        <v>#N/A N/A</v>
        <stp/>
        <stp>BDP|4208052014489744543</stp>
        <tr r="M13" s="3"/>
      </tp>
      <tp t="s">
        <v>#N/A N/A</v>
        <stp/>
        <stp>BDH|3177161975945311911</stp>
        <tr r="P24" s="2"/>
      </tp>
      <tp t="s">
        <v>#N/A N/A</v>
        <stp/>
        <stp>BDP|6354140099405973212</stp>
        <tr r="AK17" s="3"/>
      </tp>
      <tp t="s">
        <v>#N/A N/A</v>
        <stp/>
        <stp>BDH|1624602795900785722</stp>
        <tr r="AH14" s="2"/>
      </tp>
      <tp t="s">
        <v>#N/A N/A</v>
        <stp/>
        <stp>BDH|7732094253512836932</stp>
        <tr r="G16" s="4"/>
      </tp>
      <tp t="s">
        <v>#N/A N/A</v>
        <stp/>
        <stp>BDH|7685836972317813687</stp>
        <tr r="K21" s="2"/>
      </tp>
      <tp t="s">
        <v>#N/A N/A</v>
        <stp/>
        <stp>BDH|9933431618596630302</stp>
        <tr r="AG16" s="4"/>
      </tp>
      <tp t="s">
        <v>#N/A N/A</v>
        <stp/>
        <stp>BDH|7451123949298896336</stp>
        <tr r="L8" s="2"/>
      </tp>
      <tp t="s">
        <v>#N/A N/A</v>
        <stp/>
        <stp>BDH|1681214845007215942</stp>
        <tr r="V17" s="4"/>
      </tp>
      <tp t="s">
        <v>#N/A N/A</v>
        <stp/>
        <stp>BDP|4944852292655875938</stp>
        <tr r="J10" s="3"/>
      </tp>
      <tp t="s">
        <v>#N/A N/A</v>
        <stp/>
        <stp>BDP|4123616199455590799</stp>
        <tr r="U13" s="3"/>
      </tp>
      <tp t="s">
        <v>#N/A N/A</v>
        <stp/>
        <stp>BDH|2131814114220041211</stp>
        <tr r="Y18" s="2"/>
      </tp>
      <tp t="s">
        <v>#N/A N/A</v>
        <stp/>
        <stp>BDH|6842752108779893181</stp>
        <tr r="J19" s="2"/>
      </tp>
      <tp t="s">
        <v>#N/A N/A</v>
        <stp/>
        <stp>BDH|4879449691796060682</stp>
        <tr r="T10" s="2"/>
      </tp>
      <tp t="s">
        <v>#N/A N/A</v>
        <stp/>
        <stp>BDH|4098012875588654274</stp>
        <tr r="AN14" s="4"/>
      </tp>
      <tp t="s">
        <v>#N/A N/A</v>
        <stp/>
        <stp>BDH|36866223866534875</stp>
        <tr r="G25" s="2"/>
      </tp>
      <tp t="s">
        <v>#N/A N/A</v>
        <stp/>
        <stp>BDH|22630260747575381</stp>
        <tr r="AO25" s="2"/>
      </tp>
      <tp t="s">
        <v>#N/A N/A</v>
        <stp/>
        <stp>BDH|1677501059722577905</stp>
        <tr r="V16" s="4"/>
      </tp>
      <tp t="s">
        <v>#N/A N/A</v>
        <stp/>
        <stp>BDH|6174583167546535902</stp>
        <tr r="R16" s="4"/>
      </tp>
      <tp t="s">
        <v>#N/A N/A</v>
        <stp/>
        <stp>BDH|4406406880763707181</stp>
        <tr r="D20" s="2"/>
      </tp>
      <tp t="s">
        <v>#N/A N/A</v>
        <stp/>
        <stp>BDH|1747322727242163888</stp>
        <tr r="AN9" s="4"/>
      </tp>
      <tp t="s">
        <v>#N/A N/A</v>
        <stp/>
        <stp>BDH|9133531608971066728</stp>
        <tr r="P8" s="4"/>
      </tp>
      <tp t="s">
        <v>#N/A N/A</v>
        <stp/>
        <stp>BDH|2280447290056686388</stp>
        <tr r="O20" s="4"/>
      </tp>
      <tp t="s">
        <v>#N/A N/A</v>
        <stp/>
        <stp>BDP|1768742240849270186</stp>
        <tr r="AN10" s="3"/>
      </tp>
      <tp t="s">
        <v>#N/A N/A</v>
        <stp/>
        <stp>BDP|4887259906044570802</stp>
        <tr r="H17" s="3"/>
      </tp>
      <tp t="s">
        <v>#N/A N/A</v>
        <stp/>
        <stp>BDH|2295741993840271693</stp>
        <tr r="D13" s="4"/>
      </tp>
      <tp t="s">
        <v>#N/A N/A</v>
        <stp/>
        <stp>BDH|9927041868374161184</stp>
        <tr r="AE6" s="4"/>
      </tp>
      <tp t="s">
        <v>#N/A N/A</v>
        <stp/>
        <stp>BDH|6547384126759309457</stp>
        <tr r="I6" s="4"/>
      </tp>
      <tp t="s">
        <v>#N/A N/A</v>
        <stp/>
        <stp>BDH|6924462142108044400</stp>
        <tr r="N6" s="4"/>
      </tp>
      <tp t="s">
        <v>#N/A N/A</v>
        <stp/>
        <stp>BDP|3202318593831713259</stp>
        <tr r="D16" s="3"/>
      </tp>
      <tp t="s">
        <v>#N/A N/A</v>
        <stp/>
        <stp>BDP|5712303585105194107</stp>
        <tr r="Y16" s="3"/>
      </tp>
      <tp t="s">
        <v>#N/A N/A</v>
        <stp/>
        <stp>BDH|3323698704346684985</stp>
        <tr r="L18" s="4"/>
      </tp>
      <tp t="s">
        <v>#N/A N/A</v>
        <stp/>
        <stp>BDH|5093852376501104127</stp>
        <tr r="F20" s="4"/>
      </tp>
      <tp t="s">
        <v>#N/A N/A</v>
        <stp/>
        <stp>BDH|1636470410546959899</stp>
        <tr r="AO21" s="4"/>
      </tp>
      <tp t="s">
        <v>#N/A N/A</v>
        <stp/>
        <stp>BDH|5260198425339964519</stp>
        <tr r="AE10" s="2"/>
      </tp>
      <tp t="s">
        <v>#N/A N/A</v>
        <stp/>
        <stp>BDP|3956899837827800586</stp>
        <tr r="X9" s="3"/>
      </tp>
      <tp t="s">
        <v>#N/A N/A</v>
        <stp/>
        <stp>BDH|1195768171528769362</stp>
        <tr r="S6" s="4"/>
      </tp>
      <tp t="s">
        <v>#N/A N/A</v>
        <stp/>
        <stp>BDH|2426946768791967662</stp>
        <tr r="O19" s="2"/>
      </tp>
      <tp t="s">
        <v>#N/A N/A</v>
        <stp/>
        <stp>BDP|9116880589935726638</stp>
        <tr r="E12" s="3"/>
      </tp>
      <tp t="s">
        <v>#N/A N/A</v>
        <stp/>
        <stp>BDH|1783159890240376341</stp>
        <tr r="Y17" s="2"/>
      </tp>
      <tp t="s">
        <v>#N/A N/A</v>
        <stp/>
        <stp>BDH|5938590491741709230</stp>
        <tr r="AB12" s="4"/>
      </tp>
      <tp t="s">
        <v>#N/A N/A</v>
        <stp/>
        <stp>BDH|1123075850489156720</stp>
        <tr r="AB25" s="2"/>
      </tp>
      <tp t="s">
        <v>#N/A N/A</v>
        <stp/>
        <stp>BDH|6828174444070638988</stp>
        <tr r="AL21" s="4"/>
      </tp>
      <tp t="s">
        <v>#N/A N/A</v>
        <stp/>
        <stp>BDH|6745225773859758040</stp>
        <tr r="W13" s="4"/>
      </tp>
    </main>
    <main first="bofaddin.rtdserver">
      <tp t="s">
        <v>#N/A N/A</v>
        <stp/>
        <stp>BDH|8722282502908362963</stp>
        <tr r="L9" s="4"/>
      </tp>
      <tp t="s">
        <v>#N/A N/A</v>
        <stp/>
        <stp>BDH|9161840029561648928</stp>
        <tr r="AK12" s="4"/>
      </tp>
      <tp t="s">
        <v>#N/A N/A</v>
        <stp/>
        <stp>BDH|5905714383727267605</stp>
        <tr r="AD12" s="4"/>
      </tp>
      <tp t="s">
        <v>#N/A N/A</v>
        <stp/>
        <stp>BDH|8386292305821671000</stp>
        <tr r="AP17" s="2"/>
      </tp>
      <tp t="s">
        <v>#N/A N/A</v>
        <stp/>
        <stp>BDH|1249913846535456281</stp>
        <tr r="AA21" s="2"/>
      </tp>
      <tp t="s">
        <v>#N/A N/A</v>
        <stp/>
        <stp>BDH|8774333473681922605</stp>
        <tr r="AA12" s="4"/>
      </tp>
      <tp t="s">
        <v>#N/A N/A</v>
        <stp/>
        <stp>BDH|6477951411403768691</stp>
        <tr r="L18" s="2"/>
      </tp>
      <tp t="s">
        <v>#N/A N/A</v>
        <stp/>
        <stp>BDH|9220858926961945963</stp>
        <tr r="AE14" s="4"/>
      </tp>
      <tp t="s">
        <v>#N/A N/A</v>
        <stp/>
        <stp>BDP|8550011669196562378</stp>
        <tr r="Q12" s="3"/>
      </tp>
      <tp t="s">
        <v>#N/A N/A</v>
        <stp/>
        <stp>BDH|9906463062924145433</stp>
        <tr r="AH14" s="4"/>
      </tp>
      <tp t="s">
        <v>#N/A N/A</v>
        <stp/>
        <stp>BDH|7338005506158904439</stp>
        <tr r="AK16" s="4"/>
      </tp>
      <tp t="s">
        <v>#N/A N/A</v>
        <stp/>
        <stp>BDH|3232893156525258036</stp>
        <tr r="AC8" s="2"/>
      </tp>
      <tp t="s">
        <v>#N/A N/A</v>
        <stp/>
        <stp>BDH|9482645284288958413</stp>
        <tr r="AB7" s="4"/>
      </tp>
      <tp t="s">
        <v>#N/A N/A</v>
        <stp/>
        <stp>BDH|8183490562041039067</stp>
        <tr r="U25" s="2"/>
      </tp>
      <tp t="s">
        <v>#N/A N/A</v>
        <stp/>
        <stp>BDH|7856733526638501155</stp>
        <tr r="S9" s="4"/>
      </tp>
      <tp t="s">
        <v>#N/A N/A</v>
        <stp/>
        <stp>BDH|7651400199830549170</stp>
        <tr r="AJ7" s="2"/>
      </tp>
      <tp t="s">
        <v>#N/A N/A</v>
        <stp/>
        <stp>BDH|3471828922280032290</stp>
        <tr r="AF8" s="2"/>
      </tp>
      <tp t="s">
        <v>#N/A N/A</v>
        <stp/>
        <stp>BDH|7695239350043315843</stp>
        <tr r="O14" s="4"/>
      </tp>
      <tp t="s">
        <v>#N/A N/A</v>
        <stp/>
        <stp>BDH|5289746285302545342</stp>
        <tr r="AI22" s="4"/>
      </tp>
      <tp t="s">
        <v>#N/A N/A</v>
        <stp/>
        <stp>BDH|9263295628483613164</stp>
        <tr r="Z20" s="2"/>
      </tp>
      <tp t="s">
        <v>#N/A N/A</v>
        <stp/>
        <stp>BDH|5654696489477267778</stp>
        <tr r="AC25" s="2"/>
      </tp>
      <tp t="s">
        <v>#N/A N/A</v>
        <stp/>
        <stp>BDH|8298229162755378228</stp>
        <tr r="AL6" s="4"/>
      </tp>
      <tp t="s">
        <v>#N/A N/A</v>
        <stp/>
        <stp>BDH|5071665482497631724</stp>
        <tr r="O21" s="2"/>
      </tp>
      <tp t="s">
        <v>#N/A N/A</v>
        <stp/>
        <stp>BDH|7811985750855319533</stp>
        <tr r="W10" s="4"/>
      </tp>
      <tp t="s">
        <v>#N/A N/A</v>
        <stp/>
        <stp>BDH|7766935947984415564</stp>
        <tr r="C26" s="2"/>
      </tp>
      <tp t="s">
        <v>#N/A N/A</v>
        <stp/>
        <stp>BDH|8260849423621515817</stp>
        <tr r="Z17" s="2"/>
      </tp>
      <tp t="s">
        <v>#N/A N/A</v>
        <stp/>
        <stp>BDP|5557929384227086857</stp>
        <tr r="P13" s="3"/>
      </tp>
      <tp t="s">
        <v>#N/A N/A</v>
        <stp/>
        <stp>BDH|5343802477642631340</stp>
        <tr r="Z12" s="4"/>
      </tp>
      <tp t="s">
        <v>#N/A N/A</v>
        <stp/>
        <stp>BDH|7438072596662251716</stp>
        <tr r="AF7" s="4"/>
      </tp>
      <tp t="s">
        <v>#N/A N/A</v>
        <stp/>
        <stp>BDP|2041701733099410407</stp>
        <tr r="O12" s="3"/>
      </tp>
      <tp t="s">
        <v>#N/A N/A</v>
        <stp/>
        <stp>BDP|4118993308600611611</stp>
        <tr r="AM16" s="3"/>
      </tp>
      <tp t="s">
        <v>#N/A N/A</v>
        <stp/>
        <stp>BDH|3259702238929462598</stp>
        <tr r="H7" s="2"/>
      </tp>
      <tp t="s">
        <v>#N/A N/A</v>
        <stp/>
        <stp>BDH|8022336533185219659</stp>
        <tr r="I10" s="2"/>
      </tp>
      <tp t="s">
        <v>#N/A N/A</v>
        <stp/>
        <stp>BDH|4364760612021621869</stp>
        <tr r="W8" s="4"/>
      </tp>
      <tp t="s">
        <v>#N/A N/A</v>
        <stp/>
        <stp>BDH|9435085159210723759</stp>
        <tr r="AG20" s="2"/>
      </tp>
      <tp t="s">
        <v>#N/A N/A</v>
        <stp/>
        <stp>BDH|8757985497922819149</stp>
        <tr r="G21" s="2"/>
      </tp>
      <tp t="s">
        <v>#N/A N/A</v>
        <stp/>
        <stp>BDH|3631217382841963398</stp>
        <tr r="V21" s="4"/>
      </tp>
      <tp t="s">
        <v>#N/A N/A</v>
        <stp/>
        <stp>BDH|2824683154064696186</stp>
        <tr r="AK13" s="4"/>
      </tp>
      <tp t="s">
        <v>#N/A N/A</v>
        <stp/>
        <stp>BDH|9508232198726695022</stp>
        <tr r="AA8" s="4"/>
      </tp>
      <tp t="s">
        <v>#N/A N/A</v>
        <stp/>
        <stp>BDH|1118066442257643681</stp>
        <tr r="P17" s="2"/>
      </tp>
      <tp t="s">
        <v>#N/A N/A</v>
        <stp/>
        <stp>BDH|2131442142421525791</stp>
        <tr r="AG9" s="2"/>
      </tp>
      <tp t="s">
        <v>#N/A N/A</v>
        <stp/>
        <stp>BDH|1397749409427464519</stp>
        <tr r="J10" s="4"/>
      </tp>
      <tp t="s">
        <v>#N/A N/A</v>
        <stp/>
        <stp>BDH|3132492512657636544</stp>
        <tr r="K25" s="2"/>
      </tp>
      <tp t="s">
        <v>#N/A N/A</v>
        <stp/>
        <stp>BDH|4212372914380027280</stp>
        <tr r="O24" s="2"/>
      </tp>
      <tp t="s">
        <v>#N/A N/A</v>
        <stp/>
        <stp>BDH|2486353205432241787</stp>
        <tr r="AA20" s="2"/>
      </tp>
      <tp t="s">
        <v>#N/A N/A</v>
        <stp/>
        <stp>BDH|3546256078284699605</stp>
        <tr r="H13" s="2"/>
      </tp>
      <tp t="s">
        <v>#N/A N/A</v>
        <stp/>
        <stp>BDP|4995081480901859961</stp>
        <tr r="T13" s="3"/>
      </tp>
      <tp t="s">
        <v>#N/A N/A</v>
        <stp/>
        <stp>BDP|1676079220035686282</stp>
        <tr r="AP16" s="3"/>
      </tp>
      <tp t="s">
        <v>#N/A N/A</v>
        <stp/>
        <stp>BDH|5966573778505143683</stp>
        <tr r="AO9" s="2"/>
      </tp>
      <tp t="s">
        <v>#N/A N/A</v>
        <stp/>
        <stp>BDH|4973144074692742423</stp>
        <tr r="AJ17" s="4"/>
      </tp>
      <tp t="s">
        <v>#N/A N/A</v>
        <stp/>
        <stp>BDH|4197269609612260004</stp>
        <tr r="X19" s="2"/>
      </tp>
      <tp t="s">
        <v>#N/A N/A</v>
        <stp/>
        <stp>BDP|4169881171648462718</stp>
        <tr r="D12" s="3"/>
      </tp>
      <tp t="s">
        <v>#N/A N/A</v>
        <stp/>
        <stp>BDH|1344731438696517706</stp>
        <tr r="AN18" s="4"/>
      </tp>
      <tp t="s">
        <v>#N/A N/A</v>
        <stp/>
        <stp>BDH|7792986353918717760</stp>
        <tr r="R18" s="4"/>
      </tp>
      <tp t="s">
        <v>#N/A N/A</v>
        <stp/>
        <stp>BDH|8919869304952242649</stp>
        <tr r="E16" s="2"/>
      </tp>
      <tp t="s">
        <v>#N/A N/A</v>
        <stp/>
        <stp>BDH|1431134921792397487</stp>
        <tr r="N12" s="4"/>
      </tp>
      <tp t="s">
        <v>#N/A N/A</v>
        <stp/>
        <stp>BDH|9338340702517131964</stp>
        <tr r="AG6" s="4"/>
      </tp>
      <tp t="s">
        <v>#N/A N/A</v>
        <stp/>
        <stp>BDH|3057420015974579609</stp>
        <tr r="J7" s="4"/>
      </tp>
      <tp t="s">
        <v>#N/A N/A</v>
        <stp/>
        <stp>BDH|3038037708561874610</stp>
        <tr r="G19" s="2"/>
      </tp>
      <tp t="s">
        <v>#N/A N/A</v>
        <stp/>
        <stp>BDH|9715912490338006549</stp>
        <tr r="O13" s="4"/>
      </tp>
      <tp t="s">
        <v>#N/A N/A</v>
        <stp/>
        <stp>BDH|5805030744854409193</stp>
        <tr r="R12" s="4"/>
      </tp>
      <tp t="s">
        <v>#N/A N/A</v>
        <stp/>
        <stp>BDH|7591582577189160892</stp>
        <tr r="G22" s="4"/>
      </tp>
      <tp t="s">
        <v>#N/A N/A</v>
        <stp/>
        <stp>BDP|4439311803104437712</stp>
        <tr r="AJ9" s="3"/>
      </tp>
      <tp t="s">
        <v>#N/A N/A</v>
        <stp/>
        <stp>BDP|7480773387805539925</stp>
        <tr r="S13" s="3"/>
      </tp>
      <tp t="s">
        <v>#N/A N/A</v>
        <stp/>
        <stp>BDH|5947395410842311101</stp>
        <tr r="O9" s="2"/>
      </tp>
      <tp t="s">
        <v>#N/A N/A</v>
        <stp/>
        <stp>BDH|9743578586264255474</stp>
        <tr r="L14" s="4"/>
      </tp>
      <tp t="s">
        <v>#N/A N/A</v>
        <stp/>
        <stp>BDH|1984980502029499572</stp>
        <tr r="M24" s="2"/>
      </tp>
      <tp t="s">
        <v>#N/A N/A</v>
        <stp/>
        <stp>BDH|8550908366701647254</stp>
        <tr r="AI13" s="2"/>
      </tp>
      <tp t="s">
        <v>#N/A N/A</v>
        <stp/>
        <stp>BDP|9517769363145363923</stp>
        <tr r="F13" s="3"/>
      </tp>
      <tp t="s">
        <v>#N/A N/A</v>
        <stp/>
        <stp>BDP|8054709397085001763</stp>
        <tr r="C13" s="3"/>
      </tp>
      <tp t="s">
        <v>#N/A N/A</v>
        <stp/>
        <stp>BDH|5116865341234449933</stp>
        <tr r="AH8" s="2"/>
      </tp>
      <tp t="s">
        <v>#N/A N/A</v>
        <stp/>
        <stp>BDH|4249880980119375984</stp>
        <tr r="F8" s="4"/>
      </tp>
      <tp t="s">
        <v>#N/A N/A</v>
        <stp/>
        <stp>BDP|5977501331937613089</stp>
        <tr r="AF9" s="3"/>
      </tp>
      <tp t="s">
        <v>#N/A N/A</v>
        <stp/>
        <stp>BDH|5327344505741092340</stp>
        <tr r="W24" s="2"/>
      </tp>
      <tp t="s">
        <v>#N/A N/A</v>
        <stp/>
        <stp>BDH|7316002546231597663</stp>
        <tr r="H20" s="4"/>
      </tp>
      <tp t="s">
        <v>#N/A N/A</v>
        <stp/>
        <stp>BDH|3528783597008494185</stp>
        <tr r="M22" s="4"/>
      </tp>
      <tp t="s">
        <v>#N/A N/A</v>
        <stp/>
        <stp>BDH|1743540089940995845</stp>
        <tr r="S20" s="4"/>
      </tp>
      <tp t="s">
        <v>#N/A N/A</v>
        <stp/>
        <stp>BDH|7172045954207103173</stp>
        <tr r="AB10" s="2"/>
      </tp>
      <tp t="s">
        <v>#N/A N/A</v>
        <stp/>
        <stp>BDH|7473329248282875610</stp>
        <tr r="Z6" s="4"/>
      </tp>
      <tp t="s">
        <v>#N/A N/A</v>
        <stp/>
        <stp>BDP|9271558043159838585</stp>
        <tr r="AI9" s="3"/>
      </tp>
      <tp t="s">
        <v>#N/A N/A</v>
        <stp/>
        <stp>BDH|9515934426111256761</stp>
        <tr r="T6" s="4"/>
      </tp>
      <tp t="s">
        <v>#N/A N/A</v>
        <stp/>
        <stp>BDH|1871508184631957914</stp>
        <tr r="G21" s="4"/>
      </tp>
      <tp t="s">
        <v>#N/A N/A</v>
        <stp/>
        <stp>BDH|2230446903664039603</stp>
        <tr r="AH25" s="2"/>
      </tp>
      <tp t="s">
        <v>#N/A N/A</v>
        <stp/>
        <stp>BDH|1888566308805046535</stp>
        <tr r="K14" s="4"/>
      </tp>
      <tp t="s">
        <v>#N/A N/A</v>
        <stp/>
        <stp>BDP|7994162074564460055</stp>
        <tr r="G13" s="3"/>
      </tp>
      <tp t="s">
        <v>#N/A N/A</v>
        <stp/>
        <stp>BDP|3529275315585867056</stp>
        <tr r="K10" s="3"/>
      </tp>
      <tp t="s">
        <v>#N/A N/A</v>
        <stp/>
        <stp>BDH|5663783621143077659</stp>
        <tr r="V18" s="2"/>
      </tp>
      <tp t="s">
        <v>#N/A N/A</v>
        <stp/>
        <stp>BDH|7854224789900964815</stp>
        <tr r="AI24" s="2"/>
      </tp>
      <tp t="s">
        <v>#N/A N/A</v>
        <stp/>
        <stp>BDP|6398116143104966205</stp>
        <tr r="R13" s="3"/>
      </tp>
      <tp t="s">
        <v>#N/A N/A</v>
        <stp/>
        <stp>BDH|7565705563145922674</stp>
        <tr r="AN19" s="2"/>
      </tp>
      <tp t="s">
        <v>#N/A N/A</v>
        <stp/>
        <stp>BDH|1312523866422811571</stp>
        <tr r="F19" s="2"/>
      </tp>
      <tp t="s">
        <v>#N/A N/A</v>
        <stp/>
        <stp>BDH|6759389077956655166</stp>
        <tr r="AJ7" s="4"/>
      </tp>
      <tp t="s">
        <v>#N/A N/A</v>
        <stp/>
        <stp>BDH|6170112454102856548</stp>
        <tr r="F8" s="2"/>
      </tp>
      <tp t="s">
        <v>#N/A N/A</v>
        <stp/>
        <stp>BDP|5020370924202343392</stp>
        <tr r="AD10" s="3"/>
      </tp>
      <tp t="s">
        <v>#N/A N/A</v>
        <stp/>
        <stp>BDH|1568479570461940628</stp>
        <tr r="E18" s="4"/>
      </tp>
      <tp t="s">
        <v>#N/A N/A</v>
        <stp/>
        <stp>BDH|4798817279998771661</stp>
        <tr r="W26" s="2"/>
      </tp>
      <tp t="s">
        <v>#N/A N/A</v>
        <stp/>
        <stp>BDH|4900063156261678519</stp>
        <tr r="AK22" s="4"/>
      </tp>
      <tp t="s">
        <v>#N/A N/A</v>
        <stp/>
        <stp>BDH|9707699123439018120</stp>
        <tr r="AB20" s="2"/>
      </tp>
      <tp t="s">
        <v>#N/A N/A</v>
        <stp/>
        <stp>BDH|3027745319868790862</stp>
        <tr r="G10" s="2"/>
      </tp>
      <tp t="s">
        <v>#N/A N/A</v>
        <stp/>
        <stp>BDP|9937842856323201240</stp>
        <tr r="AM12" s="3"/>
      </tp>
      <tp t="s">
        <v>#N/A N/A</v>
        <stp/>
        <stp>BDH|2619883815408261646</stp>
        <tr r="AF9" s="4"/>
      </tp>
      <tp t="s">
        <v>#N/A N/A</v>
        <stp/>
        <stp>BDH|3554391090908249435</stp>
        <tr r="O12" s="4"/>
      </tp>
      <tp t="s">
        <v>#N/A N/A</v>
        <stp/>
        <stp>BDP|7111303512954709466</stp>
        <tr r="AH17" s="3"/>
      </tp>
      <tp t="s">
        <v>#N/A N/A</v>
        <stp/>
        <stp>BDH|9381078962703665934</stp>
        <tr r="AG19" s="2"/>
      </tp>
      <tp t="s">
        <v>#N/A N/A</v>
        <stp/>
        <stp>BDH|8945305232038936518</stp>
        <tr r="AE9" s="4"/>
      </tp>
      <tp t="s">
        <v>#N/A N/A</v>
        <stp/>
        <stp>BDH|3771649068063099588</stp>
        <tr r="AO13" s="4"/>
      </tp>
      <tp t="s">
        <v>#N/A N/A</v>
        <stp/>
        <stp>BDH|6388562715507626053</stp>
        <tr r="I16" s="4"/>
      </tp>
      <tp t="s">
        <v>#N/A N/A</v>
        <stp/>
        <stp>BDH|6007362127663522144</stp>
        <tr r="AB13" s="4"/>
      </tp>
      <tp t="s">
        <v>#N/A N/A</v>
        <stp/>
        <stp>BDH|1335277454420428344</stp>
        <tr r="X21" s="4"/>
      </tp>
      <tp t="s">
        <v>#N/A N/A</v>
        <stp/>
        <stp>BDH|6210089533405961507</stp>
        <tr r="AL17" s="2"/>
      </tp>
      <tp t="s">
        <v>#N/A N/A</v>
        <stp/>
        <stp>BDH|7244436989969808718</stp>
        <tr r="J12" s="4"/>
      </tp>
      <tp t="s">
        <v>#N/A N/A</v>
        <stp/>
        <stp>BDH|3562160963159027817</stp>
        <tr r="M10" s="2"/>
      </tp>
      <tp t="s">
        <v>#N/A N/A</v>
        <stp/>
        <stp>BDH|4073455531183354563</stp>
        <tr r="Q8" s="2"/>
      </tp>
      <tp t="s">
        <v>#N/A N/A</v>
        <stp/>
        <stp>BDH|3043144247354638731</stp>
        <tr r="X20" s="4"/>
      </tp>
      <tp t="s">
        <v>#N/A N/A</v>
        <stp/>
        <stp>BDH|3215702565691857687</stp>
        <tr r="W18" s="2"/>
      </tp>
      <tp t="s">
        <v>#N/A N/A</v>
        <stp/>
        <stp>BDH|2223301369717593596</stp>
        <tr r="H26" s="2"/>
      </tp>
      <tp t="s">
        <v>#N/A N/A</v>
        <stp/>
        <stp>BDP|5328472265043451112</stp>
        <tr r="AH10" s="3"/>
      </tp>
      <tp t="s">
        <v>#N/A N/A</v>
        <stp/>
        <stp>BDH|3190715986630065929</stp>
        <tr r="G14" s="4"/>
      </tp>
      <tp t="s">
        <v>#N/A N/A</v>
        <stp/>
        <stp>BDH|3142571975476420227</stp>
        <tr r="AD13" s="2"/>
      </tp>
      <tp t="s">
        <v>#N/A N/A</v>
        <stp/>
        <stp>BDH|7576790423914876324</stp>
        <tr r="L19" s="2"/>
      </tp>
      <tp t="s">
        <v>#N/A N/A</v>
        <stp/>
        <stp>BDH|8739862215996319226</stp>
        <tr r="AH18" s="2"/>
      </tp>
      <tp t="s">
        <v>#N/A N/A</v>
        <stp/>
        <stp>BDH|2906473401406904539</stp>
        <tr r="P20" s="4"/>
      </tp>
      <tp t="s">
        <v>#N/A N/A</v>
        <stp/>
        <stp>BDH|7369393836641121075</stp>
        <tr r="D24" s="2"/>
      </tp>
      <tp t="s">
        <v>#N/A N/A</v>
        <stp/>
        <stp>BDH|8479338985386952313</stp>
        <tr r="AL19" s="2"/>
      </tp>
      <tp t="s">
        <v>#N/A N/A</v>
        <stp/>
        <stp>BDH|2969608236390327162</stp>
        <tr r="AK20" s="4"/>
      </tp>
      <tp t="s">
        <v>#N/A N/A</v>
        <stp/>
        <stp>BDH|7440809008688744113</stp>
        <tr r="AP9" s="2"/>
      </tp>
      <tp t="s">
        <v>#N/A N/A</v>
        <stp/>
        <stp>BDH|7222133147412935658</stp>
        <tr r="V8" s="4"/>
      </tp>
      <tp t="s">
        <v>#N/A N/A</v>
        <stp/>
        <stp>BDH|6119552927715016284</stp>
        <tr r="J17" s="2"/>
      </tp>
      <tp t="s">
        <v>#N/A N/A</v>
        <stp/>
        <stp>BDH|2940211650766420578</stp>
        <tr r="E17" s="4"/>
      </tp>
      <tp t="s">
        <v>#N/A N/A</v>
        <stp/>
        <stp>BDH|2183313405526723192</stp>
        <tr r="R18" s="2"/>
      </tp>
      <tp t="s">
        <v>#N/A N/A</v>
        <stp/>
        <stp>BDP|7726557858830699159</stp>
        <tr r="AC17" s="3"/>
      </tp>
      <tp t="s">
        <v>#N/A N/A</v>
        <stp/>
        <stp>BDH|2042113849442164305</stp>
        <tr r="D7" s="4"/>
      </tp>
      <tp t="s">
        <v>#N/A N/A</v>
        <stp/>
        <stp>BDH|2063533190668868020</stp>
        <tr r="Z22" s="4"/>
      </tp>
      <tp t="s">
        <v>#N/A N/A</v>
        <stp/>
        <stp>BDH|2597507814047916717</stp>
        <tr r="AH12" s="4"/>
      </tp>
      <tp t="s">
        <v>#N/A N/A</v>
        <stp/>
        <stp>BDH|5174538282329050795</stp>
        <tr r="AP16" s="2"/>
      </tp>
      <tp t="s">
        <v>#N/A N/A</v>
        <stp/>
        <stp>BDH|1730922731638439598</stp>
        <tr r="AM10" s="4"/>
      </tp>
      <tp t="s">
        <v>#N/A N/A</v>
        <stp/>
        <stp>BDH|9853049286996708136</stp>
        <tr r="AN24" s="2"/>
      </tp>
      <tp t="s">
        <v>#N/A N/A</v>
        <stp/>
        <stp>BDH|7170608372689960948</stp>
        <tr r="Y21" s="2"/>
      </tp>
      <tp t="s">
        <v>#N/A N/A</v>
        <stp/>
        <stp>BDP|4471694380358706451</stp>
        <tr r="AP12" s="3"/>
      </tp>
      <tp t="s">
        <v>#N/A N/A</v>
        <stp/>
        <stp>BDH|6225756768301759071</stp>
        <tr r="F14" s="2"/>
      </tp>
      <tp t="s">
        <v>#N/A N/A</v>
        <stp/>
        <stp>BDH|6862127353683138776</stp>
        <tr r="AD21" s="4"/>
      </tp>
      <tp t="s">
        <v>#N/A N/A</v>
        <stp/>
        <stp>BDH|2916979672829166322</stp>
        <tr r="K22" s="4"/>
      </tp>
      <tp t="s">
        <v>#N/A N/A</v>
        <stp/>
        <stp>BDH|1740380402916320210</stp>
        <tr r="X10" s="4"/>
      </tp>
      <tp t="s">
        <v>#N/A N/A</v>
        <stp/>
        <stp>BDP|5748229821204836703</stp>
        <tr r="AK10" s="3"/>
      </tp>
      <tp t="s">
        <v>#N/A N/A</v>
        <stp/>
        <stp>BDH|6744560141799848841</stp>
        <tr r="Q9" s="4"/>
      </tp>
      <tp t="s">
        <v>#N/A N/A</v>
        <stp/>
        <stp>BDH|2435626634227899666</stp>
        <tr r="F10" s="2"/>
      </tp>
      <tp t="s">
        <v>#N/A N/A</v>
        <stp/>
        <stp>BDH|4367395247623064619</stp>
        <tr r="AN25" s="2"/>
      </tp>
      <tp t="s">
        <v>#N/A N/A</v>
        <stp/>
        <stp>BDH|2440482356465068072</stp>
        <tr r="AM25" s="2"/>
      </tp>
      <tp t="s">
        <v>#N/A N/A</v>
        <stp/>
        <stp>BDH|6834064133652048103</stp>
        <tr r="AB17" s="4"/>
      </tp>
      <tp t="s">
        <v>#N/A N/A</v>
        <stp/>
        <stp>BDH|7490723849864118638</stp>
        <tr r="AJ20" s="4"/>
      </tp>
      <tp t="s">
        <v>#N/A N/A</v>
        <stp/>
        <stp>BDH|3619540972530812758</stp>
        <tr r="Y18" s="4"/>
      </tp>
      <tp t="s">
        <v>#N/A N/A</v>
        <stp/>
        <stp>BDP|7674990081801827145</stp>
        <tr r="G16" s="3"/>
      </tp>
      <tp t="s">
        <v>#N/A N/A</v>
        <stp/>
        <stp>BDP|3646317234030418550</stp>
        <tr r="AL10" s="3"/>
      </tp>
      <tp t="s">
        <v>#N/A N/A</v>
        <stp/>
        <stp>BDH|5660002872305567134</stp>
        <tr r="AM20" s="4"/>
      </tp>
      <tp t="s">
        <v>#N/A N/A</v>
        <stp/>
        <stp>BDH|7565450444468234947</stp>
        <tr r="W7" s="4"/>
      </tp>
      <tp t="s">
        <v>#N/A N/A</v>
        <stp/>
        <stp>BDH|4968089506760172250</stp>
        <tr r="Z8" s="4"/>
      </tp>
      <tp t="s">
        <v>#N/A N/A</v>
        <stp/>
        <stp>BDH|1214310125291503730</stp>
        <tr r="T9" s="4"/>
      </tp>
      <tp t="s">
        <v>#N/A N/A</v>
        <stp/>
        <stp>BDH|9940771244498871424</stp>
        <tr r="J8" s="2"/>
      </tp>
      <tp t="s">
        <v>#N/A N/A</v>
        <stp/>
        <stp>BDH|2972077692945509892</stp>
        <tr r="J25" s="2"/>
      </tp>
      <tp t="s">
        <v>#N/A N/A</v>
        <stp/>
        <stp>BDP|1222213047954444518</stp>
        <tr r="AM9" s="3"/>
      </tp>
      <tp t="s">
        <v>#N/A N/A</v>
        <stp/>
        <stp>BDH|4335774552567647714</stp>
        <tr r="AG26" s="2"/>
      </tp>
      <tp t="s">
        <v>#N/A N/A</v>
        <stp/>
        <stp>BDP|6983882862326505808</stp>
        <tr r="K12" s="3"/>
      </tp>
      <tp t="s">
        <v>#N/A N/A</v>
        <stp/>
        <stp>BDH|3132614504960748359</stp>
        <tr r="AK21" s="2"/>
      </tp>
      <tp t="s">
        <v>#N/A N/A</v>
        <stp/>
        <stp>BDH|6993291375465677059</stp>
        <tr r="AP17" s="4"/>
      </tp>
      <tp t="s">
        <v>#N/A N/A</v>
        <stp/>
        <stp>BDH|8832881837135574052</stp>
        <tr r="W20" s="2"/>
      </tp>
      <tp t="s">
        <v>#N/A N/A</v>
        <stp/>
        <stp>BDP|1913508593398741391</stp>
        <tr r="AH12" s="3"/>
      </tp>
      <tp t="s">
        <v>#N/A N/A</v>
        <stp/>
        <stp>BDP|4255730326792119525</stp>
        <tr r="AO10" s="3"/>
      </tp>
      <tp t="s">
        <v>#N/A N/A</v>
        <stp/>
        <stp>BDH|6964191517597566761</stp>
        <tr r="AJ14" s="4"/>
      </tp>
      <tp t="s">
        <v>#N/A N/A</v>
        <stp/>
        <stp>BDP|2563465860576259049</stp>
        <tr r="X13" s="3"/>
      </tp>
      <tp t="s">
        <v>#N/A N/A</v>
        <stp/>
        <stp>BDH|3773276072865199561</stp>
        <tr r="O13" s="2"/>
      </tp>
      <tp t="s">
        <v>#N/A N/A</v>
        <stp/>
        <stp>BDH|2103291946423846131</stp>
        <tr r="U16" s="2"/>
      </tp>
      <tp t="s">
        <v>#N/A N/A</v>
        <stp/>
        <stp>BDH|5034501760188442811</stp>
        <tr r="K24" s="2"/>
      </tp>
      <tp t="s">
        <v>#N/A N/A</v>
        <stp/>
        <stp>BDH|5559351716886366701</stp>
        <tr r="AP10" s="2"/>
      </tp>
      <tp t="s">
        <v>#N/A N/A</v>
        <stp/>
        <stp>BDP|7985346541600778716</stp>
        <tr r="AK12" s="3"/>
      </tp>
      <tp t="s">
        <v>#N/A N/A</v>
        <stp/>
        <stp>BDH|7578978798772508258</stp>
        <tr r="AJ8" s="2"/>
      </tp>
      <tp t="s">
        <v>#N/A N/A</v>
        <stp/>
        <stp>BDH|1938374134421952796</stp>
        <tr r="Q10" s="4"/>
      </tp>
      <tp t="s">
        <v>#N/A N/A</v>
        <stp/>
        <stp>BDH|8322504227200726892</stp>
        <tr r="AH17" s="2"/>
      </tp>
      <tp t="s">
        <v>#N/A N/A</v>
        <stp/>
        <stp>BDH|7050024748173111701</stp>
        <tr r="AI25" s="2"/>
      </tp>
      <tp t="s">
        <v>#N/A N/A</v>
        <stp/>
        <stp>BDH|7962419502985034115</stp>
        <tr r="C9" s="4"/>
      </tp>
      <tp t="s">
        <v>#N/A N/A</v>
        <stp/>
        <stp>BDH|3566545961966372182</stp>
        <tr r="AN17" s="4"/>
      </tp>
      <tp t="s">
        <v>#N/A N/A</v>
        <stp/>
        <stp>BDH|7849818990266622742</stp>
        <tr r="AO6" s="4"/>
      </tp>
      <tp t="s">
        <v>#N/A N/A</v>
        <stp/>
        <stp>BDH|1338895476229536013</stp>
        <tr r="AO9" s="4"/>
      </tp>
      <tp t="s">
        <v>#N/A N/A</v>
        <stp/>
        <stp>BDH|3112087432471225618</stp>
        <tr r="Z21" s="4"/>
      </tp>
      <tp t="s">
        <v>#N/A N/A</v>
        <stp/>
        <stp>BDH|2710008328534238355</stp>
        <tr r="F9" s="2"/>
      </tp>
      <tp t="s">
        <v>#N/A N/A</v>
        <stp/>
        <stp>BDP|9322818778945156425</stp>
        <tr r="Q17" s="3"/>
      </tp>
      <tp t="s">
        <v>#N/A N/A</v>
        <stp/>
        <stp>BDH|7562089660374631228</stp>
        <tr r="T7" s="2"/>
      </tp>
    </main>
    <main first="bofaddin.rtdserver">
      <tp t="s">
        <v>#N/A N/A</v>
        <stp/>
        <stp>BDP|5325472608832445467</stp>
        <tr r="AI17" s="3"/>
      </tp>
      <tp t="s">
        <v>#N/A N/A</v>
        <stp/>
        <stp>BDH|7373719461059934849</stp>
        <tr r="AE21" s="2"/>
      </tp>
      <tp t="s">
        <v>#N/A N/A</v>
        <stp/>
        <stp>BDH|9627468069394019868</stp>
        <tr r="G20" s="2"/>
      </tp>
      <tp t="s">
        <v>#N/A N/A</v>
        <stp/>
        <stp>BDH|1548656662795564386</stp>
        <tr r="G8" s="2"/>
      </tp>
      <tp t="s">
        <v>#N/A N/A</v>
        <stp/>
        <stp>BDH|9595875817066379194</stp>
        <tr r="AM18" s="2"/>
      </tp>
      <tp t="s">
        <v>#N/A N/A</v>
        <stp/>
        <stp>BDP|7101745334622966642</stp>
        <tr r="AF10" s="3"/>
      </tp>
      <tp t="s">
        <v>#N/A N/A</v>
        <stp/>
        <stp>BDH|7240567139445069311</stp>
        <tr r="AL16" s="2"/>
      </tp>
      <tp t="s">
        <v>#N/A N/A</v>
        <stp/>
        <stp>BDH|2959048089874177992</stp>
        <tr r="AF10" s="2"/>
      </tp>
      <tp t="s">
        <v>#N/A N/A</v>
        <stp/>
        <stp>BDH|2777370006762227488</stp>
        <tr r="AP18" s="2"/>
      </tp>
      <tp t="s">
        <v>#N/A N/A</v>
        <stp/>
        <stp>BDP|2891185454493853217</stp>
        <tr r="V17" s="3"/>
      </tp>
      <tp t="s">
        <v>#N/A N/A</v>
        <stp/>
        <stp>BDH|1308856945282599848</stp>
        <tr r="O10" s="2"/>
      </tp>
      <tp t="s">
        <v>#N/A N/A</v>
        <stp/>
        <stp>BDP|3268553113402754202</stp>
        <tr r="N12" s="3"/>
      </tp>
      <tp t="s">
        <v>#N/A N/A</v>
        <stp/>
        <stp>BDH|7605284858414716323</stp>
        <tr r="M6" s="4"/>
      </tp>
      <tp t="s">
        <v>#N/A N/A</v>
        <stp/>
        <stp>BDH|2722730904516561467</stp>
        <tr r="AA17" s="4"/>
      </tp>
      <tp t="s">
        <v>#N/A N/A</v>
        <stp/>
        <stp>BDH|1358543725082144309</stp>
        <tr r="AE13" s="4"/>
      </tp>
      <tp t="s">
        <v>#N/A N/A</v>
        <stp/>
        <stp>BDH|1019528672996429278</stp>
        <tr r="Y9" s="2"/>
      </tp>
      <tp t="s">
        <v>#N/A N/A</v>
        <stp/>
        <stp>BDH|9002086190854076388</stp>
        <tr r="S9" s="2"/>
      </tp>
      <tp t="s">
        <v>#N/A N/A</v>
        <stp/>
        <stp>BDH|1758232128596964058</stp>
        <tr r="I18" s="2"/>
      </tp>
      <tp t="s">
        <v>#N/A N/A</v>
        <stp/>
        <stp>BDH|5109507142932378118</stp>
        <tr r="M19" s="2"/>
      </tp>
      <tp t="s">
        <v>#N/A N/A</v>
        <stp/>
        <stp>BDH|1071555274814594050</stp>
        <tr r="AE18" s="2"/>
      </tp>
      <tp t="s">
        <v>#N/A N/A</v>
        <stp/>
        <stp>BDH|8453834605711710641</stp>
        <tr r="P10" s="2"/>
      </tp>
      <tp t="s">
        <v>#N/A N/A</v>
        <stp/>
        <stp>BDP|3430751928234768580</stp>
        <tr r="AN13" s="3"/>
      </tp>
      <tp t="s">
        <v>#N/A N/A</v>
        <stp/>
        <stp>BDH|5694803224031548915</stp>
        <tr r="AD21" s="2"/>
      </tp>
      <tp t="s">
        <v>#N/A N/A</v>
        <stp/>
        <stp>BDH|2899053320176242194</stp>
        <tr r="D12" s="4"/>
      </tp>
      <tp t="s">
        <v>#N/A N/A</v>
        <stp/>
        <stp>BDH|7561009501379223901</stp>
        <tr r="L7" s="2"/>
      </tp>
      <tp t="s">
        <v>#N/A N/A</v>
        <stp/>
        <stp>BDH|2096506606931969185</stp>
        <tr r="Z16" s="4"/>
      </tp>
      <tp t="s">
        <v>#N/A N/A</v>
        <stp/>
        <stp>BDH|2793067006377409249</stp>
        <tr r="AB10" s="4"/>
      </tp>
      <tp t="s">
        <v>#N/A N/A</v>
        <stp/>
        <stp>BDH|9328926535312577664</stp>
        <tr r="E20" s="4"/>
      </tp>
      <tp t="s">
        <v>#N/A N/A</v>
        <stp/>
        <stp>BDP|5530432815402521526</stp>
        <tr r="AL16" s="3"/>
      </tp>
      <tp t="s">
        <v>#N/A N/A</v>
        <stp/>
        <stp>BDH|2236383649327469534</stp>
        <tr r="AJ10" s="2"/>
      </tp>
      <tp t="s">
        <v>#N/A N/A</v>
        <stp/>
        <stp>BDH|3045010800584237076</stp>
        <tr r="U14" s="4"/>
      </tp>
      <tp t="s">
        <v>#N/A N/A</v>
        <stp/>
        <stp>BDH|3981614302172872078</stp>
        <tr r="AJ9" s="4"/>
      </tp>
      <tp t="s">
        <v>#N/A N/A</v>
        <stp/>
        <stp>BDH|1944293772306203552</stp>
        <tr r="C18" s="2"/>
      </tp>
      <tp t="s">
        <v>#N/A N/A</v>
        <stp/>
        <stp>BDH|5670619562891286325</stp>
        <tr r="AN26" s="2"/>
      </tp>
      <tp t="s">
        <v>#N/A N/A</v>
        <stp/>
        <stp>BDH|9703418158548265795</stp>
        <tr r="U10" s="4"/>
      </tp>
      <tp t="s">
        <v>#N/A N/A</v>
        <stp/>
        <stp>BDH|36975232019301954</stp>
        <tr r="Q18" s="4"/>
      </tp>
      <tp t="s">
        <v>#N/A N/A</v>
        <stp/>
        <stp>BDP|4887629257280184763</stp>
        <tr r="J12" s="3"/>
      </tp>
      <tp t="s">
        <v>#N/A N/A</v>
        <stp/>
        <stp>BDP|3951555764942644242</stp>
        <tr r="S9" s="3"/>
      </tp>
      <tp t="s">
        <v>#N/A N/A</v>
        <stp/>
        <stp>BDH|8225929578830696648</stp>
        <tr r="C14" s="2"/>
      </tp>
      <tp t="s">
        <v>#N/A N/A</v>
        <stp/>
        <stp>BDH|2320705507651825467</stp>
        <tr r="AC10" s="4"/>
      </tp>
      <tp t="s">
        <v>#N/A N/A</v>
        <stp/>
        <stp>BDP|1087588962223431159</stp>
        <tr r="N13" s="3"/>
      </tp>
      <tp t="s">
        <v>#N/A N/A</v>
        <stp/>
        <stp>BDP|3718106239280583106</stp>
        <tr r="Q16" s="3"/>
      </tp>
      <tp t="s">
        <v>#N/A N/A</v>
        <stp/>
        <stp>BDH|5269035817273477796</stp>
        <tr r="AG18" s="2"/>
      </tp>
      <tp t="s">
        <v>#N/A N/A</v>
        <stp/>
        <stp>BDH|5456602369510778510</stp>
        <tr r="X20" s="2"/>
      </tp>
      <tp t="s">
        <v>#N/A N/A</v>
        <stp/>
        <stp>BDH|5001857870943618987</stp>
        <tr r="L7" s="4"/>
      </tp>
      <tp t="s">
        <v>#N/A N/A</v>
        <stp/>
        <stp>BDH|3690445728672652774</stp>
        <tr r="AE8" s="2"/>
      </tp>
      <tp t="s">
        <v>#N/A N/A</v>
        <stp/>
        <stp>BDH|9271989155576047375</stp>
        <tr r="Z7" s="2"/>
      </tp>
      <tp t="s">
        <v>#N/A N/A</v>
        <stp/>
        <stp>BDH|2956238342310202420</stp>
        <tr r="Y7" s="2"/>
      </tp>
      <tp t="s">
        <v>#N/A N/A</v>
        <stp/>
        <stp>BDP|2863009443514092226</stp>
        <tr r="P9" s="3"/>
      </tp>
      <tp t="s">
        <v>#N/A N/A</v>
        <stp/>
        <stp>BDH|9489202506749984256</stp>
        <tr r="AD8" s="2"/>
      </tp>
      <tp t="s">
        <v>#N/A N/A</v>
        <stp/>
        <stp>BDH|6034331209536774334</stp>
        <tr r="AF10" s="4"/>
      </tp>
      <tp t="s">
        <v>#N/A N/A</v>
        <stp/>
        <stp>BDH|5874507420312158072</stp>
        <tr r="AC18" s="4"/>
      </tp>
      <tp t="s">
        <v>#N/A N/A</v>
        <stp/>
        <stp>BDH|5410039561737198491</stp>
        <tr r="AG20" s="4"/>
      </tp>
      <tp t="s">
        <v>#N/A N/A</v>
        <stp/>
        <stp>BDH|2864499804083198587</stp>
        <tr r="I7" s="4"/>
      </tp>
      <tp t="s">
        <v>#N/A N/A</v>
        <stp/>
        <stp>BDH|3081162227168908849</stp>
        <tr r="AO17" s="2"/>
      </tp>
      <tp t="s">
        <v>#N/A N/A</v>
        <stp/>
        <stp>BDH|5576580939150885307</stp>
        <tr r="X9" s="2"/>
      </tp>
      <tp t="s">
        <v>#N/A N/A</v>
        <stp/>
        <stp>BDH|1674430479463583156</stp>
        <tr r="V8" s="2"/>
      </tp>
      <tp t="s">
        <v>#N/A N/A</v>
        <stp/>
        <stp>BDH|5516665544102284589</stp>
        <tr r="E16" s="4"/>
      </tp>
      <tp t="s">
        <v>#N/A N/A</v>
        <stp/>
        <stp>BDH|1570889147669272455</stp>
        <tr r="AB16" s="4"/>
      </tp>
      <tp t="s">
        <v>#N/A N/A</v>
        <stp/>
        <stp>BDP|3109365875691374632</stp>
        <tr r="Z12" s="3"/>
      </tp>
      <tp t="s">
        <v>#N/A N/A</v>
        <stp/>
        <stp>BDH|6861563818796332473</stp>
        <tr r="Z9" s="4"/>
      </tp>
      <tp t="s">
        <v>#N/A N/A</v>
        <stp/>
        <stp>BDH|6772306315655348136</stp>
        <tr r="P13" s="2"/>
      </tp>
      <tp t="s">
        <v>#N/A N/A</v>
        <stp/>
        <stp>BDP|4528509975367670152</stp>
        <tr r="AB16" s="3"/>
      </tp>
      <tp t="s">
        <v>#N/A N/A</v>
        <stp/>
        <stp>BDP|7504969271480646979</stp>
        <tr r="I16" s="3"/>
      </tp>
      <tp t="s">
        <v>#N/A N/A</v>
        <stp/>
        <stp>BDH|7146751357807027207</stp>
        <tr r="AN10" s="4"/>
      </tp>
      <tp t="s">
        <v>#N/A N/A</v>
        <stp/>
        <stp>BDH|7129299554449774980</stp>
        <tr r="M8" s="2"/>
      </tp>
      <tp t="s">
        <v>#N/A N/A</v>
        <stp/>
        <stp>BDP|3185571031344233152</stp>
        <tr r="AF12" s="3"/>
      </tp>
      <tp t="s">
        <v>#N/A N/A</v>
        <stp/>
        <stp>BDH|7909021597146428881</stp>
        <tr r="V7" s="4"/>
      </tp>
      <tp t="s">
        <v>#N/A N/A</v>
        <stp/>
        <stp>BDH|2449538168385647499</stp>
        <tr r="Z10" s="2"/>
      </tp>
      <tp t="s">
        <v>#N/A N/A</v>
        <stp/>
        <stp>BDH|7266768166292123432</stp>
        <tr r="V25" s="2"/>
      </tp>
      <tp t="s">
        <v>#N/A N/A</v>
        <stp/>
        <stp>BDH|2482253824634344666</stp>
        <tr r="AK8" s="4"/>
      </tp>
      <tp t="s">
        <v>#N/A N/A</v>
        <stp/>
        <stp>BDP|1002289435162978257</stp>
        <tr r="Y12" s="3"/>
      </tp>
      <tp t="s">
        <v>#N/A N/A</v>
        <stp/>
        <stp>BDH|6431800764021131975</stp>
        <tr r="R6" s="4"/>
      </tp>
      <tp t="s">
        <v>#N/A N/A</v>
        <stp/>
        <stp>BDH|8369416416525382814</stp>
        <tr r="AE18" s="4"/>
      </tp>
      <tp t="s">
        <v>#N/A N/A</v>
        <stp/>
        <stp>BDH|8354165831289315318</stp>
        <tr r="P13" s="4"/>
      </tp>
      <tp t="s">
        <v>#N/A N/A</v>
        <stp/>
        <stp>BDH|6078096739022687705</stp>
        <tr r="P9" s="2"/>
      </tp>
      <tp t="s">
        <v>#N/A N/A</v>
        <stp/>
        <stp>BDH|5357174167770649229</stp>
        <tr r="S18" s="4"/>
      </tp>
      <tp t="s">
        <v>#N/A N/A</v>
        <stp/>
        <stp>BDH|5364158500651736565</stp>
        <tr r="AH16" s="2"/>
      </tp>
      <tp t="s">
        <v>#N/A N/A</v>
        <stp/>
        <stp>BDH|1099559342226763646</stp>
        <tr r="H24" s="2"/>
      </tp>
      <tp t="s">
        <v>#N/A N/A</v>
        <stp/>
        <stp>BDH|5626410102596341726</stp>
        <tr r="AC12" s="4"/>
      </tp>
      <tp t="s">
        <v>#N/A N/A</v>
        <stp/>
        <stp>BDH|2774061841624174253</stp>
        <tr r="F17" s="4"/>
      </tp>
      <tp t="s">
        <v>#N/A N/A</v>
        <stp/>
        <stp>BDH|9439954206691671150</stp>
        <tr r="S14" s="2"/>
      </tp>
      <tp t="s">
        <v>#N/A N/A</v>
        <stp/>
        <stp>BDH|6778731663906507169</stp>
        <tr r="AF14" s="2"/>
      </tp>
      <tp t="s">
        <v>#N/A N/A</v>
        <stp/>
        <stp>BDH|4667169453863334348</stp>
        <tr r="L20" s="4"/>
      </tp>
      <tp t="s">
        <v>#N/A N/A</v>
        <stp/>
        <stp>BDH|9395074627859485231</stp>
        <tr r="AH16" s="4"/>
      </tp>
      <tp t="s">
        <v>#N/A N/A</v>
        <stp/>
        <stp>BDP|6064335276962413046</stp>
        <tr r="AE10" s="3"/>
      </tp>
      <tp t="s">
        <v>#N/A N/A</v>
        <stp/>
        <stp>BDP|1115264877701721526</stp>
        <tr r="AI12" s="3"/>
      </tp>
      <tp t="s">
        <v>#N/A N/A</v>
        <stp/>
        <stp>BDH|2671713211557255315</stp>
        <tr r="H12" s="4"/>
      </tp>
      <tp t="s">
        <v>#N/A N/A</v>
        <stp/>
        <stp>BDH|3849796984448558450</stp>
        <tr r="AB17" s="2"/>
      </tp>
      <tp t="s">
        <v>#N/A N/A</v>
        <stp/>
        <stp>BDH|5822497570465627329</stp>
        <tr r="AO19" s="2"/>
      </tp>
      <tp t="s">
        <v>#N/A N/A</v>
        <stp/>
        <stp>BDH|3504314261297493141</stp>
        <tr r="AL14" s="2"/>
      </tp>
    </main>
    <main first="bofaddin.rtdserver">
      <tp t="s">
        <v>#N/A N/A</v>
        <stp/>
        <stp>BDH|99196705345953923</stp>
        <tr r="O7" s="2"/>
      </tp>
      <tp t="s">
        <v>#N/A N/A</v>
        <stp/>
        <stp>BDH|2056226152702967637</stp>
        <tr r="U17" s="2"/>
      </tp>
      <tp t="s">
        <v>#N/A N/A</v>
        <stp/>
        <stp>BDH|6690372353897993607</stp>
        <tr r="Y20" s="2"/>
      </tp>
      <tp t="s">
        <v>#N/A N/A</v>
        <stp/>
        <stp>BDH|6059091441233939097</stp>
        <tr r="Z21" s="2"/>
      </tp>
      <tp t="s">
        <v>#N/A N/A</v>
        <stp/>
        <stp>BDH|4077782046864225243</stp>
        <tr r="AB26" s="2"/>
      </tp>
      <tp t="s">
        <v>#N/A N/A</v>
        <stp/>
        <stp>BDH|7141042916246285184</stp>
        <tr r="E8" s="4"/>
      </tp>
      <tp t="s">
        <v>#N/A N/A</v>
        <stp/>
        <stp>BDH|6916140591417123848</stp>
        <tr r="K8" s="2"/>
      </tp>
      <tp t="s">
        <v>#N/A N/A</v>
        <stp/>
        <stp>BDH|2516399243730053464</stp>
        <tr r="D10" s="2"/>
      </tp>
      <tp t="s">
        <v>#N/A N/A</v>
        <stp/>
        <stp>BDH|6259459133460805056</stp>
        <tr r="S20" s="2"/>
      </tp>
      <tp t="s">
        <v>#N/A N/A</v>
        <stp/>
        <stp>BDH|8959874005494414510</stp>
        <tr r="U9" s="4"/>
      </tp>
      <tp t="s">
        <v>#N/A N/A</v>
        <stp/>
        <stp>BDH|5579360207271234682</stp>
        <tr r="R19" s="2"/>
      </tp>
      <tp t="s">
        <v>#N/A N/A</v>
        <stp/>
        <stp>BDH|6212190552472545127</stp>
        <tr r="O14" s="2"/>
      </tp>
      <tp t="s">
        <v>#N/A N/A</v>
        <stp/>
        <stp>BDH|3962205806994665474</stp>
        <tr r="P25" s="2"/>
      </tp>
      <tp t="s">
        <v>#N/A N/A</v>
        <stp/>
        <stp>BDH|9161679018697502857</stp>
        <tr r="D19" s="2"/>
      </tp>
      <tp t="s">
        <v>#N/A N/A</v>
        <stp/>
        <stp>BDH|5490442669644766213</stp>
        <tr r="AK18" s="2"/>
      </tp>
      <tp t="s">
        <v>#N/A N/A</v>
        <stp/>
        <stp>BDH|2071348856937923273</stp>
        <tr r="AB24" s="2"/>
      </tp>
      <tp t="s">
        <v>#N/A N/A</v>
        <stp/>
        <stp>BDH|7662535896769918377</stp>
        <tr r="Q16" s="2"/>
      </tp>
      <tp t="s">
        <v>#N/A N/A</v>
        <stp/>
        <stp>BDH|1583598400824295134</stp>
        <tr r="L14" s="2"/>
      </tp>
      <tp t="s">
        <v>#N/A N/A</v>
        <stp/>
        <stp>BDH|7368282700420564432</stp>
        <tr r="AK19" s="2"/>
      </tp>
      <tp t="s">
        <v>#N/A N/A</v>
        <stp/>
        <stp>BDP|8034134998027050694</stp>
        <tr r="AG16" s="3"/>
      </tp>
      <tp t="s">
        <v>#N/A N/A</v>
        <stp/>
        <stp>BDH|6967417668461066423</stp>
        <tr r="K7" s="2"/>
      </tp>
      <tp t="s">
        <v>#N/A N/A</v>
        <stp/>
        <stp>BDH|5027401647812629635</stp>
        <tr r="Q20" s="2"/>
      </tp>
    </main>
    <main first="bofaddin.rtdserver">
      <tp t="s">
        <v>#N/A N/A</v>
        <stp/>
        <stp>BDP|2643601247438225907</stp>
        <tr r="C10" s="3"/>
      </tp>
      <tp t="s">
        <v>#N/A N/A</v>
        <stp/>
        <stp>BDH|4808163126731933723</stp>
        <tr r="Q26" s="2"/>
      </tp>
      <tp t="s">
        <v>#N/A N/A</v>
        <stp/>
        <stp>BDH|7757730402466059759</stp>
        <tr r="AB16" s="2"/>
      </tp>
      <tp t="s">
        <v>#N/A N/A</v>
        <stp/>
        <stp>BDP|8279382691951230284</stp>
        <tr r="V16" s="3"/>
      </tp>
      <tp t="s">
        <v>#N/A N/A</v>
        <stp/>
        <stp>BDP|2350093727948987954</stp>
        <tr r="AD16" s="3"/>
      </tp>
      <tp t="s">
        <v>#N/A N/A</v>
        <stp/>
        <stp>BDH|3193128964094275140</stp>
        <tr r="AH8" s="4"/>
      </tp>
      <tp t="s">
        <v>#N/A N/A</v>
        <stp/>
        <stp>BDH|9438275440477383912</stp>
        <tr r="W8" s="2"/>
      </tp>
      <tp t="s">
        <v>#N/A N/A</v>
        <stp/>
        <stp>BDH|3284246036206992588</stp>
        <tr r="V10" s="2"/>
      </tp>
      <tp t="s">
        <v>#N/A N/A</v>
        <stp/>
        <stp>BDP|3401269996351798852</stp>
        <tr r="J16" s="3"/>
      </tp>
      <tp t="s">
        <v>#N/A N/A</v>
        <stp/>
        <stp>BDH|9654587087880813574</stp>
        <tr r="Y26" s="2"/>
      </tp>
      <tp t="s">
        <v>#N/A N/A</v>
        <stp/>
        <stp>BDH|5049900026008370723</stp>
        <tr r="D25" s="2"/>
      </tp>
      <tp t="s">
        <v>#N/A N/A</v>
        <stp/>
        <stp>BDH|1074017344276294208</stp>
        <tr r="AE8" s="4"/>
      </tp>
      <tp t="s">
        <v>#N/A N/A</v>
        <stp/>
        <stp>BDH|9532041099407949660</stp>
        <tr r="AL18" s="2"/>
      </tp>
      <tp t="s">
        <v>#N/A N/A</v>
        <stp/>
        <stp>BDH|7595054090709518625</stp>
        <tr r="C21" s="4"/>
      </tp>
      <tp t="s">
        <v>#N/A N/A</v>
        <stp/>
        <stp>BDH|6634161026963228708</stp>
        <tr r="D9" s="4"/>
      </tp>
      <tp t="s">
        <v>#N/A N/A</v>
        <stp/>
        <stp>BDH|8300708191505793211</stp>
        <tr r="T20" s="4"/>
      </tp>
      <tp t="s">
        <v>#N/A N/A</v>
        <stp/>
        <stp>BDH|7204650073892982581</stp>
        <tr r="U12" s="4"/>
      </tp>
      <tp t="s">
        <v>#N/A N/A</v>
        <stp/>
        <stp>BDH|7101624977607463054</stp>
        <tr r="J6" s="4"/>
      </tp>
    </main>
    <main first="bofaddin.rtdserver">
      <tp t="s">
        <v>#N/A N/A</v>
        <stp/>
        <stp>BDH|74367992961139768</stp>
        <tr r="J17" s="4"/>
      </tp>
      <tp t="s">
        <v>#N/A N/A</v>
        <stp/>
        <stp>BDH|7318409394911530982</stp>
        <tr r="O16" s="2"/>
      </tp>
      <tp t="s">
        <v>#N/A N/A</v>
        <stp/>
        <stp>BDH|4928495856424491381</stp>
        <tr r="F18" s="4"/>
      </tp>
      <tp t="s">
        <v>#N/A N/A</v>
        <stp/>
        <stp>BDH|5567008328421726407</stp>
        <tr r="R25" s="2"/>
      </tp>
      <tp t="s">
        <v>#N/A N/A</v>
        <stp/>
        <stp>BDH|9449392032949544211</stp>
        <tr r="AF21" s="4"/>
      </tp>
      <tp t="s">
        <v>#N/A N/A</v>
        <stp/>
        <stp>BDH|4792917759343467905</stp>
        <tr r="F10" s="4"/>
      </tp>
      <tp t="s">
        <v>#N/A N/A</v>
        <stp/>
        <stp>BDH|6745296736701355434</stp>
        <tr r="X21" s="2"/>
      </tp>
      <tp t="s">
        <v>#N/A N/A</v>
        <stp/>
        <stp>BDH|5788448652590152695</stp>
        <tr r="Z7" s="4"/>
      </tp>
      <tp t="s">
        <v>#N/A N/A</v>
        <stp/>
        <stp>BDH|1414644542610999126</stp>
        <tr r="G18" s="4"/>
      </tp>
      <tp t="s">
        <v>#N/A N/A</v>
        <stp/>
        <stp>BDH|5730780618497817668</stp>
        <tr r="T16" s="4"/>
      </tp>
      <tp t="s">
        <v>#N/A N/A</v>
        <stp/>
        <stp>BDH|6910629654744271339</stp>
        <tr r="AF17" s="2"/>
      </tp>
      <tp t="s">
        <v>#N/A N/A</v>
        <stp/>
        <stp>BDH|4558701537002904058</stp>
        <tr r="AB9" s="2"/>
      </tp>
      <tp t="s">
        <v>#N/A N/A</v>
        <stp/>
        <stp>BDH|6661133822451874603</stp>
        <tr r="AL7" s="2"/>
      </tp>
      <tp t="s">
        <v>#N/A N/A</v>
        <stp/>
        <stp>BDH|3494454368031715217</stp>
        <tr r="R13" s="2"/>
      </tp>
      <tp t="s">
        <v>#N/A N/A</v>
        <stp/>
        <stp>BDH|4588042153163460093</stp>
        <tr r="M17" s="4"/>
      </tp>
      <tp t="s">
        <v>#N/A N/A</v>
        <stp/>
        <stp>BDH|3141199981750087855</stp>
        <tr r="AA10" s="2"/>
      </tp>
      <tp t="s">
        <v>#N/A N/A</v>
        <stp/>
        <stp>BDH|4476668906565974505</stp>
        <tr r="K10" s="4"/>
      </tp>
      <tp t="s">
        <v>#N/A N/A</v>
        <stp/>
        <stp>BDP|3171877385192731365</stp>
        <tr r="I9" s="3"/>
      </tp>
      <tp t="s">
        <v>#N/A N/A</v>
        <stp/>
        <stp>BDH|4819929976999824160</stp>
        <tr r="AA26" s="2"/>
      </tp>
      <tp t="s">
        <v>#N/A N/A</v>
        <stp/>
        <stp>BDH|6663471076003372466</stp>
        <tr r="Y20" s="4"/>
      </tp>
      <tp t="s">
        <v>#N/A N/A</v>
        <stp/>
        <stp>BDH|9862938183839387387</stp>
        <tr r="C7" s="4"/>
      </tp>
      <tp t="s">
        <v>#N/A N/A</v>
        <stp/>
        <stp>BDH|8697916651353620504</stp>
        <tr r="C9" s="2"/>
      </tp>
      <tp t="s">
        <v>#N/A N/A</v>
        <stp/>
        <stp>BDH|2622668746517393541</stp>
        <tr r="AG13" s="4"/>
      </tp>
      <tp t="s">
        <v>#N/A N/A</v>
        <stp/>
        <stp>BDP|6198673944680081645</stp>
        <tr r="AP9" s="3"/>
      </tp>
      <tp t="s">
        <v>#N/A N/A</v>
        <stp/>
        <stp>BDP|2972359224160804170</stp>
        <tr r="AA16" s="3"/>
      </tp>
      <tp t="s">
        <v>#N/A N/A</v>
        <stp/>
        <stp>BDH|1022357376566200165</stp>
        <tr r="AF24" s="2"/>
      </tp>
      <tp t="s">
        <v>#N/A N/A</v>
        <stp/>
        <stp>BDH|4190503326863708277</stp>
        <tr r="AD6" s="4"/>
      </tp>
      <tp t="s">
        <v>#N/A N/A</v>
        <stp/>
        <stp>BDH|6269383668630634137</stp>
        <tr r="O21" s="4"/>
      </tp>
      <tp t="s">
        <v>#N/A N/A</v>
        <stp/>
        <stp>BDH|1226963068668282492</stp>
        <tr r="N8" s="4"/>
      </tp>
      <tp t="s">
        <v>#N/A N/A</v>
        <stp/>
        <stp>BDP|7146170903782791669</stp>
        <tr r="AG17" s="3"/>
      </tp>
      <tp t="s">
        <v>#N/A N/A</v>
        <stp/>
        <stp>BDH|3406000216443263341</stp>
        <tr r="AN17" s="2"/>
      </tp>
      <tp t="s">
        <v>#N/A N/A</v>
        <stp/>
        <stp>BDH|3905982884747033715</stp>
        <tr r="U13" s="4"/>
      </tp>
      <tp t="s">
        <v>#N/A N/A</v>
        <stp/>
        <stp>BDH|7352521233160765319</stp>
        <tr r="Z24" s="2"/>
      </tp>
      <tp t="s">
        <v>#N/A N/A</v>
        <stp/>
        <stp>BDH|3019420474394284604</stp>
        <tr r="J13" s="2"/>
      </tp>
      <tp t="s">
        <v>#N/A N/A</v>
        <stp/>
        <stp>BDH|5683193858735505671</stp>
        <tr r="AE7" s="4"/>
      </tp>
      <tp t="s">
        <v>#N/A N/A</v>
        <stp/>
        <stp>BDP|5927458845642188421</stp>
        <tr r="AG12" s="3"/>
      </tp>
      <tp t="s">
        <v>#N/A N/A</v>
        <stp/>
        <stp>BDP|7157833889422667671</stp>
        <tr r="AL13" s="3"/>
      </tp>
      <tp t="s">
        <v>#N/A N/A</v>
        <stp/>
        <stp>BDH|3936144825363514072</stp>
        <tr r="AH26" s="2"/>
      </tp>
      <tp t="s">
        <v>#N/A N/A</v>
        <stp/>
        <stp>BDH|3464327736151995136</stp>
        <tr r="AF18" s="2"/>
      </tp>
      <tp t="s">
        <v>#N/A N/A</v>
        <stp/>
        <stp>BDP|9964088489346763445</stp>
        <tr r="AB12" s="3"/>
      </tp>
      <tp t="s">
        <v>#N/A N/A</v>
        <stp/>
        <stp>BDH|2697814449118655509</stp>
        <tr r="F7" s="4"/>
      </tp>
      <tp t="s">
        <v>#N/A N/A</v>
        <stp/>
        <stp>BDH|2977222041485357214</stp>
        <tr r="AN20" s="4"/>
      </tp>
      <tp t="s">
        <v>#N/A N/A</v>
        <stp/>
        <stp>BDH|1924897152999281688</stp>
        <tr r="C20" s="4"/>
      </tp>
      <tp t="s">
        <v>#N/A N/A</v>
        <stp/>
        <stp>BDH|2158384761643535758</stp>
        <tr r="J13" s="4"/>
      </tp>
      <tp t="s">
        <v>#N/A N/A</v>
        <stp/>
        <stp>BDH|7217495597901008855</stp>
        <tr r="Q14" s="4"/>
      </tp>
      <tp t="s">
        <v>#N/A N/A</v>
        <stp/>
        <stp>BDH|2165026624234906711</stp>
        <tr r="D21" s="4"/>
      </tp>
      <tp t="s">
        <v>#N/A N/A</v>
        <stp/>
        <stp>BDH|2865415200594675139</stp>
        <tr r="AD26" s="2"/>
      </tp>
      <tp t="s">
        <v>#N/A N/A</v>
        <stp/>
        <stp>BDH|5319798423042132147</stp>
        <tr r="S17" s="2"/>
      </tp>
      <tp t="s">
        <v>#N/A N/A</v>
        <stp/>
        <stp>BDH|9218153728411416878</stp>
        <tr r="X14" s="4"/>
      </tp>
      <tp t="s">
        <v>#N/A N/A</v>
        <stp/>
        <stp>BDH|6157936093084538191</stp>
        <tr r="AI9" s="2"/>
      </tp>
      <tp t="s">
        <v>#N/A N/A</v>
        <stp/>
        <stp>BDH|7845142842066635757</stp>
        <tr r="U16" s="4"/>
      </tp>
      <tp t="s">
        <v>#N/A N/A</v>
        <stp/>
        <stp>BDP|2539906684250254012</stp>
        <tr r="Q9" s="3"/>
      </tp>
      <tp t="s">
        <v>#N/A N/A</v>
        <stp/>
        <stp>BDP|7330376720392160773</stp>
        <tr r="AE17" s="3"/>
      </tp>
      <tp t="s">
        <v>#N/A N/A</v>
        <stp/>
        <stp>BDH|4441400277792703663</stp>
        <tr r="AF22" s="4"/>
      </tp>
      <tp t="s">
        <v>#N/A N/A</v>
        <stp/>
        <stp>BDH|3581576748588010989</stp>
        <tr r="L10" s="2"/>
      </tp>
      <tp t="s">
        <v>#N/A N/A</v>
        <stp/>
        <stp>BDH|3867041116053070285</stp>
        <tr r="P7" s="2"/>
      </tp>
      <tp t="s">
        <v>#N/A N/A</v>
        <stp/>
        <stp>BDP|7395700110603079109</stp>
        <tr r="AF13" s="3"/>
      </tp>
      <tp t="s">
        <v>#N/A N/A</v>
        <stp/>
        <stp>BDH|5207268536715443252</stp>
        <tr r="AO12" s="4"/>
      </tp>
      <tp t="s">
        <v>#N/A N/A</v>
        <stp/>
        <stp>BDH|5091588563824327183</stp>
        <tr r="U18" s="2"/>
      </tp>
      <tp t="s">
        <v>#N/A N/A</v>
        <stp/>
        <stp>BDH|5256248516422464745</stp>
        <tr r="AL14" s="4"/>
      </tp>
      <tp t="s">
        <v>#N/A N/A</v>
        <stp/>
        <stp>BDH|3874803598462127306</stp>
        <tr r="Z9" s="2"/>
      </tp>
      <tp t="s">
        <v>#N/A N/A</v>
        <stp/>
        <stp>BDH|7168441452362462724</stp>
        <tr r="T24" s="2"/>
      </tp>
      <tp t="s">
        <v>#N/A N/A</v>
        <stp/>
        <stp>BDP|5328295925413158588</stp>
        <tr r="K9" s="3"/>
      </tp>
      <tp t="s">
        <v>#N/A N/A</v>
        <stp/>
        <stp>BDH|8624082071814010894</stp>
        <tr r="W9" s="2"/>
      </tp>
      <tp t="s">
        <v>#N/A N/A</v>
        <stp/>
        <stp>BDH|2380654307140717703</stp>
        <tr r="T26" s="2"/>
      </tp>
      <tp t="s">
        <v>#N/A N/A</v>
        <stp/>
        <stp>BDH|1754410179903088284</stp>
        <tr r="AE22" s="4"/>
      </tp>
      <tp t="s">
        <v>#N/A N/A</v>
        <stp/>
        <stp>BDH|1849305789941711810</stp>
        <tr r="AI8" s="2"/>
      </tp>
      <tp t="s">
        <v>#N/A N/A</v>
        <stp/>
        <stp>BDH|6567444172507283163</stp>
        <tr r="AM16" s="4"/>
      </tp>
      <tp t="s">
        <v>#N/A N/A</v>
        <stp/>
        <stp>BDH|7665043448542974276</stp>
        <tr r="T14" s="4"/>
      </tp>
      <tp t="s">
        <v>#N/A N/A</v>
        <stp/>
        <stp>BDH|5834021343474971650</stp>
        <tr r="S16" s="2"/>
      </tp>
      <tp t="s">
        <v>#N/A N/A</v>
        <stp/>
        <stp>BDH|1693595270344830427</stp>
        <tr r="O16" s="4"/>
      </tp>
      <tp t="s">
        <v>#N/A N/A</v>
        <stp/>
        <stp>BDH|2836691519036581086</stp>
        <tr r="R9" s="2"/>
      </tp>
      <tp t="s">
        <v>#N/A N/A</v>
        <stp/>
        <stp>BDH|6001958360783402940</stp>
        <tr r="AA24" s="2"/>
      </tp>
      <tp t="s">
        <v>#N/A N/A</v>
        <stp/>
        <stp>BDP|79927917573966216</stp>
        <tr r="J13" s="3"/>
      </tp>
    </main>
    <main first="bofaddin.rtdserver">
      <tp t="s">
        <v>#N/A N/A</v>
        <stp/>
        <stp>BDP|20551315245754490</stp>
        <tr r="AL17" s="3"/>
      </tp>
    </main>
    <main first="bofaddin.rtdserver">
      <tp t="s">
        <v>#N/A N/A</v>
        <stp/>
        <stp>BDP|232946297787801239</stp>
        <tr r="X12" s="3"/>
      </tp>
      <tp t="s">
        <v>#N/A N/A</v>
        <stp/>
        <stp>BDH|899387721312157653</stp>
        <tr r="N17" s="2"/>
      </tp>
      <tp t="s">
        <v>#N/A N/A</v>
        <stp/>
        <stp>BDH|249317243032166079</stp>
        <tr r="Z13" s="2"/>
      </tp>
      <tp t="s">
        <v>#N/A N/A</v>
        <stp/>
        <stp>BDH|545592518226465766</stp>
        <tr r="K13" s="4"/>
      </tp>
      <tp t="s">
        <v>#N/A N/A</v>
        <stp/>
        <stp>BDP|948328760638680918</stp>
        <tr r="AM13" s="3"/>
      </tp>
      <tp t="s">
        <v>#N/A N/A</v>
        <stp/>
        <stp>BDH|715698473233740675</stp>
        <tr r="S22" s="4"/>
      </tp>
      <tp t="s">
        <v>#N/A N/A</v>
        <stp/>
        <stp>BDH|143943470059730368</stp>
        <tr r="X25" s="2"/>
      </tp>
      <tp t="s">
        <v>#N/A N/A</v>
        <stp/>
        <stp>BDH|419151311143140746</stp>
        <tr r="I9" s="2"/>
      </tp>
      <tp t="s">
        <v>#N/A N/A</v>
        <stp/>
        <stp>BDP|468126923233857753</stp>
        <tr r="AM10" s="3"/>
      </tp>
      <tp t="s">
        <v>#N/A N/A</v>
        <stp/>
        <stp>BDH|889803328058190501</stp>
        <tr r="AB8" s="2"/>
      </tp>
      <tp t="s">
        <v>#N/A N/A</v>
        <stp/>
        <stp>BDH|175031905372194544</stp>
        <tr r="G18" s="2"/>
      </tp>
      <tp t="s">
        <v>#N/A N/A</v>
        <stp/>
        <stp>BDH|625171336003760627</stp>
        <tr r="AF13" s="4"/>
      </tp>
      <tp t="s">
        <v>#N/A N/A</v>
        <stp/>
        <stp>BDH|380855776880576870</stp>
        <tr r="AP8" s="2"/>
      </tp>
    </main>
    <main first="bofaddin.rtdserver">
      <tp t="s">
        <v>#N/A N/A</v>
        <stp/>
        <stp>BDH|365191860167657604</stp>
        <tr r="AC20" s="4"/>
      </tp>
      <tp t="s">
        <v>#N/A N/A</v>
        <stp/>
        <stp>BDH|463463617780399384</stp>
        <tr r="AG17" s="4"/>
      </tp>
      <tp t="s">
        <v>#N/A N/A</v>
        <stp/>
        <stp>BDH|136025239630376572</stp>
        <tr r="AA6" s="4"/>
      </tp>
      <tp t="s">
        <v>#N/A N/A</v>
        <stp/>
        <stp>BDH|592199440463040069</stp>
        <tr r="D10" s="4"/>
      </tp>
      <tp t="s">
        <v>#N/A N/A</v>
        <stp/>
        <stp>BDH|381748541175603061</stp>
        <tr r="AM18" s="4"/>
      </tp>
      <tp t="s">
        <v>#N/A N/A</v>
        <stp/>
        <stp>BDH|382678407136788671</stp>
        <tr r="AC14" s="2"/>
      </tp>
    </main>
    <main first="bofaddin.rtdserver">
      <tp t="s">
        <v>#N/A N/A</v>
        <stp/>
        <stp>BDH|730543155843985270</stp>
        <tr r="AI16" s="2"/>
      </tp>
      <tp t="s">
        <v>#N/A N/A</v>
        <stp/>
        <stp>BDH|887476752099397945</stp>
        <tr r="AL9" s="4"/>
      </tp>
      <tp t="s">
        <v>#N/A N/A</v>
        <stp/>
        <stp>BDH|578048674207271111</stp>
        <tr r="T8" s="4"/>
      </tp>
      <tp t="s">
        <v>#N/A N/A</v>
        <stp/>
        <stp>BDH|368765405473239555</stp>
        <tr r="G20" s="4"/>
      </tp>
      <tp t="s">
        <v>#N/A N/A</v>
        <stp/>
        <stp>BDP|183365533456543769</stp>
        <tr r="V10" s="3"/>
      </tp>
      <tp t="s">
        <v>#N/A N/A</v>
        <stp/>
        <stp>BDH|838139809898213807</stp>
        <tr r="AB7" s="2"/>
      </tp>
    </main>
    <main first="bofaddin.rtdserver">
      <tp t="s">
        <v>#N/A N/A</v>
        <stp/>
        <stp>BDH|102108128053385064</stp>
        <tr r="H22" s="4"/>
      </tp>
      <tp t="s">
        <v>#N/A N/A</v>
        <stp/>
        <stp>BDH|161138228533148034</stp>
        <tr r="AI10" s="4"/>
      </tp>
      <tp t="s">
        <v>#N/A N/A</v>
        <stp/>
        <stp>BDH|259927568399618684</stp>
        <tr r="AP12" s="4"/>
      </tp>
      <tp t="s">
        <v>#N/A N/A</v>
        <stp/>
        <stp>BDH|901399733267109706</stp>
        <tr r="G16" s="2"/>
      </tp>
      <tp t="s">
        <v>#N/A N/A</v>
        <stp/>
        <stp>BDH|934079306531304186</stp>
        <tr r="J7" s="2"/>
      </tp>
    </main>
    <main first="bofaddin.rtdserver">
      <tp t="s">
        <v>#N/A N/A</v>
        <stp/>
        <stp>BDP|859565703886433074</stp>
        <tr r="G9" s="3"/>
      </tp>
      <tp t="s">
        <v>#N/A N/A</v>
        <stp/>
        <stp>BDH|742151334932889377</stp>
        <tr r="E7" s="2"/>
      </tp>
      <tp t="s">
        <v>#N/A N/A</v>
        <stp/>
        <stp>BDH|906036554132151467</stp>
        <tr r="AI8" s="4"/>
      </tp>
      <tp t="s">
        <v>#N/A N/A</v>
        <stp/>
        <stp>BDH|882744507354559047</stp>
        <tr r="AG25" s="2"/>
      </tp>
      <tp t="s">
        <v>#N/A N/A</v>
        <stp/>
        <stp>BDH|926930881865137704</stp>
        <tr r="C8" s="2"/>
      </tp>
      <tp t="s">
        <v>#N/A N/A</v>
        <stp/>
        <stp>BDH|295060944437682004</stp>
        <tr r="AO16" s="2"/>
      </tp>
      <tp t="s">
        <v>#N/A N/A</v>
        <stp/>
        <stp>BDP|154110129209674989</stp>
        <tr r="Y17" s="3"/>
      </tp>
    </main>
    <main first="bofaddin.rtdserver">
      <tp t="s">
        <v>#N/A N/A</v>
        <stp/>
        <stp>BDH|460013547302229488</stp>
        <tr r="N9" s="2"/>
      </tp>
      <tp t="s">
        <v>#N/A N/A</v>
        <stp/>
        <stp>BDP|928646525014147238</stp>
        <tr r="AK16" s="3"/>
      </tp>
      <tp t="s">
        <v>#N/A N/A</v>
        <stp/>
        <stp>BDH|720789453347337793</stp>
        <tr r="J21" s="2"/>
      </tp>
      <tp t="s">
        <v>#N/A N/A</v>
        <stp/>
        <stp>BDH|306828898123643090</stp>
        <tr r="Z25" s="2"/>
      </tp>
      <tp t="s">
        <v>#N/A N/A</v>
        <stp/>
        <stp>BDP|726711176780298252</stp>
        <tr r="H16" s="3"/>
      </tp>
      <tp t="s">
        <v>#N/A N/A</v>
        <stp/>
        <stp>BDH|533693521841825763</stp>
        <tr r="Y25" s="2"/>
      </tp>
      <tp t="s">
        <v>#N/A N/A</v>
        <stp/>
        <stp>BDH|296649542359737907</stp>
        <tr r="R10" s="4"/>
      </tp>
    </main>
    <main first="bofaddin.rtdserver">
      <tp t="s">
        <v>#N/A N/A</v>
        <stp/>
        <stp>BDH|494345136244939946</stp>
        <tr r="Q6" s="4"/>
      </tp>
      <tp t="s">
        <v>#N/A N/A</v>
        <stp/>
        <stp>BDH|989448811368691012</stp>
        <tr r="C16" s="2"/>
      </tp>
      <tp t="s">
        <v>#N/A N/A</v>
        <stp/>
        <stp>BDH|563967788188221426</stp>
        <tr r="H8" s="2"/>
      </tp>
      <tp t="s">
        <v>#N/A N/A</v>
        <stp/>
        <stp>BDP|701800723454383326</stp>
        <tr r="N9" s="3"/>
      </tp>
      <tp t="s">
        <v>#N/A N/A</v>
        <stp/>
        <stp>BDH|692867475911332332</stp>
        <tr r="P17" s="4"/>
      </tp>
      <tp t="s">
        <v>#N/A N/A</v>
        <stp/>
        <stp>BDP|214915673935742600</stp>
        <tr r="AE12" s="3"/>
      </tp>
      <tp t="s">
        <v>#N/A N/A</v>
        <stp/>
        <stp>BDH|787922826343448488</stp>
        <tr r="AA14" s="2"/>
      </tp>
      <tp t="s">
        <v>#N/A N/A</v>
        <stp/>
        <stp>BDP|722289460849550126</stp>
        <tr r="AI10" s="3"/>
      </tp>
    </main>
    <main first="bofaddin.rtdserver">
      <tp t="s">
        <v>#N/A N/A</v>
        <stp/>
        <stp>BDH|213484397971512013</stp>
        <tr r="AG14" s="2"/>
      </tp>
      <tp t="s">
        <v>#N/A N/A</v>
        <stp/>
        <stp>BDH|647899969694841692</stp>
        <tr r="AP18" s="4"/>
      </tp>
    </main>
    <main first="bofaddin.rtdserver">
      <tp t="s">
        <v>#N/A N/A</v>
        <stp/>
        <stp>BDP|749837362659401878</stp>
        <tr r="M12" s="3"/>
      </tp>
      <tp t="s">
        <v>#N/A N/A</v>
        <stp/>
        <stp>BDH|545801190736887915</stp>
        <tr r="D20" s="4"/>
      </tp>
    </main>
    <main first="bofaddin.rtdserver">
      <tp t="s">
        <v>#N/A N/A</v>
        <stp/>
        <stp>BDH|664869051684068714</stp>
        <tr r="H20" s="2"/>
      </tp>
      <tp t="s">
        <v>#N/A N/A</v>
        <stp/>
        <stp>BDH|560993578191443118</stp>
        <tr r="AH13" s="2"/>
      </tp>
    </main>
    <main first="bofaddin.rtdserver">
      <tp t="s">
        <v>#N/A N/A</v>
        <stp/>
        <stp>BDH|473747383004972209</stp>
        <tr r="AM8" s="4"/>
      </tp>
      <tp t="s">
        <v>#N/A N/A</v>
        <stp/>
        <stp>BDH|753821750964531062</stp>
        <tr r="AK6" s="4"/>
      </tp>
      <tp t="s">
        <v>#N/A N/A</v>
        <stp/>
        <stp>BDH|200491108524482902</stp>
        <tr r="T16" s="2"/>
      </tp>
      <tp t="s">
        <v>#N/A N/A</v>
        <stp/>
        <stp>BDH|363758596302306532</stp>
        <tr r="H18" s="2"/>
      </tp>
      <tp t="s">
        <v>#N/A N/A</v>
        <stp/>
        <stp>BDP|422884794020881984</stp>
        <tr r="J9" s="3"/>
      </tp>
      <tp t="s">
        <v>#N/A N/A</v>
        <stp/>
        <stp>BDH|902936675875501320</stp>
        <tr r="AF16" s="4"/>
      </tp>
      <tp t="s">
        <v>#N/A N/A</v>
        <stp/>
        <stp>BDP|405249846478078672</stp>
        <tr r="U12" s="3"/>
      </tp>
      <tp t="s">
        <v>#N/A N/A</v>
        <stp/>
        <stp>BDH|550155594277526729</stp>
        <tr r="W18" s="4"/>
      </tp>
    </main>
    <main first="bofaddin.rtdserver">
      <tp t="s">
        <v>#N/A N/A</v>
        <stp/>
        <stp>BDH|972709561572008808</stp>
        <tr r="V22" s="4"/>
      </tp>
      <tp t="s">
        <v>#N/A N/A</v>
        <stp/>
        <stp>BDP|990340196236906768</stp>
        <tr r="K17" s="3"/>
      </tp>
      <tp t="s">
        <v>#N/A N/A</v>
        <stp/>
        <stp>BDH|979170129811686932</stp>
        <tr r="V24" s="2"/>
      </tp>
      <tp t="s">
        <v>#N/A N/A</v>
        <stp/>
        <stp>BDH|645905738549488889</stp>
        <tr r="V21" s="2"/>
      </tp>
    </main>
    <main first="bofaddin.rtdserver">
      <tp t="s">
        <v>#N/A N/A</v>
        <stp/>
        <stp>BDH|777355257814893839</stp>
        <tr r="Y24" s="2"/>
      </tp>
      <tp t="s">
        <v>#N/A N/A</v>
        <stp/>
        <stp>BDH|153820634663550222</stp>
        <tr r="AF8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 spans="1:42" ht="20.25" x14ac:dyDescent="0.2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</row>
    <row r="3" spans="1:42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2" x14ac:dyDescent="0.25">
      <c r="A4" s="10" t="s">
        <v>2</v>
      </c>
      <c r="B4" s="10"/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11" t="s">
        <v>9</v>
      </c>
      <c r="J4" s="11" t="s">
        <v>10</v>
      </c>
      <c r="K4" s="11" t="s">
        <v>11</v>
      </c>
      <c r="L4" s="11" t="s">
        <v>12</v>
      </c>
      <c r="M4" s="11" t="s">
        <v>13</v>
      </c>
      <c r="N4" s="11" t="s">
        <v>14</v>
      </c>
      <c r="O4" s="11" t="s">
        <v>15</v>
      </c>
      <c r="P4" s="11" t="s">
        <v>16</v>
      </c>
      <c r="Q4" s="11" t="s">
        <v>17</v>
      </c>
      <c r="R4" s="11" t="s">
        <v>18</v>
      </c>
      <c r="S4" s="11" t="s">
        <v>19</v>
      </c>
      <c r="T4" s="11" t="s">
        <v>20</v>
      </c>
      <c r="U4" s="11" t="s">
        <v>21</v>
      </c>
      <c r="V4" s="11" t="s">
        <v>22</v>
      </c>
      <c r="W4" s="11" t="s">
        <v>23</v>
      </c>
      <c r="X4" s="11" t="s">
        <v>24</v>
      </c>
      <c r="Y4" s="11" t="s">
        <v>25</v>
      </c>
      <c r="Z4" s="11" t="s">
        <v>26</v>
      </c>
      <c r="AA4" s="11" t="s">
        <v>27</v>
      </c>
      <c r="AB4" s="11" t="s">
        <v>28</v>
      </c>
      <c r="AC4" s="11" t="s">
        <v>29</v>
      </c>
      <c r="AD4" s="11" t="s">
        <v>30</v>
      </c>
      <c r="AE4" s="11" t="s">
        <v>31</v>
      </c>
      <c r="AF4" s="11" t="s">
        <v>32</v>
      </c>
      <c r="AG4" s="11" t="s">
        <v>33</v>
      </c>
      <c r="AH4" s="11" t="s">
        <v>34</v>
      </c>
      <c r="AI4" s="11" t="s">
        <v>35</v>
      </c>
      <c r="AJ4" s="11" t="s">
        <v>36</v>
      </c>
      <c r="AK4" s="11" t="s">
        <v>37</v>
      </c>
      <c r="AL4" s="11" t="s">
        <v>38</v>
      </c>
      <c r="AM4" s="11" t="s">
        <v>39</v>
      </c>
      <c r="AN4" s="11" t="s">
        <v>40</v>
      </c>
      <c r="AO4" s="11" t="s">
        <v>41</v>
      </c>
      <c r="AP4" s="11" t="s">
        <v>42</v>
      </c>
    </row>
    <row r="5" spans="1:42" x14ac:dyDescent="0.25">
      <c r="A5" s="16" t="s">
        <v>43</v>
      </c>
      <c r="B5" s="16"/>
      <c r="C5" s="12" t="s">
        <v>44</v>
      </c>
      <c r="D5" s="12" t="s">
        <v>45</v>
      </c>
      <c r="E5" s="12" t="s">
        <v>46</v>
      </c>
      <c r="F5" s="12" t="s">
        <v>47</v>
      </c>
      <c r="G5" s="12" t="s">
        <v>48</v>
      </c>
      <c r="H5" s="12" t="s">
        <v>49</v>
      </c>
      <c r="I5" s="12" t="s">
        <v>50</v>
      </c>
      <c r="J5" s="12" t="s">
        <v>51</v>
      </c>
      <c r="K5" s="12" t="s">
        <v>52</v>
      </c>
      <c r="L5" s="12" t="s">
        <v>53</v>
      </c>
      <c r="M5" s="12" t="s">
        <v>54</v>
      </c>
      <c r="N5" s="12" t="s">
        <v>55</v>
      </c>
      <c r="O5" s="12" t="s">
        <v>56</v>
      </c>
      <c r="P5" s="12" t="s">
        <v>57</v>
      </c>
      <c r="Q5" s="12" t="s">
        <v>58</v>
      </c>
      <c r="R5" s="12" t="s">
        <v>59</v>
      </c>
      <c r="S5" s="12" t="s">
        <v>60</v>
      </c>
      <c r="T5" s="12" t="s">
        <v>61</v>
      </c>
      <c r="U5" s="12" t="s">
        <v>62</v>
      </c>
      <c r="V5" s="12" t="s">
        <v>63</v>
      </c>
      <c r="W5" s="12" t="s">
        <v>64</v>
      </c>
      <c r="X5" s="12" t="s">
        <v>65</v>
      </c>
      <c r="Y5" s="12" t="s">
        <v>66</v>
      </c>
      <c r="Z5" s="12" t="s">
        <v>67</v>
      </c>
      <c r="AA5" s="12" t="s">
        <v>68</v>
      </c>
      <c r="AB5" s="12" t="s">
        <v>69</v>
      </c>
      <c r="AC5" s="12" t="s">
        <v>70</v>
      </c>
      <c r="AD5" s="12" t="s">
        <v>71</v>
      </c>
      <c r="AE5" s="12" t="s">
        <v>72</v>
      </c>
      <c r="AF5" s="12" t="s">
        <v>73</v>
      </c>
      <c r="AG5" s="12" t="s">
        <v>74</v>
      </c>
      <c r="AH5" s="12" t="s">
        <v>75</v>
      </c>
      <c r="AI5" s="12" t="s">
        <v>76</v>
      </c>
      <c r="AJ5" s="12" t="s">
        <v>77</v>
      </c>
      <c r="AK5" s="12" t="s">
        <v>78</v>
      </c>
      <c r="AL5" s="12" t="s">
        <v>79</v>
      </c>
      <c r="AM5" s="12" t="s">
        <v>80</v>
      </c>
      <c r="AN5" s="12" t="s">
        <v>81</v>
      </c>
      <c r="AO5" s="12" t="s">
        <v>82</v>
      </c>
      <c r="AP5" s="12" t="s">
        <v>83</v>
      </c>
    </row>
    <row r="6" spans="1:42" x14ac:dyDescent="0.25">
      <c r="A6" s="13" t="s">
        <v>84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</row>
    <row r="7" spans="1:42" x14ac:dyDescent="0.25">
      <c r="A7" s="17" t="s">
        <v>85</v>
      </c>
      <c r="B7" s="17" t="s">
        <v>86</v>
      </c>
      <c r="C7" s="20">
        <f>_xll.BDH("BRK/A US Equity","RETURN_COM_EQY","FQ2 2011","FQ2 2011","Currency=USD","Period=FQ","BEST_FPERIOD_OVERRIDE=FQ","FILING_STATUS=MR","FA_ADJUSTED=GAAP","Sort=A","Dates=H","DateFormat=P","Fill=—","Direction=H","UseDPDF=Y")</f>
        <v>8.0412999999999997</v>
      </c>
      <c r="D7" s="20">
        <f>_xll.BDH("BRK/A US Equity","RETURN_COM_EQY","FQ3 2011","FQ3 2011","Currency=USD","Period=FQ","BEST_FPERIOD_OVERRIDE=FQ","FILING_STATUS=MR","FA_ADJUSTED=GAAP","Sort=A","Dates=H","DateFormat=P","Fill=—","Direction=H","UseDPDF=Y")</f>
        <v>7.4818999999999996</v>
      </c>
      <c r="E7" s="20">
        <f>_xll.BDH("BRK/A US Equity","RETURN_COM_EQY","FQ4 2011","FQ4 2011","Currency=USD","Period=FQ","BEST_FPERIOD_OVERRIDE=FQ","FILING_STATUS=MR","FA_ADJUSTED=GAAP","Sort=A","Dates=H","DateFormat=P","Fill=—","Direction=H","UseDPDF=Y")</f>
        <v>6.3655999999999997</v>
      </c>
      <c r="F7" s="20">
        <f>_xll.BDH("BRK/A US Equity","RETURN_COM_EQY","FQ1 2012","FQ1 2012","Currency=USD","Period=FQ","BEST_FPERIOD_OVERRIDE=FQ","FILING_STATUS=MR","FA_ADJUSTED=GAAP","Sort=A","Dates=H","DateFormat=P","Fill=—","Direction=H","UseDPDF=Y")</f>
        <v>7.1345999999999998</v>
      </c>
      <c r="G7" s="20">
        <f>_xll.BDH("BRK/A US Equity","RETURN_COM_EQY","FQ2 2012","FQ2 2012","Currency=USD","Period=FQ","BEST_FPERIOD_OVERRIDE=FQ","FILING_STATUS=MR","FA_ADJUSTED=GAAP","Sort=A","Dates=H","DateFormat=P","Fill=—","Direction=H","UseDPDF=Y")</f>
        <v>6.8621999999999996</v>
      </c>
      <c r="H7" s="20">
        <f>_xll.BDH("BRK/A US Equity","RETURN_COM_EQY","FQ3 2012","FQ3 2012","Currency=USD","Period=FQ","BEST_FPERIOD_OVERRIDE=FQ","FILING_STATUS=MR","FA_ADJUSTED=GAAP","Sort=A","Dates=H","DateFormat=P","Fill=—","Direction=H","UseDPDF=Y")</f>
        <v>7.7321999999999997</v>
      </c>
      <c r="I7" s="20">
        <f>_xll.BDH("BRK/A US Equity","RETURN_COM_EQY","FQ4 2012","FQ4 2012","Currency=USD","Period=FQ","BEST_FPERIOD_OVERRIDE=FQ","FILING_STATUS=MR","FA_ADJUSTED=GAAP","Sort=A","Dates=H","DateFormat=P","Fill=—","Direction=H","UseDPDF=Y")</f>
        <v>8.4108999999999998</v>
      </c>
      <c r="J7" s="20">
        <f>_xll.BDH("BRK/A US Equity","RETURN_COM_EQY","FQ1 2013","FQ1 2013","Currency=USD","Period=FQ","BEST_FPERIOD_OVERRIDE=FQ","FILING_STATUS=MR","FA_ADJUSTED=GAAP","Sort=A","Dates=H","DateFormat=P","Fill=—","Direction=H","UseDPDF=Y")</f>
        <v>8.8064</v>
      </c>
      <c r="K7" s="20">
        <f>_xll.BDH("BRK/A US Equity","RETURN_COM_EQY","FQ2 2013","FQ2 2013","Currency=USD","Period=FQ","BEST_FPERIOD_OVERRIDE=FQ","FILING_STATUS=MR","FA_ADJUSTED=GAAP","Sort=A","Dates=H","DateFormat=P","Fill=—","Direction=H","UseDPDF=Y")</f>
        <v>9.4382000000000001</v>
      </c>
      <c r="L7" s="20">
        <f>_xll.BDH("BRK/A US Equity","RETURN_COM_EQY","FQ3 2013","FQ3 2013","Currency=USD","Period=FQ","BEST_FPERIOD_OVERRIDE=FQ","FILING_STATUS=MR","FA_ADJUSTED=GAAP","Sort=A","Dates=H","DateFormat=P","Fill=—","Direction=H","UseDPDF=Y")</f>
        <v>9.6883999999999997</v>
      </c>
      <c r="M7" s="20">
        <f>_xll.BDH("BRK/A US Equity","RETURN_COM_EQY","FQ4 2013","FQ4 2013","Currency=USD","Period=FQ","BEST_FPERIOD_OVERRIDE=FQ","FILING_STATUS=MR","FA_ADJUSTED=GAAP","Sort=A","Dates=H","DateFormat=P","Fill=—","Direction=H","UseDPDF=Y")</f>
        <v>9.5112000000000005</v>
      </c>
      <c r="N7" s="20">
        <f>_xll.BDH("BRK/A US Equity","RETURN_COM_EQY","FQ1 2014","FQ1 2014","Currency=USD","Period=FQ","BEST_FPERIOD_OVERRIDE=FQ","FILING_STATUS=MR","FA_ADJUSTED=GAAP","Sort=A","Dates=H","DateFormat=P","Fill=—","Direction=H","UseDPDF=Y")</f>
        <v>9.0625999999999998</v>
      </c>
      <c r="O7" s="20">
        <f>_xll.BDH("BRK/A US Equity","RETURN_COM_EQY","FQ2 2014","FQ2 2014","Currency=USD","Period=FQ","BEST_FPERIOD_OVERRIDE=FQ","FILING_STATUS=MR","FA_ADJUSTED=GAAP","Sort=A","Dates=H","DateFormat=P","Fill=—","Direction=H","UseDPDF=Y")</f>
        <v>9.6981999999999999</v>
      </c>
      <c r="P7" s="20">
        <f>_xll.BDH("BRK/A US Equity","RETURN_COM_EQY","FQ3 2014","FQ3 2014","Currency=USD","Period=FQ","BEST_FPERIOD_OVERRIDE=FQ","FILING_STATUS=MR","FA_ADJUSTED=GAAP","Sort=A","Dates=H","DateFormat=P","Fill=—","Direction=H","UseDPDF=Y")</f>
        <v>9.2889999999999997</v>
      </c>
      <c r="Q7" s="20">
        <f>_xll.BDH("BRK/A US Equity","RETURN_COM_EQY","FQ4 2014","FQ4 2014","Currency=USD","Period=FQ","BEST_FPERIOD_OVERRIDE=FQ","FILING_STATUS=MR","FA_ADJUSTED=GAAP","Sort=A","Dates=H","DateFormat=P","Fill=—","Direction=H","UseDPDF=Y")</f>
        <v>8.6014999999999997</v>
      </c>
      <c r="R7" s="20">
        <f>_xll.BDH("BRK/A US Equity","RETURN_COM_EQY","FQ1 2015","FQ1 2015","Currency=USD","Period=FQ","BEST_FPERIOD_OVERRIDE=FQ","FILING_STATUS=MR","FA_ADJUSTED=GAAP","Sort=A","Dates=H","DateFormat=P","Fill=—","Direction=H","UseDPDF=Y")</f>
        <v>8.6685999999999996</v>
      </c>
      <c r="S7" s="20">
        <f>_xll.BDH("BRK/A US Equity","RETURN_COM_EQY","FQ2 2015","FQ2 2015","Currency=USD","Period=FQ","BEST_FPERIOD_OVERRIDE=FQ","FILING_STATUS=MR","FA_ADJUSTED=GAAP","Sort=A","Dates=H","DateFormat=P","Fill=—","Direction=H","UseDPDF=Y")</f>
        <v>7.4779999999999998</v>
      </c>
      <c r="T7" s="20">
        <f>_xll.BDH("BRK/A US Equity","RETURN_COM_EQY","FQ3 2015","FQ3 2015","Currency=USD","Period=FQ","BEST_FPERIOD_OVERRIDE=FQ","FILING_STATUS=MR","FA_ADJUSTED=GAAP","Sort=A","Dates=H","DateFormat=P","Fill=—","Direction=H","UseDPDF=Y")</f>
        <v>9.3712999999999997</v>
      </c>
      <c r="U7" s="20">
        <f>_xll.BDH("BRK/A US Equity","RETURN_COM_EQY","FQ4 2015","FQ4 2015","Currency=USD","Period=FQ","BEST_FPERIOD_OVERRIDE=FQ","FILING_STATUS=MR","FA_ADJUSTED=GAAP","Sort=A","Dates=H","DateFormat=P","Fill=—","Direction=H","UseDPDF=Y")</f>
        <v>9.7164000000000001</v>
      </c>
      <c r="V7" s="20">
        <f>_xll.BDH("BRK/A US Equity","RETURN_COM_EQY","FQ1 2016","FQ1 2016","Currency=USD","Period=FQ","BEST_FPERIOD_OVERRIDE=FQ","FILING_STATUS=MR","FA_ADJUSTED=GAAP","Sort=A","Dates=H","DateFormat=P","Fill=—","Direction=H","UseDPDF=Y")</f>
        <v>9.8009000000000004</v>
      </c>
      <c r="W7" s="20">
        <f>_xll.BDH("BRK/A US Equity","RETURN_COM_EQY","FQ2 2016","FQ2 2016","Currency=USD","Period=FQ","BEST_FPERIOD_OVERRIDE=FQ","FILING_STATUS=MR","FA_ADJUSTED=GAAP","Sort=A","Dates=H","DateFormat=P","Fill=—","Direction=H","UseDPDF=Y")</f>
        <v>10.0167</v>
      </c>
      <c r="X7" s="20">
        <f>_xll.BDH("BRK/A US Equity","RETURN_COM_EQY","FQ3 2016","FQ3 2016","Currency=USD","Period=FQ","BEST_FPERIOD_OVERRIDE=FQ","FILING_STATUS=MR","FA_ADJUSTED=GAAP","Sort=A","Dates=H","DateFormat=P","Fill=—","Direction=H","UseDPDF=Y")</f>
        <v>8.9908999999999999</v>
      </c>
      <c r="Y7" s="20">
        <f>_xll.BDH("BRK/A US Equity","RETURN_COM_EQY","FQ4 2016","FQ4 2016","Currency=USD","Period=FQ","BEST_FPERIOD_OVERRIDE=FQ","FILING_STATUS=MR","FA_ADJUSTED=GAAP","Sort=A","Dates=H","DateFormat=P","Fill=—","Direction=H","UseDPDF=Y")</f>
        <v>8.9558</v>
      </c>
      <c r="Z7" s="20">
        <f>_xll.BDH("BRK/A US Equity","RETURN_COM_EQY","FQ1 2017","FQ1 2017","Currency=USD","Period=FQ","BEST_FPERIOD_OVERRIDE=FQ","FILING_STATUS=MR","FA_ADJUSTED=GAAP","Sort=A","Dates=H","DateFormat=P","Fill=—","Direction=H","UseDPDF=Y")</f>
        <v>8.1757000000000009</v>
      </c>
      <c r="AA7" s="20">
        <f>_xll.BDH("BRK/A US Equity","RETURN_COM_EQY","FQ2 2017","FQ2 2017","Currency=USD","Period=FQ","BEST_FPERIOD_OVERRIDE=FQ","FILING_STATUS=MR","FA_ADJUSTED=GAAP","Sort=A","Dates=H","DateFormat=P","Fill=—","Direction=H","UseDPDF=Y")</f>
        <v>7.7370000000000001</v>
      </c>
      <c r="AB7" s="20">
        <f>_xll.BDH("BRK/A US Equity","RETURN_COM_EQY","FQ3 2017","FQ3 2017","Currency=USD","Period=FQ","BEST_FPERIOD_OVERRIDE=FQ","FILING_STATUS=MR","FA_ADJUSTED=GAAP","Sort=A","Dates=H","DateFormat=P","Fill=—","Direction=H","UseDPDF=Y")</f>
        <v>6.4671000000000003</v>
      </c>
      <c r="AC7" s="20">
        <f>_xll.BDH("BRK/A US Equity","RETURN_COM_EQY","FQ4 2017","FQ4 2017","Currency=USD","Period=FQ","BEST_FPERIOD_OVERRIDE=FQ","FILING_STATUS=MR","FA_ADJUSTED=GAAP","Sort=A","Dates=H","DateFormat=P","Fill=—","Direction=H","UseDPDF=Y")</f>
        <v>14.2584</v>
      </c>
      <c r="AD7" s="20">
        <f>_xll.BDH("BRK/A US Equity","RETURN_COM_EQY","FQ1 2018","FQ1 2018","Currency=USD","Period=FQ","BEST_FPERIOD_OVERRIDE=FQ","FILING_STATUS=MR","FA_ADJUSTED=GAAP","Sort=A","Dates=H","DateFormat=P","Fill=—","Direction=H","UseDPDF=Y")</f>
        <v>12.4145</v>
      </c>
      <c r="AE7" s="20">
        <f>_xll.BDH("BRK/A US Equity","RETURN_COM_EQY","FQ2 2018","FQ2 2018","Currency=USD","Period=FQ","BEST_FPERIOD_OVERRIDE=FQ","FILING_STATUS=MR","FA_ADJUSTED=GAAP","Sort=A","Dates=H","DateFormat=P","Fill=—","Direction=H","UseDPDF=Y")</f>
        <v>14.4185</v>
      </c>
      <c r="AF7" s="20">
        <f>_xll.BDH("BRK/A US Equity","RETURN_COM_EQY","FQ3 2018","FQ3 2018","Currency=USD","Period=FQ","BEST_FPERIOD_OVERRIDE=FQ","FILING_STATUS=MR","FA_ADJUSTED=GAAP","Sort=A","Dates=H","DateFormat=P","Fill=—","Direction=H","UseDPDF=Y")</f>
        <v>18.121200000000002</v>
      </c>
      <c r="AG7" s="20">
        <f>_xll.BDH("BRK/A US Equity","RETURN_COM_EQY","FQ4 2018","FQ4 2018","Currency=USD","Period=FQ","BEST_FPERIOD_OVERRIDE=FQ","FILING_STATUS=MR","FA_ADJUSTED=GAAP","Sort=A","Dates=H","DateFormat=P","Fill=—","Direction=H","UseDPDF=Y")</f>
        <v>1.1537999999999999</v>
      </c>
      <c r="AH7" s="20">
        <f>_xll.BDH("BRK/A US Equity","RETURN_COM_EQY","FQ1 2019","FQ1 2019","Currency=USD","Period=FQ","BEST_FPERIOD_OVERRIDE=FQ","FILING_STATUS=MR","FA_ADJUSTED=GAAP","Sort=A","Dates=H","DateFormat=P","Fill=—","Direction=H","UseDPDF=Y")</f>
        <v>7.4886999999999997</v>
      </c>
      <c r="AI7" s="20">
        <f>_xll.BDH("BRK/A US Equity","RETURN_COM_EQY","FQ2 2019","FQ2 2019","Currency=USD","Period=FQ","BEST_FPERIOD_OVERRIDE=FQ","FILING_STATUS=MR","FA_ADJUSTED=GAAP","Sort=A","Dates=H","DateFormat=P","Fill=—","Direction=H","UseDPDF=Y")</f>
        <v>7.7991999999999999</v>
      </c>
      <c r="AJ7" s="20">
        <f>_xll.BDH("BRK/A US Equity","RETURN_COM_EQY","FQ3 2019","FQ3 2019","Currency=USD","Period=FQ","BEST_FPERIOD_OVERRIDE=FQ","FILING_STATUS=MR","FA_ADJUSTED=GAAP","Sort=A","Dates=H","DateFormat=P","Fill=—","Direction=H","UseDPDF=Y")</f>
        <v>6.9492000000000003</v>
      </c>
      <c r="AK7" s="20">
        <f>_xll.BDH("BRK/A US Equity","RETURN_COM_EQY","FQ4 2019","FQ4 2019","Currency=USD","Period=FQ","BEST_FPERIOD_OVERRIDE=FQ","FILING_STATUS=MR","FA_ADJUSTED=GAAP","Sort=A","Dates=H","DateFormat=P","Fill=—","Direction=H","UseDPDF=Y")</f>
        <v>21.0517</v>
      </c>
      <c r="AL7" s="20">
        <f>_xll.BDH("BRK/A US Equity","RETURN_COM_EQY","FQ1 2020","FQ1 2020","Currency=USD","Period=FQ","BEST_FPERIOD_OVERRIDE=FQ","FILING_STATUS=MR","FA_ADJUSTED=GAAP","Sort=A","Dates=H","DateFormat=P","Fill=—","Direction=H","UseDPDF=Y")</f>
        <v>2.7038000000000002</v>
      </c>
      <c r="AM7" s="20">
        <f>_xll.BDH("BRK/A US Equity","RETURN_COM_EQY","FQ2 2020","FQ2 2020","Currency=USD","Period=FQ","BEST_FPERIOD_OVERRIDE=FQ","FILING_STATUS=MR","FA_ADJUSTED=GAAP","Sort=A","Dates=H","DateFormat=P","Fill=—","Direction=H","UseDPDF=Y")</f>
        <v>5.7295999999999996</v>
      </c>
      <c r="AN7" s="20">
        <f>_xll.BDH("BRK/A US Equity","RETURN_COM_EQY","FQ3 2020","FQ3 2020","Currency=USD","Period=FQ","BEST_FPERIOD_OVERRIDE=FQ","FILING_STATUS=MR","FA_ADJUSTED=GAAP","Sort=A","Dates=H","DateFormat=P","Fill=—","Direction=H","UseDPDF=Y")</f>
        <v>8.8204999999999991</v>
      </c>
      <c r="AO7" s="20">
        <f>_xll.BDH("BRK/A US Equity","RETURN_COM_EQY","FQ4 2020","FQ4 2020","Currency=USD","Period=FQ","BEST_FPERIOD_OVERRIDE=FQ","FILING_STATUS=MR","FA_ADJUSTED=GAAP","Sort=A","Dates=H","DateFormat=P","Fill=—","Direction=H","UseDPDF=Y")</f>
        <v>9.798</v>
      </c>
      <c r="AP7" s="20">
        <f>_xll.BDH("BRK/A US Equity","RETURN_COM_EQY","FQ1 2021","FQ1 2021","Currency=USD","Period=FQ","BEST_FPERIOD_OVERRIDE=FQ","FILING_STATUS=MR","FA_ADJUSTED=GAAP","Sort=A","Dates=H","DateFormat=P","Fill=—","Direction=H","UseDPDF=Y")</f>
        <v>25.374400000000001</v>
      </c>
    </row>
    <row r="8" spans="1:42" x14ac:dyDescent="0.25">
      <c r="A8" s="17" t="s">
        <v>87</v>
      </c>
      <c r="B8" s="17" t="s">
        <v>88</v>
      </c>
      <c r="C8" s="20">
        <f>_xll.BDH("BRK/A US Equity","RETURN_ON_ASSET","FQ2 2011","FQ2 2011","Currency=USD","Period=FQ","BEST_FPERIOD_OVERRIDE=FQ","FILING_STATUS=MR","FA_ADJUSTED=GAAP","Sort=A","Dates=H","DateFormat=P","Fill=—","Direction=H","UseDPDF=Y")</f>
        <v>3.3595999999999999</v>
      </c>
      <c r="D8" s="20">
        <f>_xll.BDH("BRK/A US Equity","RETURN_ON_ASSET","FQ3 2011","FQ3 2011","Currency=USD","Period=FQ","BEST_FPERIOD_OVERRIDE=FQ","FILING_STATUS=MR","FA_ADJUSTED=GAAP","Sort=A","Dates=H","DateFormat=P","Fill=—","Direction=H","UseDPDF=Y")</f>
        <v>3.0910000000000002</v>
      </c>
      <c r="E8" s="20">
        <f>_xll.BDH("BRK/A US Equity","RETURN_ON_ASSET","FQ4 2011","FQ4 2011","Currency=USD","Period=FQ","BEST_FPERIOD_OVERRIDE=FQ","FILING_STATUS=MR","FA_ADJUSTED=GAAP","Sort=A","Dates=H","DateFormat=P","Fill=—","Direction=H","UseDPDF=Y")</f>
        <v>2.6812</v>
      </c>
      <c r="F8" s="20">
        <f>_xll.BDH("BRK/A US Equity","RETURN_ON_ASSET","FQ1 2012","FQ1 2012","Currency=USD","Period=FQ","BEST_FPERIOD_OVERRIDE=FQ","FILING_STATUS=MR","FA_ADJUSTED=GAAP","Sort=A","Dates=H","DateFormat=P","Fill=—","Direction=H","UseDPDF=Y")</f>
        <v>3.0432000000000001</v>
      </c>
      <c r="G8" s="20">
        <f>_xll.BDH("BRK/A US Equity","RETURN_ON_ASSET","FQ2 2012","FQ2 2012","Currency=USD","Period=FQ","BEST_FPERIOD_OVERRIDE=FQ","FILING_STATUS=MR","FA_ADJUSTED=GAAP","Sort=A","Dates=H","DateFormat=P","Fill=—","Direction=H","UseDPDF=Y")</f>
        <v>2.9416000000000002</v>
      </c>
      <c r="H8" s="20">
        <f>_xll.BDH("BRK/A US Equity","RETURN_ON_ASSET","FQ3 2012","FQ3 2012","Currency=USD","Period=FQ","BEST_FPERIOD_OVERRIDE=FQ","FILING_STATUS=MR","FA_ADJUSTED=GAAP","Sort=A","Dates=H","DateFormat=P","Fill=—","Direction=H","UseDPDF=Y")</f>
        <v>3.2907000000000002</v>
      </c>
      <c r="I8" s="20">
        <f>_xll.BDH("BRK/A US Equity","RETURN_ON_ASSET","FQ4 2012","FQ4 2012","Currency=USD","Period=FQ","BEST_FPERIOD_OVERRIDE=FQ","FILING_STATUS=MR","FA_ADJUSTED=GAAP","Sort=A","Dates=H","DateFormat=P","Fill=—","Direction=H","UseDPDF=Y")</f>
        <v>3.6151999999999997</v>
      </c>
      <c r="J8" s="20">
        <f>_xll.BDH("BRK/A US Equity","RETURN_ON_ASSET","FQ1 2013","FQ1 2013","Currency=USD","Period=FQ","BEST_FPERIOD_OVERRIDE=FQ","FILING_STATUS=MR","FA_ADJUSTED=GAAP","Sort=A","Dates=H","DateFormat=P","Fill=—","Direction=H","UseDPDF=Y")</f>
        <v>3.8589000000000002</v>
      </c>
      <c r="K8" s="20">
        <f>_xll.BDH("BRK/A US Equity","RETURN_ON_ASSET","FQ2 2013","FQ2 2013","Currency=USD","Period=FQ","BEST_FPERIOD_OVERRIDE=FQ","FILING_STATUS=MR","FA_ADJUSTED=GAAP","Sort=A","Dates=H","DateFormat=P","Fill=—","Direction=H","UseDPDF=Y")</f>
        <v>4.1738</v>
      </c>
      <c r="L8" s="20">
        <f>_xll.BDH("BRK/A US Equity","RETURN_ON_ASSET","FQ3 2013","FQ3 2013","Currency=USD","Period=FQ","BEST_FPERIOD_OVERRIDE=FQ","FILING_STATUS=MR","FA_ADJUSTED=GAAP","Sort=A","Dates=H","DateFormat=P","Fill=—","Direction=H","UseDPDF=Y")</f>
        <v>4.3158000000000003</v>
      </c>
      <c r="M8" s="20">
        <f>_xll.BDH("BRK/A US Equity","RETURN_ON_ASSET","FQ4 2013","FQ4 2013","Currency=USD","Period=FQ","BEST_FPERIOD_OVERRIDE=FQ","FILING_STATUS=MR","FA_ADJUSTED=GAAP","Sort=A","Dates=H","DateFormat=P","Fill=—","Direction=H","UseDPDF=Y")</f>
        <v>4.2693000000000003</v>
      </c>
      <c r="N8" s="20">
        <f>_xll.BDH("BRK/A US Equity","RETURN_ON_ASSET","FQ1 2014","FQ1 2014","Currency=USD","Period=FQ","BEST_FPERIOD_OVERRIDE=FQ","FILING_STATUS=MR","FA_ADJUSTED=GAAP","Sort=A","Dates=H","DateFormat=P","Fill=—","Direction=H","UseDPDF=Y")</f>
        <v>4.1161000000000003</v>
      </c>
      <c r="O8" s="20">
        <f>_xll.BDH("BRK/A US Equity","RETURN_ON_ASSET","FQ2 2014","FQ2 2014","Currency=USD","Period=FQ","BEST_FPERIOD_OVERRIDE=FQ","FILING_STATUS=MR","FA_ADJUSTED=GAAP","Sort=A","Dates=H","DateFormat=P","Fill=—","Direction=H","UseDPDF=Y")</f>
        <v>4.4466999999999999</v>
      </c>
      <c r="P8" s="20">
        <f>_xll.BDH("BRK/A US Equity","RETURN_ON_ASSET","FQ3 2014","FQ3 2014","Currency=USD","Period=FQ","BEST_FPERIOD_OVERRIDE=FQ","FILING_STATUS=MR","FA_ADJUSTED=GAAP","Sort=A","Dates=H","DateFormat=P","Fill=—","Direction=H","UseDPDF=Y")</f>
        <v>4.2457000000000003</v>
      </c>
      <c r="Q8" s="20">
        <f>_xll.BDH("BRK/A US Equity","RETURN_ON_ASSET","FQ4 2014","FQ4 2014","Currency=USD","Period=FQ","BEST_FPERIOD_OVERRIDE=FQ","FILING_STATUS=MR","FA_ADJUSTED=GAAP","Sort=A","Dates=H","DateFormat=P","Fill=—","Direction=H","UseDPDF=Y")</f>
        <v>3.9318999999999997</v>
      </c>
      <c r="R8" s="20">
        <f>_xll.BDH("BRK/A US Equity","RETURN_ON_ASSET","FQ1 2015","FQ1 2015","Currency=USD","Period=FQ","BEST_FPERIOD_OVERRIDE=FQ","FILING_STATUS=MR","FA_ADJUSTED=GAAP","Sort=A","Dates=H","DateFormat=P","Fill=—","Direction=H","UseDPDF=Y")</f>
        <v>3.9630999999999998</v>
      </c>
      <c r="S8" s="20">
        <f>_xll.BDH("BRK/A US Equity","RETURN_ON_ASSET","FQ2 2015","FQ2 2015","Currency=USD","Period=FQ","BEST_FPERIOD_OVERRIDE=FQ","FILING_STATUS=MR","FA_ADJUSTED=GAAP","Sort=A","Dates=H","DateFormat=P","Fill=—","Direction=H","UseDPDF=Y")</f>
        <v>3.4346999999999999</v>
      </c>
      <c r="T8" s="20">
        <f>_xll.BDH("BRK/A US Equity","RETURN_ON_ASSET","FQ3 2015","FQ3 2015","Currency=USD","Period=FQ","BEST_FPERIOD_OVERRIDE=FQ","FILING_STATUS=MR","FA_ADJUSTED=GAAP","Sort=A","Dates=H","DateFormat=P","Fill=—","Direction=H","UseDPDF=Y")</f>
        <v>4.2828999999999997</v>
      </c>
      <c r="U8" s="20">
        <f>_xll.BDH("BRK/A US Equity","RETURN_ON_ASSET","FQ4 2015","FQ4 2015","Currency=USD","Period=FQ","BEST_FPERIOD_OVERRIDE=FQ","FILING_STATUS=MR","FA_ADJUSTED=GAAP","Sort=A","Dates=H","DateFormat=P","Fill=—","Direction=H","UseDPDF=Y")</f>
        <v>4.4676</v>
      </c>
      <c r="V8" s="20">
        <f>_xll.BDH("BRK/A US Equity","RETURN_ON_ASSET","FQ1 2016","FQ1 2016","Currency=USD","Period=FQ","BEST_FPERIOD_OVERRIDE=FQ","FILING_STATUS=MR","FA_ADJUSTED=GAAP","Sort=A","Dates=H","DateFormat=P","Fill=—","Direction=H","UseDPDF=Y")</f>
        <v>4.3865999999999996</v>
      </c>
      <c r="W8" s="20">
        <f>_xll.BDH("BRK/A US Equity","RETURN_ON_ASSET","FQ2 2016","FQ2 2016","Currency=USD","Period=FQ","BEST_FPERIOD_OVERRIDE=FQ","FILING_STATUS=MR","FA_ADJUSTED=GAAP","Sort=A","Dates=H","DateFormat=P","Fill=—","Direction=H","UseDPDF=Y")</f>
        <v>4.4983000000000004</v>
      </c>
      <c r="X8" s="20">
        <f>_xll.BDH("BRK/A US Equity","RETURN_ON_ASSET","FQ3 2016","FQ3 2016","Currency=USD","Period=FQ","BEST_FPERIOD_OVERRIDE=FQ","FILING_STATUS=MR","FA_ADJUSTED=GAAP","Sort=A","Dates=H","DateFormat=P","Fill=—","Direction=H","UseDPDF=Y")</f>
        <v>4.048</v>
      </c>
      <c r="Y8" s="20">
        <f>_xll.BDH("BRK/A US Equity","RETURN_ON_ASSET","FQ4 2016","FQ4 2016","Currency=USD","Period=FQ","BEST_FPERIOD_OVERRIDE=FQ","FILING_STATUS=MR","FA_ADJUSTED=GAAP","Sort=A","Dates=H","DateFormat=P","Fill=—","Direction=H","UseDPDF=Y")</f>
        <v>4.1043000000000003</v>
      </c>
      <c r="Z8" s="20">
        <f>_xll.BDH("BRK/A US Equity","RETURN_ON_ASSET","FQ1 2017","FQ1 2017","Currency=USD","Period=FQ","BEST_FPERIOD_OVERRIDE=FQ","FILING_STATUS=MR","FA_ADJUSTED=GAAP","Sort=A","Dates=H","DateFormat=P","Fill=—","Direction=H","UseDPDF=Y")</f>
        <v>3.6339999999999999</v>
      </c>
      <c r="AA8" s="20">
        <f>_xll.BDH("BRK/A US Equity","RETURN_ON_ASSET","FQ2 2017","FQ2 2017","Currency=USD","Period=FQ","BEST_FPERIOD_OVERRIDE=FQ","FILING_STATUS=MR","FA_ADJUSTED=GAAP","Sort=A","Dates=H","DateFormat=P","Fill=—","Direction=H","UseDPDF=Y")</f>
        <v>3.4657</v>
      </c>
      <c r="AB8" s="20">
        <f>_xll.BDH("BRK/A US Equity","RETURN_ON_ASSET","FQ3 2017","FQ3 2017","Currency=USD","Period=FQ","BEST_FPERIOD_OVERRIDE=FQ","FILING_STATUS=MR","FA_ADJUSTED=GAAP","Sort=A","Dates=H","DateFormat=P","Fill=—","Direction=H","UseDPDF=Y")</f>
        <v>2.9053</v>
      </c>
      <c r="AC8" s="20">
        <f>_xll.BDH("BRK/A US Equity","RETURN_ON_ASSET","FQ4 2017","FQ4 2017","Currency=USD","Period=FQ","BEST_FPERIOD_OVERRIDE=FQ","FILING_STATUS=MR","FA_ADJUSTED=GAAP","Sort=A","Dates=H","DateFormat=P","Fill=—","Direction=H","UseDPDF=Y")</f>
        <v>6.7938999999999998</v>
      </c>
      <c r="AD8" s="20">
        <f>_xll.BDH("BRK/A US Equity","RETURN_ON_ASSET","FQ1 2018","FQ1 2018","Currency=USD","Period=FQ","BEST_FPERIOD_OVERRIDE=FQ","FILING_STATUS=MR","FA_ADJUSTED=GAAP","Sort=A","Dates=H","DateFormat=P","Fill=—","Direction=H","UseDPDF=Y")</f>
        <v>5.8568999999999996</v>
      </c>
      <c r="AE8" s="20">
        <f>_xll.BDH("BRK/A US Equity","RETURN_ON_ASSET","FQ2 2018","FQ2 2018","Currency=USD","Period=FQ","BEST_FPERIOD_OVERRIDE=FQ","FILING_STATUS=MR","FA_ADJUSTED=GAAP","Sort=A","Dates=H","DateFormat=P","Fill=—","Direction=H","UseDPDF=Y")</f>
        <v>6.8951000000000002</v>
      </c>
      <c r="AF8" s="20">
        <f>_xll.BDH("BRK/A US Equity","RETURN_ON_ASSET","FQ3 2018","FQ3 2018","Currency=USD","Period=FQ","BEST_FPERIOD_OVERRIDE=FQ","FILING_STATUS=MR","FA_ADJUSTED=GAAP","Sort=A","Dates=H","DateFormat=P","Fill=—","Direction=H","UseDPDF=Y")</f>
        <v>8.7395999999999994</v>
      </c>
      <c r="AG8" s="20">
        <f>_xll.BDH("BRK/A US Equity","RETURN_ON_ASSET","FQ4 2018","FQ4 2018","Currency=USD","Period=FQ","BEST_FPERIOD_OVERRIDE=FQ","FILING_STATUS=MR","FA_ADJUSTED=GAAP","Sort=A","Dates=H","DateFormat=P","Fill=—","Direction=H","UseDPDF=Y")</f>
        <v>0.57040000000000002</v>
      </c>
      <c r="AH8" s="20">
        <f>_xll.BDH("BRK/A US Equity","RETURN_ON_ASSET","FQ1 2019","FQ1 2019","Currency=USD","Period=FQ","BEST_FPERIOD_OVERRIDE=FQ","FILING_STATUS=MR","FA_ADJUSTED=GAAP","Sort=A","Dates=H","DateFormat=P","Fill=—","Direction=H","UseDPDF=Y")</f>
        <v>3.7214</v>
      </c>
      <c r="AI8" s="20">
        <f>_xll.BDH("BRK/A US Equity","RETURN_ON_ASSET","FQ2 2019","FQ2 2019","Currency=USD","Period=FQ","BEST_FPERIOD_OVERRIDE=FQ","FILING_STATUS=MR","FA_ADJUSTED=GAAP","Sort=A","Dates=H","DateFormat=P","Fill=—","Direction=H","UseDPDF=Y")</f>
        <v>3.9241000000000001</v>
      </c>
      <c r="AJ8" s="20">
        <f>_xll.BDH("BRK/A US Equity","RETURN_ON_ASSET","FQ3 2019","FQ3 2019","Currency=USD","Period=FQ","BEST_FPERIOD_OVERRIDE=FQ","FILING_STATUS=MR","FA_ADJUSTED=GAAP","Sort=A","Dates=H","DateFormat=P","Fill=—","Direction=H","UseDPDF=Y")</f>
        <v>3.5234999999999999</v>
      </c>
      <c r="AK8" s="20">
        <f>_xll.BDH("BRK/A US Equity","RETURN_ON_ASSET","FQ4 2019","FQ4 2019","Currency=USD","Period=FQ","BEST_FPERIOD_OVERRIDE=FQ","FILING_STATUS=MR","FA_ADJUSTED=GAAP","Sort=A","Dates=H","DateFormat=P","Fill=—","Direction=H","UseDPDF=Y")</f>
        <v>10.673999999999999</v>
      </c>
      <c r="AL8" s="20">
        <f>_xll.BDH("BRK/A US Equity","RETURN_ON_ASSET","FQ1 2020","FQ1 2020","Currency=USD","Period=FQ","BEST_FPERIOD_OVERRIDE=FQ","FILING_STATUS=MR","FA_ADJUSTED=GAAP","Sort=A","Dates=H","DateFormat=P","Fill=—","Direction=H","UseDPDF=Y")</f>
        <v>1.3353999999999999</v>
      </c>
      <c r="AM8" s="20">
        <f>_xll.BDH("BRK/A US Equity","RETURN_ON_ASSET","FQ2 2020","FQ2 2020","Currency=USD","Period=FQ","BEST_FPERIOD_OVERRIDE=FQ","FILING_STATUS=MR","FA_ADJUSTED=GAAP","Sort=A","Dates=H","DateFormat=P","Fill=—","Direction=H","UseDPDF=Y")</f>
        <v>2.8719000000000001</v>
      </c>
      <c r="AN8" s="20">
        <f>_xll.BDH("BRK/A US Equity","RETURN_ON_ASSET","FQ3 2020","FQ3 2020","Currency=USD","Period=FQ","BEST_FPERIOD_OVERRIDE=FQ","FILING_STATUS=MR","FA_ADJUSTED=GAAP","Sort=A","Dates=H","DateFormat=P","Fill=—","Direction=H","UseDPDF=Y")</f>
        <v>4.4295999999999998</v>
      </c>
      <c r="AO8" s="20">
        <f>_xll.BDH("BRK/A US Equity","RETURN_ON_ASSET","FQ4 2020","FQ4 2020","Currency=USD","Period=FQ","BEST_FPERIOD_OVERRIDE=FQ","FILING_STATUS=MR","FA_ADJUSTED=GAAP","Sort=A","Dates=H","DateFormat=P","Fill=—","Direction=H","UseDPDF=Y")</f>
        <v>5.0277000000000003</v>
      </c>
      <c r="AP8" s="20">
        <f>_xll.BDH("BRK/A US Equity","RETURN_ON_ASSET","FQ1 2021","FQ1 2021","Currency=USD","Period=FQ","BEST_FPERIOD_OVERRIDE=FQ","FILING_STATUS=MR","FA_ADJUSTED=GAAP","Sort=A","Dates=H","DateFormat=P","Fill=—","Direction=H","UseDPDF=Y")</f>
        <v>12.642900000000001</v>
      </c>
    </row>
    <row r="9" spans="1:42" x14ac:dyDescent="0.25">
      <c r="A9" s="17" t="s">
        <v>89</v>
      </c>
      <c r="B9" s="17" t="s">
        <v>90</v>
      </c>
      <c r="C9" s="20">
        <f>_xll.BDH("BRK/A US Equity","RETURN_ON_CAP","FQ2 2011","FQ2 2011","Currency=USD","Period=FQ","BEST_FPERIOD_OVERRIDE=FQ","FILING_STATUS=MR","FA_ADJUSTED=GAAP","Sort=A","Dates=H","DateFormat=P","Fill=—","Direction=H","UseDPDF=Y")</f>
        <v>6.7874999999999996</v>
      </c>
      <c r="D9" s="20">
        <f>_xll.BDH("BRK/A US Equity","RETURN_ON_CAP","FQ3 2011","FQ3 2011","Currency=USD","Period=FQ","BEST_FPERIOD_OVERRIDE=FQ","FILING_STATUS=MR","FA_ADJUSTED=GAAP","Sort=A","Dates=H","DateFormat=P","Fill=—","Direction=H","UseDPDF=Y")</f>
        <v>6.3365999999999998</v>
      </c>
      <c r="E9" s="20">
        <f>_xll.BDH("BRK/A US Equity","RETURN_ON_CAP","FQ4 2011","FQ4 2011","Currency=USD","Period=FQ","BEST_FPERIOD_OVERRIDE=FQ","FILING_STATUS=MR","FA_ADJUSTED=GAAP","Sort=A","Dates=H","DateFormat=P","Fill=—","Direction=H","UseDPDF=Y")</f>
        <v>5.5961999999999996</v>
      </c>
      <c r="F9" s="20">
        <f>_xll.BDH("BRK/A US Equity","RETURN_ON_CAP","FQ1 2012","FQ1 2012","Currency=USD","Period=FQ","BEST_FPERIOD_OVERRIDE=FQ","FILING_STATUS=MR","FA_ADJUSTED=GAAP","Sort=A","Dates=H","DateFormat=P","Fill=—","Direction=H","UseDPDF=Y")</f>
        <v>6.2126999999999999</v>
      </c>
      <c r="G9" s="20">
        <f>_xll.BDH("BRK/A US Equity","RETURN_ON_CAP","FQ2 2012","FQ2 2012","Currency=USD","Period=FQ","BEST_FPERIOD_OVERRIDE=FQ","FILING_STATUS=MR","FA_ADJUSTED=GAAP","Sort=A","Dates=H","DateFormat=P","Fill=—","Direction=H","UseDPDF=Y")</f>
        <v>6.0541999999999998</v>
      </c>
      <c r="H9" s="20">
        <f>_xll.BDH("BRK/A US Equity","RETURN_ON_CAP","FQ3 2012","FQ3 2012","Currency=USD","Period=FQ","BEST_FPERIOD_OVERRIDE=FQ","FILING_STATUS=MR","FA_ADJUSTED=GAAP","Sort=A","Dates=H","DateFormat=P","Fill=—","Direction=H","UseDPDF=Y")</f>
        <v>6.6201999999999996</v>
      </c>
      <c r="I9" s="20">
        <f>_xll.BDH("BRK/A US Equity","RETURN_ON_CAP","FQ4 2012","FQ4 2012","Currency=USD","Period=FQ","BEST_FPERIOD_OVERRIDE=FQ","FILING_STATUS=MR","FA_ADJUSTED=GAAP","Sort=A","Dates=H","DateFormat=P","Fill=—","Direction=H","UseDPDF=Y")</f>
        <v>7.1128999999999998</v>
      </c>
      <c r="J9" s="20">
        <f>_xll.BDH("BRK/A US Equity","RETURN_ON_CAP","FQ1 2013","FQ1 2013","Currency=USD","Period=FQ","BEST_FPERIOD_OVERRIDE=FQ","FILING_STATUS=MR","FA_ADJUSTED=GAAP","Sort=A","Dates=H","DateFormat=P","Fill=—","Direction=H","UseDPDF=Y")</f>
        <v>7.4298000000000002</v>
      </c>
      <c r="K9" s="20">
        <f>_xll.BDH("BRK/A US Equity","RETURN_ON_CAP","FQ2 2013","FQ2 2013","Currency=USD","Period=FQ","BEST_FPERIOD_OVERRIDE=FQ","FILING_STATUS=MR","FA_ADJUSTED=GAAP","Sort=A","Dates=H","DateFormat=P","Fill=—","Direction=H","UseDPDF=Y")</f>
        <v>7.8978000000000002</v>
      </c>
      <c r="L9" s="20">
        <f>_xll.BDH("BRK/A US Equity","RETURN_ON_CAP","FQ3 2013","FQ3 2013","Currency=USD","Period=FQ","BEST_FPERIOD_OVERRIDE=FQ","FILING_STATUS=MR","FA_ADJUSTED=GAAP","Sort=A","Dates=H","DateFormat=P","Fill=—","Direction=H","UseDPDF=Y")</f>
        <v>8.0678000000000001</v>
      </c>
      <c r="M9" s="20">
        <f>_xll.BDH("BRK/A US Equity","RETURN_ON_CAP","FQ4 2013","FQ4 2013","Currency=USD","Period=FQ","BEST_FPERIOD_OVERRIDE=FQ","FILING_STATUS=MR","FA_ADJUSTED=GAAP","Sort=A","Dates=H","DateFormat=P","Fill=—","Direction=H","UseDPDF=Y")</f>
        <v>7.9035000000000002</v>
      </c>
      <c r="N9" s="20">
        <f>_xll.BDH("BRK/A US Equity","RETURN_ON_CAP","FQ1 2014","FQ1 2014","Currency=USD","Period=FQ","BEST_FPERIOD_OVERRIDE=FQ","FILING_STATUS=MR","FA_ADJUSTED=GAAP","Sort=A","Dates=H","DateFormat=P","Fill=—","Direction=H","UseDPDF=Y")</f>
        <v>7.6017000000000001</v>
      </c>
      <c r="O9" s="20">
        <f>_xll.BDH("BRK/A US Equity","RETURN_ON_CAP","FQ2 2014","FQ2 2014","Currency=USD","Period=FQ","BEST_FPERIOD_OVERRIDE=FQ","FILING_STATUS=MR","FA_ADJUSTED=GAAP","Sort=A","Dates=H","DateFormat=P","Fill=—","Direction=H","UseDPDF=Y")</f>
        <v>8.1424000000000003</v>
      </c>
      <c r="P9" s="20">
        <f>_xll.BDH("BRK/A US Equity","RETURN_ON_CAP","FQ3 2014","FQ3 2014","Currency=USD","Period=FQ","BEST_FPERIOD_OVERRIDE=FQ","FILING_STATUS=MR","FA_ADJUSTED=GAAP","Sort=A","Dates=H","DateFormat=P","Fill=—","Direction=H","UseDPDF=Y")</f>
        <v>7.8517999999999999</v>
      </c>
      <c r="Q9" s="20">
        <f>_xll.BDH("BRK/A US Equity","RETURN_ON_CAP","FQ4 2014","FQ4 2014","Currency=USD","Period=FQ","BEST_FPERIOD_OVERRIDE=FQ","FILING_STATUS=MR","FA_ADJUSTED=GAAP","Sort=A","Dates=H","DateFormat=P","Fill=—","Direction=H","UseDPDF=Y")</f>
        <v>7.2638999999999996</v>
      </c>
      <c r="R9" s="20">
        <f>_xll.BDH("BRK/A US Equity","RETURN_ON_CAP","FQ1 2015","FQ1 2015","Currency=USD","Period=FQ","BEST_FPERIOD_OVERRIDE=FQ","FILING_STATUS=MR","FA_ADJUSTED=GAAP","Sort=A","Dates=H","DateFormat=P","Fill=—","Direction=H","UseDPDF=Y")</f>
        <v>7.2760999999999996</v>
      </c>
      <c r="S9" s="20">
        <f>_xll.BDH("BRK/A US Equity","RETURN_ON_CAP","FQ2 2015","FQ2 2015","Currency=USD","Period=FQ","BEST_FPERIOD_OVERRIDE=FQ","FILING_STATUS=MR","FA_ADJUSTED=GAAP","Sort=A","Dates=H","DateFormat=P","Fill=—","Direction=H","UseDPDF=Y")</f>
        <v>6.4298000000000002</v>
      </c>
      <c r="T9" s="20">
        <f>_xll.BDH("BRK/A US Equity","RETURN_ON_CAP","FQ3 2015","FQ3 2015","Currency=USD","Period=FQ","BEST_FPERIOD_OVERRIDE=FQ","FILING_STATUS=MR","FA_ADJUSTED=GAAP","Sort=A","Dates=H","DateFormat=P","Fill=—","Direction=H","UseDPDF=Y")</f>
        <v>7.8388999999999998</v>
      </c>
      <c r="U9" s="20">
        <f>_xll.BDH("BRK/A US Equity","RETURN_ON_CAP","FQ4 2015","FQ4 2015","Currency=USD","Period=FQ","BEST_FPERIOD_OVERRIDE=FQ","FILING_STATUS=MR","FA_ADJUSTED=GAAP","Sort=A","Dates=H","DateFormat=P","Fill=—","Direction=H","UseDPDF=Y")</f>
        <v>8.0709999999999997</v>
      </c>
      <c r="V9" s="20">
        <f>_xll.BDH("BRK/A US Equity","RETURN_ON_CAP","FQ1 2016","FQ1 2016","Currency=USD","Period=FQ","BEST_FPERIOD_OVERRIDE=FQ","FILING_STATUS=MR","FA_ADJUSTED=GAAP","Sort=A","Dates=H","DateFormat=P","Fill=—","Direction=H","UseDPDF=Y")</f>
        <v>7.9893999999999998</v>
      </c>
      <c r="W9" s="20">
        <f>_xll.BDH("BRK/A US Equity","RETURN_ON_CAP","FQ2 2016","FQ2 2016","Currency=USD","Period=FQ","BEST_FPERIOD_OVERRIDE=FQ","FILING_STATUS=MR","FA_ADJUSTED=GAAP","Sort=A","Dates=H","DateFormat=P","Fill=—","Direction=H","UseDPDF=Y")</f>
        <v>8.1052</v>
      </c>
      <c r="X9" s="20">
        <f>_xll.BDH("BRK/A US Equity","RETURN_ON_CAP","FQ3 2016","FQ3 2016","Currency=USD","Period=FQ","BEST_FPERIOD_OVERRIDE=FQ","FILING_STATUS=MR","FA_ADJUSTED=GAAP","Sort=A","Dates=H","DateFormat=P","Fill=—","Direction=H","UseDPDF=Y")</f>
        <v>7.4329000000000001</v>
      </c>
      <c r="Y9" s="20">
        <f>_xll.BDH("BRK/A US Equity","RETURN_ON_CAP","FQ4 2016","FQ4 2016","Currency=USD","Period=FQ","BEST_FPERIOD_OVERRIDE=FQ","FILING_STATUS=MR","FA_ADJUSTED=GAAP","Sort=A","Dates=H","DateFormat=P","Fill=—","Direction=H","UseDPDF=Y")</f>
        <v>7.4360999999999997</v>
      </c>
      <c r="Z9" s="20">
        <f>_xll.BDH("BRK/A US Equity","RETURN_ON_CAP","FQ1 2017","FQ1 2017","Currency=USD","Period=FQ","BEST_FPERIOD_OVERRIDE=FQ","FILING_STATUS=MR","FA_ADJUSTED=GAAP","Sort=A","Dates=H","DateFormat=P","Fill=—","Direction=H","UseDPDF=Y")</f>
        <v>6.6631</v>
      </c>
      <c r="AA9" s="20">
        <f>_xll.BDH("BRK/A US Equity","RETURN_ON_CAP","FQ2 2017","FQ2 2017","Currency=USD","Period=FQ","BEST_FPERIOD_OVERRIDE=FQ","FILING_STATUS=MR","FA_ADJUSTED=GAAP","Sort=A","Dates=H","DateFormat=P","Fill=—","Direction=H","UseDPDF=Y")</f>
        <v>6.5296000000000003</v>
      </c>
      <c r="AB9" s="20">
        <f>_xll.BDH("BRK/A US Equity","RETURN_ON_CAP","FQ3 2017","FQ3 2017","Currency=USD","Period=FQ","BEST_FPERIOD_OVERRIDE=FQ","FILING_STATUS=MR","FA_ADJUSTED=GAAP","Sort=A","Dates=H","DateFormat=P","Fill=—","Direction=H","UseDPDF=Y")</f>
        <v>5.6680999999999999</v>
      </c>
      <c r="AC9" s="20">
        <f>_xll.BDH("BRK/A US Equity","RETURN_ON_CAP","FQ4 2017","FQ4 2017","Currency=USD","Period=FQ","BEST_FPERIOD_OVERRIDE=FQ","FILING_STATUS=MR","FA_ADJUSTED=GAAP","Sort=A","Dates=H","DateFormat=P","Fill=—","Direction=H","UseDPDF=Y")</f>
        <v>11.4551</v>
      </c>
      <c r="AD9" s="20">
        <f>_xll.BDH("BRK/A US Equity","RETURN_ON_CAP","FQ1 2018","FQ1 2018","Currency=USD","Period=FQ","BEST_FPERIOD_OVERRIDE=FQ","FILING_STATUS=MR","FA_ADJUSTED=GAAP","Sort=A","Dates=H","DateFormat=P","Fill=—","Direction=H","UseDPDF=Y")</f>
        <v>10.239100000000001</v>
      </c>
      <c r="AE9" s="20">
        <f>_xll.BDH("BRK/A US Equity","RETURN_ON_CAP","FQ2 2018","FQ2 2018","Currency=USD","Period=FQ","BEST_FPERIOD_OVERRIDE=FQ","FILING_STATUS=MR","FA_ADJUSTED=GAAP","Sort=A","Dates=H","DateFormat=P","Fill=—","Direction=H","UseDPDF=Y")</f>
        <v>11.7536</v>
      </c>
      <c r="AF9" s="20">
        <f>_xll.BDH("BRK/A US Equity","RETURN_ON_CAP","FQ3 2018","FQ3 2018","Currency=USD","Period=FQ","BEST_FPERIOD_OVERRIDE=FQ","FILING_STATUS=MR","FA_ADJUSTED=GAAP","Sort=A","Dates=H","DateFormat=P","Fill=—","Direction=H","UseDPDF=Y")</f>
        <v>14.624600000000001</v>
      </c>
      <c r="AG9" s="20">
        <f>_xll.BDH("BRK/A US Equity","RETURN_ON_CAP","FQ4 2018","FQ4 2018","Currency=USD","Period=FQ","BEST_FPERIOD_OVERRIDE=FQ","FILING_STATUS=MR","FA_ADJUSTED=GAAP","Sort=A","Dates=H","DateFormat=P","Fill=—","Direction=H","UseDPDF=Y")</f>
        <v>1.6287</v>
      </c>
      <c r="AH9" s="20">
        <f>_xll.BDH("BRK/A US Equity","RETURN_ON_CAP","FQ1 2019","FQ1 2019","Currency=USD","Period=FQ","BEST_FPERIOD_OVERRIDE=FQ","FILING_STATUS=MR","FA_ADJUSTED=GAAP","Sort=A","Dates=H","DateFormat=P","Fill=—","Direction=H","UseDPDF=Y")</f>
        <v>6.5423</v>
      </c>
      <c r="AI9" s="20">
        <f>_xll.BDH("BRK/A US Equity","RETURN_ON_CAP","FQ2 2019","FQ2 2019","Currency=USD","Period=FQ","BEST_FPERIOD_OVERRIDE=FQ","FILING_STATUS=MR","FA_ADJUSTED=GAAP","Sort=A","Dates=H","DateFormat=P","Fill=—","Direction=H","UseDPDF=Y")</f>
        <v>6.8166000000000002</v>
      </c>
      <c r="AJ9" s="20">
        <f>_xll.BDH("BRK/A US Equity","RETURN_ON_CAP","FQ3 2019","FQ3 2019","Currency=USD","Period=FQ","BEST_FPERIOD_OVERRIDE=FQ","FILING_STATUS=MR","FA_ADJUSTED=GAAP","Sort=A","Dates=H","DateFormat=P","Fill=—","Direction=H","UseDPDF=Y")</f>
        <v>6.1616</v>
      </c>
      <c r="AK9" s="20">
        <f>_xll.BDH("BRK/A US Equity","RETURN_ON_CAP","FQ4 2019","FQ4 2019","Currency=USD","Period=FQ","BEST_FPERIOD_OVERRIDE=FQ","FILING_STATUS=MR","FA_ADJUSTED=GAAP","Sort=A","Dates=H","DateFormat=P","Fill=—","Direction=H","UseDPDF=Y")</f>
        <v>17.199100000000001</v>
      </c>
      <c r="AL9" s="20">
        <f>_xll.BDH("BRK/A US Equity","RETURN_ON_CAP","FQ1 2020","FQ1 2020","Currency=USD","Period=FQ","BEST_FPERIOD_OVERRIDE=FQ","FILING_STATUS=MR","FA_ADJUSTED=GAAP","Sort=A","Dates=H","DateFormat=P","Fill=—","Direction=H","UseDPDF=Y")</f>
        <v>2.8917999999999999</v>
      </c>
      <c r="AM9" s="20">
        <f>_xll.BDH("BRK/A US Equity","RETURN_ON_CAP","FQ2 2020","FQ2 2020","Currency=USD","Period=FQ","BEST_FPERIOD_OVERRIDE=FQ","FILING_STATUS=MR","FA_ADJUSTED=GAAP","Sort=A","Dates=H","DateFormat=P","Fill=—","Direction=H","UseDPDF=Y")</f>
        <v>5.1494</v>
      </c>
      <c r="AN9" s="20">
        <f>_xll.BDH("BRK/A US Equity","RETURN_ON_CAP","FQ3 2020","FQ3 2020","Currency=USD","Period=FQ","BEST_FPERIOD_OVERRIDE=FQ","FILING_STATUS=MR","FA_ADJUSTED=GAAP","Sort=A","Dates=H","DateFormat=P","Fill=—","Direction=H","UseDPDF=Y")</f>
        <v>7.6132</v>
      </c>
      <c r="AO9" s="20">
        <f>_xll.BDH("BRK/A US Equity","RETURN_ON_CAP","FQ4 2020","FQ4 2020","Currency=USD","Period=FQ","BEST_FPERIOD_OVERRIDE=FQ","FILING_STATUS=MR","FA_ADJUSTED=GAAP","Sort=A","Dates=H","DateFormat=P","Fill=—","Direction=H","UseDPDF=Y")</f>
        <v>8.3533000000000008</v>
      </c>
      <c r="AP9" s="20">
        <f>_xll.BDH("BRK/A US Equity","RETURN_ON_CAP","FQ1 2021","FQ1 2021","Currency=USD","Period=FQ","BEST_FPERIOD_OVERRIDE=FQ","FILING_STATUS=MR","FA_ADJUSTED=GAAP","Sort=A","Dates=H","DateFormat=P","Fill=—","Direction=H","UseDPDF=Y")</f>
        <v>20.571999999999999</v>
      </c>
    </row>
    <row r="10" spans="1:42" x14ac:dyDescent="0.25">
      <c r="A10" s="17" t="s">
        <v>91</v>
      </c>
      <c r="B10" s="17" t="s">
        <v>92</v>
      </c>
      <c r="C10" s="20">
        <f>_xll.BDH("BRK/A US Equity","RETURN_ON_INV_CAPITAL","FQ2 2011","FQ2 2011","Currency=USD","Period=FQ","BEST_FPERIOD_OVERRIDE=FQ","FILING_STATUS=MR","FA_ADJUSTED=GAAP","Sort=A","Dates=H","DateFormat=P","Fill=—","Direction=H","UseDPDF=Y")</f>
        <v>6.7805</v>
      </c>
      <c r="D10" s="20">
        <f>_xll.BDH("BRK/A US Equity","RETURN_ON_INV_CAPITAL","FQ3 2011","FQ3 2011","Currency=USD","Period=FQ","BEST_FPERIOD_OVERRIDE=FQ","FILING_STATUS=MR","FA_ADJUSTED=GAAP","Sort=A","Dates=H","DateFormat=P","Fill=—","Direction=H","UseDPDF=Y")</f>
        <v>6.3323</v>
      </c>
      <c r="E10" s="20">
        <f>_xll.BDH("BRK/A US Equity","RETURN_ON_INV_CAPITAL","FQ4 2011","FQ4 2011","Currency=USD","Period=FQ","BEST_FPERIOD_OVERRIDE=FQ","FILING_STATUS=MR","FA_ADJUSTED=GAAP","Sort=A","Dates=H","DateFormat=P","Fill=—","Direction=H","UseDPDF=Y")</f>
        <v>5.5919999999999996</v>
      </c>
      <c r="F10" s="20">
        <f>_xll.BDH("BRK/A US Equity","RETURN_ON_INV_CAPITAL","FQ1 2012","FQ1 2012","Currency=USD","Period=FQ","BEST_FPERIOD_OVERRIDE=FQ","FILING_STATUS=MR","FA_ADJUSTED=GAAP","Sort=A","Dates=H","DateFormat=P","Fill=—","Direction=H","UseDPDF=Y")</f>
        <v>6.2056000000000004</v>
      </c>
      <c r="G10" s="20">
        <f>_xll.BDH("BRK/A US Equity","RETURN_ON_INV_CAPITAL","FQ2 2012","FQ2 2012","Currency=USD","Period=FQ","BEST_FPERIOD_OVERRIDE=FQ","FILING_STATUS=MR","FA_ADJUSTED=GAAP","Sort=A","Dates=H","DateFormat=P","Fill=—","Direction=H","UseDPDF=Y")</f>
        <v>6.0457999999999998</v>
      </c>
      <c r="H10" s="20">
        <f>_xll.BDH("BRK/A US Equity","RETURN_ON_INV_CAPITAL","FQ3 2012","FQ3 2012","Currency=USD","Period=FQ","BEST_FPERIOD_OVERRIDE=FQ","FILING_STATUS=MR","FA_ADJUSTED=GAAP","Sort=A","Dates=H","DateFormat=P","Fill=—","Direction=H","UseDPDF=Y")</f>
        <v>6.6109999999999998</v>
      </c>
      <c r="I10" s="20">
        <f>_xll.BDH("BRK/A US Equity","RETURN_ON_INV_CAPITAL","FQ4 2012","FQ4 2012","Currency=USD","Period=FQ","BEST_FPERIOD_OVERRIDE=FQ","FILING_STATUS=MR","FA_ADJUSTED=GAAP","Sort=A","Dates=H","DateFormat=P","Fill=—","Direction=H","UseDPDF=Y")</f>
        <v>7.1021000000000001</v>
      </c>
      <c r="J10" s="20">
        <f>_xll.BDH("BRK/A US Equity","RETURN_ON_INV_CAPITAL","FQ1 2013","FQ1 2013","Currency=USD","Period=FQ","BEST_FPERIOD_OVERRIDE=FQ","FILING_STATUS=MR","FA_ADJUSTED=GAAP","Sort=A","Dates=H","DateFormat=P","Fill=—","Direction=H","UseDPDF=Y")</f>
        <v>7.4196</v>
      </c>
      <c r="K10" s="20">
        <f>_xll.BDH("BRK/A US Equity","RETURN_ON_INV_CAPITAL","FQ2 2013","FQ2 2013","Currency=USD","Period=FQ","BEST_FPERIOD_OVERRIDE=FQ","FILING_STATUS=MR","FA_ADJUSTED=GAAP","Sort=A","Dates=H","DateFormat=P","Fill=—","Direction=H","UseDPDF=Y")</f>
        <v>7.8860000000000001</v>
      </c>
      <c r="L10" s="20">
        <f>_xll.BDH("BRK/A US Equity","RETURN_ON_INV_CAPITAL","FQ3 2013","FQ3 2013","Currency=USD","Period=FQ","BEST_FPERIOD_OVERRIDE=FQ","FILING_STATUS=MR","FA_ADJUSTED=GAAP","Sort=A","Dates=H","DateFormat=P","Fill=—","Direction=H","UseDPDF=Y")</f>
        <v>8.0561000000000007</v>
      </c>
      <c r="M10" s="20">
        <f>_xll.BDH("BRK/A US Equity","RETURN_ON_INV_CAPITAL","FQ4 2013","FQ4 2013","Currency=USD","Period=FQ","BEST_FPERIOD_OVERRIDE=FQ","FILING_STATUS=MR","FA_ADJUSTED=GAAP","Sort=A","Dates=H","DateFormat=P","Fill=—","Direction=H","UseDPDF=Y")</f>
        <v>7.8926999999999996</v>
      </c>
      <c r="N10" s="20">
        <f>_xll.BDH("BRK/A US Equity","RETURN_ON_INV_CAPITAL","FQ1 2014","FQ1 2014","Currency=USD","Period=FQ","BEST_FPERIOD_OVERRIDE=FQ","FILING_STATUS=MR","FA_ADJUSTED=GAAP","Sort=A","Dates=H","DateFormat=P","Fill=—","Direction=H","UseDPDF=Y")</f>
        <v>7.5930999999999997</v>
      </c>
      <c r="O10" s="20">
        <f>_xll.BDH("BRK/A US Equity","RETURN_ON_INV_CAPITAL","FQ2 2014","FQ2 2014","Currency=USD","Period=FQ","BEST_FPERIOD_OVERRIDE=FQ","FILING_STATUS=MR","FA_ADJUSTED=GAAP","Sort=A","Dates=H","DateFormat=P","Fill=—","Direction=H","UseDPDF=Y")</f>
        <v>8.1325000000000003</v>
      </c>
      <c r="P10" s="20">
        <f>_xll.BDH("BRK/A US Equity","RETURN_ON_INV_CAPITAL","FQ3 2014","FQ3 2014","Currency=USD","Period=FQ","BEST_FPERIOD_OVERRIDE=FQ","FILING_STATUS=MR","FA_ADJUSTED=GAAP","Sort=A","Dates=H","DateFormat=P","Fill=—","Direction=H","UseDPDF=Y")</f>
        <v>7.8417000000000003</v>
      </c>
      <c r="Q10" s="20">
        <f>_xll.BDH("BRK/A US Equity","RETURN_ON_INV_CAPITAL","FQ4 2014","FQ4 2014","Currency=USD","Period=FQ","BEST_FPERIOD_OVERRIDE=FQ","FILING_STATUS=MR","FA_ADJUSTED=GAAP","Sort=A","Dates=H","DateFormat=P","Fill=—","Direction=H","UseDPDF=Y")</f>
        <v>6.6025</v>
      </c>
      <c r="R10" s="20">
        <f>_xll.BDH("BRK/A US Equity","RETURN_ON_INV_CAPITAL","FQ1 2015","FQ1 2015","Currency=USD","Period=FQ","BEST_FPERIOD_OVERRIDE=FQ","FILING_STATUS=MR","FA_ADJUSTED=GAAP","Sort=A","Dates=H","DateFormat=P","Fill=—","Direction=H","UseDPDF=Y")</f>
        <v>7.2740999999999998</v>
      </c>
      <c r="S10" s="20">
        <f>_xll.BDH("BRK/A US Equity","RETURN_ON_INV_CAPITAL","FQ2 2015","FQ2 2015","Currency=USD","Period=FQ","BEST_FPERIOD_OVERRIDE=FQ","FILING_STATUS=MR","FA_ADJUSTED=GAAP","Sort=A","Dates=H","DateFormat=P","Fill=—","Direction=H","UseDPDF=Y")</f>
        <v>6.4301000000000004</v>
      </c>
      <c r="T10" s="20">
        <f>_xll.BDH("BRK/A US Equity","RETURN_ON_INV_CAPITAL","FQ3 2015","FQ3 2015","Currency=USD","Period=FQ","BEST_FPERIOD_OVERRIDE=FQ","FILING_STATUS=MR","FA_ADJUSTED=GAAP","Sort=A","Dates=H","DateFormat=P","Fill=—","Direction=H","UseDPDF=Y")</f>
        <v>7.8422999999999998</v>
      </c>
      <c r="U10" s="20">
        <f>_xll.BDH("BRK/A US Equity","RETURN_ON_INV_CAPITAL","FQ4 2015","FQ4 2015","Currency=USD","Period=FQ","BEST_FPERIOD_OVERRIDE=FQ","FILING_STATUS=MR","FA_ADJUSTED=GAAP","Sort=A","Dates=H","DateFormat=P","Fill=—","Direction=H","UseDPDF=Y")</f>
        <v>6.8152999999999997</v>
      </c>
      <c r="V10" s="20">
        <f>_xll.BDH("BRK/A US Equity","RETURN_ON_INV_CAPITAL","FQ1 2016","FQ1 2016","Currency=USD","Period=FQ","BEST_FPERIOD_OVERRIDE=FQ","FILING_STATUS=MR","FA_ADJUSTED=GAAP","Sort=A","Dates=H","DateFormat=P","Fill=—","Direction=H","UseDPDF=Y")</f>
        <v>7.9751000000000003</v>
      </c>
      <c r="W10" s="20">
        <f>_xll.BDH("BRK/A US Equity","RETURN_ON_INV_CAPITAL","FQ2 2016","FQ2 2016","Currency=USD","Period=FQ","BEST_FPERIOD_OVERRIDE=FQ","FILING_STATUS=MR","FA_ADJUSTED=GAAP","Sort=A","Dates=H","DateFormat=P","Fill=—","Direction=H","UseDPDF=Y")</f>
        <v>8.0540000000000003</v>
      </c>
      <c r="X10" s="20">
        <f>_xll.BDH("BRK/A US Equity","RETURN_ON_INV_CAPITAL","FQ3 2016","FQ3 2016","Currency=USD","Period=FQ","BEST_FPERIOD_OVERRIDE=FQ","FILING_STATUS=MR","FA_ADJUSTED=GAAP","Sort=A","Dates=H","DateFormat=P","Fill=—","Direction=H","UseDPDF=Y")</f>
        <v>7.3285</v>
      </c>
      <c r="Y10" s="20">
        <f>_xll.BDH("BRK/A US Equity","RETURN_ON_INV_CAPITAL","FQ4 2016","FQ4 2016","Currency=USD","Period=FQ","BEST_FPERIOD_OVERRIDE=FQ","FILING_STATUS=MR","FA_ADJUSTED=GAAP","Sort=A","Dates=H","DateFormat=P","Fill=—","Direction=H","UseDPDF=Y")</f>
        <v>6.0709999999999997</v>
      </c>
      <c r="Z10" s="20">
        <f>_xll.BDH("BRK/A US Equity","RETURN_ON_INV_CAPITAL","FQ1 2017","FQ1 2017","Currency=USD","Period=FQ","BEST_FPERIOD_OVERRIDE=FQ","FILING_STATUS=MR","FA_ADJUSTED=GAAP","Sort=A","Dates=H","DateFormat=P","Fill=—","Direction=H","UseDPDF=Y")</f>
        <v>6.4522000000000004</v>
      </c>
      <c r="AA10" s="20">
        <f>_xll.BDH("BRK/A US Equity","RETURN_ON_INV_CAPITAL","FQ2 2017","FQ2 2017","Currency=USD","Period=FQ","BEST_FPERIOD_OVERRIDE=FQ","FILING_STATUS=MR","FA_ADJUSTED=GAAP","Sort=A","Dates=H","DateFormat=P","Fill=—","Direction=H","UseDPDF=Y")</f>
        <v>6.2964000000000002</v>
      </c>
      <c r="AB10" s="20">
        <f>_xll.BDH("BRK/A US Equity","RETURN_ON_INV_CAPITAL","FQ3 2017","FQ3 2017","Currency=USD","Period=FQ","BEST_FPERIOD_OVERRIDE=FQ","FILING_STATUS=MR","FA_ADJUSTED=GAAP","Sort=A","Dates=H","DateFormat=P","Fill=—","Direction=H","UseDPDF=Y")</f>
        <v>5.4238</v>
      </c>
      <c r="AC10" s="20">
        <f>_xll.BDH("BRK/A US Equity","RETURN_ON_INV_CAPITAL","FQ4 2017","FQ4 2017","Currency=USD","Period=FQ","BEST_FPERIOD_OVERRIDE=FQ","FILING_STATUS=MR","FA_ADJUSTED=GAAP","Sort=A","Dates=H","DateFormat=P","Fill=—","Direction=H","UseDPDF=Y")</f>
        <v>9.5305999999999997</v>
      </c>
      <c r="AD10" s="20">
        <f>_xll.BDH("BRK/A US Equity","RETURN_ON_INV_CAPITAL","FQ1 2018","FQ1 2018","Currency=USD","Period=FQ","BEST_FPERIOD_OVERRIDE=FQ","FILING_STATUS=MR","FA_ADJUSTED=GAAP","Sort=A","Dates=H","DateFormat=P","Fill=—","Direction=H","UseDPDF=Y")</f>
        <v>9.6673000000000009</v>
      </c>
      <c r="AE10" s="20">
        <f>_xll.BDH("BRK/A US Equity","RETURN_ON_INV_CAPITAL","FQ2 2018","FQ2 2018","Currency=USD","Period=FQ","BEST_FPERIOD_OVERRIDE=FQ","FILING_STATUS=MR","FA_ADJUSTED=GAAP","Sort=A","Dates=H","DateFormat=P","Fill=—","Direction=H","UseDPDF=Y")</f>
        <v>11.215999999999999</v>
      </c>
      <c r="AF10" s="20">
        <f>_xll.BDH("BRK/A US Equity","RETURN_ON_INV_CAPITAL","FQ3 2018","FQ3 2018","Currency=USD","Period=FQ","BEST_FPERIOD_OVERRIDE=FQ","FILING_STATUS=MR","FA_ADJUSTED=GAAP","Sort=A","Dates=H","DateFormat=P","Fill=—","Direction=H","UseDPDF=Y")</f>
        <v>14.1092</v>
      </c>
      <c r="AG10" s="20">
        <f>_xll.BDH("BRK/A US Equity","RETURN_ON_INV_CAPITAL","FQ4 2018","FQ4 2018","Currency=USD","Period=FQ","BEST_FPERIOD_OVERRIDE=FQ","FILING_STATUS=MR","FA_ADJUSTED=GAAP","Sort=A","Dates=H","DateFormat=P","Fill=—","Direction=H","UseDPDF=Y")</f>
        <v>1.7970999999999999</v>
      </c>
      <c r="AH10" s="20">
        <f>_xll.BDH("BRK/A US Equity","RETURN_ON_INV_CAPITAL","FQ1 2019","FQ1 2019","Currency=USD","Period=FQ","BEST_FPERIOD_OVERRIDE=FQ","FILING_STATUS=MR","FA_ADJUSTED=GAAP","Sort=A","Dates=H","DateFormat=P","Fill=—","Direction=H","UseDPDF=Y")</f>
        <v>6.9254999999999995</v>
      </c>
      <c r="AI10" s="20">
        <f>_xll.BDH("BRK/A US Equity","RETURN_ON_INV_CAPITAL","FQ2 2019","FQ2 2019","Currency=USD","Period=FQ","BEST_FPERIOD_OVERRIDE=FQ","FILING_STATUS=MR","FA_ADJUSTED=GAAP","Sort=A","Dates=H","DateFormat=P","Fill=—","Direction=H","UseDPDF=Y")</f>
        <v>7.2248000000000001</v>
      </c>
      <c r="AJ10" s="20">
        <f>_xll.BDH("BRK/A US Equity","RETURN_ON_INV_CAPITAL","FQ3 2019","FQ3 2019","Currency=USD","Period=FQ","BEST_FPERIOD_OVERRIDE=FQ","FILING_STATUS=MR","FA_ADJUSTED=GAAP","Sort=A","Dates=H","DateFormat=P","Fill=—","Direction=H","UseDPDF=Y")</f>
        <v>6.4991000000000003</v>
      </c>
      <c r="AK10" s="20">
        <f>_xll.BDH("BRK/A US Equity","RETURN_ON_INV_CAPITAL","FQ4 2019","FQ4 2019","Currency=USD","Period=FQ","BEST_FPERIOD_OVERRIDE=FQ","FILING_STATUS=MR","FA_ADJUSTED=GAAP","Sort=A","Dates=H","DateFormat=P","Fill=—","Direction=H","UseDPDF=Y")</f>
        <v>15.2027</v>
      </c>
      <c r="AL10" s="20">
        <f>_xll.BDH("BRK/A US Equity","RETURN_ON_INV_CAPITAL","FQ1 2020","FQ1 2020","Currency=USD","Period=FQ","BEST_FPERIOD_OVERRIDE=FQ","FILING_STATUS=MR","FA_ADJUSTED=GAAP","Sort=A","Dates=H","DateFormat=P","Fill=—","Direction=H","UseDPDF=Y")</f>
        <v>2.6255999999999999</v>
      </c>
      <c r="AM10" s="20">
        <f>_xll.BDH("BRK/A US Equity","RETURN_ON_INV_CAPITAL","FQ2 2020","FQ2 2020","Currency=USD","Period=FQ","BEST_FPERIOD_OVERRIDE=FQ","FILING_STATUS=MR","FA_ADJUSTED=GAAP","Sort=A","Dates=H","DateFormat=P","Fill=—","Direction=H","UseDPDF=Y")</f>
        <v>5.0197000000000003</v>
      </c>
      <c r="AN10" s="20">
        <f>_xll.BDH("BRK/A US Equity","RETURN_ON_INV_CAPITAL","FQ3 2020","FQ3 2020","Currency=USD","Period=FQ","BEST_FPERIOD_OVERRIDE=FQ","FILING_STATUS=MR","FA_ADJUSTED=GAAP","Sort=A","Dates=H","DateFormat=P","Fill=—","Direction=H","UseDPDF=Y")</f>
        <v>7.5324999999999998</v>
      </c>
      <c r="AO10" s="20">
        <f>_xll.BDH("BRK/A US Equity","RETURN_ON_INV_CAPITAL","FQ4 2020","FQ4 2020","Currency=USD","Period=FQ","BEST_FPERIOD_OVERRIDE=FQ","FILING_STATUS=MR","FA_ADJUSTED=GAAP","Sort=A","Dates=H","DateFormat=P","Fill=—","Direction=H","UseDPDF=Y")</f>
        <v>7.3350999999999997</v>
      </c>
      <c r="AP10" s="20">
        <f>_xll.BDH("BRK/A US Equity","RETURN_ON_INV_CAPITAL","FQ1 2021","FQ1 2021","Currency=USD","Period=FQ","BEST_FPERIOD_OVERRIDE=FQ","FILING_STATUS=MR","FA_ADJUSTED=GAAP","Sort=A","Dates=H","DateFormat=P","Fill=—","Direction=H","UseDPDF=Y")</f>
        <v>20.439599999999999</v>
      </c>
    </row>
    <row r="11" spans="1:42" x14ac:dyDescent="0.25">
      <c r="A11" s="17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</row>
    <row r="12" spans="1:42" x14ac:dyDescent="0.25">
      <c r="A12" s="13" t="s">
        <v>93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</row>
    <row r="13" spans="1:42" x14ac:dyDescent="0.25">
      <c r="A13" s="17" t="s">
        <v>94</v>
      </c>
      <c r="B13" s="17" t="s">
        <v>95</v>
      </c>
      <c r="C13" s="20">
        <f>_xll.BDH("BRK/A US Equity","GROSS_MARGIN","FQ2 2011","FQ2 2011","Currency=USD","Period=FQ","BEST_FPERIOD_OVERRIDE=FQ","FILING_STATUS=MR","FA_ADJUSTED=GAAP","Sort=A","Dates=H","DateFormat=P","Fill=—","Direction=H","UseDPDF=Y")</f>
        <v>22.757000000000001</v>
      </c>
      <c r="D13" s="20">
        <f>_xll.BDH("BRK/A US Equity","GROSS_MARGIN","FQ3 2011","FQ3 2011","Currency=USD","Period=FQ","BEST_FPERIOD_OVERRIDE=FQ","FILING_STATUS=MR","FA_ADJUSTED=GAAP","Sort=A","Dates=H","DateFormat=P","Fill=—","Direction=H","UseDPDF=Y")</f>
        <v>20.252500000000001</v>
      </c>
      <c r="E13" s="20">
        <f>_xll.BDH("BRK/A US Equity","GROSS_MARGIN","FQ4 2011","FQ4 2011","Currency=USD","Period=FQ","BEST_FPERIOD_OVERRIDE=FQ","FILING_STATUS=MR","FA_ADJUSTED=GAAP","Sort=A","Dates=H","DateFormat=P","Fill=—","Direction=H","UseDPDF=Y")</f>
        <v>21.636099999999999</v>
      </c>
      <c r="F13" s="20">
        <f>_xll.BDH("BRK/A US Equity","GROSS_MARGIN","FQ1 2012","FQ1 2012","Currency=USD","Period=FQ","BEST_FPERIOD_OVERRIDE=FQ","FILING_STATUS=MR","FA_ADJUSTED=GAAP","Sort=A","Dates=H","DateFormat=P","Fill=—","Direction=H","UseDPDF=Y")</f>
        <v>22.809100000000001</v>
      </c>
      <c r="G13" s="20">
        <f>_xll.BDH("BRK/A US Equity","GROSS_MARGIN","FQ2 2012","FQ2 2012","Currency=USD","Period=FQ","BEST_FPERIOD_OVERRIDE=FQ","FILING_STATUS=MR","FA_ADJUSTED=GAAP","Sort=A","Dates=H","DateFormat=P","Fill=—","Direction=H","UseDPDF=Y")</f>
        <v>22.017800000000001</v>
      </c>
      <c r="H13" s="20">
        <f>_xll.BDH("BRK/A US Equity","GROSS_MARGIN","FQ3 2012","FQ3 2012","Currency=USD","Period=FQ","BEST_FPERIOD_OVERRIDE=FQ","FILING_STATUS=MR","FA_ADJUSTED=GAAP","Sort=A","Dates=H","DateFormat=P","Fill=—","Direction=H","UseDPDF=Y")</f>
        <v>24.080400000000001</v>
      </c>
      <c r="I13" s="20">
        <f>_xll.BDH("BRK/A US Equity","GROSS_MARGIN","FQ4 2012","FQ4 2012","Currency=USD","Period=FQ","BEST_FPERIOD_OVERRIDE=FQ","FILING_STATUS=MR","FA_ADJUSTED=GAAP","Sort=A","Dates=H","DateFormat=P","Fill=—","Direction=H","UseDPDF=Y")</f>
        <v>21.8627</v>
      </c>
      <c r="J13" s="20">
        <f>_xll.BDH("BRK/A US Equity","GROSS_MARGIN","FQ1 2013","FQ1 2013","Currency=USD","Period=FQ","BEST_FPERIOD_OVERRIDE=FQ","FILING_STATUS=MR","FA_ADJUSTED=GAAP","Sort=A","Dates=H","DateFormat=P","Fill=—","Direction=H","UseDPDF=Y")</f>
        <v>25.511199999999999</v>
      </c>
      <c r="K13" s="20">
        <f>_xll.BDH("BRK/A US Equity","GROSS_MARGIN","FQ2 2013","FQ2 2013","Currency=USD","Period=FQ","BEST_FPERIOD_OVERRIDE=FQ","FILING_STATUS=MR","FA_ADJUSTED=GAAP","Sort=A","Dates=H","DateFormat=P","Fill=—","Direction=H","UseDPDF=Y")</f>
        <v>24.314800000000002</v>
      </c>
      <c r="L13" s="20">
        <f>_xll.BDH("BRK/A US Equity","GROSS_MARGIN","FQ3 2013","FQ3 2013","Currency=USD","Period=FQ","BEST_FPERIOD_OVERRIDE=FQ","FILING_STATUS=MR","FA_ADJUSTED=GAAP","Sort=A","Dates=H","DateFormat=P","Fill=—","Direction=H","UseDPDF=Y")</f>
        <v>24.348400000000002</v>
      </c>
      <c r="M13" s="20">
        <f>_xll.BDH("BRK/A US Equity","GROSS_MARGIN","FQ4 2013","FQ4 2013","Currency=USD","Period=FQ","BEST_FPERIOD_OVERRIDE=FQ","FILING_STATUS=MR","FA_ADJUSTED=GAAP","Sort=A","Dates=H","DateFormat=P","Fill=—","Direction=H","UseDPDF=Y")</f>
        <v>24.5212</v>
      </c>
      <c r="N13" s="20">
        <f>_xll.BDH("BRK/A US Equity","GROSS_MARGIN","FQ1 2014","FQ1 2014","Currency=USD","Period=FQ","BEST_FPERIOD_OVERRIDE=FQ","FILING_STATUS=MR","FA_ADJUSTED=GAAP","Sort=A","Dates=H","DateFormat=P","Fill=—","Direction=H","UseDPDF=Y")</f>
        <v>23.419799999999999</v>
      </c>
      <c r="O13" s="20">
        <f>_xll.BDH("BRK/A US Equity","GROSS_MARGIN","FQ2 2014","FQ2 2014","Currency=USD","Period=FQ","BEST_FPERIOD_OVERRIDE=FQ","FILING_STATUS=MR","FA_ADJUSTED=GAAP","Sort=A","Dates=H","DateFormat=P","Fill=—","Direction=H","UseDPDF=Y")</f>
        <v>26.383600000000001</v>
      </c>
      <c r="P13" s="20">
        <f>_xll.BDH("BRK/A US Equity","GROSS_MARGIN","FQ3 2014","FQ3 2014","Currency=USD","Period=FQ","BEST_FPERIOD_OVERRIDE=FQ","FILING_STATUS=MR","FA_ADJUSTED=GAAP","Sort=A","Dates=H","DateFormat=P","Fill=—","Direction=H","UseDPDF=Y")</f>
        <v>21.389099999999999</v>
      </c>
      <c r="Q13" s="20">
        <f>_xll.BDH("BRK/A US Equity","GROSS_MARGIN","FQ4 2014","FQ4 2014","Currency=USD","Period=FQ","BEST_FPERIOD_OVERRIDE=FQ","FILING_STATUS=MR","FA_ADJUSTED=GAAP","Sort=A","Dates=H","DateFormat=P","Fill=—","Direction=H","UseDPDF=Y")</f>
        <v>21.598800000000001</v>
      </c>
      <c r="R13" s="20">
        <f>_xll.BDH("BRK/A US Equity","GROSS_MARGIN","FQ1 2015","FQ1 2015","Currency=USD","Period=FQ","BEST_FPERIOD_OVERRIDE=FQ","FILING_STATUS=MR","FA_ADJUSTED=GAAP","Sort=A","Dates=H","DateFormat=P","Fill=—","Direction=H","UseDPDF=Y")</f>
        <v>24.597100000000001</v>
      </c>
      <c r="S13" s="20">
        <f>_xll.BDH("BRK/A US Equity","GROSS_MARGIN","FQ2 2015","FQ2 2015","Currency=USD","Period=FQ","BEST_FPERIOD_OVERRIDE=FQ","FILING_STATUS=MR","FA_ADJUSTED=GAAP","Sort=A","Dates=H","DateFormat=P","Fill=—","Direction=H","UseDPDF=Y")</f>
        <v>20.6218</v>
      </c>
      <c r="T13" s="20">
        <f>_xll.BDH("BRK/A US Equity","GROSS_MARGIN","FQ3 2015","FQ3 2015","Currency=USD","Period=FQ","BEST_FPERIOD_OVERRIDE=FQ","FILING_STATUS=MR","FA_ADJUSTED=GAAP","Sort=A","Dates=H","DateFormat=P","Fill=—","Direction=H","UseDPDF=Y")</f>
        <v>32.323</v>
      </c>
      <c r="U13" s="20">
        <f>_xll.BDH("BRK/A US Equity","GROSS_MARGIN","FQ4 2015","FQ4 2015","Currency=USD","Period=FQ","BEST_FPERIOD_OVERRIDE=FQ","FILING_STATUS=MR","FA_ADJUSTED=GAAP","Sort=A","Dates=H","DateFormat=P","Fill=—","Direction=H","UseDPDF=Y")</f>
        <v>23.616700000000002</v>
      </c>
      <c r="V13" s="20">
        <f>_xll.BDH("BRK/A US Equity","GROSS_MARGIN","FQ1 2016","FQ1 2016","Currency=USD","Period=FQ","BEST_FPERIOD_OVERRIDE=FQ","FILING_STATUS=MR","FA_ADJUSTED=GAAP","Sort=A","Dates=H","DateFormat=P","Fill=—","Direction=H","UseDPDF=Y")</f>
        <v>22.053899999999999</v>
      </c>
      <c r="W13" s="20">
        <f>_xll.BDH("BRK/A US Equity","GROSS_MARGIN","FQ2 2016","FQ2 2016","Currency=USD","Period=FQ","BEST_FPERIOD_OVERRIDE=FQ","FILING_STATUS=MR","FA_ADJUSTED=GAAP","Sort=A","Dates=H","DateFormat=P","Fill=—","Direction=H","UseDPDF=Y")</f>
        <v>22.859100000000002</v>
      </c>
      <c r="X13" s="20">
        <f>_xll.BDH("BRK/A US Equity","GROSS_MARGIN","FQ3 2016","FQ3 2016","Currency=USD","Period=FQ","BEST_FPERIOD_OVERRIDE=FQ","FILING_STATUS=MR","FA_ADJUSTED=GAAP","Sort=A","Dates=H","DateFormat=P","Fill=—","Direction=H","UseDPDF=Y")</f>
        <v>26.795000000000002</v>
      </c>
      <c r="Y13" s="20">
        <f>_xll.BDH("BRK/A US Equity","GROSS_MARGIN","FQ4 2016","FQ4 2016","Currency=USD","Period=FQ","BEST_FPERIOD_OVERRIDE=FQ","FILING_STATUS=MR","FA_ADJUSTED=GAAP","Sort=A","Dates=H","DateFormat=P","Fill=—","Direction=H","UseDPDF=Y")</f>
        <v>29.553999999999998</v>
      </c>
      <c r="Z13" s="20">
        <f>_xll.BDH("BRK/A US Equity","GROSS_MARGIN","FQ1 2017","FQ1 2017","Currency=USD","Period=FQ","BEST_FPERIOD_OVERRIDE=FQ","FILING_STATUS=MR","FA_ADJUSTED=GAAP","Sort=A","Dates=H","DateFormat=P","Fill=—","Direction=H","UseDPDF=Y")</f>
        <v>16.9345</v>
      </c>
      <c r="AA13" s="20">
        <f>_xll.BDH("BRK/A US Equity","GROSS_MARGIN","FQ2 2017","FQ2 2017","Currency=USD","Period=FQ","BEST_FPERIOD_OVERRIDE=FQ","FILING_STATUS=MR","FA_ADJUSTED=GAAP","Sort=A","Dates=H","DateFormat=P","Fill=—","Direction=H","UseDPDF=Y")</f>
        <v>20.479800000000001</v>
      </c>
      <c r="AB13" s="20">
        <f>_xll.BDH("BRK/A US Equity","GROSS_MARGIN","FQ3 2017","FQ3 2017","Currency=USD","Period=FQ","BEST_FPERIOD_OVERRIDE=FQ","FILING_STATUS=MR","FA_ADJUSTED=GAAP","Sort=A","Dates=H","DateFormat=P","Fill=—","Direction=H","UseDPDF=Y")</f>
        <v>18.279499999999999</v>
      </c>
      <c r="AC13" s="20">
        <f>_xll.BDH("BRK/A US Equity","GROSS_MARGIN","FQ4 2017","FQ4 2017","Currency=USD","Period=FQ","BEST_FPERIOD_OVERRIDE=FQ","FILING_STATUS=MR","FA_ADJUSTED=GAAP","Sort=A","Dates=H","DateFormat=P","Fill=—","Direction=H","UseDPDF=Y")</f>
        <v>23.356999999999999</v>
      </c>
      <c r="AD13" s="20">
        <f>_xll.BDH("BRK/A US Equity","GROSS_MARGIN","FQ1 2018","FQ1 2018","Currency=USD","Period=FQ","BEST_FPERIOD_OVERRIDE=FQ","FILING_STATUS=MR","FA_ADJUSTED=GAAP","Sort=A","Dates=H","DateFormat=P","Fill=—","Direction=H","UseDPDF=Y")</f>
        <v>8.9342000000000006</v>
      </c>
      <c r="AE13" s="20">
        <f>_xll.BDH("BRK/A US Equity","GROSS_MARGIN","FQ2 2018","FQ2 2018","Currency=USD","Period=FQ","BEST_FPERIOD_OVERRIDE=FQ","FILING_STATUS=MR","FA_ADJUSTED=GAAP","Sort=A","Dates=H","DateFormat=P","Fill=—","Direction=H","UseDPDF=Y")</f>
        <v>36.561100000000003</v>
      </c>
      <c r="AF13" s="20">
        <f>_xll.BDH("BRK/A US Equity","GROSS_MARGIN","FQ3 2018","FQ3 2018","Currency=USD","Period=FQ","BEST_FPERIOD_OVERRIDE=FQ","FILING_STATUS=MR","FA_ADJUSTED=GAAP","Sort=A","Dates=H","DateFormat=P","Fill=—","Direction=H","UseDPDF=Y")</f>
        <v>37.577399999999997</v>
      </c>
      <c r="AG13" s="20">
        <f>_xll.BDH("BRK/A US Equity","GROSS_MARGIN","FQ4 2018","FQ4 2018","Currency=USD","Period=FQ","BEST_FPERIOD_OVERRIDE=FQ","FILING_STATUS=MR","FA_ADJUSTED=GAAP","Sort=A","Dates=H","DateFormat=P","Fill=—","Direction=H","UseDPDF=Y")</f>
        <v>-80.890600000000006</v>
      </c>
      <c r="AH13" s="20">
        <f>_xll.BDH("BRK/A US Equity","GROSS_MARGIN","FQ1 2019","FQ1 2019","Currency=USD","Period=FQ","BEST_FPERIOD_OVERRIDE=FQ","FILING_STATUS=MR","FA_ADJUSTED=GAAP","Sort=A","Dates=H","DateFormat=P","Fill=—","Direction=H","UseDPDF=Y")</f>
        <v>41.425899999999999</v>
      </c>
      <c r="AI13" s="20">
        <f>_xll.BDH("BRK/A US Equity","GROSS_MARGIN","FQ2 2019","FQ2 2019","Currency=USD","Period=FQ","BEST_FPERIOD_OVERRIDE=FQ","FILING_STATUS=MR","FA_ADJUSTED=GAAP","Sort=A","Dates=H","DateFormat=P","Fill=—","Direction=H","UseDPDF=Y")</f>
        <v>38.720399999999998</v>
      </c>
      <c r="AJ13" s="20">
        <f>_xll.BDH("BRK/A US Equity","GROSS_MARGIN","FQ3 2019","FQ3 2019","Currency=USD","Period=FQ","BEST_FPERIOD_OVERRIDE=FQ","FILING_STATUS=MR","FA_ADJUSTED=GAAP","Sort=A","Dates=H","DateFormat=P","Fill=—","Direction=H","UseDPDF=Y")</f>
        <v>34.751899999999999</v>
      </c>
      <c r="AK13" s="20">
        <f>_xll.BDH("BRK/A US Equity","GROSS_MARGIN","FQ4 2019","FQ4 2019","Currency=USD","Period=FQ","BEST_FPERIOD_OVERRIDE=FQ","FILING_STATUS=MR","FA_ADJUSTED=GAAP","Sort=A","Dates=H","DateFormat=P","Fill=—","Direction=H","UseDPDF=Y")</f>
        <v>45.762799999999999</v>
      </c>
      <c r="AL13" s="20" t="str">
        <f>_xll.BDH("BRK/A US Equity","GROSS_MARGIN","FQ1 2020","FQ1 2020","Currency=USD","Period=FQ","BEST_FPERIOD_OVERRIDE=FQ","FILING_STATUS=MR","FA_ADJUSTED=GAAP","Sort=A","Dates=H","DateFormat=P","Fill=—","Direction=H","UseDPDF=Y")</f>
        <v>—</v>
      </c>
      <c r="AM13" s="20">
        <f>_xll.BDH("BRK/A US Equity","GROSS_MARGIN","FQ2 2020","FQ2 2020","Currency=USD","Period=FQ","BEST_FPERIOD_OVERRIDE=FQ","FILING_STATUS=MR","FA_ADJUSTED=GAAP","Sort=A","Dates=H","DateFormat=P","Fill=—","Direction=H","UseDPDF=Y")</f>
        <v>57.691000000000003</v>
      </c>
      <c r="AN13" s="20">
        <f>_xll.BDH("BRK/A US Equity","GROSS_MARGIN","FQ3 2020","FQ3 2020","Currency=USD","Period=FQ","BEST_FPERIOD_OVERRIDE=FQ","FILING_STATUS=MR","FA_ADJUSTED=GAAP","Sort=A","Dates=H","DateFormat=P","Fill=—","Direction=H","UseDPDF=Y")</f>
        <v>47.911299999999997</v>
      </c>
      <c r="AO13" s="20">
        <f>_xll.BDH("BRK/A US Equity","GROSS_MARGIN","FQ4 2020","FQ4 2020","Currency=USD","Period=FQ","BEST_FPERIOD_OVERRIDE=FQ","FILING_STATUS=MR","FA_ADJUSTED=GAAP","Sort=A","Dates=H","DateFormat=P","Fill=—","Direction=H","UseDPDF=Y")</f>
        <v>48.2836</v>
      </c>
      <c r="AP13" s="20">
        <f>_xll.BDH("BRK/A US Equity","GROSS_MARGIN","FQ1 2021","FQ1 2021","Currency=USD","Period=FQ","BEST_FPERIOD_OVERRIDE=FQ","FILING_STATUS=MR","FA_ADJUSTED=GAAP","Sort=A","Dates=H","DateFormat=P","Fill=—","Direction=H","UseDPDF=Y")</f>
        <v>28.9193</v>
      </c>
    </row>
    <row r="14" spans="1:42" x14ac:dyDescent="0.25">
      <c r="A14" s="17" t="s">
        <v>96</v>
      </c>
      <c r="B14" s="17" t="s">
        <v>97</v>
      </c>
      <c r="C14" s="20">
        <f>_xll.BDH("BRK/A US Equity","EBITDA_TO_REVENUE","FQ2 2011","FQ2 2011","Currency=USD","Period=FQ","BEST_FPERIOD_OVERRIDE=FQ","FILING_STATUS=MR","FA_ADJUSTED=GAAP","Sort=A","Dates=H","DateFormat=P","Fill=—","Direction=H","UseDPDF=Y")</f>
        <v>18.466799999999999</v>
      </c>
      <c r="D14" s="20">
        <f>_xll.BDH("BRK/A US Equity","EBITDA_TO_REVENUE","FQ3 2011","FQ3 2011","Currency=USD","Period=FQ","BEST_FPERIOD_OVERRIDE=FQ","FILING_STATUS=MR","FA_ADJUSTED=GAAP","Sort=A","Dates=H","DateFormat=P","Fill=—","Direction=H","UseDPDF=Y")</f>
        <v>15.3354</v>
      </c>
      <c r="E14" s="20">
        <f>_xll.BDH("BRK/A US Equity","EBITDA_TO_REVENUE","FQ4 2011","FQ4 2011","Currency=USD","Period=FQ","BEST_FPERIOD_OVERRIDE=FQ","FILING_STATUS=MR","FA_ADJUSTED=GAAP","Sort=A","Dates=H","DateFormat=P","Fill=—","Direction=H","UseDPDF=Y")</f>
        <v>18.9725</v>
      </c>
      <c r="F14" s="20">
        <f>_xll.BDH("BRK/A US Equity","EBITDA_TO_REVENUE","FQ1 2012","FQ1 2012","Currency=USD","Period=FQ","BEST_FPERIOD_OVERRIDE=FQ","FILING_STATUS=MR","FA_ADJUSTED=GAAP","Sort=A","Dates=H","DateFormat=P","Fill=—","Direction=H","UseDPDF=Y")</f>
        <v>18.022400000000001</v>
      </c>
      <c r="G14" s="20">
        <f>_xll.BDH("BRK/A US Equity","EBITDA_TO_REVENUE","FQ2 2012","FQ2 2012","Currency=USD","Period=FQ","BEST_FPERIOD_OVERRIDE=FQ","FILING_STATUS=MR","FA_ADJUSTED=GAAP","Sort=A","Dates=H","DateFormat=P","Fill=—","Direction=H","UseDPDF=Y")</f>
        <v>17.060099999999998</v>
      </c>
      <c r="H14" s="20">
        <f>_xll.BDH("BRK/A US Equity","EBITDA_TO_REVENUE","FQ3 2012","FQ3 2012","Currency=USD","Period=FQ","BEST_FPERIOD_OVERRIDE=FQ","FILING_STATUS=MR","FA_ADJUSTED=GAAP","Sort=A","Dates=H","DateFormat=P","Fill=—","Direction=H","UseDPDF=Y")</f>
        <v>19.3033</v>
      </c>
      <c r="I14" s="20">
        <f>_xll.BDH("BRK/A US Equity","EBITDA_TO_REVENUE","FQ4 2012","FQ4 2012","Currency=USD","Period=FQ","BEST_FPERIOD_OVERRIDE=FQ","FILING_STATUS=MR","FA_ADJUSTED=GAAP","Sort=A","Dates=H","DateFormat=P","Fill=—","Direction=H","UseDPDF=Y")</f>
        <v>21.822500000000002</v>
      </c>
      <c r="J14" s="20">
        <f>_xll.BDH("BRK/A US Equity","EBITDA_TO_REVENUE","FQ1 2013","FQ1 2013","Currency=USD","Period=FQ","BEST_FPERIOD_OVERRIDE=FQ","FILING_STATUS=MR","FA_ADJUSTED=GAAP","Sort=A","Dates=H","DateFormat=P","Fill=—","Direction=H","UseDPDF=Y")</f>
        <v>21.843299999999999</v>
      </c>
      <c r="K14" s="20">
        <f>_xll.BDH("BRK/A US Equity","EBITDA_TO_REVENUE","FQ2 2013","FQ2 2013","Currency=USD","Period=FQ","BEST_FPERIOD_OVERRIDE=FQ","FILING_STATUS=MR","FA_ADJUSTED=GAAP","Sort=A","Dates=H","DateFormat=P","Fill=—","Direction=H","UseDPDF=Y")</f>
        <v>20.580400000000001</v>
      </c>
      <c r="L14" s="20">
        <f>_xll.BDH("BRK/A US Equity","EBITDA_TO_REVENUE","FQ3 2013","FQ3 2013","Currency=USD","Period=FQ","BEST_FPERIOD_OVERRIDE=FQ","FILING_STATUS=MR","FA_ADJUSTED=GAAP","Sort=A","Dates=H","DateFormat=P","Fill=—","Direction=H","UseDPDF=Y")</f>
        <v>20.841799999999999</v>
      </c>
      <c r="M14" s="20">
        <f>_xll.BDH("BRK/A US Equity","EBITDA_TO_REVENUE","FQ4 2013","FQ4 2013","Currency=USD","Period=FQ","BEST_FPERIOD_OVERRIDE=FQ","FILING_STATUS=MR","FA_ADJUSTED=GAAP","Sort=A","Dates=H","DateFormat=P","Fill=—","Direction=H","UseDPDF=Y")</f>
        <v>20.4574</v>
      </c>
      <c r="N14" s="20">
        <f>_xll.BDH("BRK/A US Equity","EBITDA_TO_REVENUE","FQ1 2014","FQ1 2014","Currency=USD","Period=FQ","BEST_FPERIOD_OVERRIDE=FQ","FILING_STATUS=MR","FA_ADJUSTED=GAAP","Sort=A","Dates=H","DateFormat=P","Fill=—","Direction=H","UseDPDF=Y")</f>
        <v>20.135100000000001</v>
      </c>
      <c r="O14" s="20">
        <f>_xll.BDH("BRK/A US Equity","EBITDA_TO_REVENUE","FQ2 2014","FQ2 2014","Currency=USD","Period=FQ","BEST_FPERIOD_OVERRIDE=FQ","FILING_STATUS=MR","FA_ADJUSTED=GAAP","Sort=A","Dates=H","DateFormat=P","Fill=—","Direction=H","UseDPDF=Y")</f>
        <v>23.2105</v>
      </c>
      <c r="P14" s="20">
        <f>_xll.BDH("BRK/A US Equity","EBITDA_TO_REVENUE","FQ3 2014","FQ3 2014","Currency=USD","Period=FQ","BEST_FPERIOD_OVERRIDE=FQ","FILING_STATUS=MR","FA_ADJUSTED=GAAP","Sort=A","Dates=H","DateFormat=P","Fill=—","Direction=H","UseDPDF=Y")</f>
        <v>18.4008</v>
      </c>
      <c r="Q14" s="20">
        <f>_xll.BDH("BRK/A US Equity","EBITDA_TO_REVENUE","FQ4 2014","FQ4 2014","Currency=USD","Period=FQ","BEST_FPERIOD_OVERRIDE=FQ","FILING_STATUS=MR","FA_ADJUSTED=GAAP","Sort=A","Dates=H","DateFormat=P","Fill=—","Direction=H","UseDPDF=Y")</f>
        <v>17.8751</v>
      </c>
      <c r="R14" s="20">
        <f>_xll.BDH("BRK/A US Equity","EBITDA_TO_REVENUE","FQ1 2015","FQ1 2015","Currency=USD","Period=FQ","BEST_FPERIOD_OVERRIDE=FQ","FILING_STATUS=MR","FA_ADJUSTED=GAAP","Sort=A","Dates=H","DateFormat=P","Fill=—","Direction=H","UseDPDF=Y")</f>
        <v>21.365400000000001</v>
      </c>
      <c r="S14" s="20">
        <f>_xll.BDH("BRK/A US Equity","EBITDA_TO_REVENUE","FQ2 2015","FQ2 2015","Currency=USD","Period=FQ","BEST_FPERIOD_OVERRIDE=FQ","FILING_STATUS=MR","FA_ADJUSTED=GAAP","Sort=A","Dates=H","DateFormat=P","Fill=—","Direction=H","UseDPDF=Y")</f>
        <v>17.041699999999999</v>
      </c>
      <c r="T14" s="20">
        <f>_xll.BDH("BRK/A US Equity","EBITDA_TO_REVENUE","FQ3 2015","FQ3 2015","Currency=USD","Period=FQ","BEST_FPERIOD_OVERRIDE=FQ","FILING_STATUS=MR","FA_ADJUSTED=GAAP","Sort=A","Dates=H","DateFormat=P","Fill=—","Direction=H","UseDPDF=Y")</f>
        <v>28.6935</v>
      </c>
      <c r="U14" s="20">
        <f>_xll.BDH("BRK/A US Equity","EBITDA_TO_REVENUE","FQ4 2015","FQ4 2015","Currency=USD","Period=FQ","BEST_FPERIOD_OVERRIDE=FQ","FILING_STATUS=MR","FA_ADJUSTED=GAAP","Sort=A","Dates=H","DateFormat=P","Fill=—","Direction=H","UseDPDF=Y")</f>
        <v>19.808599999999998</v>
      </c>
      <c r="V14" s="20">
        <f>_xll.BDH("BRK/A US Equity","EBITDA_TO_REVENUE","FQ1 2016","FQ1 2016","Currency=USD","Period=FQ","BEST_FPERIOD_OVERRIDE=FQ","FILING_STATUS=MR","FA_ADJUSTED=GAAP","Sort=A","Dates=H","DateFormat=P","Fill=—","Direction=H","UseDPDF=Y")</f>
        <v>18.239000000000001</v>
      </c>
      <c r="W14" s="20">
        <f>_xll.BDH("BRK/A US Equity","EBITDA_TO_REVENUE","FQ2 2016","FQ2 2016","Currency=USD","Period=FQ","BEST_FPERIOD_OVERRIDE=FQ","FILING_STATUS=MR","FA_ADJUSTED=GAAP","Sort=A","Dates=H","DateFormat=P","Fill=—","Direction=H","UseDPDF=Y")</f>
        <v>18.665900000000001</v>
      </c>
      <c r="X14" s="20">
        <f>_xll.BDH("BRK/A US Equity","EBITDA_TO_REVENUE","FQ3 2016","FQ3 2016","Currency=USD","Period=FQ","BEST_FPERIOD_OVERRIDE=FQ","FILING_STATUS=MR","FA_ADJUSTED=GAAP","Sort=A","Dates=H","DateFormat=P","Fill=—","Direction=H","UseDPDF=Y")</f>
        <v>23.093699999999998</v>
      </c>
      <c r="Y14" s="20">
        <f>_xll.BDH("BRK/A US Equity","EBITDA_TO_REVENUE","FQ4 2016","FQ4 2016","Currency=USD","Period=FQ","BEST_FPERIOD_OVERRIDE=FQ","FILING_STATUS=MR","FA_ADJUSTED=GAAP","Sort=A","Dates=H","DateFormat=P","Fill=—","Direction=H","UseDPDF=Y")</f>
        <v>20.581900000000001</v>
      </c>
      <c r="Z14" s="20">
        <f>_xll.BDH("BRK/A US Equity","EBITDA_TO_REVENUE","FQ1 2017","FQ1 2017","Currency=USD","Period=FQ","BEST_FPERIOD_OVERRIDE=FQ","FILING_STATUS=MR","FA_ADJUSTED=GAAP","Sort=A","Dates=H","DateFormat=P","Fill=—","Direction=H","UseDPDF=Y")</f>
        <v>13.3809</v>
      </c>
      <c r="AA14" s="20">
        <f>_xll.BDH("BRK/A US Equity","EBITDA_TO_REVENUE","FQ2 2017","FQ2 2017","Currency=USD","Period=FQ","BEST_FPERIOD_OVERRIDE=FQ","FILING_STATUS=MR","FA_ADJUSTED=GAAP","Sort=A","Dates=H","DateFormat=P","Fill=—","Direction=H","UseDPDF=Y")</f>
        <v>16.6646</v>
      </c>
      <c r="AB14" s="20">
        <f>_xll.BDH("BRK/A US Equity","EBITDA_TO_REVENUE","FQ3 2017","FQ3 2017","Currency=USD","Period=FQ","BEST_FPERIOD_OVERRIDE=FQ","FILING_STATUS=MR","FA_ADJUSTED=GAAP","Sort=A","Dates=H","DateFormat=P","Fill=—","Direction=H","UseDPDF=Y")</f>
        <v>14.641500000000001</v>
      </c>
      <c r="AC14" s="20">
        <f>_xll.BDH("BRK/A US Equity","EBITDA_TO_REVENUE","FQ4 2017","FQ4 2017","Currency=USD","Period=FQ","BEST_FPERIOD_OVERRIDE=FQ","FILING_STATUS=MR","FA_ADJUSTED=GAAP","Sort=A","Dates=H","DateFormat=P","Fill=—","Direction=H","UseDPDF=Y")</f>
        <v>12.2925</v>
      </c>
      <c r="AD14" s="20">
        <f>_xll.BDH("BRK/A US Equity","EBITDA_TO_REVENUE","FQ1 2018","FQ1 2018","Currency=USD","Period=FQ","BEST_FPERIOD_OVERRIDE=FQ","FILING_STATUS=MR","FA_ADJUSTED=GAAP","Sort=A","Dates=H","DateFormat=P","Fill=—","Direction=H","UseDPDF=Y")</f>
        <v>2.8498999999999999</v>
      </c>
      <c r="AE14" s="20">
        <f>_xll.BDH("BRK/A US Equity","EBITDA_TO_REVENUE","FQ2 2018","FQ2 2018","Currency=USD","Period=FQ","BEST_FPERIOD_OVERRIDE=FQ","FILING_STATUS=MR","FA_ADJUSTED=GAAP","Sort=A","Dates=H","DateFormat=P","Fill=—","Direction=H","UseDPDF=Y")</f>
        <v>26.421299999999999</v>
      </c>
      <c r="AF14" s="20">
        <f>_xll.BDH("BRK/A US Equity","EBITDA_TO_REVENUE","FQ3 2018","FQ3 2018","Currency=USD","Period=FQ","BEST_FPERIOD_OVERRIDE=FQ","FILING_STATUS=MR","FA_ADJUSTED=GAAP","Sort=A","Dates=H","DateFormat=P","Fill=—","Direction=H","UseDPDF=Y")</f>
        <v>33.491999999999997</v>
      </c>
      <c r="AG14" s="20">
        <f>_xll.BDH("BRK/A US Equity","EBITDA_TO_REVENUE","FQ4 2018","FQ4 2018","Currency=USD","Period=FQ","BEST_FPERIOD_OVERRIDE=FQ","FILING_STATUS=MR","FA_ADJUSTED=GAAP","Sort=A","Dates=H","DateFormat=P","Fill=—","Direction=H","UseDPDF=Y")</f>
        <v>-91.927199999999999</v>
      </c>
      <c r="AH14" s="20">
        <f>_xll.BDH("BRK/A US Equity","EBITDA_TO_REVENUE","FQ1 2019","FQ1 2019","Currency=USD","Period=FQ","BEST_FPERIOD_OVERRIDE=FQ","FILING_STATUS=MR","FA_ADJUSTED=GAAP","Sort=A","Dates=H","DateFormat=P","Fill=—","Direction=H","UseDPDF=Y")</f>
        <v>38.570399999999999</v>
      </c>
      <c r="AI14" s="20">
        <f>_xll.BDH("BRK/A US Equity","EBITDA_TO_REVENUE","FQ2 2019","FQ2 2019","Currency=USD","Period=FQ","BEST_FPERIOD_OVERRIDE=FQ","FILING_STATUS=MR","FA_ADJUSTED=GAAP","Sort=A","Dates=H","DateFormat=P","Fill=—","Direction=H","UseDPDF=Y")</f>
        <v>29.117699999999999</v>
      </c>
      <c r="AJ14" s="20">
        <f>_xll.BDH("BRK/A US Equity","EBITDA_TO_REVENUE","FQ3 2019","FQ3 2019","Currency=USD","Period=FQ","BEST_FPERIOD_OVERRIDE=FQ","FILING_STATUS=MR","FA_ADJUSTED=GAAP","Sort=A","Dates=H","DateFormat=P","Fill=—","Direction=H","UseDPDF=Y")</f>
        <v>31.243200000000002</v>
      </c>
      <c r="AK14" s="20">
        <f>_xll.BDH("BRK/A US Equity","EBITDA_TO_REVENUE","FQ4 2019","FQ4 2019","Currency=USD","Period=FQ","BEST_FPERIOD_OVERRIDE=FQ","FILING_STATUS=MR","FA_ADJUSTED=GAAP","Sort=A","Dates=H","DateFormat=P","Fill=—","Direction=H","UseDPDF=Y")</f>
        <v>41.975000000000001</v>
      </c>
      <c r="AL14" s="20">
        <f>_xll.BDH("BRK/A US Equity","EBITDA_TO_REVENUE","FQ1 2020","FQ1 2020","Currency=USD","Period=FQ","BEST_FPERIOD_OVERRIDE=FQ","FILING_STATUS=MR","FA_ADJUSTED=GAAP","Sort=A","Dates=H","DateFormat=P","Fill=—","Direction=H","UseDPDF=Y")</f>
        <v>663.04110000000003</v>
      </c>
      <c r="AM14" s="20">
        <f>_xll.BDH("BRK/A US Equity","EBITDA_TO_REVENUE","FQ2 2020","FQ2 2020","Currency=USD","Period=FQ","BEST_FPERIOD_OVERRIDE=FQ","FILING_STATUS=MR","FA_ADJUSTED=GAAP","Sort=A","Dates=H","DateFormat=P","Fill=—","Direction=H","UseDPDF=Y")</f>
        <v>40.435400000000001</v>
      </c>
      <c r="AN14" s="20">
        <f>_xll.BDH("BRK/A US Equity","EBITDA_TO_REVENUE","FQ3 2020","FQ3 2020","Currency=USD","Period=FQ","BEST_FPERIOD_OVERRIDE=FQ","FILING_STATUS=MR","FA_ADJUSTED=GAAP","Sort=A","Dates=H","DateFormat=P","Fill=—","Direction=H","UseDPDF=Y")</f>
        <v>43.573300000000003</v>
      </c>
      <c r="AO14" s="20">
        <f>_xll.BDH("BRK/A US Equity","EBITDA_TO_REVENUE","FQ4 2020","FQ4 2020","Currency=USD","Period=FQ","BEST_FPERIOD_OVERRIDE=FQ","FILING_STATUS=MR","FA_ADJUSTED=GAAP","Sort=A","Dates=H","DateFormat=P","Fill=—","Direction=H","UseDPDF=Y")</f>
        <v>47.207799999999999</v>
      </c>
      <c r="AP14" s="20">
        <f>_xll.BDH("BRK/A US Equity","EBITDA_TO_REVENUE","FQ1 2021","FQ1 2021","Currency=USD","Period=FQ","BEST_FPERIOD_OVERRIDE=FQ","FILING_STATUS=MR","FA_ADJUSTED=GAAP","Sort=A","Dates=H","DateFormat=P","Fill=—","Direction=H","UseDPDF=Y")</f>
        <v>25.604900000000001</v>
      </c>
    </row>
    <row r="15" spans="1:42" x14ac:dyDescent="0.25">
      <c r="A15" s="18" t="s">
        <v>98</v>
      </c>
      <c r="B15" s="18" t="s">
        <v>97</v>
      </c>
      <c r="C15" s="22">
        <v>25.254580882301099</v>
      </c>
      <c r="D15" s="22">
        <v>-11.6462531307643</v>
      </c>
      <c r="E15" s="22">
        <v>-17.4420340682038</v>
      </c>
      <c r="F15" s="22">
        <v>50.910084155978801</v>
      </c>
      <c r="G15" s="22">
        <v>-7.6174791967701596</v>
      </c>
      <c r="H15" s="22">
        <v>25.874304035331701</v>
      </c>
      <c r="I15" s="22">
        <v>15.021683790516001</v>
      </c>
      <c r="J15" s="22">
        <v>21.200920832517902</v>
      </c>
      <c r="K15" s="22">
        <v>20.634466219964501</v>
      </c>
      <c r="L15" s="22">
        <v>7.9703982051970499</v>
      </c>
      <c r="M15" s="22">
        <v>-6.2552826902899197</v>
      </c>
      <c r="N15" s="22">
        <v>-7.8203113916080103</v>
      </c>
      <c r="O15" s="22">
        <v>12.7795256108675</v>
      </c>
      <c r="P15" s="22">
        <v>-11.712441100444201</v>
      </c>
      <c r="Q15" s="22">
        <v>-12.6227166264327</v>
      </c>
      <c r="R15" s="22">
        <v>6.1104534696526001</v>
      </c>
      <c r="S15" s="22">
        <v>-26.577405846203501</v>
      </c>
      <c r="T15" s="22">
        <v>55.936497153648602</v>
      </c>
      <c r="U15" s="22">
        <v>10.8168081258885</v>
      </c>
      <c r="V15" s="22">
        <v>-14.633208879952299</v>
      </c>
      <c r="W15" s="22">
        <v>9.5305244101276507</v>
      </c>
      <c r="X15" s="22">
        <v>-19.516029509834699</v>
      </c>
      <c r="Y15" s="22">
        <v>3.9035000547488501</v>
      </c>
      <c r="Z15" s="22">
        <v>-26.635603894998098</v>
      </c>
      <c r="AA15" s="22">
        <v>-10.721516047574401</v>
      </c>
      <c r="AB15" s="22">
        <v>-36.5995275932057</v>
      </c>
      <c r="AC15" s="22">
        <v>-40.275304524182303</v>
      </c>
      <c r="AD15" s="22">
        <v>-78.701799181356705</v>
      </c>
      <c r="AE15" s="22">
        <v>58.547353896757599</v>
      </c>
      <c r="AF15" s="22">
        <v>128.74718940774301</v>
      </c>
      <c r="AG15" s="22" t="s">
        <v>99</v>
      </c>
      <c r="AH15" s="22">
        <v>1253.39617775392</v>
      </c>
      <c r="AI15" s="22">
        <v>10.205121685534399</v>
      </c>
      <c r="AJ15" s="22">
        <v>-6.7142680981333198</v>
      </c>
      <c r="AK15" s="22" t="s">
        <v>99</v>
      </c>
      <c r="AL15" s="22">
        <v>1619.0425318709699</v>
      </c>
      <c r="AM15" s="22">
        <v>38.868895111837801</v>
      </c>
      <c r="AN15" s="22">
        <v>39.464840531304603</v>
      </c>
      <c r="AO15" s="22">
        <v>12.466471402768001</v>
      </c>
      <c r="AP15" s="22">
        <v>-96.138260908470301</v>
      </c>
    </row>
    <row r="16" spans="1:42" x14ac:dyDescent="0.25">
      <c r="A16" s="17" t="s">
        <v>100</v>
      </c>
      <c r="B16" s="17" t="s">
        <v>101</v>
      </c>
      <c r="C16" s="20">
        <f>_xll.BDH("BRK/A US Equity","OPER_MARGIN","FQ2 2011","FQ2 2011","Currency=USD","Period=FQ","BEST_FPERIOD_OVERRIDE=FQ","FILING_STATUS=MR","FA_ADJUSTED=GAAP","Sort=A","Dates=H","DateFormat=P","Fill=—","Direction=H","UseDPDF=Y")</f>
        <v>15.4857</v>
      </c>
      <c r="D16" s="20">
        <f>_xll.BDH("BRK/A US Equity","OPER_MARGIN","FQ3 2011","FQ3 2011","Currency=USD","Period=FQ","BEST_FPERIOD_OVERRIDE=FQ","FILING_STATUS=MR","FA_ADJUSTED=GAAP","Sort=A","Dates=H","DateFormat=P","Fill=—","Direction=H","UseDPDF=Y")</f>
        <v>11.9506</v>
      </c>
      <c r="E16" s="20">
        <f>_xll.BDH("BRK/A US Equity","OPER_MARGIN","FQ4 2011","FQ4 2011","Currency=USD","Period=FQ","BEST_FPERIOD_OVERRIDE=FQ","FILING_STATUS=MR","FA_ADJUSTED=GAAP","Sort=A","Dates=H","DateFormat=P","Fill=—","Direction=H","UseDPDF=Y")</f>
        <v>13.508100000000001</v>
      </c>
      <c r="F16" s="20">
        <f>_xll.BDH("BRK/A US Equity","OPER_MARGIN","FQ1 2012","FQ1 2012","Currency=USD","Period=FQ","BEST_FPERIOD_OVERRIDE=FQ","FILING_STATUS=MR","FA_ADJUSTED=GAAP","Sort=A","Dates=H","DateFormat=P","Fill=—","Direction=H","UseDPDF=Y")</f>
        <v>14.7377</v>
      </c>
      <c r="G16" s="20">
        <f>_xll.BDH("BRK/A US Equity","OPER_MARGIN","FQ2 2012","FQ2 2012","Currency=USD","Period=FQ","BEST_FPERIOD_OVERRIDE=FQ","FILING_STATUS=MR","FA_ADJUSTED=GAAP","Sort=A","Dates=H","DateFormat=P","Fill=—","Direction=H","UseDPDF=Y")</f>
        <v>13.7783</v>
      </c>
      <c r="H16" s="20">
        <f>_xll.BDH("BRK/A US Equity","OPER_MARGIN","FQ3 2012","FQ3 2012","Currency=USD","Period=FQ","BEST_FPERIOD_OVERRIDE=FQ","FILING_STATUS=MR","FA_ADJUSTED=GAAP","Sort=A","Dates=H","DateFormat=P","Fill=—","Direction=H","UseDPDF=Y")</f>
        <v>16.1462</v>
      </c>
      <c r="I16" s="20">
        <f>_xll.BDH("BRK/A US Equity","OPER_MARGIN","FQ4 2012","FQ4 2012","Currency=USD","Period=FQ","BEST_FPERIOD_OVERRIDE=FQ","FILING_STATUS=MR","FA_ADJUSTED=GAAP","Sort=A","Dates=H","DateFormat=P","Fill=—","Direction=H","UseDPDF=Y")</f>
        <v>16.5899</v>
      </c>
      <c r="J16" s="20">
        <f>_xll.BDH("BRK/A US Equity","OPER_MARGIN","FQ1 2013","FQ1 2013","Currency=USD","Period=FQ","BEST_FPERIOD_OVERRIDE=FQ","FILING_STATUS=MR","FA_ADJUSTED=GAAP","Sort=A","Dates=H","DateFormat=P","Fill=—","Direction=H","UseDPDF=Y")</f>
        <v>18.1936</v>
      </c>
      <c r="K16" s="20">
        <f>_xll.BDH("BRK/A US Equity","OPER_MARGIN","FQ2 2013","FQ2 2013","Currency=USD","Period=FQ","BEST_FPERIOD_OVERRIDE=FQ","FILING_STATUS=MR","FA_ADJUSTED=GAAP","Sort=A","Dates=H","DateFormat=P","Fill=—","Direction=H","UseDPDF=Y")</f>
        <v>16.964600000000001</v>
      </c>
      <c r="L16" s="20">
        <f>_xll.BDH("BRK/A US Equity","OPER_MARGIN","FQ3 2013","FQ3 2013","Currency=USD","Period=FQ","BEST_FPERIOD_OVERRIDE=FQ","FILING_STATUS=MR","FA_ADJUSTED=GAAP","Sort=A","Dates=H","DateFormat=P","Fill=—","Direction=H","UseDPDF=Y")</f>
        <v>17.369599999999998</v>
      </c>
      <c r="M16" s="20">
        <f>_xll.BDH("BRK/A US Equity","OPER_MARGIN","FQ4 2013","FQ4 2013","Currency=USD","Period=FQ","BEST_FPERIOD_OVERRIDE=FQ","FILING_STATUS=MR","FA_ADJUSTED=GAAP","Sort=A","Dates=H","DateFormat=P","Fill=—","Direction=H","UseDPDF=Y")</f>
        <v>16.897300000000001</v>
      </c>
      <c r="N16" s="20">
        <f>_xll.BDH("BRK/A US Equity","OPER_MARGIN","FQ1 2014","FQ1 2014","Currency=USD","Period=FQ","BEST_FPERIOD_OVERRIDE=FQ","FILING_STATUS=MR","FA_ADJUSTED=GAAP","Sort=A","Dates=H","DateFormat=P","Fill=—","Direction=H","UseDPDF=Y")</f>
        <v>16.236599999999999</v>
      </c>
      <c r="O16" s="20">
        <f>_xll.BDH("BRK/A US Equity","OPER_MARGIN","FQ2 2014","FQ2 2014","Currency=USD","Period=FQ","BEST_FPERIOD_OVERRIDE=FQ","FILING_STATUS=MR","FA_ADJUSTED=GAAP","Sort=A","Dates=H","DateFormat=P","Fill=—","Direction=H","UseDPDF=Y")</f>
        <v>19.5732</v>
      </c>
      <c r="P16" s="20">
        <f>_xll.BDH("BRK/A US Equity","OPER_MARGIN","FQ3 2014","FQ3 2014","Currency=USD","Period=FQ","BEST_FPERIOD_OVERRIDE=FQ","FILING_STATUS=MR","FA_ADJUSTED=GAAP","Sort=A","Dates=H","DateFormat=P","Fill=—","Direction=H","UseDPDF=Y")</f>
        <v>14.7796</v>
      </c>
      <c r="Q16" s="20">
        <f>_xll.BDH("BRK/A US Equity","OPER_MARGIN","FQ4 2014","FQ4 2014","Currency=USD","Period=FQ","BEST_FPERIOD_OVERRIDE=FQ","FILING_STATUS=MR","FA_ADJUSTED=GAAP","Sort=A","Dates=H","DateFormat=P","Fill=—","Direction=H","UseDPDF=Y")</f>
        <v>13.8697</v>
      </c>
      <c r="R16" s="20">
        <f>_xll.BDH("BRK/A US Equity","OPER_MARGIN","FQ1 2015","FQ1 2015","Currency=USD","Period=FQ","BEST_FPERIOD_OVERRIDE=FQ","FILING_STATUS=MR","FA_ADJUSTED=GAAP","Sort=A","Dates=H","DateFormat=P","Fill=—","Direction=H","UseDPDF=Y")</f>
        <v>17.519100000000002</v>
      </c>
      <c r="S16" s="20">
        <f>_xll.BDH("BRK/A US Equity","OPER_MARGIN","FQ2 2015","FQ2 2015","Currency=USD","Period=FQ","BEST_FPERIOD_OVERRIDE=FQ","FILING_STATUS=MR","FA_ADJUSTED=GAAP","Sort=A","Dates=H","DateFormat=P","Fill=—","Direction=H","UseDPDF=Y")</f>
        <v>13.2631</v>
      </c>
      <c r="T16" s="20">
        <f>_xll.BDH("BRK/A US Equity","OPER_MARGIN","FQ3 2015","FQ3 2015","Currency=USD","Period=FQ","BEST_FPERIOD_OVERRIDE=FQ","FILING_STATUS=MR","FA_ADJUSTED=GAAP","Sort=A","Dates=H","DateFormat=P","Fill=—","Direction=H","UseDPDF=Y")</f>
        <v>25.3217</v>
      </c>
      <c r="U16" s="20">
        <f>_xll.BDH("BRK/A US Equity","OPER_MARGIN","FQ4 2015","FQ4 2015","Currency=USD","Period=FQ","BEST_FPERIOD_OVERRIDE=FQ","FILING_STATUS=MR","FA_ADJUSTED=GAAP","Sort=A","Dates=H","DateFormat=P","Fill=—","Direction=H","UseDPDF=Y")</f>
        <v>16.000499999999999</v>
      </c>
      <c r="V16" s="20">
        <f>_xll.BDH("BRK/A US Equity","OPER_MARGIN","FQ1 2016","FQ1 2016","Currency=USD","Period=FQ","BEST_FPERIOD_OVERRIDE=FQ","FILING_STATUS=MR","FA_ADJUSTED=GAAP","Sort=A","Dates=H","DateFormat=P","Fill=—","Direction=H","UseDPDF=Y")</f>
        <v>14.1652</v>
      </c>
      <c r="W16" s="20">
        <f>_xll.BDH("BRK/A US Equity","OPER_MARGIN","FQ2 2016","FQ2 2016","Currency=USD","Period=FQ","BEST_FPERIOD_OVERRIDE=FQ","FILING_STATUS=MR","FA_ADJUSTED=GAAP","Sort=A","Dates=H","DateFormat=P","Fill=—","Direction=H","UseDPDF=Y")</f>
        <v>14.5482</v>
      </c>
      <c r="X16" s="20">
        <f>_xll.BDH("BRK/A US Equity","OPER_MARGIN","FQ3 2016","FQ3 2016","Currency=USD","Period=FQ","BEST_FPERIOD_OVERRIDE=FQ","FILING_STATUS=MR","FA_ADJUSTED=GAAP","Sort=A","Dates=H","DateFormat=P","Fill=—","Direction=H","UseDPDF=Y")</f>
        <v>19.276700000000002</v>
      </c>
      <c r="Y16" s="20">
        <f>_xll.BDH("BRK/A US Equity","OPER_MARGIN","FQ4 2016","FQ4 2016","Currency=USD","Period=FQ","BEST_FPERIOD_OVERRIDE=FQ","FILING_STATUS=MR","FA_ADJUSTED=GAAP","Sort=A","Dates=H","DateFormat=P","Fill=—","Direction=H","UseDPDF=Y")</f>
        <v>16.634</v>
      </c>
      <c r="Z16" s="20">
        <f>_xll.BDH("BRK/A US Equity","OPER_MARGIN","FQ1 2017","FQ1 2017","Currency=USD","Period=FQ","BEST_FPERIOD_OVERRIDE=FQ","FILING_STATUS=MR","FA_ADJUSTED=GAAP","Sort=A","Dates=H","DateFormat=P","Fill=—","Direction=H","UseDPDF=Y")</f>
        <v>9.9377999999999993</v>
      </c>
      <c r="AA16" s="20">
        <f>_xll.BDH("BRK/A US Equity","OPER_MARGIN","FQ2 2017","FQ2 2017","Currency=USD","Period=FQ","BEST_FPERIOD_OVERRIDE=FQ","FILING_STATUS=MR","FA_ADJUSTED=GAAP","Sort=A","Dates=H","DateFormat=P","Fill=—","Direction=H","UseDPDF=Y")</f>
        <v>12.670299999999999</v>
      </c>
      <c r="AB16" s="20">
        <f>_xll.BDH("BRK/A US Equity","OPER_MARGIN","FQ3 2017","FQ3 2017","Currency=USD","Period=FQ","BEST_FPERIOD_OVERRIDE=FQ","FILING_STATUS=MR","FA_ADJUSTED=GAAP","Sort=A","Dates=H","DateFormat=P","Fill=—","Direction=H","UseDPDF=Y")</f>
        <v>10.8447</v>
      </c>
      <c r="AC16" s="20">
        <f>_xll.BDH("BRK/A US Equity","OPER_MARGIN","FQ4 2017","FQ4 2017","Currency=USD","Period=FQ","BEST_FPERIOD_OVERRIDE=FQ","FILING_STATUS=MR","FA_ADJUSTED=GAAP","Sort=A","Dates=H","DateFormat=P","Fill=—","Direction=H","UseDPDF=Y")</f>
        <v>8.3018000000000001</v>
      </c>
      <c r="AD16" s="20">
        <f>_xll.BDH("BRK/A US Equity","OPER_MARGIN","FQ1 2018","FQ1 2018","Currency=USD","Period=FQ","BEST_FPERIOD_OVERRIDE=FQ","FILING_STATUS=MR","FA_ADJUSTED=GAAP","Sort=A","Dates=H","DateFormat=P","Fill=—","Direction=H","UseDPDF=Y")</f>
        <v>-1.8808</v>
      </c>
      <c r="AE16" s="20">
        <f>_xll.BDH("BRK/A US Equity","OPER_MARGIN","FQ2 2018","FQ2 2018","Currency=USD","Period=FQ","BEST_FPERIOD_OVERRIDE=FQ","FILING_STATUS=MR","FA_ADJUSTED=GAAP","Sort=A","Dates=H","DateFormat=P","Fill=—","Direction=H","UseDPDF=Y")</f>
        <v>22.939799999999998</v>
      </c>
      <c r="AF16" s="20">
        <f>_xll.BDH("BRK/A US Equity","OPER_MARGIN","FQ3 2018","FQ3 2018","Currency=USD","Period=FQ","BEST_FPERIOD_OVERRIDE=FQ","FILING_STATUS=MR","FA_ADJUSTED=GAAP","Sort=A","Dates=H","DateFormat=P","Fill=—","Direction=H","UseDPDF=Y")</f>
        <v>30.427599999999998</v>
      </c>
      <c r="AG16" s="20">
        <f>_xll.BDH("BRK/A US Equity","OPER_MARGIN","FQ4 2018","FQ4 2018","Currency=USD","Period=FQ","BEST_FPERIOD_OVERRIDE=FQ","FILING_STATUS=MR","FA_ADJUSTED=GAAP","Sort=A","Dates=H","DateFormat=P","Fill=—","Direction=H","UseDPDF=Y")</f>
        <v>-101.1806</v>
      </c>
      <c r="AH16" s="20">
        <f>_xll.BDH("BRK/A US Equity","OPER_MARGIN","FQ1 2019","FQ1 2019","Currency=USD","Period=FQ","BEST_FPERIOD_OVERRIDE=FQ","FILING_STATUS=MR","FA_ADJUSTED=GAAP","Sort=A","Dates=H","DateFormat=P","Fill=—","Direction=H","UseDPDF=Y")</f>
        <v>35.148099999999999</v>
      </c>
      <c r="AI16" s="20">
        <f>_xll.BDH("BRK/A US Equity","OPER_MARGIN","FQ2 2019","FQ2 2019","Currency=USD","Period=FQ","BEST_FPERIOD_OVERRIDE=FQ","FILING_STATUS=MR","FA_ADJUSTED=GAAP","Sort=A","Dates=H","DateFormat=P","Fill=—","Direction=H","UseDPDF=Y")</f>
        <v>25.2926</v>
      </c>
      <c r="AJ16" s="20">
        <f>_xll.BDH("BRK/A US Equity","OPER_MARGIN","FQ3 2019","FQ3 2019","Currency=USD","Period=FQ","BEST_FPERIOD_OVERRIDE=FQ","FILING_STATUS=MR","FA_ADJUSTED=GAAP","Sort=A","Dates=H","DateFormat=P","Fill=—","Direction=H","UseDPDF=Y")</f>
        <v>27.444700000000001</v>
      </c>
      <c r="AK16" s="20">
        <f>_xll.BDH("BRK/A US Equity","OPER_MARGIN","FQ4 2019","FQ4 2019","Currency=USD","Period=FQ","BEST_FPERIOD_OVERRIDE=FQ","FILING_STATUS=MR","FA_ADJUSTED=GAAP","Sort=A","Dates=H","DateFormat=P","Fill=—","Direction=H","UseDPDF=Y")</f>
        <v>38.844000000000001</v>
      </c>
      <c r="AL16" s="20" t="str">
        <f>_xll.BDH("BRK/A US Equity","OPER_MARGIN","FQ1 2020","FQ1 2020","Currency=USD","Period=FQ","BEST_FPERIOD_OVERRIDE=FQ","FILING_STATUS=MR","FA_ADJUSTED=GAAP","Sort=A","Dates=H","DateFormat=P","Fill=—","Direction=H","UseDPDF=Y")</f>
        <v>—</v>
      </c>
      <c r="AM16" s="20">
        <f>_xll.BDH("BRK/A US Equity","OPER_MARGIN","FQ2 2020","FQ2 2020","Currency=USD","Period=FQ","BEST_FPERIOD_OVERRIDE=FQ","FILING_STATUS=MR","FA_ADJUSTED=GAAP","Sort=A","Dates=H","DateFormat=P","Fill=—","Direction=H","UseDPDF=Y")</f>
        <v>37.831299999999999</v>
      </c>
      <c r="AN16" s="20">
        <f>_xll.BDH("BRK/A US Equity","OPER_MARGIN","FQ3 2020","FQ3 2020","Currency=USD","Period=FQ","BEST_FPERIOD_OVERRIDE=FQ","FILING_STATUS=MR","FA_ADJUSTED=GAAP","Sort=A","Dates=H","DateFormat=P","Fill=—","Direction=H","UseDPDF=Y")</f>
        <v>40.8431</v>
      </c>
      <c r="AO16" s="20">
        <f>_xll.BDH("BRK/A US Equity","OPER_MARGIN","FQ4 2020","FQ4 2020","Currency=USD","Period=FQ","BEST_FPERIOD_OVERRIDE=FQ","FILING_STATUS=MR","FA_ADJUSTED=GAAP","Sort=A","Dates=H","DateFormat=P","Fill=—","Direction=H","UseDPDF=Y")</f>
        <v>44.408299999999997</v>
      </c>
      <c r="AP16" s="20">
        <f>_xll.BDH("BRK/A US Equity","OPER_MARGIN","FQ1 2021","FQ1 2021","Currency=USD","Period=FQ","BEST_FPERIOD_OVERRIDE=FQ","FILING_STATUS=MR","FA_ADJUSTED=GAAP","Sort=A","Dates=H","DateFormat=P","Fill=—","Direction=H","UseDPDF=Y")</f>
        <v>21.802599999999998</v>
      </c>
    </row>
    <row r="17" spans="1:42" x14ac:dyDescent="0.25">
      <c r="A17" s="17" t="s">
        <v>102</v>
      </c>
      <c r="B17" s="17" t="s">
        <v>103</v>
      </c>
      <c r="C17" s="20">
        <f>_xll.BDH("BRK/A US Equity","INCREMENTAL_OPERATING_MARGIN","FQ2 2011","FQ2 2011","Currency=USD","Period=FQ","BEST_FPERIOD_OVERRIDE=FQ","FILING_STATUS=MR","FA_ADJUSTED=GAAP","Sort=A","Dates=H","DateFormat=P","Fill=—","Direction=H","UseDPDF=Y")</f>
        <v>35.8264</v>
      </c>
      <c r="D17" s="20">
        <f>_xll.BDH("BRK/A US Equity","INCREMENTAL_OPERATING_MARGIN","FQ3 2011","FQ3 2011","Currency=USD","Period=FQ","BEST_FPERIOD_OVERRIDE=FQ","FILING_STATUS=MR","FA_ADJUSTED=GAAP","Sort=A","Dates=H","DateFormat=P","Fill=—","Direction=H","UseDPDF=Y")</f>
        <v>-46.153799999999997</v>
      </c>
      <c r="E17" s="20" t="str">
        <f>_xll.BDH("BRK/A US Equity","INCREMENTAL_OPERATING_MARGIN","FQ4 2011","FQ4 2011","Currency=USD","Period=FQ","BEST_FPERIOD_OVERRIDE=FQ","FILING_STATUS=MR","FA_ADJUSTED=GAAP","Sort=A","Dates=H","DateFormat=P","Fill=—","Direction=H","UseDPDF=Y")</f>
        <v>—</v>
      </c>
      <c r="F17" s="20">
        <f>_xll.BDH("BRK/A US Equity","INCREMENTAL_OPERATING_MARGIN","FQ1 2012","FQ1 2012","Currency=USD","Period=FQ","BEST_FPERIOD_OVERRIDE=FQ","FILING_STATUS=MR","FA_ADJUSTED=GAAP","Sort=A","Dates=H","DateFormat=P","Fill=—","Direction=H","UseDPDF=Y")</f>
        <v>61.667000000000002</v>
      </c>
      <c r="G17" s="20" t="str">
        <f>_xll.BDH("BRK/A US Equity","INCREMENTAL_OPERATING_MARGIN","FQ2 2012","FQ2 2012","Currency=USD","Period=FQ","BEST_FPERIOD_OVERRIDE=FQ","FILING_STATUS=MR","FA_ADJUSTED=GAAP","Sort=A","Dates=H","DateFormat=P","Fill=—","Direction=H","UseDPDF=Y")</f>
        <v>—</v>
      </c>
      <c r="H17" s="20">
        <f>_xll.BDH("BRK/A US Equity","INCREMENTAL_OPERATING_MARGIN","FQ3 2012","FQ3 2012","Currency=USD","Period=FQ","BEST_FPERIOD_OVERRIDE=FQ","FILING_STATUS=MR","FA_ADJUSTED=GAAP","Sort=A","Dates=H","DateFormat=P","Fill=—","Direction=H","UseDPDF=Y")</f>
        <v>35.508099999999999</v>
      </c>
      <c r="I17" s="20">
        <f>_xll.BDH("BRK/A US Equity","INCREMENTAL_OPERATING_MARGIN","FQ4 2012","FQ4 2012","Currency=USD","Period=FQ","BEST_FPERIOD_OVERRIDE=FQ","FILING_STATUS=MR","FA_ADJUSTED=GAAP","Sort=A","Dates=H","DateFormat=P","Fill=—","Direction=H","UseDPDF=Y")</f>
        <v>33.880299999999998</v>
      </c>
      <c r="J17" s="20">
        <f>_xll.BDH("BRK/A US Equity","INCREMENTAL_OPERATING_MARGIN","FQ1 2013","FQ1 2013","Currency=USD","Period=FQ","BEST_FPERIOD_OVERRIDE=FQ","FILING_STATUS=MR","FA_ADJUSTED=GAAP","Sort=A","Dates=H","DateFormat=P","Fill=—","Direction=H","UseDPDF=Y")</f>
        <v>41.241300000000003</v>
      </c>
      <c r="K17" s="20">
        <f>_xll.BDH("BRK/A US Equity","INCREMENTAL_OPERATING_MARGIN","FQ2 2013","FQ2 2013","Currency=USD","Period=FQ","BEST_FPERIOD_OVERRIDE=FQ","FILING_STATUS=MR","FA_ADJUSTED=GAAP","Sort=A","Dates=H","DateFormat=P","Fill=—","Direction=H","UseDPDF=Y")</f>
        <v>36.944899999999997</v>
      </c>
      <c r="L17" s="20">
        <f>_xll.BDH("BRK/A US Equity","INCREMENTAL_OPERATING_MARGIN","FQ3 2013","FQ3 2013","Currency=USD","Period=FQ","BEST_FPERIOD_OVERRIDE=FQ","FILING_STATUS=MR","FA_ADJUSTED=GAAP","Sort=A","Dates=H","DateFormat=P","Fill=—","Direction=H","UseDPDF=Y")</f>
        <v>26.516100000000002</v>
      </c>
      <c r="M17" s="20">
        <f>_xll.BDH("BRK/A US Equity","INCREMENTAL_OPERATING_MARGIN","FQ4 2013","FQ4 2013","Currency=USD","Period=FQ","BEST_FPERIOD_OVERRIDE=FQ","FILING_STATUS=MR","FA_ADJUSTED=GAAP","Sort=A","Dates=H","DateFormat=P","Fill=—","Direction=H","UseDPDF=Y")</f>
        <v>22.799499999999998</v>
      </c>
      <c r="N17" s="20" t="str">
        <f>_xll.BDH("BRK/A US Equity","INCREMENTAL_OPERATING_MARGIN","FQ1 2014","FQ1 2014","Currency=USD","Period=FQ","BEST_FPERIOD_OVERRIDE=FQ","FILING_STATUS=MR","FA_ADJUSTED=GAAP","Sort=A","Dates=H","DateFormat=P","Fill=—","Direction=H","UseDPDF=Y")</f>
        <v>—</v>
      </c>
      <c r="O17" s="20">
        <f>_xll.BDH("BRK/A US Equity","INCREMENTAL_OPERATING_MARGIN","FQ2 2014","FQ2 2014","Currency=USD","Period=FQ","BEST_FPERIOD_OVERRIDE=FQ","FILING_STATUS=MR","FA_ADJUSTED=GAAP","Sort=A","Dates=H","DateFormat=P","Fill=—","Direction=H","UseDPDF=Y")</f>
        <v>42.572499999999998</v>
      </c>
      <c r="P17" s="20" t="str">
        <f>_xll.BDH("BRK/A US Equity","INCREMENTAL_OPERATING_MARGIN","FQ3 2014","FQ3 2014","Currency=USD","Period=FQ","BEST_FPERIOD_OVERRIDE=FQ","FILING_STATUS=MR","FA_ADJUSTED=GAAP","Sort=A","Dates=H","DateFormat=P","Fill=—","Direction=H","UseDPDF=Y")</f>
        <v>—</v>
      </c>
      <c r="Q17" s="20" t="str">
        <f>_xll.BDH("BRK/A US Equity","INCREMENTAL_OPERATING_MARGIN","FQ4 2014","FQ4 2014","Currency=USD","Period=FQ","BEST_FPERIOD_OVERRIDE=FQ","FILING_STATUS=MR","FA_ADJUSTED=GAAP","Sort=A","Dates=H","DateFormat=P","Fill=—","Direction=H","UseDPDF=Y")</f>
        <v>—</v>
      </c>
      <c r="R17" s="20">
        <f>_xll.BDH("BRK/A US Equity","INCREMENTAL_OPERATING_MARGIN","FQ1 2015","FQ1 2015","Currency=USD","Period=FQ","BEST_FPERIOD_OVERRIDE=FQ","FILING_STATUS=MR","FA_ADJUSTED=GAAP","Sort=A","Dates=H","DateFormat=P","Fill=—","Direction=H","UseDPDF=Y")</f>
        <v>35.788200000000003</v>
      </c>
      <c r="S17" s="20" t="str">
        <f>_xll.BDH("BRK/A US Equity","INCREMENTAL_OPERATING_MARGIN","FQ2 2015","FQ2 2015","Currency=USD","Period=FQ","BEST_FPERIOD_OVERRIDE=FQ","FILING_STATUS=MR","FA_ADJUSTED=GAAP","Sort=A","Dates=H","DateFormat=P","Fill=—","Direction=H","UseDPDF=Y")</f>
        <v>—</v>
      </c>
      <c r="T17" s="20">
        <f>_xll.BDH("BRK/A US Equity","INCREMENTAL_OPERATING_MARGIN","FQ3 2015","FQ3 2015","Currency=USD","Period=FQ","BEST_FPERIOD_OVERRIDE=FQ","FILING_STATUS=MR","FA_ADJUSTED=GAAP","Sort=A","Dates=H","DateFormat=P","Fill=—","Direction=H","UseDPDF=Y")</f>
        <v>94.608500000000006</v>
      </c>
      <c r="U17" s="20">
        <f>_xll.BDH("BRK/A US Equity","INCREMENTAL_OPERATING_MARGIN","FQ4 2015","FQ4 2015","Currency=USD","Period=FQ","BEST_FPERIOD_OVERRIDE=FQ","FILING_STATUS=MR","FA_ADJUSTED=GAAP","Sort=A","Dates=H","DateFormat=P","Fill=—","Direction=H","UseDPDF=Y")</f>
        <v>44.134500000000003</v>
      </c>
      <c r="V17" s="20" t="str">
        <f>_xll.BDH("BRK/A US Equity","INCREMENTAL_OPERATING_MARGIN","FQ1 2016","FQ1 2016","Currency=USD","Period=FQ","BEST_FPERIOD_OVERRIDE=FQ","FILING_STATUS=MR","FA_ADJUSTED=GAAP","Sort=A","Dates=H","DateFormat=P","Fill=—","Direction=H","UseDPDF=Y")</f>
        <v>—</v>
      </c>
      <c r="W17" s="20">
        <f>_xll.BDH("BRK/A US Equity","INCREMENTAL_OPERATING_MARGIN","FQ2 2016","FQ2 2016","Currency=USD","Period=FQ","BEST_FPERIOD_OVERRIDE=FQ","FILING_STATUS=MR","FA_ADJUSTED=GAAP","Sort=A","Dates=H","DateFormat=P","Fill=—","Direction=H","UseDPDF=Y")</f>
        <v>37.421999999999997</v>
      </c>
      <c r="X17" s="20">
        <f>_xll.BDH("BRK/A US Equity","INCREMENTAL_OPERATING_MARGIN","FQ3 2016","FQ3 2016","Currency=USD","Period=FQ","BEST_FPERIOD_OVERRIDE=FQ","FILING_STATUS=MR","FA_ADJUSTED=GAAP","Sort=A","Dates=H","DateFormat=P","Fill=—","Direction=H","UseDPDF=Y")</f>
        <v>-2461.6437999999998</v>
      </c>
      <c r="Y17" s="20">
        <f>_xll.BDH("BRK/A US Equity","INCREMENTAL_OPERATING_MARGIN","FQ4 2016","FQ4 2016","Currency=USD","Period=FQ","BEST_FPERIOD_OVERRIDE=FQ","FILING_STATUS=MR","FA_ADJUSTED=GAAP","Sort=A","Dates=H","DateFormat=P","Fill=—","Direction=H","UseDPDF=Y")</f>
        <v>21.927299999999999</v>
      </c>
      <c r="Z17" s="20" t="str">
        <f>_xll.BDH("BRK/A US Equity","INCREMENTAL_OPERATING_MARGIN","FQ1 2017","FQ1 2017","Currency=USD","Period=FQ","BEST_FPERIOD_OVERRIDE=FQ","FILING_STATUS=MR","FA_ADJUSTED=GAAP","Sort=A","Dates=H","DateFormat=P","Fill=—","Direction=H","UseDPDF=Y")</f>
        <v>—</v>
      </c>
      <c r="AA17" s="20" t="str">
        <f>_xll.BDH("BRK/A US Equity","INCREMENTAL_OPERATING_MARGIN","FQ2 2017","FQ2 2017","Currency=USD","Period=FQ","BEST_FPERIOD_OVERRIDE=FQ","FILING_STATUS=MR","FA_ADJUSTED=GAAP","Sort=A","Dates=H","DateFormat=P","Fill=—","Direction=H","UseDPDF=Y")</f>
        <v>—</v>
      </c>
      <c r="AB17" s="20" t="str">
        <f>_xll.BDH("BRK/A US Equity","INCREMENTAL_OPERATING_MARGIN","FQ3 2017","FQ3 2017","Currency=USD","Period=FQ","BEST_FPERIOD_OVERRIDE=FQ","FILING_STATUS=MR","FA_ADJUSTED=GAAP","Sort=A","Dates=H","DateFormat=P","Fill=—","Direction=H","UseDPDF=Y")</f>
        <v>—</v>
      </c>
      <c r="AC17" s="20" t="str">
        <f>_xll.BDH("BRK/A US Equity","INCREMENTAL_OPERATING_MARGIN","FQ4 2017","FQ4 2017","Currency=USD","Period=FQ","BEST_FPERIOD_OVERRIDE=FQ","FILING_STATUS=MR","FA_ADJUSTED=GAAP","Sort=A","Dates=H","DateFormat=P","Fill=—","Direction=H","UseDPDF=Y")</f>
        <v>—</v>
      </c>
      <c r="AD17" s="20">
        <f>_xll.BDH("BRK/A US Equity","INCREMENTAL_OPERATING_MARGIN","FQ1 2018","FQ1 2018","Currency=USD","Period=FQ","BEST_FPERIOD_OVERRIDE=FQ","FILING_STATUS=MR","FA_ADJUSTED=GAAP","Sort=A","Dates=H","DateFormat=P","Fill=—","Direction=H","UseDPDF=Y")</f>
        <v>-50.5413</v>
      </c>
      <c r="AE17" s="20">
        <f>_xll.BDH("BRK/A US Equity","INCREMENTAL_OPERATING_MARGIN","FQ2 2018","FQ2 2018","Currency=USD","Period=FQ","BEST_FPERIOD_OVERRIDE=FQ","FILING_STATUS=MR","FA_ADJUSTED=GAAP","Sort=A","Dates=H","DateFormat=P","Fill=—","Direction=H","UseDPDF=Y")</f>
        <v>76.211500000000001</v>
      </c>
      <c r="AF17" s="20">
        <f>_xll.BDH("BRK/A US Equity","INCREMENTAL_OPERATING_MARGIN","FQ3 2018","FQ3 2018","Currency=USD","Period=FQ","BEST_FPERIOD_OVERRIDE=FQ","FILING_STATUS=MR","FA_ADJUSTED=GAAP","Sort=A","Dates=H","DateFormat=P","Fill=—","Direction=H","UseDPDF=Y")</f>
        <v>97.393100000000004</v>
      </c>
      <c r="AG17" s="20">
        <f>_xll.BDH("BRK/A US Equity","INCREMENTAL_OPERATING_MARGIN","FQ4 2018","FQ4 2018","Currency=USD","Period=FQ","BEST_FPERIOD_OVERRIDE=FQ","FILING_STATUS=MR","FA_ADJUSTED=GAAP","Sort=A","Dates=H","DateFormat=P","Fill=—","Direction=H","UseDPDF=Y")</f>
        <v>-108.7037</v>
      </c>
      <c r="AH17" s="20">
        <f>_xll.BDH("BRK/A US Equity","INCREMENTAL_OPERATING_MARGIN","FQ1 2019","FQ1 2019","Currency=USD","Period=FQ","BEST_FPERIOD_OVERRIDE=FQ","FILING_STATUS=MR","FA_ADJUSTED=GAAP","Sort=A","Dates=H","DateFormat=P","Fill=—","Direction=H","UseDPDF=Y")</f>
        <v>96.323099999999997</v>
      </c>
      <c r="AI17" s="20">
        <f>_xll.BDH("BRK/A US Equity","INCREMENTAL_OPERATING_MARGIN","FQ2 2019","FQ2 2019","Currency=USD","Period=FQ","BEST_FPERIOD_OVERRIDE=FQ","FILING_STATUS=MR","FA_ADJUSTED=GAAP","Sort=A","Dates=H","DateFormat=P","Fill=—","Direction=H","UseDPDF=Y")</f>
        <v>57.021999999999998</v>
      </c>
      <c r="AJ17" s="20">
        <f>_xll.BDH("BRK/A US Equity","INCREMENTAL_OPERATING_MARGIN","FQ3 2019","FQ3 2019","Currency=USD","Period=FQ","BEST_FPERIOD_OVERRIDE=FQ","FILING_STATUS=MR","FA_ADJUSTED=GAAP","Sort=A","Dates=H","DateFormat=P","Fill=—","Direction=H","UseDPDF=Y")</f>
        <v>-130.6909</v>
      </c>
      <c r="AK17" s="20">
        <f>_xll.BDH("BRK/A US Equity","INCREMENTAL_OPERATING_MARGIN","FQ4 2019","FQ4 2019","Currency=USD","Period=FQ","BEST_FPERIOD_OVERRIDE=FQ","FILING_STATUS=MR","FA_ADJUSTED=GAAP","Sort=A","Dates=H","DateFormat=P","Fill=—","Direction=H","UseDPDF=Y")</f>
        <v>96.524199999999993</v>
      </c>
      <c r="AL17" s="20">
        <f>_xll.BDH("BRK/A US Equity","INCREMENTAL_OPERATING_MARGIN","FQ1 2020","FQ1 2020","Currency=USD","Period=FQ","BEST_FPERIOD_OVERRIDE=FQ","FILING_STATUS=MR","FA_ADJUSTED=GAAP","Sort=A","Dates=H","DateFormat=P","Fill=—","Direction=H","UseDPDF=Y")</f>
        <v>-100.8721</v>
      </c>
      <c r="AM17" s="20">
        <f>_xll.BDH("BRK/A US Equity","INCREMENTAL_OPERATING_MARGIN","FQ2 2020","FQ2 2020","Currency=USD","Period=FQ","BEST_FPERIOD_OVERRIDE=FQ","FILING_STATUS=MR","FA_ADJUSTED=GAAP","Sort=A","Dates=H","DateFormat=P","Fill=—","Direction=H","UseDPDF=Y")</f>
        <v>77.498999999999995</v>
      </c>
      <c r="AN17" s="20">
        <f>_xll.BDH("BRK/A US Equity","INCREMENTAL_OPERATING_MARGIN","FQ3 2020","FQ3 2020","Currency=USD","Period=FQ","BEST_FPERIOD_OVERRIDE=FQ","FILING_STATUS=MR","FA_ADJUSTED=GAAP","Sort=A","Dates=H","DateFormat=P","Fill=—","Direction=H","UseDPDF=Y")</f>
        <v>95.1999</v>
      </c>
      <c r="AO17" s="20">
        <f>_xll.BDH("BRK/A US Equity","INCREMENTAL_OPERATING_MARGIN","FQ4 2020","FQ4 2020","Currency=USD","Period=FQ","BEST_FPERIOD_OVERRIDE=FQ","FILING_STATUS=MR","FA_ADJUSTED=GAAP","Sort=A","Dates=H","DateFormat=P","Fill=—","Direction=H","UseDPDF=Y")</f>
        <v>120.6491</v>
      </c>
      <c r="AP17" s="20">
        <f>_xll.BDH("BRK/A US Equity","INCREMENTAL_OPERATING_MARGIN","FQ1 2021","FQ1 2021","Currency=USD","Period=FQ","BEST_FPERIOD_OVERRIDE=FQ","FILING_STATUS=MR","FA_ADJUSTED=GAAP","Sort=A","Dates=H","DateFormat=P","Fill=—","Direction=H","UseDPDF=Y")</f>
        <v>97.910700000000006</v>
      </c>
    </row>
    <row r="18" spans="1:42" x14ac:dyDescent="0.25">
      <c r="A18" s="17" t="s">
        <v>104</v>
      </c>
      <c r="B18" s="17" t="s">
        <v>105</v>
      </c>
      <c r="C18" s="20">
        <f>_xll.BDH("BRK/A US Equity","PRETAX_INC_TO_NET_SALES","FQ2 2011","FQ2 2011","Currency=USD","Period=FQ","BEST_FPERIOD_OVERRIDE=FQ","FILING_STATUS=MR","FA_ADJUSTED=GAAP","Sort=A","Dates=H","DateFormat=P","Fill=—","Direction=H","UseDPDF=Y")</f>
        <v>13.7561</v>
      </c>
      <c r="D18" s="20">
        <f>_xll.BDH("BRK/A US Equity","PRETAX_INC_TO_NET_SALES","FQ3 2011","FQ3 2011","Currency=USD","Period=FQ","BEST_FPERIOD_OVERRIDE=FQ","FILING_STATUS=MR","FA_ADJUSTED=GAAP","Sort=A","Dates=H","DateFormat=P","Fill=—","Direction=H","UseDPDF=Y")</f>
        <v>9.9677000000000007</v>
      </c>
      <c r="E18" s="20">
        <f>_xll.BDH("BRK/A US Equity","PRETAX_INC_TO_NET_SALES","FQ4 2011","FQ4 2011","Currency=USD","Period=FQ","BEST_FPERIOD_OVERRIDE=FQ","FILING_STATUS=MR","FA_ADJUSTED=GAAP","Sort=A","Dates=H","DateFormat=P","Fill=—","Direction=H","UseDPDF=Y")</f>
        <v>11.729699999999999</v>
      </c>
      <c r="F18" s="20">
        <f>_xll.BDH("BRK/A US Equity","PRETAX_INC_TO_NET_SALES","FQ1 2012","FQ1 2012","Currency=USD","Period=FQ","BEST_FPERIOD_OVERRIDE=FQ","FILING_STATUS=MR","FA_ADJUSTED=GAAP","Sort=A","Dates=H","DateFormat=P","Fill=—","Direction=H","UseDPDF=Y")</f>
        <v>12.926299999999999</v>
      </c>
      <c r="G18" s="20">
        <f>_xll.BDH("BRK/A US Equity","PRETAX_INC_TO_NET_SALES","FQ2 2012","FQ2 2012","Currency=USD","Period=FQ","BEST_FPERIOD_OVERRIDE=FQ","FILING_STATUS=MR","FA_ADJUSTED=GAAP","Sort=A","Dates=H","DateFormat=P","Fill=—","Direction=H","UseDPDF=Y")</f>
        <v>11.9727</v>
      </c>
      <c r="H18" s="20">
        <f>_xll.BDH("BRK/A US Equity","PRETAX_INC_TO_NET_SALES","FQ3 2012","FQ3 2012","Currency=USD","Period=FQ","BEST_FPERIOD_OVERRIDE=FQ","FILING_STATUS=MR","FA_ADJUSTED=GAAP","Sort=A","Dates=H","DateFormat=P","Fill=—","Direction=H","UseDPDF=Y")</f>
        <v>14.4604</v>
      </c>
      <c r="I18" s="20">
        <f>_xll.BDH("BRK/A US Equity","PRETAX_INC_TO_NET_SALES","FQ4 2012","FQ4 2012","Currency=USD","Period=FQ","BEST_FPERIOD_OVERRIDE=FQ","FILING_STATUS=MR","FA_ADJUSTED=GAAP","Sort=A","Dates=H","DateFormat=P","Fill=—","Direction=H","UseDPDF=Y")</f>
        <v>15.1029</v>
      </c>
      <c r="J18" s="20">
        <f>_xll.BDH("BRK/A US Equity","PRETAX_INC_TO_NET_SALES","FQ1 2013","FQ1 2013","Currency=USD","Period=FQ","BEST_FPERIOD_OVERRIDE=FQ","FILING_STATUS=MR","FA_ADJUSTED=GAAP","Sort=A","Dates=H","DateFormat=P","Fill=—","Direction=H","UseDPDF=Y")</f>
        <v>16.629799999999999</v>
      </c>
      <c r="K18" s="20">
        <f>_xll.BDH("BRK/A US Equity","PRETAX_INC_TO_NET_SALES","FQ2 2013","FQ2 2013","Currency=USD","Period=FQ","BEST_FPERIOD_OVERRIDE=FQ","FILING_STATUS=MR","FA_ADJUSTED=GAAP","Sort=A","Dates=H","DateFormat=P","Fill=—","Direction=H","UseDPDF=Y")</f>
        <v>15.4185</v>
      </c>
      <c r="L18" s="20">
        <f>_xll.BDH("BRK/A US Equity","PRETAX_INC_TO_NET_SALES","FQ3 2013","FQ3 2013","Currency=USD","Period=FQ","BEST_FPERIOD_OVERRIDE=FQ","FILING_STATUS=MR","FA_ADJUSTED=GAAP","Sort=A","Dates=H","DateFormat=P","Fill=—","Direction=H","UseDPDF=Y")</f>
        <v>15.8527</v>
      </c>
      <c r="M18" s="20">
        <f>_xll.BDH("BRK/A US Equity","PRETAX_INC_TO_NET_SALES","FQ4 2013","FQ4 2013","Currency=USD","Period=FQ","BEST_FPERIOD_OVERRIDE=FQ","FILING_STATUS=MR","FA_ADJUSTED=GAAP","Sort=A","Dates=H","DateFormat=P","Fill=—","Direction=H","UseDPDF=Y")</f>
        <v>15.3712</v>
      </c>
      <c r="N18" s="20">
        <f>_xll.BDH("BRK/A US Equity","PRETAX_INC_TO_NET_SALES","FQ1 2014","FQ1 2014","Currency=USD","Period=FQ","BEST_FPERIOD_OVERRIDE=FQ","FILING_STATUS=MR","FA_ADJUSTED=GAAP","Sort=A","Dates=H","DateFormat=P","Fill=—","Direction=H","UseDPDF=Y")</f>
        <v>14.5161</v>
      </c>
      <c r="O18" s="20">
        <f>_xll.BDH("BRK/A US Equity","PRETAX_INC_TO_NET_SALES","FQ2 2014","FQ2 2014","Currency=USD","Period=FQ","BEST_FPERIOD_OVERRIDE=FQ","FILING_STATUS=MR","FA_ADJUSTED=GAAP","Sort=A","Dates=H","DateFormat=P","Fill=—","Direction=H","UseDPDF=Y")</f>
        <v>17.917300000000001</v>
      </c>
      <c r="P18" s="20">
        <f>_xll.BDH("BRK/A US Equity","PRETAX_INC_TO_NET_SALES","FQ3 2014","FQ3 2014","Currency=USD","Period=FQ","BEST_FPERIOD_OVERRIDE=FQ","FILING_STATUS=MR","FA_ADJUSTED=GAAP","Sort=A","Dates=H","DateFormat=P","Fill=—","Direction=H","UseDPDF=Y")</f>
        <v>13.1839</v>
      </c>
      <c r="Q18" s="20">
        <f>_xll.BDH("BRK/A US Equity","PRETAX_INC_TO_NET_SALES","FQ4 2014","FQ4 2014","Currency=USD","Period=FQ","BEST_FPERIOD_OVERRIDE=FQ","FILING_STATUS=MR","FA_ADJUSTED=GAAP","Sort=A","Dates=H","DateFormat=P","Fill=—","Direction=H","UseDPDF=Y")</f>
        <v>12.0969</v>
      </c>
      <c r="R18" s="20">
        <f>_xll.BDH("BRK/A US Equity","PRETAX_INC_TO_NET_SALES","FQ1 2015","FQ1 2015","Currency=USD","Period=FQ","BEST_FPERIOD_OVERRIDE=FQ","FILING_STATUS=MR","FA_ADJUSTED=GAAP","Sort=A","Dates=H","DateFormat=P","Fill=—","Direction=H","UseDPDF=Y")</f>
        <v>15.7203</v>
      </c>
      <c r="S18" s="20">
        <f>_xll.BDH("BRK/A US Equity","PRETAX_INC_TO_NET_SALES","FQ2 2015","FQ2 2015","Currency=USD","Period=FQ","BEST_FPERIOD_OVERRIDE=FQ","FILING_STATUS=MR","FA_ADJUSTED=GAAP","Sort=A","Dates=H","DateFormat=P","Fill=—","Direction=H","UseDPDF=Y")</f>
        <v>11.380599999999999</v>
      </c>
      <c r="T18" s="20">
        <f>_xll.BDH("BRK/A US Equity","PRETAX_INC_TO_NET_SALES","FQ3 2015","FQ3 2015","Currency=USD","Period=FQ","BEST_FPERIOD_OVERRIDE=FQ","FILING_STATUS=MR","FA_ADJUSTED=GAAP","Sort=A","Dates=H","DateFormat=P","Fill=—","Direction=H","UseDPDF=Y")</f>
        <v>23.8553</v>
      </c>
      <c r="U18" s="20">
        <f>_xll.BDH("BRK/A US Equity","PRETAX_INC_TO_NET_SALES","FQ4 2015","FQ4 2015","Currency=USD","Period=FQ","BEST_FPERIOD_OVERRIDE=FQ","FILING_STATUS=MR","FA_ADJUSTED=GAAP","Sort=A","Dates=H","DateFormat=P","Fill=—","Direction=H","UseDPDF=Y")</f>
        <v>14.210100000000001</v>
      </c>
      <c r="V18" s="20">
        <f>_xll.BDH("BRK/A US Equity","PRETAX_INC_TO_NET_SALES","FQ1 2016","FQ1 2016","Currency=USD","Period=FQ","BEST_FPERIOD_OVERRIDE=FQ","FILING_STATUS=MR","FA_ADJUSTED=GAAP","Sort=A","Dates=H","DateFormat=P","Fill=—","Direction=H","UseDPDF=Y")</f>
        <v>12.3766</v>
      </c>
      <c r="W18" s="20">
        <f>_xll.BDH("BRK/A US Equity","PRETAX_INC_TO_NET_SALES","FQ2 2016","FQ2 2016","Currency=USD","Period=FQ","BEST_FPERIOD_OVERRIDE=FQ","FILING_STATUS=MR","FA_ADJUSTED=GAAP","Sort=A","Dates=H","DateFormat=P","Fill=—","Direction=H","UseDPDF=Y")</f>
        <v>13.587899999999999</v>
      </c>
      <c r="X18" s="20">
        <f>_xll.BDH("BRK/A US Equity","PRETAX_INC_TO_NET_SALES","FQ3 2016","FQ3 2016","Currency=USD","Period=FQ","BEST_FPERIOD_OVERRIDE=FQ","FILING_STATUS=MR","FA_ADJUSTED=GAAP","Sort=A","Dates=H","DateFormat=P","Fill=—","Direction=H","UseDPDF=Y")</f>
        <v>17.886600000000001</v>
      </c>
      <c r="Y18" s="20">
        <f>_xll.BDH("BRK/A US Equity","PRETAX_INC_TO_NET_SALES","FQ4 2016","FQ4 2016","Currency=USD","Period=FQ","BEST_FPERIOD_OVERRIDE=FQ","FILING_STATUS=MR","FA_ADJUSTED=GAAP","Sort=A","Dates=H","DateFormat=P","Fill=—","Direction=H","UseDPDF=Y")</f>
        <v>16.015000000000001</v>
      </c>
      <c r="Z18" s="20">
        <f>_xll.BDH("BRK/A US Equity","PRETAX_INC_TO_NET_SALES","FQ1 2017","FQ1 2017","Currency=USD","Period=FQ","BEST_FPERIOD_OVERRIDE=FQ","FILING_STATUS=MR","FA_ADJUSTED=GAAP","Sort=A","Dates=H","DateFormat=P","Fill=—","Direction=H","UseDPDF=Y")</f>
        <v>8.7312999999999992</v>
      </c>
      <c r="AA18" s="20">
        <f>_xll.BDH("BRK/A US Equity","PRETAX_INC_TO_NET_SALES","FQ2 2017","FQ2 2017","Currency=USD","Period=FQ","BEST_FPERIOD_OVERRIDE=FQ","FILING_STATUS=MR","FA_ADJUSTED=GAAP","Sort=A","Dates=H","DateFormat=P","Fill=—","Direction=H","UseDPDF=Y")</f>
        <v>10.662699999999999</v>
      </c>
      <c r="AB18" s="20">
        <f>_xll.BDH("BRK/A US Equity","PRETAX_INC_TO_NET_SALES","FQ3 2017","FQ3 2017","Currency=USD","Period=FQ","BEST_FPERIOD_OVERRIDE=FQ","FILING_STATUS=MR","FA_ADJUSTED=GAAP","Sort=A","Dates=H","DateFormat=P","Fill=—","Direction=H","UseDPDF=Y")</f>
        <v>9.3101000000000003</v>
      </c>
      <c r="AC18" s="20">
        <f>_xll.BDH("BRK/A US Equity","PRETAX_INC_TO_NET_SALES","FQ4 2017","FQ4 2017","Currency=USD","Period=FQ","BEST_FPERIOD_OVERRIDE=FQ","FILING_STATUS=MR","FA_ADJUSTED=GAAP","Sort=A","Dates=H","DateFormat=P","Fill=—","Direction=H","UseDPDF=Y")</f>
        <v>10.839</v>
      </c>
      <c r="AD18" s="20">
        <f>_xll.BDH("BRK/A US Equity","PRETAX_INC_TO_NET_SALES","FQ1 2018","FQ1 2018","Currency=USD","Period=FQ","BEST_FPERIOD_OVERRIDE=FQ","FILING_STATUS=MR","FA_ADJUSTED=GAAP","Sort=A","Dates=H","DateFormat=P","Fill=—","Direction=H","UseDPDF=Y")</f>
        <v>-3.0184000000000002</v>
      </c>
      <c r="AE18" s="20">
        <f>_xll.BDH("BRK/A US Equity","PRETAX_INC_TO_NET_SALES","FQ2 2018","FQ2 2018","Currency=USD","Period=FQ","BEST_FPERIOD_OVERRIDE=FQ","FILING_STATUS=MR","FA_ADJUSTED=GAAP","Sort=A","Dates=H","DateFormat=P","Fill=—","Direction=H","UseDPDF=Y")</f>
        <v>22.020900000000001</v>
      </c>
      <c r="AF18" s="20">
        <f>_xll.BDH("BRK/A US Equity","PRETAX_INC_TO_NET_SALES","FQ3 2018","FQ3 2018","Currency=USD","Period=FQ","BEST_FPERIOD_OVERRIDE=FQ","FILING_STATUS=MR","FA_ADJUSTED=GAAP","Sort=A","Dates=H","DateFormat=P","Fill=—","Direction=H","UseDPDF=Y")</f>
        <v>29.616399999999999</v>
      </c>
      <c r="AG18" s="20">
        <f>_xll.BDH("BRK/A US Equity","PRETAX_INC_TO_NET_SALES","FQ4 2018","FQ4 2018","Currency=USD","Period=FQ","BEST_FPERIOD_OVERRIDE=FQ","FILING_STATUS=MR","FA_ADJUSTED=GAAP","Sort=A","Dates=H","DateFormat=P","Fill=—","Direction=H","UseDPDF=Y")</f>
        <v>-116.0072</v>
      </c>
      <c r="AH18" s="20">
        <f>_xll.BDH("BRK/A US Equity","PRETAX_INC_TO_NET_SALES","FQ1 2019","FQ1 2019","Currency=USD","Period=FQ","BEST_FPERIOD_OVERRIDE=FQ","FILING_STATUS=MR","FA_ADJUSTED=GAAP","Sort=A","Dates=H","DateFormat=P","Fill=—","Direction=H","UseDPDF=Y")</f>
        <v>34.132100000000001</v>
      </c>
      <c r="AI18" s="20">
        <f>_xll.BDH("BRK/A US Equity","PRETAX_INC_TO_NET_SALES","FQ2 2019","FQ2 2019","Currency=USD","Period=FQ","BEST_FPERIOD_OVERRIDE=FQ","FILING_STATUS=MR","FA_ADJUSTED=GAAP","Sort=A","Dates=H","DateFormat=P","Fill=—","Direction=H","UseDPDF=Y")</f>
        <v>24.114000000000001</v>
      </c>
      <c r="AJ18" s="20">
        <f>_xll.BDH("BRK/A US Equity","PRETAX_INC_TO_NET_SALES","FQ3 2019","FQ3 2019","Currency=USD","Period=FQ","BEST_FPERIOD_OVERRIDE=FQ","FILING_STATUS=MR","FA_ADJUSTED=GAAP","Sort=A","Dates=H","DateFormat=P","Fill=—","Direction=H","UseDPDF=Y")</f>
        <v>26.9954</v>
      </c>
      <c r="AK18" s="20">
        <f>_xll.BDH("BRK/A US Equity","PRETAX_INC_TO_NET_SALES","FQ4 2019","FQ4 2019","Currency=USD","Period=FQ","BEST_FPERIOD_OVERRIDE=FQ","FILING_STATUS=MR","FA_ADJUSTED=GAAP","Sort=A","Dates=H","DateFormat=P","Fill=—","Direction=H","UseDPDF=Y")</f>
        <v>38.065100000000001</v>
      </c>
      <c r="AL18" s="20">
        <f>_xll.BDH("BRK/A US Equity","PRETAX_INC_TO_NET_SALES","FQ1 2020","FQ1 2020","Currency=USD","Period=FQ","BEST_FPERIOD_OVERRIDE=FQ","FILING_STATUS=MR","FA_ADJUSTED=GAAP","Sort=A","Dates=H","DateFormat=P","Fill=—","Direction=H","UseDPDF=Y")</f>
        <v>699.76689999999996</v>
      </c>
      <c r="AM18" s="20">
        <f>_xll.BDH("BRK/A US Equity","PRETAX_INC_TO_NET_SALES","FQ2 2020","FQ2 2020","Currency=USD","Period=FQ","BEST_FPERIOD_OVERRIDE=FQ","FILING_STATUS=MR","FA_ADJUSTED=GAAP","Sort=A","Dates=H","DateFormat=P","Fill=—","Direction=H","UseDPDF=Y")</f>
        <v>36.532400000000003</v>
      </c>
      <c r="AN18" s="20">
        <f>_xll.BDH("BRK/A US Equity","PRETAX_INC_TO_NET_SALES","FQ3 2020","FQ3 2020","Currency=USD","Period=FQ","BEST_FPERIOD_OVERRIDE=FQ","FILING_STATUS=MR","FA_ADJUSTED=GAAP","Sort=A","Dates=H","DateFormat=P","Fill=—","Direction=H","UseDPDF=Y")</f>
        <v>40.092599999999997</v>
      </c>
      <c r="AO18" s="20">
        <f>_xll.BDH("BRK/A US Equity","PRETAX_INC_TO_NET_SALES","FQ4 2020","FQ4 2020","Currency=USD","Period=FQ","BEST_FPERIOD_OVERRIDE=FQ","FILING_STATUS=MR","FA_ADJUSTED=GAAP","Sort=A","Dates=H","DateFormat=P","Fill=—","Direction=H","UseDPDF=Y")</f>
        <v>43.768299999999996</v>
      </c>
      <c r="AP18" s="20">
        <f>_xll.BDH("BRK/A US Equity","PRETAX_INC_TO_NET_SALES","FQ1 2021","FQ1 2021","Currency=USD","Period=FQ","BEST_FPERIOD_OVERRIDE=FQ","FILING_STATUS=MR","FA_ADJUSTED=GAAP","Sort=A","Dates=H","DateFormat=P","Fill=—","Direction=H","UseDPDF=Y")</f>
        <v>20.666</v>
      </c>
    </row>
    <row r="19" spans="1:42" x14ac:dyDescent="0.25">
      <c r="A19" s="17" t="s">
        <v>106</v>
      </c>
      <c r="B19" s="17" t="s">
        <v>107</v>
      </c>
      <c r="C19" s="20">
        <f>_xll.BDH("BRK/A US Equity","INC_BEF_XO_ITEMS_TO_NET_SALES","FQ2 2011","FQ2 2011","Currency=USD","Period=FQ","BEST_FPERIOD_OVERRIDE=FQ","FILING_STATUS=MR","FA_ADJUSTED=GAAP","Sort=A","Dates=H","DateFormat=P","Fill=—","Direction=H","UseDPDF=Y")</f>
        <v>9.2491000000000003</v>
      </c>
      <c r="D19" s="20">
        <f>_xll.BDH("BRK/A US Equity","INC_BEF_XO_ITEMS_TO_NET_SALES","FQ3 2011","FQ3 2011","Currency=USD","Period=FQ","BEST_FPERIOD_OVERRIDE=FQ","FILING_STATUS=MR","FA_ADJUSTED=GAAP","Sort=A","Dates=H","DateFormat=P","Fill=—","Direction=H","UseDPDF=Y")</f>
        <v>7.1431000000000004</v>
      </c>
      <c r="E19" s="20">
        <f>_xll.BDH("BRK/A US Equity","INC_BEF_XO_ITEMS_TO_NET_SALES","FQ4 2011","FQ4 2011","Currency=USD","Period=FQ","BEST_FPERIOD_OVERRIDE=FQ","FILING_STATUS=MR","FA_ADJUSTED=GAAP","Sort=A","Dates=H","DateFormat=P","Fill=—","Direction=H","UseDPDF=Y")</f>
        <v>8.4072999999999993</v>
      </c>
      <c r="F19" s="20">
        <f>_xll.BDH("BRK/A US Equity","INC_BEF_XO_ITEMS_TO_NET_SALES","FQ1 2012","FQ1 2012","Currency=USD","Period=FQ","BEST_FPERIOD_OVERRIDE=FQ","FILING_STATUS=MR","FA_ADJUSTED=GAAP","Sort=A","Dates=H","DateFormat=P","Fill=—","Direction=H","UseDPDF=Y")</f>
        <v>8.8238000000000003</v>
      </c>
      <c r="G19" s="20">
        <f>_xll.BDH("BRK/A US Equity","INC_BEF_XO_ITEMS_TO_NET_SALES","FQ2 2012","FQ2 2012","Currency=USD","Period=FQ","BEST_FPERIOD_OVERRIDE=FQ","FILING_STATUS=MR","FA_ADJUSTED=GAAP","Sort=A","Dates=H","DateFormat=P","Fill=—","Direction=H","UseDPDF=Y")</f>
        <v>8.3821999999999992</v>
      </c>
      <c r="H19" s="20">
        <f>_xll.BDH("BRK/A US Equity","INC_BEF_XO_ITEMS_TO_NET_SALES","FQ3 2012","FQ3 2012","Currency=USD","Period=FQ","BEST_FPERIOD_OVERRIDE=FQ","FILING_STATUS=MR","FA_ADJUSTED=GAAP","Sort=A","Dates=H","DateFormat=P","Fill=—","Direction=H","UseDPDF=Y")</f>
        <v>9.8757999999999999</v>
      </c>
      <c r="I19" s="20">
        <f>_xll.BDH("BRK/A US Equity","INC_BEF_XO_ITEMS_TO_NET_SALES","FQ4 2012","FQ4 2012","Currency=USD","Period=FQ","BEST_FPERIOD_OVERRIDE=FQ","FILING_STATUS=MR","FA_ADJUSTED=GAAP","Sort=A","Dates=H","DateFormat=P","Fill=—","Direction=H","UseDPDF=Y")</f>
        <v>10.422599999999999</v>
      </c>
      <c r="J19" s="20">
        <f>_xll.BDH("BRK/A US Equity","INC_BEF_XO_ITEMS_TO_NET_SALES","FQ1 2013","FQ1 2013","Currency=USD","Period=FQ","BEST_FPERIOD_OVERRIDE=FQ","FILING_STATUS=MR","FA_ADJUSTED=GAAP","Sort=A","Dates=H","DateFormat=P","Fill=—","Direction=H","UseDPDF=Y")</f>
        <v>11.4368</v>
      </c>
      <c r="K19" s="20">
        <f>_xll.BDH("BRK/A US Equity","INC_BEF_XO_ITEMS_TO_NET_SALES","FQ2 2013","FQ2 2013","Currency=USD","Period=FQ","BEST_FPERIOD_OVERRIDE=FQ","FILING_STATUS=MR","FA_ADJUSTED=GAAP","Sort=A","Dates=H","DateFormat=P","Fill=—","Direction=H","UseDPDF=Y")</f>
        <v>10.3193</v>
      </c>
      <c r="L19" s="20">
        <f>_xll.BDH("BRK/A US Equity","INC_BEF_XO_ITEMS_TO_NET_SALES","FQ3 2013","FQ3 2013","Currency=USD","Period=FQ","BEST_FPERIOD_OVERRIDE=FQ","FILING_STATUS=MR","FA_ADJUSTED=GAAP","Sort=A","Dates=H","DateFormat=P","Fill=—","Direction=H","UseDPDF=Y")</f>
        <v>11.071999999999999</v>
      </c>
      <c r="M19" s="20">
        <f>_xll.BDH("BRK/A US Equity","INC_BEF_XO_ITEMS_TO_NET_SALES","FQ4 2013","FQ4 2013","Currency=USD","Period=FQ","BEST_FPERIOD_OVERRIDE=FQ","FILING_STATUS=MR","FA_ADJUSTED=GAAP","Sort=A","Dates=H","DateFormat=P","Fill=—","Direction=H","UseDPDF=Y")</f>
        <v>10.761100000000001</v>
      </c>
      <c r="N19" s="20">
        <f>_xll.BDH("BRK/A US Equity","INC_BEF_XO_ITEMS_TO_NET_SALES","FQ1 2014","FQ1 2014","Currency=USD","Period=FQ","BEST_FPERIOD_OVERRIDE=FQ","FILING_STATUS=MR","FA_ADJUSTED=GAAP","Sort=A","Dates=H","DateFormat=P","Fill=—","Direction=H","UseDPDF=Y")</f>
        <v>10.500999999999999</v>
      </c>
      <c r="O19" s="20">
        <f>_xll.BDH("BRK/A US Equity","INC_BEF_XO_ITEMS_TO_NET_SALES","FQ2 2014","FQ2 2014","Currency=USD","Period=FQ","BEST_FPERIOD_OVERRIDE=FQ","FILING_STATUS=MR","FA_ADJUSTED=GAAP","Sort=A","Dates=H","DateFormat=P","Fill=—","Direction=H","UseDPDF=Y")</f>
        <v>12.9778</v>
      </c>
      <c r="P19" s="20">
        <f>_xll.BDH("BRK/A US Equity","INC_BEF_XO_ITEMS_TO_NET_SALES","FQ3 2014","FQ3 2014","Currency=USD","Period=FQ","BEST_FPERIOD_OVERRIDE=FQ","FILING_STATUS=MR","FA_ADJUSTED=GAAP","Sort=A","Dates=H","DateFormat=P","Fill=—","Direction=H","UseDPDF=Y")</f>
        <v>9.2209000000000003</v>
      </c>
      <c r="Q19" s="20">
        <f>_xll.BDH("BRK/A US Equity","INC_BEF_XO_ITEMS_TO_NET_SALES","FQ4 2014","FQ4 2014","Currency=USD","Period=FQ","BEST_FPERIOD_OVERRIDE=FQ","FILING_STATUS=MR","FA_ADJUSTED=GAAP","Sort=A","Dates=H","DateFormat=P","Fill=—","Direction=H","UseDPDF=Y")</f>
        <v>8.7355999999999998</v>
      </c>
      <c r="R19" s="20">
        <f>_xll.BDH("BRK/A US Equity","INC_BEF_XO_ITEMS_TO_NET_SALES","FQ1 2015","FQ1 2015","Currency=USD","Period=FQ","BEST_FPERIOD_OVERRIDE=FQ","FILING_STATUS=MR","FA_ADJUSTED=GAAP","Sort=A","Dates=H","DateFormat=P","Fill=—","Direction=H","UseDPDF=Y")</f>
        <v>10.7578</v>
      </c>
      <c r="S19" s="20">
        <f>_xll.BDH("BRK/A US Equity","INC_BEF_XO_ITEMS_TO_NET_SALES","FQ2 2015","FQ2 2015","Currency=USD","Period=FQ","BEST_FPERIOD_OVERRIDE=FQ","FILING_STATUS=MR","FA_ADJUSTED=GAAP","Sort=A","Dates=H","DateFormat=P","Fill=—","Direction=H","UseDPDF=Y")</f>
        <v>7.9951999999999996</v>
      </c>
      <c r="T19" s="20">
        <f>_xll.BDH("BRK/A US Equity","INC_BEF_XO_ITEMS_TO_NET_SALES","FQ3 2015","FQ3 2015","Currency=USD","Period=FQ","BEST_FPERIOD_OVERRIDE=FQ","FILING_STATUS=MR","FA_ADJUSTED=GAAP","Sort=A","Dates=H","DateFormat=P","Fill=—","Direction=H","UseDPDF=Y")</f>
        <v>16.150500000000001</v>
      </c>
      <c r="U19" s="20">
        <f>_xll.BDH("BRK/A US Equity","INC_BEF_XO_ITEMS_TO_NET_SALES","FQ4 2015","FQ4 2015","Currency=USD","Period=FQ","BEST_FPERIOD_OVERRIDE=FQ","FILING_STATUS=MR","FA_ADJUSTED=GAAP","Sort=A","Dates=H","DateFormat=P","Fill=—","Direction=H","UseDPDF=Y")</f>
        <v>10.6792</v>
      </c>
      <c r="V19" s="20">
        <f>_xll.BDH("BRK/A US Equity","INC_BEF_XO_ITEMS_TO_NET_SALES","FQ1 2016","FQ1 2016","Currency=USD","Period=FQ","BEST_FPERIOD_OVERRIDE=FQ","FILING_STATUS=MR","FA_ADJUSTED=GAAP","Sort=A","Dates=H","DateFormat=P","Fill=—","Direction=H","UseDPDF=Y")</f>
        <v>10.844899999999999</v>
      </c>
      <c r="W19" s="20">
        <f>_xll.BDH("BRK/A US Equity","INC_BEF_XO_ITEMS_TO_NET_SALES","FQ2 2016","FQ2 2016","Currency=USD","Period=FQ","BEST_FPERIOD_OVERRIDE=FQ","FILING_STATUS=MR","FA_ADJUSTED=GAAP","Sort=A","Dates=H","DateFormat=P","Fill=—","Direction=H","UseDPDF=Y")</f>
        <v>9.3671000000000006</v>
      </c>
      <c r="X19" s="20">
        <f>_xll.BDH("BRK/A US Equity","INC_BEF_XO_ITEMS_TO_NET_SALES","FQ3 2016","FQ3 2016","Currency=USD","Period=FQ","BEST_FPERIOD_OVERRIDE=FQ","FILING_STATUS=MR","FA_ADJUSTED=GAAP","Sort=A","Dates=H","DateFormat=P","Fill=—","Direction=H","UseDPDF=Y")</f>
        <v>12.462</v>
      </c>
      <c r="Y19" s="20">
        <f>_xll.BDH("BRK/A US Equity","INC_BEF_XO_ITEMS_TO_NET_SALES","FQ4 2016","FQ4 2016","Currency=USD","Period=FQ","BEST_FPERIOD_OVERRIDE=FQ","FILING_STATUS=MR","FA_ADJUSTED=GAAP","Sort=A","Dates=H","DateFormat=P","Fill=—","Direction=H","UseDPDF=Y")</f>
        <v>10.927099999999999</v>
      </c>
      <c r="Z19" s="20">
        <f>_xll.BDH("BRK/A US Equity","INC_BEF_XO_ITEMS_TO_NET_SALES","FQ1 2017","FQ1 2017","Currency=USD","Period=FQ","BEST_FPERIOD_OVERRIDE=FQ","FILING_STATUS=MR","FA_ADJUSTED=GAAP","Sort=A","Dates=H","DateFormat=P","Fill=—","Direction=H","UseDPDF=Y")</f>
        <v>6.3535000000000004</v>
      </c>
      <c r="AA19" s="20">
        <f>_xll.BDH("BRK/A US Equity","INC_BEF_XO_ITEMS_TO_NET_SALES","FQ2 2017","FQ2 2017","Currency=USD","Period=FQ","BEST_FPERIOD_OVERRIDE=FQ","FILING_STATUS=MR","FA_ADJUSTED=GAAP","Sort=A","Dates=H","DateFormat=P","Fill=—","Direction=H","UseDPDF=Y")</f>
        <v>7.5763999999999996</v>
      </c>
      <c r="AB19" s="20">
        <f>_xll.BDH("BRK/A US Equity","INC_BEF_XO_ITEMS_TO_NET_SALES","FQ3 2017","FQ3 2017","Currency=USD","Period=FQ","BEST_FPERIOD_OVERRIDE=FQ","FILING_STATUS=MR","FA_ADJUSTED=GAAP","Sort=A","Dates=H","DateFormat=P","Fill=—","Direction=H","UseDPDF=Y")</f>
        <v>6.9503000000000004</v>
      </c>
      <c r="AC19" s="20">
        <f>_xll.BDH("BRK/A US Equity","INC_BEF_XO_ITEMS_TO_NET_SALES","FQ4 2017","FQ4 2017","Currency=USD","Period=FQ","BEST_FPERIOD_OVERRIDE=FQ","FILING_STATUS=MR","FA_ADJUSTED=GAAP","Sort=A","Dates=H","DateFormat=P","Fill=—","Direction=H","UseDPDF=Y")</f>
        <v>55.383899999999997</v>
      </c>
      <c r="AD19" s="20">
        <f>_xll.BDH("BRK/A US Equity","INC_BEF_XO_ITEMS_TO_NET_SALES","FQ1 2018","FQ1 2018","Currency=USD","Period=FQ","BEST_FPERIOD_OVERRIDE=FQ","FILING_STATUS=MR","FA_ADJUSTED=GAAP","Sort=A","Dates=H","DateFormat=P","Fill=—","Direction=H","UseDPDF=Y")</f>
        <v>-2.1225999999999998</v>
      </c>
      <c r="AE19" s="20">
        <f>_xll.BDH("BRK/A US Equity","INC_BEF_XO_ITEMS_TO_NET_SALES","FQ2 2018","FQ2 2018","Currency=USD","Period=FQ","BEST_FPERIOD_OVERRIDE=FQ","FILING_STATUS=MR","FA_ADJUSTED=GAAP","Sort=A","Dates=H","DateFormat=P","Fill=—","Direction=H","UseDPDF=Y")</f>
        <v>17.614699999999999</v>
      </c>
      <c r="AF19" s="20">
        <f>_xll.BDH("BRK/A US Equity","INC_BEF_XO_ITEMS_TO_NET_SALES","FQ3 2018","FQ3 2018","Currency=USD","Period=FQ","BEST_FPERIOD_OVERRIDE=FQ","FILING_STATUS=MR","FA_ADJUSTED=GAAP","Sort=A","Dates=H","DateFormat=P","Fill=—","Direction=H","UseDPDF=Y")</f>
        <v>23.935500000000001</v>
      </c>
      <c r="AG19" s="20">
        <f>_xll.BDH("BRK/A US Equity","INC_BEF_XO_ITEMS_TO_NET_SALES","FQ4 2018","FQ4 2018","Currency=USD","Period=FQ","BEST_FPERIOD_OVERRIDE=FQ","FILING_STATUS=MR","FA_ADJUSTED=GAAP","Sort=A","Dates=H","DateFormat=P","Fill=—","Direction=H","UseDPDF=Y")</f>
        <v>-90.019900000000007</v>
      </c>
      <c r="AH19" s="20">
        <f>_xll.BDH("BRK/A US Equity","INC_BEF_XO_ITEMS_TO_NET_SALES","FQ1 2019","FQ1 2019","Currency=USD","Period=FQ","BEST_FPERIOD_OVERRIDE=FQ","FILING_STATUS=MR","FA_ADJUSTED=GAAP","Sort=A","Dates=H","DateFormat=P","Fill=—","Direction=H","UseDPDF=Y")</f>
        <v>26.829599999999999</v>
      </c>
      <c r="AI19" s="20">
        <f>_xll.BDH("BRK/A US Equity","INC_BEF_XO_ITEMS_TO_NET_SALES","FQ2 2019","FQ2 2019","Currency=USD","Period=FQ","BEST_FPERIOD_OVERRIDE=FQ","FILING_STATUS=MR","FA_ADJUSTED=GAAP","Sort=A","Dates=H","DateFormat=P","Fill=—","Direction=H","UseDPDF=Y")</f>
        <v>19.244800000000001</v>
      </c>
      <c r="AJ19" s="20">
        <f>_xll.BDH("BRK/A US Equity","INC_BEF_XO_ITEMS_TO_NET_SALES","FQ3 2019","FQ3 2019","Currency=USD","Period=FQ","BEST_FPERIOD_OVERRIDE=FQ","FILING_STATUS=MR","FA_ADJUSTED=GAAP","Sort=A","Dates=H","DateFormat=P","Fill=—","Direction=H","UseDPDF=Y")</f>
        <v>21.9466</v>
      </c>
      <c r="AK19" s="20">
        <f>_xll.BDH("BRK/A US Equity","INC_BEF_XO_ITEMS_TO_NET_SALES","FQ4 2019","FQ4 2019","Currency=USD","Period=FQ","BEST_FPERIOD_OVERRIDE=FQ","FILING_STATUS=MR","FA_ADJUSTED=GAAP","Sort=A","Dates=H","DateFormat=P","Fill=—","Direction=H","UseDPDF=Y")</f>
        <v>30.234100000000002</v>
      </c>
      <c r="AL19" s="20">
        <f>_xll.BDH("BRK/A US Equity","INC_BEF_XO_ITEMS_TO_NET_SALES","FQ1 2020","FQ1 2020","Currency=USD","Period=FQ","BEST_FPERIOD_OVERRIDE=FQ","FILING_STATUS=MR","FA_ADJUSTED=GAAP","Sort=A","Dates=H","DateFormat=P","Fill=—","Direction=H","UseDPDF=Y")</f>
        <v>551.57600000000002</v>
      </c>
      <c r="AM19" s="20">
        <f>_xll.BDH("BRK/A US Equity","INC_BEF_XO_ITEMS_TO_NET_SALES","FQ2 2020","FQ2 2020","Currency=USD","Period=FQ","BEST_FPERIOD_OVERRIDE=FQ","FILING_STATUS=MR","FA_ADJUSTED=GAAP","Sort=A","Dates=H","DateFormat=P","Fill=—","Direction=H","UseDPDF=Y")</f>
        <v>27.244800000000001</v>
      </c>
      <c r="AN19" s="20">
        <f>_xll.BDH("BRK/A US Equity","INC_BEF_XO_ITEMS_TO_NET_SALES","FQ3 2020","FQ3 2020","Currency=USD","Period=FQ","BEST_FPERIOD_OVERRIDE=FQ","FILING_STATUS=MR","FA_ADJUSTED=GAAP","Sort=A","Dates=H","DateFormat=P","Fill=—","Direction=H","UseDPDF=Y")</f>
        <v>32.146999999999998</v>
      </c>
      <c r="AO19" s="20">
        <f>_xll.BDH("BRK/A US Equity","INC_BEF_XO_ITEMS_TO_NET_SALES","FQ4 2020","FQ4 2020","Currency=USD","Period=FQ","BEST_FPERIOD_OVERRIDE=FQ","FILING_STATUS=MR","FA_ADJUSTED=GAAP","Sort=A","Dates=H","DateFormat=P","Fill=—","Direction=H","UseDPDF=Y")</f>
        <v>34.829099999999997</v>
      </c>
      <c r="AP19" s="20">
        <f>_xll.BDH("BRK/A US Equity","INC_BEF_XO_ITEMS_TO_NET_SALES","FQ1 2021","FQ1 2021","Currency=USD","Period=FQ","BEST_FPERIOD_OVERRIDE=FQ","FILING_STATUS=MR","FA_ADJUSTED=GAAP","Sort=A","Dates=H","DateFormat=P","Fill=—","Direction=H","UseDPDF=Y")</f>
        <v>16.842300000000002</v>
      </c>
    </row>
    <row r="20" spans="1:42" x14ac:dyDescent="0.25">
      <c r="A20" s="17" t="s">
        <v>108</v>
      </c>
      <c r="B20" s="17" t="s">
        <v>109</v>
      </c>
      <c r="C20" s="20">
        <f>_xll.BDH("BRK/A US Equity","PROF_MARGIN","FQ2 2011","FQ2 2011","Currency=USD","Period=FQ","BEST_FPERIOD_OVERRIDE=FQ","FILING_STATUS=MR","FA_ADJUSTED=GAAP","Sort=A","Dates=H","DateFormat=P","Fill=—","Direction=H","UseDPDF=Y")</f>
        <v>8.9276999999999997</v>
      </c>
      <c r="D20" s="20">
        <f>_xll.BDH("BRK/A US Equity","PROF_MARGIN","FQ3 2011","FQ3 2011","Currency=USD","Period=FQ","BEST_FPERIOD_OVERRIDE=FQ","FILING_STATUS=MR","FA_ADJUSTED=GAAP","Sort=A","Dates=H","DateFormat=P","Fill=—","Direction=H","UseDPDF=Y")</f>
        <v>6.7518000000000002</v>
      </c>
      <c r="E20" s="20">
        <f>_xll.BDH("BRK/A US Equity","PROF_MARGIN","FQ4 2011","FQ4 2011","Currency=USD","Period=FQ","BEST_FPERIOD_OVERRIDE=FQ","FILING_STATUS=MR","FA_ADJUSTED=GAAP","Sort=A","Dates=H","DateFormat=P","Fill=—","Direction=H","UseDPDF=Y")</f>
        <v>8.0305999999999997</v>
      </c>
      <c r="F20" s="20">
        <f>_xll.BDH("BRK/A US Equity","PROF_MARGIN","FQ1 2012","FQ1 2012","Currency=USD","Period=FQ","BEST_FPERIOD_OVERRIDE=FQ","FILING_STATUS=MR","FA_ADJUSTED=GAAP","Sort=A","Dates=H","DateFormat=P","Fill=—","Direction=H","UseDPDF=Y")</f>
        <v>8.5066000000000006</v>
      </c>
      <c r="G20" s="20">
        <f>_xll.BDH("BRK/A US Equity","PROF_MARGIN","FQ2 2012","FQ2 2012","Currency=USD","Period=FQ","BEST_FPERIOD_OVERRIDE=FQ","FILING_STATUS=MR","FA_ADJUSTED=GAAP","Sort=A","Dates=H","DateFormat=P","Fill=—","Direction=H","UseDPDF=Y")</f>
        <v>8.0631000000000004</v>
      </c>
      <c r="H20" s="20">
        <f>_xll.BDH("BRK/A US Equity","PROF_MARGIN","FQ3 2012","FQ3 2012","Currency=USD","Period=FQ","BEST_FPERIOD_OVERRIDE=FQ","FILING_STATUS=MR","FA_ADJUSTED=GAAP","Sort=A","Dates=H","DateFormat=P","Fill=—","Direction=H","UseDPDF=Y")</f>
        <v>9.5493000000000006</v>
      </c>
      <c r="I20" s="20">
        <f>_xll.BDH("BRK/A US Equity","PROF_MARGIN","FQ4 2012","FQ4 2012","Currency=USD","Period=FQ","BEST_FPERIOD_OVERRIDE=FQ","FILING_STATUS=MR","FA_ADJUSTED=GAAP","Sort=A","Dates=H","DateFormat=P","Fill=—","Direction=H","UseDPDF=Y")</f>
        <v>10.1767</v>
      </c>
      <c r="J20" s="20">
        <f>_xll.BDH("BRK/A US Equity","PROF_MARGIN","FQ1 2013","FQ1 2013","Currency=USD","Period=FQ","BEST_FPERIOD_OVERRIDE=FQ","FILING_STATUS=MR","FA_ADJUSTED=GAAP","Sort=A","Dates=H","DateFormat=P","Fill=—","Direction=H","UseDPDF=Y")</f>
        <v>11.151899999999999</v>
      </c>
      <c r="K20" s="20">
        <f>_xll.BDH("BRK/A US Equity","PROF_MARGIN","FQ2 2013","FQ2 2013","Currency=USD","Period=FQ","BEST_FPERIOD_OVERRIDE=FQ","FILING_STATUS=MR","FA_ADJUSTED=GAAP","Sort=A","Dates=H","DateFormat=P","Fill=—","Direction=H","UseDPDF=Y")</f>
        <v>10.160399999999999</v>
      </c>
      <c r="L20" s="20">
        <f>_xll.BDH("BRK/A US Equity","PROF_MARGIN","FQ3 2013","FQ3 2013","Currency=USD","Period=FQ","BEST_FPERIOD_OVERRIDE=FQ","FILING_STATUS=MR","FA_ADJUSTED=GAAP","Sort=A","Dates=H","DateFormat=P","Fill=—","Direction=H","UseDPDF=Y")</f>
        <v>10.857099999999999</v>
      </c>
      <c r="M20" s="20">
        <f>_xll.BDH("BRK/A US Equity","PROF_MARGIN","FQ4 2013","FQ4 2013","Currency=USD","Period=FQ","BEST_FPERIOD_OVERRIDE=FQ","FILING_STATUS=MR","FA_ADJUSTED=GAAP","Sort=A","Dates=H","DateFormat=P","Fill=—","Direction=H","UseDPDF=Y")</f>
        <v>10.606</v>
      </c>
      <c r="N20" s="20">
        <f>_xll.BDH("BRK/A US Equity","PROF_MARGIN","FQ1 2014","FQ1 2014","Currency=USD","Period=FQ","BEST_FPERIOD_OVERRIDE=FQ","FILING_STATUS=MR","FA_ADJUSTED=GAAP","Sort=A","Dates=H","DateFormat=P","Fill=—","Direction=H","UseDPDF=Y")</f>
        <v>10.3514</v>
      </c>
      <c r="O20" s="20">
        <f>_xll.BDH("BRK/A US Equity","PROF_MARGIN","FQ2 2014","FQ2 2014","Currency=USD","Period=FQ","BEST_FPERIOD_OVERRIDE=FQ","FILING_STATUS=MR","FA_ADJUSTED=GAAP","Sort=A","Dates=H","DateFormat=P","Fill=—","Direction=H","UseDPDF=Y")</f>
        <v>12.8512</v>
      </c>
      <c r="P20" s="20">
        <f>_xll.BDH("BRK/A US Equity","PROF_MARGIN","FQ3 2014","FQ3 2014","Currency=USD","Period=FQ","BEST_FPERIOD_OVERRIDE=FQ","FILING_STATUS=MR","FA_ADJUSTED=GAAP","Sort=A","Dates=H","DateFormat=P","Fill=—","Direction=H","UseDPDF=Y")</f>
        <v>9.0177999999999994</v>
      </c>
      <c r="Q20" s="20">
        <f>_xll.BDH("BRK/A US Equity","PROF_MARGIN","FQ4 2014","FQ4 2014","Currency=USD","Period=FQ","BEST_FPERIOD_OVERRIDE=FQ","FILING_STATUS=MR","FA_ADJUSTED=GAAP","Sort=A","Dates=H","DateFormat=P","Fill=—","Direction=H","UseDPDF=Y")</f>
        <v>8.6052</v>
      </c>
      <c r="R20" s="20">
        <f>_xll.BDH("BRK/A US Equity","PROF_MARGIN","FQ1 2015","FQ1 2015","Currency=USD","Period=FQ","BEST_FPERIOD_OVERRIDE=FQ","FILING_STATUS=MR","FA_ADJUSTED=GAAP","Sort=A","Dates=H","DateFormat=P","Fill=—","Direction=H","UseDPDF=Y")</f>
        <v>10.6159</v>
      </c>
      <c r="S20" s="20">
        <f>_xll.BDH("BRK/A US Equity","PROF_MARGIN","FQ2 2015","FQ2 2015","Currency=USD","Period=FQ","BEST_FPERIOD_OVERRIDE=FQ","FILING_STATUS=MR","FA_ADJUSTED=GAAP","Sort=A","Dates=H","DateFormat=P","Fill=—","Direction=H","UseDPDF=Y")</f>
        <v>7.8123000000000005</v>
      </c>
      <c r="T20" s="20">
        <f>_xll.BDH("BRK/A US Equity","PROF_MARGIN","FQ3 2015","FQ3 2015","Currency=USD","Period=FQ","BEST_FPERIOD_OVERRIDE=FQ","FILING_STATUS=MR","FA_ADJUSTED=GAAP","Sort=A","Dates=H","DateFormat=P","Fill=—","Direction=H","UseDPDF=Y")</f>
        <v>15.9826</v>
      </c>
      <c r="U20" s="20">
        <f>_xll.BDH("BRK/A US Equity","PROF_MARGIN","FQ4 2015","FQ4 2015","Currency=USD","Period=FQ","BEST_FPERIOD_OVERRIDE=FQ","FILING_STATUS=MR","FA_ADJUSTED=GAAP","Sort=A","Dates=H","DateFormat=P","Fill=—","Direction=H","UseDPDF=Y")</f>
        <v>10.5464</v>
      </c>
      <c r="V20" s="20">
        <f>_xll.BDH("BRK/A US Equity","PROF_MARGIN","FQ1 2016","FQ1 2016","Currency=USD","Period=FQ","BEST_FPERIOD_OVERRIDE=FQ","FILING_STATUS=MR","FA_ADJUSTED=GAAP","Sort=A","Dates=H","DateFormat=P","Fill=—","Direction=H","UseDPDF=Y")</f>
        <v>10.714499999999999</v>
      </c>
      <c r="W20" s="20">
        <f>_xll.BDH("BRK/A US Equity","PROF_MARGIN","FQ2 2016","FQ2 2016","Currency=USD","Period=FQ","BEST_FPERIOD_OVERRIDE=FQ","FILING_STATUS=MR","FA_ADJUSTED=GAAP","Sort=A","Dates=H","DateFormat=P","Fill=—","Direction=H","UseDPDF=Y")</f>
        <v>9.2178000000000004</v>
      </c>
      <c r="X20" s="20">
        <f>_xll.BDH("BRK/A US Equity","PROF_MARGIN","FQ3 2016","FQ3 2016","Currency=USD","Period=FQ","BEST_FPERIOD_OVERRIDE=FQ","FILING_STATUS=MR","FA_ADJUSTED=GAAP","Sort=A","Dates=H","DateFormat=P","Fill=—","Direction=H","UseDPDF=Y")</f>
        <v>12.2326</v>
      </c>
      <c r="Y20" s="20">
        <f>_xll.BDH("BRK/A US Equity","PROF_MARGIN","FQ4 2016","FQ4 2016","Currency=USD","Period=FQ","BEST_FPERIOD_OVERRIDE=FQ","FILING_STATUS=MR","FA_ADJUSTED=GAAP","Sort=A","Dates=H","DateFormat=P","Fill=—","Direction=H","UseDPDF=Y")</f>
        <v>10.8085</v>
      </c>
      <c r="Z20" s="20">
        <f>_xll.BDH("BRK/A US Equity","PROF_MARGIN","FQ1 2017","FQ1 2017","Currency=USD","Period=FQ","BEST_FPERIOD_OVERRIDE=FQ","FILING_STATUS=MR","FA_ADJUSTED=GAAP","Sort=A","Dates=H","DateFormat=P","Fill=—","Direction=H","UseDPDF=Y")</f>
        <v>6.2323000000000004</v>
      </c>
      <c r="AA20" s="20">
        <f>_xll.BDH("BRK/A US Equity","PROF_MARGIN","FQ2 2017","FQ2 2017","Currency=USD","Period=FQ","BEST_FPERIOD_OVERRIDE=FQ","FILING_STATUS=MR","FA_ADJUSTED=GAAP","Sort=A","Dates=H","DateFormat=P","Fill=—","Direction=H","UseDPDF=Y")</f>
        <v>7.4146000000000001</v>
      </c>
      <c r="AB20" s="20">
        <f>_xll.BDH("BRK/A US Equity","PROF_MARGIN","FQ3 2017","FQ3 2017","Currency=USD","Period=FQ","BEST_FPERIOD_OVERRIDE=FQ","FILING_STATUS=MR","FA_ADJUSTED=GAAP","Sort=A","Dates=H","DateFormat=P","Fill=—","Direction=H","UseDPDF=Y")</f>
        <v>6.7254000000000005</v>
      </c>
      <c r="AC20" s="20">
        <f>_xll.BDH("BRK/A US Equity","PROF_MARGIN","FQ4 2017","FQ4 2017","Currency=USD","Period=FQ","BEST_FPERIOD_OVERRIDE=FQ","FILING_STATUS=MR","FA_ADJUSTED=GAAP","Sort=A","Dates=H","DateFormat=P","Fill=—","Direction=H","UseDPDF=Y")</f>
        <v>55.205800000000004</v>
      </c>
      <c r="AD20" s="20">
        <f>_xll.BDH("BRK/A US Equity","PROF_MARGIN","FQ1 2018","FQ1 2018","Currency=USD","Period=FQ","BEST_FPERIOD_OVERRIDE=FQ","FILING_STATUS=MR","FA_ADJUSTED=GAAP","Sort=A","Dates=H","DateFormat=P","Fill=—","Direction=H","UseDPDF=Y")</f>
        <v>-2.2553000000000001</v>
      </c>
      <c r="AE20" s="20">
        <f>_xll.BDH("BRK/A US Equity","PROF_MARGIN","FQ2 2018","FQ2 2018","Currency=USD","Period=FQ","BEST_FPERIOD_OVERRIDE=FQ","FILING_STATUS=MR","FA_ADJUSTED=GAAP","Sort=A","Dates=H","DateFormat=P","Fill=—","Direction=H","UseDPDF=Y")</f>
        <v>17.5185</v>
      </c>
      <c r="AF20" s="20">
        <f>_xll.BDH("BRK/A US Equity","PROF_MARGIN","FQ3 2018","FQ3 2018","Currency=USD","Period=FQ","BEST_FPERIOD_OVERRIDE=FQ","FILING_STATUS=MR","FA_ADJUSTED=GAAP","Sort=A","Dates=H","DateFormat=P","Fill=—","Direction=H","UseDPDF=Y")</f>
        <v>23.721800000000002</v>
      </c>
      <c r="AG20" s="20">
        <f>_xll.BDH("BRK/A US Equity","PROF_MARGIN","FQ4 2018","FQ4 2018","Currency=USD","Period=FQ","BEST_FPERIOD_OVERRIDE=FQ","FILING_STATUS=MR","FA_ADJUSTED=GAAP","Sort=A","Dates=H","DateFormat=P","Fill=—","Direction=H","UseDPDF=Y")</f>
        <v>-90.023399999999995</v>
      </c>
      <c r="AH20" s="20">
        <f>_xll.BDH("BRK/A US Equity","PROF_MARGIN","FQ1 2019","FQ1 2019","Currency=USD","Period=FQ","BEST_FPERIOD_OVERRIDE=FQ","FILING_STATUS=MR","FA_ADJUSTED=GAAP","Sort=A","Dates=H","DateFormat=P","Fill=—","Direction=H","UseDPDF=Y")</f>
        <v>26.742000000000001</v>
      </c>
      <c r="AI20" s="20">
        <f>_xll.BDH("BRK/A US Equity","PROF_MARGIN","FQ2 2019","FQ2 2019","Currency=USD","Period=FQ","BEST_FPERIOD_OVERRIDE=FQ","FILING_STATUS=MR","FA_ADJUSTED=GAAP","Sort=A","Dates=H","DateFormat=P","Fill=—","Direction=H","UseDPDF=Y")</f>
        <v>19.109000000000002</v>
      </c>
      <c r="AJ20" s="20">
        <f>_xll.BDH("BRK/A US Equity","PROF_MARGIN","FQ3 2019","FQ3 2019","Currency=USD","Period=FQ","BEST_FPERIOD_OVERRIDE=FQ","FILING_STATUS=MR","FA_ADJUSTED=GAAP","Sort=A","Dates=H","DateFormat=P","Fill=—","Direction=H","UseDPDF=Y")</f>
        <v>21.7713</v>
      </c>
      <c r="AK20" s="20">
        <f>_xll.BDH("BRK/A US Equity","PROF_MARGIN","FQ4 2019","FQ4 2019","Currency=USD","Period=FQ","BEST_FPERIOD_OVERRIDE=FQ","FILING_STATUS=MR","FA_ADJUSTED=GAAP","Sort=A","Dates=H","DateFormat=P","Fill=—","Direction=H","UseDPDF=Y")</f>
        <v>30.160599999999999</v>
      </c>
      <c r="AL20" s="20" t="str">
        <f>_xll.BDH("BRK/A US Equity","PROF_MARGIN","FQ1 2020","FQ1 2020","Currency=USD","Period=FQ","BEST_FPERIOD_OVERRIDE=FQ","FILING_STATUS=MR","FA_ADJUSTED=GAAP","Sort=A","Dates=H","DateFormat=P","Fill=—","Direction=H","UseDPDF=Y")</f>
        <v>—</v>
      </c>
      <c r="AM20" s="20">
        <f>_xll.BDH("BRK/A US Equity","PROF_MARGIN","FQ2 2020","FQ2 2020","Currency=USD","Period=FQ","BEST_FPERIOD_OVERRIDE=FQ","FILING_STATUS=MR","FA_ADJUSTED=GAAP","Sort=A","Dates=H","DateFormat=P","Fill=—","Direction=H","UseDPDF=Y")</f>
        <v>27.129200000000001</v>
      </c>
      <c r="AN20" s="20">
        <f>_xll.BDH("BRK/A US Equity","PROF_MARGIN","FQ3 2020","FQ3 2020","Currency=USD","Period=FQ","BEST_FPERIOD_OVERRIDE=FQ","FILING_STATUS=MR","FA_ADJUSTED=GAAP","Sort=A","Dates=H","DateFormat=P","Fill=—","Direction=H","UseDPDF=Y")</f>
        <v>31.8553</v>
      </c>
      <c r="AO20" s="20">
        <f>_xll.BDH("BRK/A US Equity","PROF_MARGIN","FQ4 2020","FQ4 2020","Currency=USD","Period=FQ","BEST_FPERIOD_OVERRIDE=FQ","FILING_STATUS=MR","FA_ADJUSTED=GAAP","Sort=A","Dates=H","DateFormat=P","Fill=—","Direction=H","UseDPDF=Y")</f>
        <v>34.544800000000002</v>
      </c>
      <c r="AP20" s="20">
        <f>_xll.BDH("BRK/A US Equity","PROF_MARGIN","FQ1 2021","FQ1 2021","Currency=USD","Period=FQ","BEST_FPERIOD_OVERRIDE=FQ","FILING_STATUS=MR","FA_ADJUSTED=GAAP","Sort=A","Dates=H","DateFormat=P","Fill=—","Direction=H","UseDPDF=Y")</f>
        <v>16.658799999999999</v>
      </c>
    </row>
    <row r="21" spans="1:42" x14ac:dyDescent="0.25">
      <c r="A21" s="17" t="s">
        <v>110</v>
      </c>
      <c r="B21" s="17" t="s">
        <v>111</v>
      </c>
      <c r="C21" s="20">
        <f>_xll.BDH("BRK/A US Equity","NET_INCOME_TO_COMMON_MARGIN","FQ2 2011","FQ2 2011","Currency=USD","Period=FQ","BEST_FPERIOD_OVERRIDE=FQ","FILING_STATUS=MR","FA_ADJUSTED=GAAP","Sort=A","Dates=H","DateFormat=P","Fill=—","Direction=H","UseDPDF=Y")</f>
        <v>8.9276999999999997</v>
      </c>
      <c r="D21" s="20">
        <f>_xll.BDH("BRK/A US Equity","NET_INCOME_TO_COMMON_MARGIN","FQ3 2011","FQ3 2011","Currency=USD","Period=FQ","BEST_FPERIOD_OVERRIDE=FQ","FILING_STATUS=MR","FA_ADJUSTED=GAAP","Sort=A","Dates=H","DateFormat=P","Fill=—","Direction=H","UseDPDF=Y")</f>
        <v>6.7518000000000002</v>
      </c>
      <c r="E21" s="20">
        <f>_xll.BDH("BRK/A US Equity","NET_INCOME_TO_COMMON_MARGIN","FQ4 2011","FQ4 2011","Currency=USD","Period=FQ","BEST_FPERIOD_OVERRIDE=FQ","FILING_STATUS=MR","FA_ADJUSTED=GAAP","Sort=A","Dates=H","DateFormat=P","Fill=—","Direction=H","UseDPDF=Y")</f>
        <v>8.0305999999999997</v>
      </c>
      <c r="F21" s="20">
        <f>_xll.BDH("BRK/A US Equity","NET_INCOME_TO_COMMON_MARGIN","FQ1 2012","FQ1 2012","Currency=USD","Period=FQ","BEST_FPERIOD_OVERRIDE=FQ","FILING_STATUS=MR","FA_ADJUSTED=GAAP","Sort=A","Dates=H","DateFormat=P","Fill=—","Direction=H","UseDPDF=Y")</f>
        <v>8.5066000000000006</v>
      </c>
      <c r="G21" s="20">
        <f>_xll.BDH("BRK/A US Equity","NET_INCOME_TO_COMMON_MARGIN","FQ2 2012","FQ2 2012","Currency=USD","Period=FQ","BEST_FPERIOD_OVERRIDE=FQ","FILING_STATUS=MR","FA_ADJUSTED=GAAP","Sort=A","Dates=H","DateFormat=P","Fill=—","Direction=H","UseDPDF=Y")</f>
        <v>8.0631000000000004</v>
      </c>
      <c r="H21" s="20">
        <f>_xll.BDH("BRK/A US Equity","NET_INCOME_TO_COMMON_MARGIN","FQ3 2012","FQ3 2012","Currency=USD","Period=FQ","BEST_FPERIOD_OVERRIDE=FQ","FILING_STATUS=MR","FA_ADJUSTED=GAAP","Sort=A","Dates=H","DateFormat=P","Fill=—","Direction=H","UseDPDF=Y")</f>
        <v>9.5493000000000006</v>
      </c>
      <c r="I21" s="20">
        <f>_xll.BDH("BRK/A US Equity","NET_INCOME_TO_COMMON_MARGIN","FQ4 2012","FQ4 2012","Currency=USD","Period=FQ","BEST_FPERIOD_OVERRIDE=FQ","FILING_STATUS=MR","FA_ADJUSTED=GAAP","Sort=A","Dates=H","DateFormat=P","Fill=—","Direction=H","UseDPDF=Y")</f>
        <v>10.1767</v>
      </c>
      <c r="J21" s="20">
        <f>_xll.BDH("BRK/A US Equity","NET_INCOME_TO_COMMON_MARGIN","FQ1 2013","FQ1 2013","Currency=USD","Period=FQ","BEST_FPERIOD_OVERRIDE=FQ","FILING_STATUS=MR","FA_ADJUSTED=GAAP","Sort=A","Dates=H","DateFormat=P","Fill=—","Direction=H","UseDPDF=Y")</f>
        <v>11.151899999999999</v>
      </c>
      <c r="K21" s="20">
        <f>_xll.BDH("BRK/A US Equity","NET_INCOME_TO_COMMON_MARGIN","FQ2 2013","FQ2 2013","Currency=USD","Period=FQ","BEST_FPERIOD_OVERRIDE=FQ","FILING_STATUS=MR","FA_ADJUSTED=GAAP","Sort=A","Dates=H","DateFormat=P","Fill=—","Direction=H","UseDPDF=Y")</f>
        <v>10.160399999999999</v>
      </c>
      <c r="L21" s="20">
        <f>_xll.BDH("BRK/A US Equity","NET_INCOME_TO_COMMON_MARGIN","FQ3 2013","FQ3 2013","Currency=USD","Period=FQ","BEST_FPERIOD_OVERRIDE=FQ","FILING_STATUS=MR","FA_ADJUSTED=GAAP","Sort=A","Dates=H","DateFormat=P","Fill=—","Direction=H","UseDPDF=Y")</f>
        <v>10.857099999999999</v>
      </c>
      <c r="M21" s="20">
        <f>_xll.BDH("BRK/A US Equity","NET_INCOME_TO_COMMON_MARGIN","FQ4 2013","FQ4 2013","Currency=USD","Period=FQ","BEST_FPERIOD_OVERRIDE=FQ","FILING_STATUS=MR","FA_ADJUSTED=GAAP","Sort=A","Dates=H","DateFormat=P","Fill=—","Direction=H","UseDPDF=Y")</f>
        <v>10.606</v>
      </c>
      <c r="N21" s="20">
        <f>_xll.BDH("BRK/A US Equity","NET_INCOME_TO_COMMON_MARGIN","FQ1 2014","FQ1 2014","Currency=USD","Period=FQ","BEST_FPERIOD_OVERRIDE=FQ","FILING_STATUS=MR","FA_ADJUSTED=GAAP","Sort=A","Dates=H","DateFormat=P","Fill=—","Direction=H","UseDPDF=Y")</f>
        <v>10.3514</v>
      </c>
      <c r="O21" s="20">
        <f>_xll.BDH("BRK/A US Equity","NET_INCOME_TO_COMMON_MARGIN","FQ2 2014","FQ2 2014","Currency=USD","Period=FQ","BEST_FPERIOD_OVERRIDE=FQ","FILING_STATUS=MR","FA_ADJUSTED=GAAP","Sort=A","Dates=H","DateFormat=P","Fill=—","Direction=H","UseDPDF=Y")</f>
        <v>12.8512</v>
      </c>
      <c r="P21" s="20">
        <f>_xll.BDH("BRK/A US Equity","NET_INCOME_TO_COMMON_MARGIN","FQ3 2014","FQ3 2014","Currency=USD","Period=FQ","BEST_FPERIOD_OVERRIDE=FQ","FILING_STATUS=MR","FA_ADJUSTED=GAAP","Sort=A","Dates=H","DateFormat=P","Fill=—","Direction=H","UseDPDF=Y")</f>
        <v>9.0177999999999994</v>
      </c>
      <c r="Q21" s="20">
        <f>_xll.BDH("BRK/A US Equity","NET_INCOME_TO_COMMON_MARGIN","FQ4 2014","FQ4 2014","Currency=USD","Period=FQ","BEST_FPERIOD_OVERRIDE=FQ","FILING_STATUS=MR","FA_ADJUSTED=GAAP","Sort=A","Dates=H","DateFormat=P","Fill=—","Direction=H","UseDPDF=Y")</f>
        <v>8.6052</v>
      </c>
      <c r="R21" s="20">
        <f>_xll.BDH("BRK/A US Equity","NET_INCOME_TO_COMMON_MARGIN","FQ1 2015","FQ1 2015","Currency=USD","Period=FQ","BEST_FPERIOD_OVERRIDE=FQ","FILING_STATUS=MR","FA_ADJUSTED=GAAP","Sort=A","Dates=H","DateFormat=P","Fill=—","Direction=H","UseDPDF=Y")</f>
        <v>10.6159</v>
      </c>
      <c r="S21" s="20">
        <f>_xll.BDH("BRK/A US Equity","NET_INCOME_TO_COMMON_MARGIN","FQ2 2015","FQ2 2015","Currency=USD","Period=FQ","BEST_FPERIOD_OVERRIDE=FQ","FILING_STATUS=MR","FA_ADJUSTED=GAAP","Sort=A","Dates=H","DateFormat=P","Fill=—","Direction=H","UseDPDF=Y")</f>
        <v>7.8123000000000005</v>
      </c>
      <c r="T21" s="20">
        <f>_xll.BDH("BRK/A US Equity","NET_INCOME_TO_COMMON_MARGIN","FQ3 2015","FQ3 2015","Currency=USD","Period=FQ","BEST_FPERIOD_OVERRIDE=FQ","FILING_STATUS=MR","FA_ADJUSTED=GAAP","Sort=A","Dates=H","DateFormat=P","Fill=—","Direction=H","UseDPDF=Y")</f>
        <v>15.9826</v>
      </c>
      <c r="U21" s="20">
        <f>_xll.BDH("BRK/A US Equity","NET_INCOME_TO_COMMON_MARGIN","FQ4 2015","FQ4 2015","Currency=USD","Period=FQ","BEST_FPERIOD_OVERRIDE=FQ","FILING_STATUS=MR","FA_ADJUSTED=GAAP","Sort=A","Dates=H","DateFormat=P","Fill=—","Direction=H","UseDPDF=Y")</f>
        <v>10.5464</v>
      </c>
      <c r="V21" s="20">
        <f>_xll.BDH("BRK/A US Equity","NET_INCOME_TO_COMMON_MARGIN","FQ1 2016","FQ1 2016","Currency=USD","Period=FQ","BEST_FPERIOD_OVERRIDE=FQ","FILING_STATUS=MR","FA_ADJUSTED=GAAP","Sort=A","Dates=H","DateFormat=P","Fill=—","Direction=H","UseDPDF=Y")</f>
        <v>10.714499999999999</v>
      </c>
      <c r="W21" s="20">
        <f>_xll.BDH("BRK/A US Equity","NET_INCOME_TO_COMMON_MARGIN","FQ2 2016","FQ2 2016","Currency=USD","Period=FQ","BEST_FPERIOD_OVERRIDE=FQ","FILING_STATUS=MR","FA_ADJUSTED=GAAP","Sort=A","Dates=H","DateFormat=P","Fill=—","Direction=H","UseDPDF=Y")</f>
        <v>9.2178000000000004</v>
      </c>
      <c r="X21" s="20">
        <f>_xll.BDH("BRK/A US Equity","NET_INCOME_TO_COMMON_MARGIN","FQ3 2016","FQ3 2016","Currency=USD","Period=FQ","BEST_FPERIOD_OVERRIDE=FQ","FILING_STATUS=MR","FA_ADJUSTED=GAAP","Sort=A","Dates=H","DateFormat=P","Fill=—","Direction=H","UseDPDF=Y")</f>
        <v>12.2326</v>
      </c>
      <c r="Y21" s="20">
        <f>_xll.BDH("BRK/A US Equity","NET_INCOME_TO_COMMON_MARGIN","FQ4 2016","FQ4 2016","Currency=USD","Period=FQ","BEST_FPERIOD_OVERRIDE=FQ","FILING_STATUS=MR","FA_ADJUSTED=GAAP","Sort=A","Dates=H","DateFormat=P","Fill=—","Direction=H","UseDPDF=Y")</f>
        <v>10.8085</v>
      </c>
      <c r="Z21" s="20">
        <f>_xll.BDH("BRK/A US Equity","NET_INCOME_TO_COMMON_MARGIN","FQ1 2017","FQ1 2017","Currency=USD","Period=FQ","BEST_FPERIOD_OVERRIDE=FQ","FILING_STATUS=MR","FA_ADJUSTED=GAAP","Sort=A","Dates=H","DateFormat=P","Fill=—","Direction=H","UseDPDF=Y")</f>
        <v>6.2323000000000004</v>
      </c>
      <c r="AA21" s="20">
        <f>_xll.BDH("BRK/A US Equity","NET_INCOME_TO_COMMON_MARGIN","FQ2 2017","FQ2 2017","Currency=USD","Period=FQ","BEST_FPERIOD_OVERRIDE=FQ","FILING_STATUS=MR","FA_ADJUSTED=GAAP","Sort=A","Dates=H","DateFormat=P","Fill=—","Direction=H","UseDPDF=Y")</f>
        <v>7.4146000000000001</v>
      </c>
      <c r="AB21" s="20">
        <f>_xll.BDH("BRK/A US Equity","NET_INCOME_TO_COMMON_MARGIN","FQ3 2017","FQ3 2017","Currency=USD","Period=FQ","BEST_FPERIOD_OVERRIDE=FQ","FILING_STATUS=MR","FA_ADJUSTED=GAAP","Sort=A","Dates=H","DateFormat=P","Fill=—","Direction=H","UseDPDF=Y")</f>
        <v>6.7254000000000005</v>
      </c>
      <c r="AC21" s="20">
        <f>_xll.BDH("BRK/A US Equity","NET_INCOME_TO_COMMON_MARGIN","FQ4 2017","FQ4 2017","Currency=USD","Period=FQ","BEST_FPERIOD_OVERRIDE=FQ","FILING_STATUS=MR","FA_ADJUSTED=GAAP","Sort=A","Dates=H","DateFormat=P","Fill=—","Direction=H","UseDPDF=Y")</f>
        <v>55.205800000000004</v>
      </c>
      <c r="AD21" s="20">
        <f>_xll.BDH("BRK/A US Equity","NET_INCOME_TO_COMMON_MARGIN","FQ1 2018","FQ1 2018","Currency=USD","Period=FQ","BEST_FPERIOD_OVERRIDE=FQ","FILING_STATUS=MR","FA_ADJUSTED=GAAP","Sort=A","Dates=H","DateFormat=P","Fill=—","Direction=H","UseDPDF=Y")</f>
        <v>-2.2553000000000001</v>
      </c>
      <c r="AE21" s="20">
        <f>_xll.BDH("BRK/A US Equity","NET_INCOME_TO_COMMON_MARGIN","FQ2 2018","FQ2 2018","Currency=USD","Period=FQ","BEST_FPERIOD_OVERRIDE=FQ","FILING_STATUS=MR","FA_ADJUSTED=GAAP","Sort=A","Dates=H","DateFormat=P","Fill=—","Direction=H","UseDPDF=Y")</f>
        <v>17.5185</v>
      </c>
      <c r="AF21" s="20">
        <f>_xll.BDH("BRK/A US Equity","NET_INCOME_TO_COMMON_MARGIN","FQ3 2018","FQ3 2018","Currency=USD","Period=FQ","BEST_FPERIOD_OVERRIDE=FQ","FILING_STATUS=MR","FA_ADJUSTED=GAAP","Sort=A","Dates=H","DateFormat=P","Fill=—","Direction=H","UseDPDF=Y")</f>
        <v>23.721800000000002</v>
      </c>
      <c r="AG21" s="20">
        <f>_xll.BDH("BRK/A US Equity","NET_INCOME_TO_COMMON_MARGIN","FQ4 2018","FQ4 2018","Currency=USD","Period=FQ","BEST_FPERIOD_OVERRIDE=FQ","FILING_STATUS=MR","FA_ADJUSTED=GAAP","Sort=A","Dates=H","DateFormat=P","Fill=—","Direction=H","UseDPDF=Y")</f>
        <v>-90.023399999999995</v>
      </c>
      <c r="AH21" s="20">
        <f>_xll.BDH("BRK/A US Equity","NET_INCOME_TO_COMMON_MARGIN","FQ1 2019","FQ1 2019","Currency=USD","Period=FQ","BEST_FPERIOD_OVERRIDE=FQ","FILING_STATUS=MR","FA_ADJUSTED=GAAP","Sort=A","Dates=H","DateFormat=P","Fill=—","Direction=H","UseDPDF=Y")</f>
        <v>26.742000000000001</v>
      </c>
      <c r="AI21" s="20">
        <f>_xll.BDH("BRK/A US Equity","NET_INCOME_TO_COMMON_MARGIN","FQ2 2019","FQ2 2019","Currency=USD","Period=FQ","BEST_FPERIOD_OVERRIDE=FQ","FILING_STATUS=MR","FA_ADJUSTED=GAAP","Sort=A","Dates=H","DateFormat=P","Fill=—","Direction=H","UseDPDF=Y")</f>
        <v>19.109000000000002</v>
      </c>
      <c r="AJ21" s="20">
        <f>_xll.BDH("BRK/A US Equity","NET_INCOME_TO_COMMON_MARGIN","FQ3 2019","FQ3 2019","Currency=USD","Period=FQ","BEST_FPERIOD_OVERRIDE=FQ","FILING_STATUS=MR","FA_ADJUSTED=GAAP","Sort=A","Dates=H","DateFormat=P","Fill=—","Direction=H","UseDPDF=Y")</f>
        <v>21.7713</v>
      </c>
      <c r="AK21" s="20">
        <f>_xll.BDH("BRK/A US Equity","NET_INCOME_TO_COMMON_MARGIN","FQ4 2019","FQ4 2019","Currency=USD","Period=FQ","BEST_FPERIOD_OVERRIDE=FQ","FILING_STATUS=MR","FA_ADJUSTED=GAAP","Sort=A","Dates=H","DateFormat=P","Fill=—","Direction=H","UseDPDF=Y")</f>
        <v>30.160599999999999</v>
      </c>
      <c r="AL21" s="20" t="str">
        <f>_xll.BDH("BRK/A US Equity","NET_INCOME_TO_COMMON_MARGIN","FQ1 2020","FQ1 2020","Currency=USD","Period=FQ","BEST_FPERIOD_OVERRIDE=FQ","FILING_STATUS=MR","FA_ADJUSTED=GAAP","Sort=A","Dates=H","DateFormat=P","Fill=—","Direction=H","UseDPDF=Y")</f>
        <v>—</v>
      </c>
      <c r="AM21" s="20">
        <f>_xll.BDH("BRK/A US Equity","NET_INCOME_TO_COMMON_MARGIN","FQ2 2020","FQ2 2020","Currency=USD","Period=FQ","BEST_FPERIOD_OVERRIDE=FQ","FILING_STATUS=MR","FA_ADJUSTED=GAAP","Sort=A","Dates=H","DateFormat=P","Fill=—","Direction=H","UseDPDF=Y")</f>
        <v>27.129200000000001</v>
      </c>
      <c r="AN21" s="20">
        <f>_xll.BDH("BRK/A US Equity","NET_INCOME_TO_COMMON_MARGIN","FQ3 2020","FQ3 2020","Currency=USD","Period=FQ","BEST_FPERIOD_OVERRIDE=FQ","FILING_STATUS=MR","FA_ADJUSTED=GAAP","Sort=A","Dates=H","DateFormat=P","Fill=—","Direction=H","UseDPDF=Y")</f>
        <v>31.8553</v>
      </c>
      <c r="AO21" s="20">
        <f>_xll.BDH("BRK/A US Equity","NET_INCOME_TO_COMMON_MARGIN","FQ4 2020","FQ4 2020","Currency=USD","Period=FQ","BEST_FPERIOD_OVERRIDE=FQ","FILING_STATUS=MR","FA_ADJUSTED=GAAP","Sort=A","Dates=H","DateFormat=P","Fill=—","Direction=H","UseDPDF=Y")</f>
        <v>34.544800000000002</v>
      </c>
      <c r="AP21" s="20">
        <f>_xll.BDH("BRK/A US Equity","NET_INCOME_TO_COMMON_MARGIN","FQ1 2021","FQ1 2021","Currency=USD","Period=FQ","BEST_FPERIOD_OVERRIDE=FQ","FILING_STATUS=MR","FA_ADJUSTED=GAAP","Sort=A","Dates=H","DateFormat=P","Fill=—","Direction=H","UseDPDF=Y")</f>
        <v>16.658799999999999</v>
      </c>
    </row>
    <row r="22" spans="1:42" x14ac:dyDescent="0.25">
      <c r="A22" s="17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</row>
    <row r="23" spans="1:42" x14ac:dyDescent="0.25">
      <c r="A23" s="13" t="s">
        <v>112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</row>
    <row r="24" spans="1:42" x14ac:dyDescent="0.25">
      <c r="A24" s="17" t="s">
        <v>113</v>
      </c>
      <c r="B24" s="17" t="s">
        <v>114</v>
      </c>
      <c r="C24" s="20">
        <f>_xll.BDH("BRK/A US Equity","EFF_TAX_RATE","FQ2 2011","FQ2 2011","Currency=USD","Period=FQ","BEST_FPERIOD_OVERRIDE=FQ","FILING_STATUS=MR","FA_ADJUSTED=GAAP","Sort=A","Dates=H","DateFormat=P","Fill=—","Direction=H","UseDPDF=Y")</f>
        <v>32.763500000000001</v>
      </c>
      <c r="D24" s="20">
        <f>_xll.BDH("BRK/A US Equity","EFF_TAX_RATE","FQ3 2011","FQ3 2011","Currency=USD","Period=FQ","BEST_FPERIOD_OVERRIDE=FQ","FILING_STATUS=MR","FA_ADJUSTED=GAAP","Sort=A","Dates=H","DateFormat=P","Fill=—","Direction=H","UseDPDF=Y")</f>
        <v>28.337800000000001</v>
      </c>
      <c r="E24" s="20">
        <f>_xll.BDH("BRK/A US Equity","EFF_TAX_RATE","FQ4 2011","FQ4 2011","Currency=USD","Period=FQ","BEST_FPERIOD_OVERRIDE=FQ","FILING_STATUS=MR","FA_ADJUSTED=GAAP","Sort=A","Dates=H","DateFormat=P","Fill=—","Direction=H","UseDPDF=Y")</f>
        <v>28.324300000000001</v>
      </c>
      <c r="F24" s="20">
        <f>_xll.BDH("BRK/A US Equity","EFF_TAX_RATE","FQ1 2012","FQ1 2012","Currency=USD","Period=FQ","BEST_FPERIOD_OVERRIDE=FQ","FILING_STATUS=MR","FA_ADJUSTED=GAAP","Sort=A","Dates=H","DateFormat=P","Fill=—","Direction=H","UseDPDF=Y")</f>
        <v>31.738</v>
      </c>
      <c r="G24" s="20">
        <f>_xll.BDH("BRK/A US Equity","EFF_TAX_RATE","FQ2 2012","FQ2 2012","Currency=USD","Period=FQ","BEST_FPERIOD_OVERRIDE=FQ","FILING_STATUS=MR","FA_ADJUSTED=GAAP","Sort=A","Dates=H","DateFormat=P","Fill=—","Direction=H","UseDPDF=Y")</f>
        <v>29.9892</v>
      </c>
      <c r="H24" s="20">
        <f>_xll.BDH("BRK/A US Equity","EFF_TAX_RATE","FQ3 2012","FQ3 2012","Currency=USD","Period=FQ","BEST_FPERIOD_OVERRIDE=FQ","FILING_STATUS=MR","FA_ADJUSTED=GAAP","Sort=A","Dates=H","DateFormat=P","Fill=—","Direction=H","UseDPDF=Y")</f>
        <v>31.704899999999999</v>
      </c>
      <c r="I24" s="20">
        <f>_xll.BDH("BRK/A US Equity","EFF_TAX_RATE","FQ4 2012","FQ4 2012","Currency=USD","Period=FQ","BEST_FPERIOD_OVERRIDE=FQ","FILING_STATUS=MR","FA_ADJUSTED=GAAP","Sort=A","Dates=H","DateFormat=P","Fill=—","Direction=H","UseDPDF=Y")</f>
        <v>30.989000000000001</v>
      </c>
      <c r="J24" s="20">
        <f>_xll.BDH("BRK/A US Equity","EFF_TAX_RATE","FQ1 2013","FQ1 2013","Currency=USD","Period=FQ","BEST_FPERIOD_OVERRIDE=FQ","FILING_STATUS=MR","FA_ADJUSTED=GAAP","Sort=A","Dates=H","DateFormat=P","Fill=—","Direction=H","UseDPDF=Y")</f>
        <v>31.226900000000001</v>
      </c>
      <c r="K24" s="20">
        <f>_xll.BDH("BRK/A US Equity","EFF_TAX_RATE","FQ2 2013","FQ2 2013","Currency=USD","Period=FQ","BEST_FPERIOD_OVERRIDE=FQ","FILING_STATUS=MR","FA_ADJUSTED=GAAP","Sort=A","Dates=H","DateFormat=P","Fill=—","Direction=H","UseDPDF=Y")</f>
        <v>33.072099999999999</v>
      </c>
      <c r="L24" s="20">
        <f>_xll.BDH("BRK/A US Equity","EFF_TAX_RATE","FQ3 2013","FQ3 2013","Currency=USD","Period=FQ","BEST_FPERIOD_OVERRIDE=FQ","FILING_STATUS=MR","FA_ADJUSTED=GAAP","Sort=A","Dates=H","DateFormat=P","Fill=—","Direction=H","UseDPDF=Y")</f>
        <v>30.1572</v>
      </c>
      <c r="M24" s="20">
        <f>_xll.BDH("BRK/A US Equity","EFF_TAX_RATE","FQ4 2013","FQ4 2013","Currency=USD","Period=FQ","BEST_FPERIOD_OVERRIDE=FQ","FILING_STATUS=MR","FA_ADJUSTED=GAAP","Sort=A","Dates=H","DateFormat=P","Fill=—","Direction=H","UseDPDF=Y")</f>
        <v>29.991700000000002</v>
      </c>
      <c r="N24" s="20">
        <f>_xll.BDH("BRK/A US Equity","EFF_TAX_RATE","FQ1 2014","FQ1 2014","Currency=USD","Period=FQ","BEST_FPERIOD_OVERRIDE=FQ","FILING_STATUS=MR","FA_ADJUSTED=GAAP","Sort=A","Dates=H","DateFormat=P","Fill=—","Direction=H","UseDPDF=Y")</f>
        <v>27.6599</v>
      </c>
      <c r="O24" s="20">
        <f>_xll.BDH("BRK/A US Equity","EFF_TAX_RATE","FQ2 2014","FQ2 2014","Currency=USD","Period=FQ","BEST_FPERIOD_OVERRIDE=FQ","FILING_STATUS=MR","FA_ADJUSTED=GAAP","Sort=A","Dates=H","DateFormat=P","Fill=—","Direction=H","UseDPDF=Y")</f>
        <v>27.5684</v>
      </c>
      <c r="P24" s="20">
        <f>_xll.BDH("BRK/A US Equity","EFF_TAX_RATE","FQ3 2014","FQ3 2014","Currency=USD","Period=FQ","BEST_FPERIOD_OVERRIDE=FQ","FILING_STATUS=MR","FA_ADJUSTED=GAAP","Sort=A","Dates=H","DateFormat=P","Fill=—","Direction=H","UseDPDF=Y")</f>
        <v>30.0593</v>
      </c>
      <c r="Q24" s="20">
        <f>_xll.BDH("BRK/A US Equity","EFF_TAX_RATE","FQ4 2014","FQ4 2014","Currency=USD","Period=FQ","BEST_FPERIOD_OVERRIDE=FQ","FILING_STATUS=MR","FA_ADJUSTED=GAAP","Sort=A","Dates=H","DateFormat=P","Fill=—","Direction=H","UseDPDF=Y")</f>
        <v>27.786300000000001</v>
      </c>
      <c r="R24" s="20">
        <f>_xll.BDH("BRK/A US Equity","EFF_TAX_RATE","FQ1 2015","FQ1 2015","Currency=USD","Period=FQ","BEST_FPERIOD_OVERRIDE=FQ","FILING_STATUS=MR","FA_ADJUSTED=GAAP","Sort=A","Dates=H","DateFormat=P","Fill=—","Direction=H","UseDPDF=Y")</f>
        <v>31.567900000000002</v>
      </c>
      <c r="S24" s="20">
        <f>_xll.BDH("BRK/A US Equity","EFF_TAX_RATE","FQ2 2015","FQ2 2015","Currency=USD","Period=FQ","BEST_FPERIOD_OVERRIDE=FQ","FILING_STATUS=MR","FA_ADJUSTED=GAAP","Sort=A","Dates=H","DateFormat=P","Fill=—","Direction=H","UseDPDF=Y")</f>
        <v>29.7468</v>
      </c>
      <c r="T24" s="20">
        <f>_xll.BDH("BRK/A US Equity","EFF_TAX_RATE","FQ3 2015","FQ3 2015","Currency=USD","Period=FQ","BEST_FPERIOD_OVERRIDE=FQ","FILING_STATUS=MR","FA_ADJUSTED=GAAP","Sort=A","Dates=H","DateFormat=P","Fill=—","Direction=H","UseDPDF=Y")</f>
        <v>32.298200000000001</v>
      </c>
      <c r="U24" s="20">
        <f>_xll.BDH("BRK/A US Equity","EFF_TAX_RATE","FQ4 2015","FQ4 2015","Currency=USD","Period=FQ","BEST_FPERIOD_OVERRIDE=FQ","FILING_STATUS=MR","FA_ADJUSTED=GAAP","Sort=A","Dates=H","DateFormat=P","Fill=—","Direction=H","UseDPDF=Y")</f>
        <v>24.8476</v>
      </c>
      <c r="V24" s="20">
        <f>_xll.BDH("BRK/A US Equity","EFF_TAX_RATE","FQ1 2016","FQ1 2016","Currency=USD","Period=FQ","BEST_FPERIOD_OVERRIDE=FQ","FILING_STATUS=MR","FA_ADJUSTED=GAAP","Sort=A","Dates=H","DateFormat=P","Fill=—","Direction=H","UseDPDF=Y")</f>
        <v>12.376099999999999</v>
      </c>
      <c r="W24" s="20">
        <f>_xll.BDH("BRK/A US Equity","EFF_TAX_RATE","FQ2 2016","FQ2 2016","Currency=USD","Period=FQ","BEST_FPERIOD_OVERRIDE=FQ","FILING_STATUS=MR","FA_ADJUSTED=GAAP","Sort=A","Dates=H","DateFormat=P","Fill=—","Direction=H","UseDPDF=Y")</f>
        <v>31.063500000000001</v>
      </c>
      <c r="X24" s="20">
        <f>_xll.BDH("BRK/A US Equity","EFF_TAX_RATE","FQ3 2016","FQ3 2016","Currency=USD","Period=FQ","BEST_FPERIOD_OVERRIDE=FQ","FILING_STATUS=MR","FA_ADJUSTED=GAAP","Sort=A","Dates=H","DateFormat=P","Fill=—","Direction=H","UseDPDF=Y")</f>
        <v>30.3278</v>
      </c>
      <c r="Y24" s="20">
        <f>_xll.BDH("BRK/A US Equity","EFF_TAX_RATE","FQ4 2016","FQ4 2016","Currency=USD","Period=FQ","BEST_FPERIOD_OVERRIDE=FQ","FILING_STATUS=MR","FA_ADJUSTED=GAAP","Sort=A","Dates=H","DateFormat=P","Fill=—","Direction=H","UseDPDF=Y")</f>
        <v>31.769400000000001</v>
      </c>
      <c r="Z24" s="20">
        <f>_xll.BDH("BRK/A US Equity","EFF_TAX_RATE","FQ1 2017","FQ1 2017","Currency=USD","Period=FQ","BEST_FPERIOD_OVERRIDE=FQ","FILING_STATUS=MR","FA_ADJUSTED=GAAP","Sort=A","Dates=H","DateFormat=P","Fill=—","Direction=H","UseDPDF=Y")</f>
        <v>27.232800000000001</v>
      </c>
      <c r="AA24" s="20">
        <f>_xll.BDH("BRK/A US Equity","EFF_TAX_RATE","FQ2 2017","FQ2 2017","Currency=USD","Period=FQ","BEST_FPERIOD_OVERRIDE=FQ","FILING_STATUS=MR","FA_ADJUSTED=GAAP","Sort=A","Dates=H","DateFormat=P","Fill=—","Direction=H","UseDPDF=Y")</f>
        <v>28.944400000000002</v>
      </c>
      <c r="AB24" s="20">
        <f>_xll.BDH("BRK/A US Equity","EFF_TAX_RATE","FQ3 2017","FQ3 2017","Currency=USD","Period=FQ","BEST_FPERIOD_OVERRIDE=FQ","FILING_STATUS=MR","FA_ADJUSTED=GAAP","Sort=A","Dates=H","DateFormat=P","Fill=—","Direction=H","UseDPDF=Y")</f>
        <v>25.346399999999999</v>
      </c>
      <c r="AC24" s="20" t="str">
        <f>_xll.BDH("BRK/A US Equity","EFF_TAX_RATE","FQ4 2017","FQ4 2017","Currency=USD","Period=FQ","BEST_FPERIOD_OVERRIDE=FQ","FILING_STATUS=MR","FA_ADJUSTED=GAAP","Sort=A","Dates=H","DateFormat=P","Fill=—","Direction=H","UseDPDF=Y")</f>
        <v>—</v>
      </c>
      <c r="AD24" s="20" t="str">
        <f>_xll.BDH("BRK/A US Equity","EFF_TAX_RATE","FQ1 2018","FQ1 2018","Currency=USD","Period=FQ","BEST_FPERIOD_OVERRIDE=FQ","FILING_STATUS=MR","FA_ADJUSTED=GAAP","Sort=A","Dates=H","DateFormat=P","Fill=—","Direction=H","UseDPDF=Y")</f>
        <v>—</v>
      </c>
      <c r="AE24" s="20">
        <f>_xll.BDH("BRK/A US Equity","EFF_TAX_RATE","FQ2 2018","FQ2 2018","Currency=USD","Period=FQ","BEST_FPERIOD_OVERRIDE=FQ","FILING_STATUS=MR","FA_ADJUSTED=GAAP","Sort=A","Dates=H","DateFormat=P","Fill=—","Direction=H","UseDPDF=Y")</f>
        <v>20.0093</v>
      </c>
      <c r="AF24" s="20">
        <f>_xll.BDH("BRK/A US Equity","EFF_TAX_RATE","FQ3 2018","FQ3 2018","Currency=USD","Period=FQ","BEST_FPERIOD_OVERRIDE=FQ","FILING_STATUS=MR","FA_ADJUSTED=GAAP","Sort=A","Dates=H","DateFormat=P","Fill=—","Direction=H","UseDPDF=Y")</f>
        <v>19.181799999999999</v>
      </c>
      <c r="AG24" s="20" t="str">
        <f>_xll.BDH("BRK/A US Equity","EFF_TAX_RATE","FQ4 2018","FQ4 2018","Currency=USD","Period=FQ","BEST_FPERIOD_OVERRIDE=FQ","FILING_STATUS=MR","FA_ADJUSTED=GAAP","Sort=A","Dates=H","DateFormat=P","Fill=—","Direction=H","UseDPDF=Y")</f>
        <v>—</v>
      </c>
      <c r="AH24" s="20">
        <f>_xll.BDH("BRK/A US Equity","EFF_TAX_RATE","FQ1 2019","FQ1 2019","Currency=USD","Period=FQ","BEST_FPERIOD_OVERRIDE=FQ","FILING_STATUS=MR","FA_ADJUSTED=GAAP","Sort=A","Dates=H","DateFormat=P","Fill=—","Direction=H","UseDPDF=Y")</f>
        <v>21.3947</v>
      </c>
      <c r="AI24" s="20">
        <f>_xll.BDH("BRK/A US Equity","EFF_TAX_RATE","FQ2 2019","FQ2 2019","Currency=USD","Period=FQ","BEST_FPERIOD_OVERRIDE=FQ","FILING_STATUS=MR","FA_ADJUSTED=GAAP","Sort=A","Dates=H","DateFormat=P","Fill=—","Direction=H","UseDPDF=Y")</f>
        <v>20.192599999999999</v>
      </c>
      <c r="AJ24" s="20">
        <f>_xll.BDH("BRK/A US Equity","EFF_TAX_RATE","FQ3 2019","FQ3 2019","Currency=USD","Period=FQ","BEST_FPERIOD_OVERRIDE=FQ","FILING_STATUS=MR","FA_ADJUSTED=GAAP","Sort=A","Dates=H","DateFormat=P","Fill=—","Direction=H","UseDPDF=Y")</f>
        <v>18.7027</v>
      </c>
      <c r="AK24" s="20">
        <f>_xll.BDH("BRK/A US Equity","EFF_TAX_RATE","FQ4 2019","FQ4 2019","Currency=USD","Period=FQ","BEST_FPERIOD_OVERRIDE=FQ","FILING_STATUS=MR","FA_ADJUSTED=GAAP","Sort=A","Dates=H","DateFormat=P","Fill=—","Direction=H","UseDPDF=Y")</f>
        <v>20.572800000000001</v>
      </c>
      <c r="AL24" s="20" t="str">
        <f>_xll.BDH("BRK/A US Equity","EFF_TAX_RATE","FQ1 2020","FQ1 2020","Currency=USD","Period=FQ","BEST_FPERIOD_OVERRIDE=FQ","FILING_STATUS=MR","FA_ADJUSTED=GAAP","Sort=A","Dates=H","DateFormat=P","Fill=—","Direction=H","UseDPDF=Y")</f>
        <v>—</v>
      </c>
      <c r="AM24" s="20">
        <f>_xll.BDH("BRK/A US Equity","EFF_TAX_RATE","FQ2 2020","FQ2 2020","Currency=USD","Period=FQ","BEST_FPERIOD_OVERRIDE=FQ","FILING_STATUS=MR","FA_ADJUSTED=GAAP","Sort=A","Dates=H","DateFormat=P","Fill=—","Direction=H","UseDPDF=Y")</f>
        <v>25.422899999999998</v>
      </c>
      <c r="AN24" s="20">
        <f>_xll.BDH("BRK/A US Equity","EFF_TAX_RATE","FQ3 2020","FQ3 2020","Currency=USD","Period=FQ","BEST_FPERIOD_OVERRIDE=FQ","FILING_STATUS=MR","FA_ADJUSTED=GAAP","Sort=A","Dates=H","DateFormat=P","Fill=—","Direction=H","UseDPDF=Y")</f>
        <v>19.818100000000001</v>
      </c>
      <c r="AO24" s="20">
        <f>_xll.BDH("BRK/A US Equity","EFF_TAX_RATE","FQ4 2020","FQ4 2020","Currency=USD","Period=FQ","BEST_FPERIOD_OVERRIDE=FQ","FILING_STATUS=MR","FA_ADJUSTED=GAAP","Sort=A","Dates=H","DateFormat=P","Fill=—","Direction=H","UseDPDF=Y")</f>
        <v>20.4238</v>
      </c>
      <c r="AP24" s="20">
        <f>_xll.BDH("BRK/A US Equity","EFF_TAX_RATE","FQ1 2021","FQ1 2021","Currency=USD","Period=FQ","BEST_FPERIOD_OVERRIDE=FQ","FILING_STATUS=MR","FA_ADJUSTED=GAAP","Sort=A","Dates=H","DateFormat=P","Fill=—","Direction=H","UseDPDF=Y")</f>
        <v>18.502199999999998</v>
      </c>
    </row>
    <row r="25" spans="1:42" x14ac:dyDescent="0.25">
      <c r="A25" s="17" t="s">
        <v>115</v>
      </c>
      <c r="B25" s="17" t="s">
        <v>116</v>
      </c>
      <c r="C25" s="20">
        <f>_xll.BDH("BRK/A US Equity","DVD_PAYOUT_RATIO","FQ2 2011","FQ2 2011","Currency=USD","Period=FQ","BEST_FPERIOD_OVERRIDE=FQ","FILING_STATUS=MR","FA_ADJUSTED=GAAP","Sort=A","Dates=H","DateFormat=P","Fill=—","Direction=H","UseDPDF=Y")</f>
        <v>0</v>
      </c>
      <c r="D25" s="20">
        <f>_xll.BDH("BRK/A US Equity","DVD_PAYOUT_RATIO","FQ3 2011","FQ3 2011","Currency=USD","Period=FQ","BEST_FPERIOD_OVERRIDE=FQ","FILING_STATUS=MR","FA_ADJUSTED=GAAP","Sort=A","Dates=H","DateFormat=P","Fill=—","Direction=H","UseDPDF=Y")</f>
        <v>0</v>
      </c>
      <c r="E25" s="20">
        <f>_xll.BDH("BRK/A US Equity","DVD_PAYOUT_RATIO","FQ4 2011","FQ4 2011","Currency=USD","Period=FQ","BEST_FPERIOD_OVERRIDE=FQ","FILING_STATUS=MR","FA_ADJUSTED=GAAP","Sort=A","Dates=H","DateFormat=P","Fill=—","Direction=H","UseDPDF=Y")</f>
        <v>0</v>
      </c>
      <c r="F25" s="20">
        <f>_xll.BDH("BRK/A US Equity","DVD_PAYOUT_RATIO","FQ1 2012","FQ1 2012","Currency=USD","Period=FQ","BEST_FPERIOD_OVERRIDE=FQ","FILING_STATUS=MR","FA_ADJUSTED=GAAP","Sort=A","Dates=H","DateFormat=P","Fill=—","Direction=H","UseDPDF=Y")</f>
        <v>0</v>
      </c>
      <c r="G25" s="20">
        <f>_xll.BDH("BRK/A US Equity","DVD_PAYOUT_RATIO","FQ2 2012","FQ2 2012","Currency=USD","Period=FQ","BEST_FPERIOD_OVERRIDE=FQ","FILING_STATUS=MR","FA_ADJUSTED=GAAP","Sort=A","Dates=H","DateFormat=P","Fill=—","Direction=H","UseDPDF=Y")</f>
        <v>0</v>
      </c>
      <c r="H25" s="20">
        <f>_xll.BDH("BRK/A US Equity","DVD_PAYOUT_RATIO","FQ3 2012","FQ3 2012","Currency=USD","Period=FQ","BEST_FPERIOD_OVERRIDE=FQ","FILING_STATUS=MR","FA_ADJUSTED=GAAP","Sort=A","Dates=H","DateFormat=P","Fill=—","Direction=H","UseDPDF=Y")</f>
        <v>0</v>
      </c>
      <c r="I25" s="20">
        <f>_xll.BDH("BRK/A US Equity","DVD_PAYOUT_RATIO","FQ4 2012","FQ4 2012","Currency=USD","Period=FQ","BEST_FPERIOD_OVERRIDE=FQ","FILING_STATUS=MR","FA_ADJUSTED=GAAP","Sort=A","Dates=H","DateFormat=P","Fill=—","Direction=H","UseDPDF=Y")</f>
        <v>0</v>
      </c>
      <c r="J25" s="20">
        <f>_xll.BDH("BRK/A US Equity","DVD_PAYOUT_RATIO","FQ1 2013","FQ1 2013","Currency=USD","Period=FQ","BEST_FPERIOD_OVERRIDE=FQ","FILING_STATUS=MR","FA_ADJUSTED=GAAP","Sort=A","Dates=H","DateFormat=P","Fill=—","Direction=H","UseDPDF=Y")</f>
        <v>0</v>
      </c>
      <c r="K25" s="20">
        <f>_xll.BDH("BRK/A US Equity","DVD_PAYOUT_RATIO","FQ2 2013","FQ2 2013","Currency=USD","Period=FQ","BEST_FPERIOD_OVERRIDE=FQ","FILING_STATUS=MR","FA_ADJUSTED=GAAP","Sort=A","Dates=H","DateFormat=P","Fill=—","Direction=H","UseDPDF=Y")</f>
        <v>0</v>
      </c>
      <c r="L25" s="20">
        <f>_xll.BDH("BRK/A US Equity","DVD_PAYOUT_RATIO","FQ3 2013","FQ3 2013","Currency=USD","Period=FQ","BEST_FPERIOD_OVERRIDE=FQ","FILING_STATUS=MR","FA_ADJUSTED=GAAP","Sort=A","Dates=H","DateFormat=P","Fill=—","Direction=H","UseDPDF=Y")</f>
        <v>0</v>
      </c>
      <c r="M25" s="20">
        <f>_xll.BDH("BRK/A US Equity","DVD_PAYOUT_RATIO","FQ4 2013","FQ4 2013","Currency=USD","Period=FQ","BEST_FPERIOD_OVERRIDE=FQ","FILING_STATUS=MR","FA_ADJUSTED=GAAP","Sort=A","Dates=H","DateFormat=P","Fill=—","Direction=H","UseDPDF=Y")</f>
        <v>0</v>
      </c>
      <c r="N25" s="20">
        <f>_xll.BDH("BRK/A US Equity","DVD_PAYOUT_RATIO","FQ1 2014","FQ1 2014","Currency=USD","Period=FQ","BEST_FPERIOD_OVERRIDE=FQ","FILING_STATUS=MR","FA_ADJUSTED=GAAP","Sort=A","Dates=H","DateFormat=P","Fill=—","Direction=H","UseDPDF=Y")</f>
        <v>0</v>
      </c>
      <c r="O25" s="20">
        <f>_xll.BDH("BRK/A US Equity","DVD_PAYOUT_RATIO","FQ2 2014","FQ2 2014","Currency=USD","Period=FQ","BEST_FPERIOD_OVERRIDE=FQ","FILING_STATUS=MR","FA_ADJUSTED=GAAP","Sort=A","Dates=H","DateFormat=P","Fill=—","Direction=H","UseDPDF=Y")</f>
        <v>0</v>
      </c>
      <c r="P25" s="20">
        <f>_xll.BDH("BRK/A US Equity","DVD_PAYOUT_RATIO","FQ3 2014","FQ3 2014","Currency=USD","Period=FQ","BEST_FPERIOD_OVERRIDE=FQ","FILING_STATUS=MR","FA_ADJUSTED=GAAP","Sort=A","Dates=H","DateFormat=P","Fill=—","Direction=H","UseDPDF=Y")</f>
        <v>0</v>
      </c>
      <c r="Q25" s="20">
        <f>_xll.BDH("BRK/A US Equity","DVD_PAYOUT_RATIO","FQ4 2014","FQ4 2014","Currency=USD","Period=FQ","BEST_FPERIOD_OVERRIDE=FQ","FILING_STATUS=MR","FA_ADJUSTED=GAAP","Sort=A","Dates=H","DateFormat=P","Fill=—","Direction=H","UseDPDF=Y")</f>
        <v>0</v>
      </c>
      <c r="R25" s="20">
        <f>_xll.BDH("BRK/A US Equity","DVD_PAYOUT_RATIO","FQ1 2015","FQ1 2015","Currency=USD","Period=FQ","BEST_FPERIOD_OVERRIDE=FQ","FILING_STATUS=MR","FA_ADJUSTED=GAAP","Sort=A","Dates=H","DateFormat=P","Fill=—","Direction=H","UseDPDF=Y")</f>
        <v>0</v>
      </c>
      <c r="S25" s="20">
        <f>_xll.BDH("BRK/A US Equity","DVD_PAYOUT_RATIO","FQ2 2015","FQ2 2015","Currency=USD","Period=FQ","BEST_FPERIOD_OVERRIDE=FQ","FILING_STATUS=MR","FA_ADJUSTED=GAAP","Sort=A","Dates=H","DateFormat=P","Fill=—","Direction=H","UseDPDF=Y")</f>
        <v>0</v>
      </c>
      <c r="T25" s="20">
        <f>_xll.BDH("BRK/A US Equity","DVD_PAYOUT_RATIO","FQ3 2015","FQ3 2015","Currency=USD","Period=FQ","BEST_FPERIOD_OVERRIDE=FQ","FILING_STATUS=MR","FA_ADJUSTED=GAAP","Sort=A","Dates=H","DateFormat=P","Fill=—","Direction=H","UseDPDF=Y")</f>
        <v>0</v>
      </c>
      <c r="U25" s="20">
        <f>_xll.BDH("BRK/A US Equity","DVD_PAYOUT_RATIO","FQ4 2015","FQ4 2015","Currency=USD","Period=FQ","BEST_FPERIOD_OVERRIDE=FQ","FILING_STATUS=MR","FA_ADJUSTED=GAAP","Sort=A","Dates=H","DateFormat=P","Fill=—","Direction=H","UseDPDF=Y")</f>
        <v>0</v>
      </c>
      <c r="V25" s="20">
        <f>_xll.BDH("BRK/A US Equity","DVD_PAYOUT_RATIO","FQ1 2016","FQ1 2016","Currency=USD","Period=FQ","BEST_FPERIOD_OVERRIDE=FQ","FILING_STATUS=MR","FA_ADJUSTED=GAAP","Sort=A","Dates=H","DateFormat=P","Fill=—","Direction=H","UseDPDF=Y")</f>
        <v>0</v>
      </c>
      <c r="W25" s="20">
        <f>_xll.BDH("BRK/A US Equity","DVD_PAYOUT_RATIO","FQ2 2016","FQ2 2016","Currency=USD","Period=FQ","BEST_FPERIOD_OVERRIDE=FQ","FILING_STATUS=MR","FA_ADJUSTED=GAAP","Sort=A","Dates=H","DateFormat=P","Fill=—","Direction=H","UseDPDF=Y")</f>
        <v>0</v>
      </c>
      <c r="X25" s="20">
        <f>_xll.BDH("BRK/A US Equity","DVD_PAYOUT_RATIO","FQ3 2016","FQ3 2016","Currency=USD","Period=FQ","BEST_FPERIOD_OVERRIDE=FQ","FILING_STATUS=MR","FA_ADJUSTED=GAAP","Sort=A","Dates=H","DateFormat=P","Fill=—","Direction=H","UseDPDF=Y")</f>
        <v>0</v>
      </c>
      <c r="Y25" s="20">
        <f>_xll.BDH("BRK/A US Equity","DVD_PAYOUT_RATIO","FQ4 2016","FQ4 2016","Currency=USD","Period=FQ","BEST_FPERIOD_OVERRIDE=FQ","FILING_STATUS=MR","FA_ADJUSTED=GAAP","Sort=A","Dates=H","DateFormat=P","Fill=—","Direction=H","UseDPDF=Y")</f>
        <v>0</v>
      </c>
      <c r="Z25" s="20">
        <f>_xll.BDH("BRK/A US Equity","DVD_PAYOUT_RATIO","FQ1 2017","FQ1 2017","Currency=USD","Period=FQ","BEST_FPERIOD_OVERRIDE=FQ","FILING_STATUS=MR","FA_ADJUSTED=GAAP","Sort=A","Dates=H","DateFormat=P","Fill=—","Direction=H","UseDPDF=Y")</f>
        <v>0</v>
      </c>
      <c r="AA25" s="20">
        <f>_xll.BDH("BRK/A US Equity","DVD_PAYOUT_RATIO","FQ2 2017","FQ2 2017","Currency=USD","Period=FQ","BEST_FPERIOD_OVERRIDE=FQ","FILING_STATUS=MR","FA_ADJUSTED=GAAP","Sort=A","Dates=H","DateFormat=P","Fill=—","Direction=H","UseDPDF=Y")</f>
        <v>0</v>
      </c>
      <c r="AB25" s="20">
        <f>_xll.BDH("BRK/A US Equity","DVD_PAYOUT_RATIO","FQ3 2017","FQ3 2017","Currency=USD","Period=FQ","BEST_FPERIOD_OVERRIDE=FQ","FILING_STATUS=MR","FA_ADJUSTED=GAAP","Sort=A","Dates=H","DateFormat=P","Fill=—","Direction=H","UseDPDF=Y")</f>
        <v>0</v>
      </c>
      <c r="AC25" s="20">
        <f>_xll.BDH("BRK/A US Equity","DVD_PAYOUT_RATIO","FQ4 2017","FQ4 2017","Currency=USD","Period=FQ","BEST_FPERIOD_OVERRIDE=FQ","FILING_STATUS=MR","FA_ADJUSTED=GAAP","Sort=A","Dates=H","DateFormat=P","Fill=—","Direction=H","UseDPDF=Y")</f>
        <v>0</v>
      </c>
      <c r="AD25" s="20" t="str">
        <f>_xll.BDH("BRK/A US Equity","DVD_PAYOUT_RATIO","FQ1 2018","FQ1 2018","Currency=USD","Period=FQ","BEST_FPERIOD_OVERRIDE=FQ","FILING_STATUS=MR","FA_ADJUSTED=GAAP","Sort=A","Dates=H","DateFormat=P","Fill=—","Direction=H","UseDPDF=Y")</f>
        <v>—</v>
      </c>
      <c r="AE25" s="20">
        <f>_xll.BDH("BRK/A US Equity","DVD_PAYOUT_RATIO","FQ2 2018","FQ2 2018","Currency=USD","Period=FQ","BEST_FPERIOD_OVERRIDE=FQ","FILING_STATUS=MR","FA_ADJUSTED=GAAP","Sort=A","Dates=H","DateFormat=P","Fill=—","Direction=H","UseDPDF=Y")</f>
        <v>0</v>
      </c>
      <c r="AF25" s="20">
        <f>_xll.BDH("BRK/A US Equity","DVD_PAYOUT_RATIO","FQ3 2018","FQ3 2018","Currency=USD","Period=FQ","BEST_FPERIOD_OVERRIDE=FQ","FILING_STATUS=MR","FA_ADJUSTED=GAAP","Sort=A","Dates=H","DateFormat=P","Fill=—","Direction=H","UseDPDF=Y")</f>
        <v>0</v>
      </c>
      <c r="AG25" s="20" t="str">
        <f>_xll.BDH("BRK/A US Equity","DVD_PAYOUT_RATIO","FQ4 2018","FQ4 2018","Currency=USD","Period=FQ","BEST_FPERIOD_OVERRIDE=FQ","FILING_STATUS=MR","FA_ADJUSTED=GAAP","Sort=A","Dates=H","DateFormat=P","Fill=—","Direction=H","UseDPDF=Y")</f>
        <v>—</v>
      </c>
      <c r="AH25" s="20">
        <f>_xll.BDH("BRK/A US Equity","DVD_PAYOUT_RATIO","FQ1 2019","FQ1 2019","Currency=USD","Period=FQ","BEST_FPERIOD_OVERRIDE=FQ","FILING_STATUS=MR","FA_ADJUSTED=GAAP","Sort=A","Dates=H","DateFormat=P","Fill=—","Direction=H","UseDPDF=Y")</f>
        <v>0</v>
      </c>
      <c r="AI25" s="20">
        <f>_xll.BDH("BRK/A US Equity","DVD_PAYOUT_RATIO","FQ2 2019","FQ2 2019","Currency=USD","Period=FQ","BEST_FPERIOD_OVERRIDE=FQ","FILING_STATUS=MR","FA_ADJUSTED=GAAP","Sort=A","Dates=H","DateFormat=P","Fill=—","Direction=H","UseDPDF=Y")</f>
        <v>0</v>
      </c>
      <c r="AJ25" s="20">
        <f>_xll.BDH("BRK/A US Equity","DVD_PAYOUT_RATIO","FQ3 2019","FQ3 2019","Currency=USD","Period=FQ","BEST_FPERIOD_OVERRIDE=FQ","FILING_STATUS=MR","FA_ADJUSTED=GAAP","Sort=A","Dates=H","DateFormat=P","Fill=—","Direction=H","UseDPDF=Y")</f>
        <v>0</v>
      </c>
      <c r="AK25" s="20">
        <f>_xll.BDH("BRK/A US Equity","DVD_PAYOUT_RATIO","FQ4 2019","FQ4 2019","Currency=USD","Period=FQ","BEST_FPERIOD_OVERRIDE=FQ","FILING_STATUS=MR","FA_ADJUSTED=GAAP","Sort=A","Dates=H","DateFormat=P","Fill=—","Direction=H","UseDPDF=Y")</f>
        <v>0</v>
      </c>
      <c r="AL25" s="20" t="str">
        <f>_xll.BDH("BRK/A US Equity","DVD_PAYOUT_RATIO","FQ1 2020","FQ1 2020","Currency=USD","Period=FQ","BEST_FPERIOD_OVERRIDE=FQ","FILING_STATUS=MR","FA_ADJUSTED=GAAP","Sort=A","Dates=H","DateFormat=P","Fill=—","Direction=H","UseDPDF=Y")</f>
        <v>—</v>
      </c>
      <c r="AM25" s="20">
        <f>_xll.BDH("BRK/A US Equity","DVD_PAYOUT_RATIO","FQ2 2020","FQ2 2020","Currency=USD","Period=FQ","BEST_FPERIOD_OVERRIDE=FQ","FILING_STATUS=MR","FA_ADJUSTED=GAAP","Sort=A","Dates=H","DateFormat=P","Fill=—","Direction=H","UseDPDF=Y")</f>
        <v>0</v>
      </c>
      <c r="AN25" s="20">
        <f>_xll.BDH("BRK/A US Equity","DVD_PAYOUT_RATIO","FQ3 2020","FQ3 2020","Currency=USD","Period=FQ","BEST_FPERIOD_OVERRIDE=FQ","FILING_STATUS=MR","FA_ADJUSTED=GAAP","Sort=A","Dates=H","DateFormat=P","Fill=—","Direction=H","UseDPDF=Y")</f>
        <v>0</v>
      </c>
      <c r="AO25" s="20">
        <f>_xll.BDH("BRK/A US Equity","DVD_PAYOUT_RATIO","FQ4 2020","FQ4 2020","Currency=USD","Period=FQ","BEST_FPERIOD_OVERRIDE=FQ","FILING_STATUS=MR","FA_ADJUSTED=GAAP","Sort=A","Dates=H","DateFormat=P","Fill=—","Direction=H","UseDPDF=Y")</f>
        <v>0</v>
      </c>
      <c r="AP25" s="20">
        <f>_xll.BDH("BRK/A US Equity","DVD_PAYOUT_RATIO","FQ1 2021","FQ1 2021","Currency=USD","Period=FQ","BEST_FPERIOD_OVERRIDE=FQ","FILING_STATUS=MR","FA_ADJUSTED=GAAP","Sort=A","Dates=H","DateFormat=P","Fill=—","Direction=H","UseDPDF=Y")</f>
        <v>0</v>
      </c>
    </row>
    <row r="26" spans="1:42" x14ac:dyDescent="0.25">
      <c r="A26" s="17" t="s">
        <v>117</v>
      </c>
      <c r="B26" s="17" t="s">
        <v>118</v>
      </c>
      <c r="C26" s="20">
        <f>_xll.BDH("BRK/A US Equity","SUSTAIN_GROWTH_RT","FQ2 2011","FQ2 2011","Currency=USD","Period=FQ","BEST_FPERIOD_OVERRIDE=FQ","FILING_STATUS=MR","FA_ADJUSTED=GAAP","Sort=A","Dates=H","DateFormat=P","Fill=—","Direction=H","UseDPDF=Y")</f>
        <v>8.0412999999999997</v>
      </c>
      <c r="D26" s="20">
        <f>_xll.BDH("BRK/A US Equity","SUSTAIN_GROWTH_RT","FQ3 2011","FQ3 2011","Currency=USD","Period=FQ","BEST_FPERIOD_OVERRIDE=FQ","FILING_STATUS=MR","FA_ADJUSTED=GAAP","Sort=A","Dates=H","DateFormat=P","Fill=—","Direction=H","UseDPDF=Y")</f>
        <v>7.4818999999999996</v>
      </c>
      <c r="E26" s="20">
        <f>_xll.BDH("BRK/A US Equity","SUSTAIN_GROWTH_RT","FQ4 2011","FQ4 2011","Currency=USD","Period=FQ","BEST_FPERIOD_OVERRIDE=FQ","FILING_STATUS=MR","FA_ADJUSTED=GAAP","Sort=A","Dates=H","DateFormat=P","Fill=—","Direction=H","UseDPDF=Y")</f>
        <v>6.3655999999999997</v>
      </c>
      <c r="F26" s="20">
        <f>_xll.BDH("BRK/A US Equity","SUSTAIN_GROWTH_RT","FQ1 2012","FQ1 2012","Currency=USD","Period=FQ","BEST_FPERIOD_OVERRIDE=FQ","FILING_STATUS=MR","FA_ADJUSTED=GAAP","Sort=A","Dates=H","DateFormat=P","Fill=—","Direction=H","UseDPDF=Y")</f>
        <v>7.1345999999999998</v>
      </c>
      <c r="G26" s="20">
        <f>_xll.BDH("BRK/A US Equity","SUSTAIN_GROWTH_RT","FQ2 2012","FQ2 2012","Currency=USD","Period=FQ","BEST_FPERIOD_OVERRIDE=FQ","FILING_STATUS=MR","FA_ADJUSTED=GAAP","Sort=A","Dates=H","DateFormat=P","Fill=—","Direction=H","UseDPDF=Y")</f>
        <v>6.8621999999999996</v>
      </c>
      <c r="H26" s="20">
        <f>_xll.BDH("BRK/A US Equity","SUSTAIN_GROWTH_RT","FQ3 2012","FQ3 2012","Currency=USD","Period=FQ","BEST_FPERIOD_OVERRIDE=FQ","FILING_STATUS=MR","FA_ADJUSTED=GAAP","Sort=A","Dates=H","DateFormat=P","Fill=—","Direction=H","UseDPDF=Y")</f>
        <v>7.7321999999999997</v>
      </c>
      <c r="I26" s="20">
        <f>_xll.BDH("BRK/A US Equity","SUSTAIN_GROWTH_RT","FQ4 2012","FQ4 2012","Currency=USD","Period=FQ","BEST_FPERIOD_OVERRIDE=FQ","FILING_STATUS=MR","FA_ADJUSTED=GAAP","Sort=A","Dates=H","DateFormat=P","Fill=—","Direction=H","UseDPDF=Y")</f>
        <v>8.4108999999999998</v>
      </c>
      <c r="J26" s="20">
        <f>_xll.BDH("BRK/A US Equity","SUSTAIN_GROWTH_RT","FQ1 2013","FQ1 2013","Currency=USD","Period=FQ","BEST_FPERIOD_OVERRIDE=FQ","FILING_STATUS=MR","FA_ADJUSTED=GAAP","Sort=A","Dates=H","DateFormat=P","Fill=—","Direction=H","UseDPDF=Y")</f>
        <v>8.8064</v>
      </c>
      <c r="K26" s="20">
        <f>_xll.BDH("BRK/A US Equity","SUSTAIN_GROWTH_RT","FQ2 2013","FQ2 2013","Currency=USD","Period=FQ","BEST_FPERIOD_OVERRIDE=FQ","FILING_STATUS=MR","FA_ADJUSTED=GAAP","Sort=A","Dates=H","DateFormat=P","Fill=—","Direction=H","UseDPDF=Y")</f>
        <v>9.4382000000000001</v>
      </c>
      <c r="L26" s="20">
        <f>_xll.BDH("BRK/A US Equity","SUSTAIN_GROWTH_RT","FQ3 2013","FQ3 2013","Currency=USD","Period=FQ","BEST_FPERIOD_OVERRIDE=FQ","FILING_STATUS=MR","FA_ADJUSTED=GAAP","Sort=A","Dates=H","DateFormat=P","Fill=—","Direction=H","UseDPDF=Y")</f>
        <v>9.6883999999999997</v>
      </c>
      <c r="M26" s="20">
        <f>_xll.BDH("BRK/A US Equity","SUSTAIN_GROWTH_RT","FQ4 2013","FQ4 2013","Currency=USD","Period=FQ","BEST_FPERIOD_OVERRIDE=FQ","FILING_STATUS=MR","FA_ADJUSTED=GAAP","Sort=A","Dates=H","DateFormat=P","Fill=—","Direction=H","UseDPDF=Y")</f>
        <v>9.5112000000000005</v>
      </c>
      <c r="N26" s="20">
        <f>_xll.BDH("BRK/A US Equity","SUSTAIN_GROWTH_RT","FQ1 2014","FQ1 2014","Currency=USD","Period=FQ","BEST_FPERIOD_OVERRIDE=FQ","FILING_STATUS=MR","FA_ADJUSTED=GAAP","Sort=A","Dates=H","DateFormat=P","Fill=—","Direction=H","UseDPDF=Y")</f>
        <v>9.0625999999999998</v>
      </c>
      <c r="O26" s="20">
        <f>_xll.BDH("BRK/A US Equity","SUSTAIN_GROWTH_RT","FQ2 2014","FQ2 2014","Currency=USD","Period=FQ","BEST_FPERIOD_OVERRIDE=FQ","FILING_STATUS=MR","FA_ADJUSTED=GAAP","Sort=A","Dates=H","DateFormat=P","Fill=—","Direction=H","UseDPDF=Y")</f>
        <v>9.6981999999999999</v>
      </c>
      <c r="P26" s="20">
        <f>_xll.BDH("BRK/A US Equity","SUSTAIN_GROWTH_RT","FQ3 2014","FQ3 2014","Currency=USD","Period=FQ","BEST_FPERIOD_OVERRIDE=FQ","FILING_STATUS=MR","FA_ADJUSTED=GAAP","Sort=A","Dates=H","DateFormat=P","Fill=—","Direction=H","UseDPDF=Y")</f>
        <v>9.2889999999999997</v>
      </c>
      <c r="Q26" s="20">
        <f>_xll.BDH("BRK/A US Equity","SUSTAIN_GROWTH_RT","FQ4 2014","FQ4 2014","Currency=USD","Period=FQ","BEST_FPERIOD_OVERRIDE=FQ","FILING_STATUS=MR","FA_ADJUSTED=GAAP","Sort=A","Dates=H","DateFormat=P","Fill=—","Direction=H","UseDPDF=Y")</f>
        <v>8.6014999999999997</v>
      </c>
      <c r="R26" s="20">
        <f>_xll.BDH("BRK/A US Equity","SUSTAIN_GROWTH_RT","FQ1 2015","FQ1 2015","Currency=USD","Period=FQ","BEST_FPERIOD_OVERRIDE=FQ","FILING_STATUS=MR","FA_ADJUSTED=GAAP","Sort=A","Dates=H","DateFormat=P","Fill=—","Direction=H","UseDPDF=Y")</f>
        <v>8.6685999999999996</v>
      </c>
      <c r="S26" s="20">
        <f>_xll.BDH("BRK/A US Equity","SUSTAIN_GROWTH_RT","FQ2 2015","FQ2 2015","Currency=USD","Period=FQ","BEST_FPERIOD_OVERRIDE=FQ","FILING_STATUS=MR","FA_ADJUSTED=GAAP","Sort=A","Dates=H","DateFormat=P","Fill=—","Direction=H","UseDPDF=Y")</f>
        <v>7.4779999999999998</v>
      </c>
      <c r="T26" s="20">
        <f>_xll.BDH("BRK/A US Equity","SUSTAIN_GROWTH_RT","FQ3 2015","FQ3 2015","Currency=USD","Period=FQ","BEST_FPERIOD_OVERRIDE=FQ","FILING_STATUS=MR","FA_ADJUSTED=GAAP","Sort=A","Dates=H","DateFormat=P","Fill=—","Direction=H","UseDPDF=Y")</f>
        <v>9.3712999999999997</v>
      </c>
      <c r="U26" s="20">
        <f>_xll.BDH("BRK/A US Equity","SUSTAIN_GROWTH_RT","FQ4 2015","FQ4 2015","Currency=USD","Period=FQ","BEST_FPERIOD_OVERRIDE=FQ","FILING_STATUS=MR","FA_ADJUSTED=GAAP","Sort=A","Dates=H","DateFormat=P","Fill=—","Direction=H","UseDPDF=Y")</f>
        <v>9.7164000000000001</v>
      </c>
      <c r="V26" s="20">
        <f>_xll.BDH("BRK/A US Equity","SUSTAIN_GROWTH_RT","FQ1 2016","FQ1 2016","Currency=USD","Period=FQ","BEST_FPERIOD_OVERRIDE=FQ","FILING_STATUS=MR","FA_ADJUSTED=GAAP","Sort=A","Dates=H","DateFormat=P","Fill=—","Direction=H","UseDPDF=Y")</f>
        <v>9.8009000000000004</v>
      </c>
      <c r="W26" s="20">
        <f>_xll.BDH("BRK/A US Equity","SUSTAIN_GROWTH_RT","FQ2 2016","FQ2 2016","Currency=USD","Period=FQ","BEST_FPERIOD_OVERRIDE=FQ","FILING_STATUS=MR","FA_ADJUSTED=GAAP","Sort=A","Dates=H","DateFormat=P","Fill=—","Direction=H","UseDPDF=Y")</f>
        <v>10.0167</v>
      </c>
      <c r="X26" s="20">
        <f>_xll.BDH("BRK/A US Equity","SUSTAIN_GROWTH_RT","FQ3 2016","FQ3 2016","Currency=USD","Period=FQ","BEST_FPERIOD_OVERRIDE=FQ","FILING_STATUS=MR","FA_ADJUSTED=GAAP","Sort=A","Dates=H","DateFormat=P","Fill=—","Direction=H","UseDPDF=Y")</f>
        <v>8.9908999999999999</v>
      </c>
      <c r="Y26" s="20">
        <f>_xll.BDH("BRK/A US Equity","SUSTAIN_GROWTH_RT","FQ4 2016","FQ4 2016","Currency=USD","Period=FQ","BEST_FPERIOD_OVERRIDE=FQ","FILING_STATUS=MR","FA_ADJUSTED=GAAP","Sort=A","Dates=H","DateFormat=P","Fill=—","Direction=H","UseDPDF=Y")</f>
        <v>8.9558</v>
      </c>
      <c r="Z26" s="20">
        <f>_xll.BDH("BRK/A US Equity","SUSTAIN_GROWTH_RT","FQ1 2017","FQ1 2017","Currency=USD","Period=FQ","BEST_FPERIOD_OVERRIDE=FQ","FILING_STATUS=MR","FA_ADJUSTED=GAAP","Sort=A","Dates=H","DateFormat=P","Fill=—","Direction=H","UseDPDF=Y")</f>
        <v>8.1757000000000009</v>
      </c>
      <c r="AA26" s="20">
        <f>_xll.BDH("BRK/A US Equity","SUSTAIN_GROWTH_RT","FQ2 2017","FQ2 2017","Currency=USD","Period=FQ","BEST_FPERIOD_OVERRIDE=FQ","FILING_STATUS=MR","FA_ADJUSTED=GAAP","Sort=A","Dates=H","DateFormat=P","Fill=—","Direction=H","UseDPDF=Y")</f>
        <v>7.7370000000000001</v>
      </c>
      <c r="AB26" s="20">
        <f>_xll.BDH("BRK/A US Equity","SUSTAIN_GROWTH_RT","FQ3 2017","FQ3 2017","Currency=USD","Period=FQ","BEST_FPERIOD_OVERRIDE=FQ","FILING_STATUS=MR","FA_ADJUSTED=GAAP","Sort=A","Dates=H","DateFormat=P","Fill=—","Direction=H","UseDPDF=Y")</f>
        <v>6.4671000000000003</v>
      </c>
      <c r="AC26" s="20">
        <f>_xll.BDH("BRK/A US Equity","SUSTAIN_GROWTH_RT","FQ4 2017","FQ4 2017","Currency=USD","Period=FQ","BEST_FPERIOD_OVERRIDE=FQ","FILING_STATUS=MR","FA_ADJUSTED=GAAP","Sort=A","Dates=H","DateFormat=P","Fill=—","Direction=H","UseDPDF=Y")</f>
        <v>14.2584</v>
      </c>
      <c r="AD26" s="20" t="str">
        <f>_xll.BDH("BRK/A US Equity","SUSTAIN_GROWTH_RT","FQ1 2018","FQ1 2018","Currency=USD","Period=FQ","BEST_FPERIOD_OVERRIDE=FQ","FILING_STATUS=MR","FA_ADJUSTED=GAAP","Sort=A","Dates=H","DateFormat=P","Fill=—","Direction=H","UseDPDF=Y")</f>
        <v>—</v>
      </c>
      <c r="AE26" s="20">
        <f>_xll.BDH("BRK/A US Equity","SUSTAIN_GROWTH_RT","FQ2 2018","FQ2 2018","Currency=USD","Period=FQ","BEST_FPERIOD_OVERRIDE=FQ","FILING_STATUS=MR","FA_ADJUSTED=GAAP","Sort=A","Dates=H","DateFormat=P","Fill=—","Direction=H","UseDPDF=Y")</f>
        <v>14.4185</v>
      </c>
      <c r="AF26" s="20">
        <f>_xll.BDH("BRK/A US Equity","SUSTAIN_GROWTH_RT","FQ3 2018","FQ3 2018","Currency=USD","Period=FQ","BEST_FPERIOD_OVERRIDE=FQ","FILING_STATUS=MR","FA_ADJUSTED=GAAP","Sort=A","Dates=H","DateFormat=P","Fill=—","Direction=H","UseDPDF=Y")</f>
        <v>18.121200000000002</v>
      </c>
      <c r="AG26" s="20" t="str">
        <f>_xll.BDH("BRK/A US Equity","SUSTAIN_GROWTH_RT","FQ4 2018","FQ4 2018","Currency=USD","Period=FQ","BEST_FPERIOD_OVERRIDE=FQ","FILING_STATUS=MR","FA_ADJUSTED=GAAP","Sort=A","Dates=H","DateFormat=P","Fill=—","Direction=H","UseDPDF=Y")</f>
        <v>—</v>
      </c>
      <c r="AH26" s="20">
        <f>_xll.BDH("BRK/A US Equity","SUSTAIN_GROWTH_RT","FQ1 2019","FQ1 2019","Currency=USD","Period=FQ","BEST_FPERIOD_OVERRIDE=FQ","FILING_STATUS=MR","FA_ADJUSTED=GAAP","Sort=A","Dates=H","DateFormat=P","Fill=—","Direction=H","UseDPDF=Y")</f>
        <v>7.4886999999999997</v>
      </c>
      <c r="AI26" s="20">
        <f>_xll.BDH("BRK/A US Equity","SUSTAIN_GROWTH_RT","FQ2 2019","FQ2 2019","Currency=USD","Period=FQ","BEST_FPERIOD_OVERRIDE=FQ","FILING_STATUS=MR","FA_ADJUSTED=GAAP","Sort=A","Dates=H","DateFormat=P","Fill=—","Direction=H","UseDPDF=Y")</f>
        <v>7.7991999999999999</v>
      </c>
      <c r="AJ26" s="20">
        <f>_xll.BDH("BRK/A US Equity","SUSTAIN_GROWTH_RT","FQ3 2019","FQ3 2019","Currency=USD","Period=FQ","BEST_FPERIOD_OVERRIDE=FQ","FILING_STATUS=MR","FA_ADJUSTED=GAAP","Sort=A","Dates=H","DateFormat=P","Fill=—","Direction=H","UseDPDF=Y")</f>
        <v>6.9492000000000003</v>
      </c>
      <c r="AK26" s="20">
        <f>_xll.BDH("BRK/A US Equity","SUSTAIN_GROWTH_RT","FQ4 2019","FQ4 2019","Currency=USD","Period=FQ","BEST_FPERIOD_OVERRIDE=FQ","FILING_STATUS=MR","FA_ADJUSTED=GAAP","Sort=A","Dates=H","DateFormat=P","Fill=—","Direction=H","UseDPDF=Y")</f>
        <v>21.0517</v>
      </c>
      <c r="AL26" s="20" t="str">
        <f>_xll.BDH("BRK/A US Equity","SUSTAIN_GROWTH_RT","FQ1 2020","FQ1 2020","Currency=USD","Period=FQ","BEST_FPERIOD_OVERRIDE=FQ","FILING_STATUS=MR","FA_ADJUSTED=GAAP","Sort=A","Dates=H","DateFormat=P","Fill=—","Direction=H","UseDPDF=Y")</f>
        <v>—</v>
      </c>
      <c r="AM26" s="20">
        <f>_xll.BDH("BRK/A US Equity","SUSTAIN_GROWTH_RT","FQ2 2020","FQ2 2020","Currency=USD","Period=FQ","BEST_FPERIOD_OVERRIDE=FQ","FILING_STATUS=MR","FA_ADJUSTED=GAAP","Sort=A","Dates=H","DateFormat=P","Fill=—","Direction=H","UseDPDF=Y")</f>
        <v>5.7295999999999996</v>
      </c>
      <c r="AN26" s="20">
        <f>_xll.BDH("BRK/A US Equity","SUSTAIN_GROWTH_RT","FQ3 2020","FQ3 2020","Currency=USD","Period=FQ","BEST_FPERIOD_OVERRIDE=FQ","FILING_STATUS=MR","FA_ADJUSTED=GAAP","Sort=A","Dates=H","DateFormat=P","Fill=—","Direction=H","UseDPDF=Y")</f>
        <v>8.8204999999999991</v>
      </c>
      <c r="AO26" s="20">
        <f>_xll.BDH("BRK/A US Equity","SUSTAIN_GROWTH_RT","FQ4 2020","FQ4 2020","Currency=USD","Period=FQ","BEST_FPERIOD_OVERRIDE=FQ","FILING_STATUS=MR","FA_ADJUSTED=GAAP","Sort=A","Dates=H","DateFormat=P","Fill=—","Direction=H","UseDPDF=Y")</f>
        <v>9.798</v>
      </c>
      <c r="AP26" s="20">
        <f>_xll.BDH("BRK/A US Equity","SUSTAIN_GROWTH_RT","FQ1 2021","FQ1 2021","Currency=USD","Period=FQ","BEST_FPERIOD_OVERRIDE=FQ","FILING_STATUS=MR","FA_ADJUSTED=GAAP","Sort=A","Dates=H","DateFormat=P","Fill=—","Direction=H","UseDPDF=Y")</f>
        <v>25.374400000000001</v>
      </c>
    </row>
    <row r="27" spans="1:42" x14ac:dyDescent="0.25">
      <c r="A27" s="14" t="s">
        <v>119</v>
      </c>
      <c r="B27" s="14"/>
      <c r="C27" s="14" t="s">
        <v>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 spans="1:42" ht="20.25" x14ac:dyDescent="0.2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</row>
    <row r="3" spans="1:42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2" x14ac:dyDescent="0.25">
      <c r="A4" s="1" t="s">
        <v>2</v>
      </c>
      <c r="B4" s="1"/>
      <c r="C4" s="2" t="s">
        <v>160</v>
      </c>
      <c r="D4" s="2" t="s">
        <v>159</v>
      </c>
      <c r="E4" s="2" t="s">
        <v>158</v>
      </c>
      <c r="F4" s="2" t="s">
        <v>157</v>
      </c>
      <c r="G4" s="2" t="s">
        <v>156</v>
      </c>
      <c r="H4" s="2" t="s">
        <v>155</v>
      </c>
      <c r="I4" s="2" t="s">
        <v>154</v>
      </c>
      <c r="J4" s="2" t="s">
        <v>153</v>
      </c>
      <c r="K4" s="2" t="s">
        <v>152</v>
      </c>
      <c r="L4" s="2" t="s">
        <v>151</v>
      </c>
      <c r="M4" s="2" t="s">
        <v>150</v>
      </c>
      <c r="N4" s="2" t="s">
        <v>149</v>
      </c>
      <c r="O4" s="2" t="s">
        <v>148</v>
      </c>
      <c r="P4" s="2" t="s">
        <v>147</v>
      </c>
      <c r="Q4" s="2" t="s">
        <v>146</v>
      </c>
      <c r="R4" s="2" t="s">
        <v>145</v>
      </c>
      <c r="S4" s="2" t="s">
        <v>144</v>
      </c>
      <c r="T4" s="2" t="s">
        <v>143</v>
      </c>
      <c r="U4" s="2" t="s">
        <v>142</v>
      </c>
      <c r="V4" s="2" t="s">
        <v>141</v>
      </c>
      <c r="W4" s="2" t="s">
        <v>140</v>
      </c>
      <c r="X4" s="2" t="s">
        <v>139</v>
      </c>
      <c r="Y4" s="2" t="s">
        <v>138</v>
      </c>
      <c r="Z4" s="2" t="s">
        <v>137</v>
      </c>
      <c r="AA4" s="2" t="s">
        <v>136</v>
      </c>
      <c r="AB4" s="2" t="s">
        <v>135</v>
      </c>
      <c r="AC4" s="2" t="s">
        <v>134</v>
      </c>
      <c r="AD4" s="2" t="s">
        <v>133</v>
      </c>
      <c r="AE4" s="2" t="s">
        <v>132</v>
      </c>
      <c r="AF4" s="2" t="s">
        <v>131</v>
      </c>
      <c r="AG4" s="2" t="s">
        <v>130</v>
      </c>
      <c r="AH4" s="2" t="s">
        <v>129</v>
      </c>
      <c r="AI4" s="2" t="s">
        <v>128</v>
      </c>
      <c r="AJ4" s="2" t="s">
        <v>127</v>
      </c>
      <c r="AK4" s="2" t="s">
        <v>126</v>
      </c>
      <c r="AL4" s="2" t="s">
        <v>125</v>
      </c>
      <c r="AM4" s="2" t="s">
        <v>124</v>
      </c>
      <c r="AN4" s="2" t="s">
        <v>123</v>
      </c>
      <c r="AO4" s="2" t="s">
        <v>122</v>
      </c>
      <c r="AP4" s="2" t="s">
        <v>121</v>
      </c>
    </row>
    <row r="5" spans="1:42" x14ac:dyDescent="0.25">
      <c r="A5" s="3" t="s">
        <v>120</v>
      </c>
      <c r="B5" s="3"/>
      <c r="C5" s="4" t="s">
        <v>44</v>
      </c>
      <c r="D5" s="4" t="s">
        <v>45</v>
      </c>
      <c r="E5" s="4" t="s">
        <v>46</v>
      </c>
      <c r="F5" s="4" t="s">
        <v>47</v>
      </c>
      <c r="G5" s="4" t="s">
        <v>48</v>
      </c>
      <c r="H5" s="4" t="s">
        <v>49</v>
      </c>
      <c r="I5" s="4" t="s">
        <v>50</v>
      </c>
      <c r="J5" s="4" t="s">
        <v>51</v>
      </c>
      <c r="K5" s="4" t="s">
        <v>52</v>
      </c>
      <c r="L5" s="4" t="s">
        <v>53</v>
      </c>
      <c r="M5" s="4" t="s">
        <v>54</v>
      </c>
      <c r="N5" s="4" t="s">
        <v>55</v>
      </c>
      <c r="O5" s="4" t="s">
        <v>56</v>
      </c>
      <c r="P5" s="4" t="s">
        <v>57</v>
      </c>
      <c r="Q5" s="4" t="s">
        <v>58</v>
      </c>
      <c r="R5" s="4" t="s">
        <v>59</v>
      </c>
      <c r="S5" s="4" t="s">
        <v>60</v>
      </c>
      <c r="T5" s="4" t="s">
        <v>61</v>
      </c>
      <c r="U5" s="4" t="s">
        <v>62</v>
      </c>
      <c r="V5" s="4" t="s">
        <v>63</v>
      </c>
      <c r="W5" s="4" t="s">
        <v>64</v>
      </c>
      <c r="X5" s="4" t="s">
        <v>65</v>
      </c>
      <c r="Y5" s="4" t="s">
        <v>66</v>
      </c>
      <c r="Z5" s="4" t="s">
        <v>67</v>
      </c>
      <c r="AA5" s="4" t="s">
        <v>68</v>
      </c>
      <c r="AB5" s="4" t="s">
        <v>69</v>
      </c>
      <c r="AC5" s="4" t="s">
        <v>70</v>
      </c>
      <c r="AD5" s="4" t="s">
        <v>71</v>
      </c>
      <c r="AE5" s="4" t="s">
        <v>72</v>
      </c>
      <c r="AF5" s="4" t="s">
        <v>73</v>
      </c>
      <c r="AG5" s="4" t="s">
        <v>74</v>
      </c>
      <c r="AH5" s="4" t="s">
        <v>75</v>
      </c>
      <c r="AI5" s="4" t="s">
        <v>76</v>
      </c>
      <c r="AJ5" s="4" t="s">
        <v>77</v>
      </c>
      <c r="AK5" s="4" t="s">
        <v>78</v>
      </c>
      <c r="AL5" s="4" t="s">
        <v>79</v>
      </c>
      <c r="AM5" s="4" t="s">
        <v>80</v>
      </c>
      <c r="AN5" s="4" t="s">
        <v>81</v>
      </c>
      <c r="AO5" s="4" t="s">
        <v>82</v>
      </c>
      <c r="AP5" s="4" t="s">
        <v>83</v>
      </c>
    </row>
    <row r="6" spans="1:42" x14ac:dyDescent="0.25">
      <c r="A6" s="6" t="s">
        <v>84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</row>
    <row r="7" spans="1:42" x14ac:dyDescent="0.25">
      <c r="A7" s="7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</row>
    <row r="8" spans="1:42" x14ac:dyDescent="0.25">
      <c r="A8" s="6" t="s">
        <v>93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</row>
    <row r="9" spans="1:42" x14ac:dyDescent="0.25">
      <c r="A9" s="7" t="s">
        <v>94</v>
      </c>
      <c r="B9" s="7" t="s">
        <v>95</v>
      </c>
      <c r="C9" s="20">
        <f>_xll.BDP("BRK/A US Equity","GROSS_MARGIN","EQY_FUND_YEAR=2011","FUND_PER=C2","EQY_FUND_CRNCY=USD","FILING_STATUS=MR","FA_ADJUSTED=GAAP","Fill=—")</f>
        <v>19.78081506792233</v>
      </c>
      <c r="D9" s="20">
        <f>_xll.BDP("BRK/A US Equity","GROSS_MARGIN","EQY_FUND_YEAR=2011","FUND_PER=C3","EQY_FUND_CRNCY=USD","FILING_STATUS=MR","FA_ADJUSTED=GAAP","Fill=—")</f>
        <v>19.931336479623209</v>
      </c>
      <c r="E9" s="20">
        <f>_xll.BDP("BRK/A US Equity","GROSS_MARGIN","EQY_FUND_YEAR=2011","FUND_PER=C4","EQY_FUND_CRNCY=USD","FILING_STATUS=MR","FA_ADJUSTED=GAAP","Fill=—")</f>
        <v>20.381660263905133</v>
      </c>
      <c r="F9" s="20">
        <f>_xll.BDP("BRK/A US Equity","GROSS_MARGIN","EQY_FUND_YEAR=2012","FUND_PER=C1","EQY_FUND_CRNCY=USD","FILING_STATUS=MR","FA_ADJUSTED=GAAP","Fill=—")</f>
        <v>22.809133090413404</v>
      </c>
      <c r="G9" s="20">
        <f>_xll.BDP("BRK/A US Equity","GROSS_MARGIN","EQY_FUND_YEAR=2012","FUND_PER=C2","EQY_FUND_CRNCY=USD","FILING_STATUS=MR","FA_ADJUSTED=GAAP","Fill=—")</f>
        <v>22.411432594891323</v>
      </c>
      <c r="H9" s="20">
        <f>_xll.BDP("BRK/A US Equity","GROSS_MARGIN","EQY_FUND_YEAR=2012","FUND_PER=C3","EQY_FUND_CRNCY=USD","FILING_STATUS=MR","FA_ADJUSTED=GAAP","Fill=—")</f>
        <v>22.993298964694286</v>
      </c>
      <c r="I9" s="20">
        <f>_xll.BDP("BRK/A US Equity","GROSS_MARGIN","EQY_FUND_YEAR=2012","FUND_PER=C4","EQY_FUND_CRNCY=USD","FILING_STATUS=MR","FA_ADJUSTED=GAAP","Fill=—")</f>
        <v>22.682087613795144</v>
      </c>
      <c r="J9" s="20">
        <f>_xll.BDP("BRK/A US Equity","GROSS_MARGIN","EQY_FUND_YEAR=2013","FUND_PER=C1","EQY_FUND_CRNCY=USD","FILING_STATUS=MR","FA_ADJUSTED=GAAP","Fill=—")</f>
        <v>25.511204322155614</v>
      </c>
      <c r="K9" s="20">
        <f>_xll.BDP("BRK/A US Equity","GROSS_MARGIN","EQY_FUND_YEAR=2013","FUND_PER=C2","EQY_FUND_CRNCY=USD","FILING_STATUS=MR","FA_ADJUSTED=GAAP","Fill=—")</f>
        <v>24.907407407407412</v>
      </c>
      <c r="L9" s="20">
        <f>_xll.BDP("BRK/A US Equity","GROSS_MARGIN","EQY_FUND_YEAR=2013","FUND_PER=C3","EQY_FUND_CRNCY=USD","FILING_STATUS=MR","FA_ADJUSTED=GAAP","Fill=—")</f>
        <v>24.67931399471507</v>
      </c>
      <c r="M9" s="20">
        <f>_xll.BDP("BRK/A US Equity","GROSS_MARGIN","EQY_FUND_YEAR=2013","FUND_PER=C4","EQY_FUND_CRNCY=USD","FILING_STATUS=MR","FA_ADJUSTED=GAAP","Fill=—")</f>
        <v>24.638484765303325</v>
      </c>
      <c r="N9" s="20">
        <f>_xll.BDP("BRK/A US Equity","GROSS_MARGIN","EQY_FUND_YEAR=2014","FUND_PER=C1","EQY_FUND_CRNCY=USD","FILING_STATUS=MR","FA_ADJUSTED=GAAP","Fill=—")</f>
        <v>23.419796273073288</v>
      </c>
      <c r="O9" s="20">
        <f>_xll.BDP("BRK/A US Equity","GROSS_MARGIN","EQY_FUND_YEAR=2014","FUND_PER=C2","EQY_FUND_CRNCY=USD","FILING_STATUS=MR","FA_ADJUSTED=GAAP","Fill=—")</f>
        <v>24.968754923068847</v>
      </c>
      <c r="P9" s="20">
        <f>_xll.BDP("BRK/A US Equity","GROSS_MARGIN","EQY_FUND_YEAR=2014","FUND_PER=C3","EQY_FUND_CRNCY=USD","FILING_STATUS=MR","FA_ADJUSTED=GAAP","Fill=—")</f>
        <v>23.683527531520209</v>
      </c>
      <c r="Q9" s="20">
        <f>_xll.BDP("BRK/A US Equity","GROSS_MARGIN","EQY_FUND_YEAR=2014","FUND_PER=C4","EQY_FUND_CRNCY=USD","FILING_STATUS=MR","FA_ADJUSTED=GAAP","Fill=—")</f>
        <v>23.166528847092181</v>
      </c>
      <c r="R9" s="20">
        <f>_xll.BDP("BRK/A US Equity","GROSS_MARGIN","EQY_FUND_YEAR=2015","FUND_PER=C1","EQY_FUND_CRNCY=USD","FILING_STATUS=MR","FA_ADJUSTED=GAAP","Fill=—")</f>
        <v>24.597072609160431</v>
      </c>
      <c r="S9" s="20">
        <f>_xll.BDP("BRK/A US Equity","GROSS_MARGIN","EQY_FUND_YEAR=2015","FUND_PER=C2","EQY_FUND_CRNCY=USD","FILING_STATUS=MR","FA_ADJUSTED=GAAP","Fill=—")</f>
        <v>22.555293364796224</v>
      </c>
      <c r="T9" s="20">
        <f>_xll.BDP("BRK/A US Equity","GROSS_MARGIN","EQY_FUND_YEAR=2015","FUND_PER=C3","EQY_FUND_CRNCY=USD","FILING_STATUS=MR","FA_ADJUSTED=GAAP","Fill=—")</f>
        <v>26.179080634712992</v>
      </c>
      <c r="U9" s="20">
        <f>_xll.BDP("BRK/A US Equity","GROSS_MARGIN","EQY_FUND_YEAR=2015","FUND_PER=C4","EQY_FUND_CRNCY=USD","FILING_STATUS=MR","FA_ADJUSTED=GAAP","Fill=—")</f>
        <v>25.54813385606538</v>
      </c>
      <c r="V9" s="20">
        <f>_xll.BDP("BRK/A US Equity","GROSS_MARGIN","EQY_FUND_YEAR=2016","FUND_PER=C1","EQY_FUND_CRNCY=USD","FILING_STATUS=MR","FA_ADJUSTED=GAAP","Fill=—")</f>
        <v>22.053946283764358</v>
      </c>
      <c r="W9" s="20">
        <f>_xll.BDP("BRK/A US Equity","GROSS_MARGIN","EQY_FUND_YEAR=2016","FUND_PER=C2","EQY_FUND_CRNCY=USD","FILING_STATUS=MR","FA_ADJUSTED=GAAP","Fill=—")</f>
        <v>22.464455867013733</v>
      </c>
      <c r="X9" s="20">
        <f>_xll.BDP("BRK/A US Equity","GROSS_MARGIN","EQY_FUND_YEAR=2016","FUND_PER=C3","EQY_FUND_CRNCY=USD","FILING_STATUS=MR","FA_ADJUSTED=GAAP","Fill=—")</f>
        <v>24.006414135301945</v>
      </c>
      <c r="Y9" s="20">
        <f>_xll.BDP("BRK/A US Equity","GROSS_MARGIN","EQY_FUND_YEAR=2016","FUND_PER=C4","EQY_FUND_CRNCY=USD","FILING_STATUS=MR","FA_ADJUSTED=GAAP","Fill=—")</f>
        <v>25.450500854899783</v>
      </c>
      <c r="Z9" s="20">
        <f>_xll.BDP("BRK/A US Equity","GROSS_MARGIN","EQY_FUND_YEAR=2017","FUND_PER=C1","EQY_FUND_CRNCY=USD","FILING_STATUS=MR","FA_ADJUSTED=GAAP","Fill=—")</f>
        <v>16.934530662368562</v>
      </c>
      <c r="AA9" s="20">
        <f>_xll.BDP("BRK/A US Equity","GROSS_MARGIN","EQY_FUND_YEAR=2017","FUND_PER=C2","EQY_FUND_CRNCY=USD","FILING_STATUS=MR","FA_ADJUSTED=GAAP","Fill=—")</f>
        <v>18.596382496371078</v>
      </c>
      <c r="AB9" s="20">
        <f>_xll.BDP("BRK/A US Equity","GROSS_MARGIN","EQY_FUND_YEAR=2017","FUND_PER=C3","EQY_FUND_CRNCY=USD","FILING_STATUS=MR","FA_ADJUSTED=GAAP","Fill=—")</f>
        <v>18.49173666561077</v>
      </c>
      <c r="AC9" s="20">
        <f>_xll.BDP("BRK/A US Equity","GROSS_MARGIN","EQY_FUND_YEAR=2017","FUND_PER=C4","EQY_FUND_CRNCY=USD","FILING_STATUS=MR","FA_ADJUSTED=GAAP","Fill=—")</f>
        <v>19.676858312574108</v>
      </c>
      <c r="AD9" s="20">
        <f>_xll.BDP("BRK/A US Equity","GROSS_MARGIN","EQY_FUND_YEAR=2018","FUND_PER=C1","EQY_FUND_CRNCY=USD","FILING_STATUS=MR","FA_ADJUSTED=GAAP","Fill=—")</f>
        <v>8.9341630663125731</v>
      </c>
      <c r="AE9" s="20">
        <f>_xll.BDP("BRK/A US Equity","GROSS_MARGIN","EQY_FUND_YEAR=2018","FUND_PER=C2","EQY_FUND_CRNCY=USD","FILING_STATUS=MR","FA_ADJUSTED=GAAP","Fill=—")</f>
        <v>28.085195765417581</v>
      </c>
      <c r="AF9" s="20">
        <f>_xll.BDP("BRK/A US Equity","GROSS_MARGIN","EQY_FUND_YEAR=2018","FUND_PER=C3","EQY_FUND_CRNCY=USD","FILING_STATUS=MR","FA_ADJUSTED=GAAP","Fill=—")</f>
        <v>27.878646488416436</v>
      </c>
      <c r="AG9" s="20">
        <f>_xll.BDP("BRK/A US Equity","GROSS_MARGIN","EQY_FUND_YEAR=2018","FUND_PER=C4","EQY_FUND_CRNCY=USD","FILING_STATUS=MR","FA_ADJUSTED=GAAP","Fill=—")</f>
        <v>14.266445412677143</v>
      </c>
      <c r="AH9" s="20">
        <f>_xll.BDP("BRK/A US Equity","GROSS_MARGIN","EQY_FUND_YEAR=2019","FUND_PER=C1","EQY_FUND_CRNCY=USD","FILING_STATUS=MR","FA_ADJUSTED=GAAP","Fill=—")</f>
        <v>41.425925925925924</v>
      </c>
      <c r="AI9" s="20">
        <f>_xll.BDP("BRK/A US Equity","GROSS_MARGIN","EQY_FUND_YEAR=2019","FUND_PER=C2","EQY_FUND_CRNCY=USD","FILING_STATUS=MR","FA_ADJUSTED=GAAP","Fill=—")</f>
        <v>42.712388293263324</v>
      </c>
      <c r="AJ9" s="20">
        <f>_xll.BDP("BRK/A US Equity","GROSS_MARGIN","EQY_FUND_YEAR=2019","FUND_PER=C3","EQY_FUND_CRNCY=USD","FILING_STATUS=MR","FA_ADJUSTED=GAAP","Fill=—")</f>
        <v>36.679332361718373</v>
      </c>
      <c r="AK9" s="20">
        <f>_xll.BDP("BRK/A US Equity","GROSS_MARGIN","EQY_FUND_YEAR=2019","FUND_PER=C4","EQY_FUND_CRNCY=USD","FILING_STATUS=MR","FA_ADJUSTED=GAAP","Fill=—")</f>
        <v>39.363064332274931</v>
      </c>
      <c r="AL9" s="20" t="str">
        <f>_xll.BDP("BRK/A US Equity","GROSS_MARGIN","EQY_FUND_YEAR=2020","FUND_PER=C1","EQY_FUND_CRNCY=USD","FILING_STATUS=MR","FA_ADJUSTED=GAAP","Fill=—")</f>
        <v>—</v>
      </c>
      <c r="AM9" s="20">
        <f>_xll.BDP("BRK/A US Equity","GROSS_MARGIN","EQY_FUND_YEAR=2020","FUND_PER=C2","EQY_FUND_CRNCY=USD","FILING_STATUS=MR","FA_ADJUSTED=GAAP","Fill=—")</f>
        <v>2.8493431155092952</v>
      </c>
      <c r="AN9" s="20">
        <f>_xll.BDP("BRK/A US Equity","GROSS_MARGIN","EQY_FUND_YEAR=2020","FUND_PER=C3","EQY_FUND_CRNCY=USD","FILING_STATUS=MR","FA_ADJUSTED=GAAP","Fill=—")</f>
        <v>22.664789257126571</v>
      </c>
      <c r="AO9" s="20">
        <f>_xll.BDP("BRK/A US Equity","GROSS_MARGIN","EQY_FUND_YEAR=2020","FUND_PER=C4","EQY_FUND_CRNCY=USD","FILING_STATUS=MR","FA_ADJUSTED=GAAP","Fill=—")</f>
        <v>32.951623721424184</v>
      </c>
      <c r="AP9" s="20">
        <f>_xll.BDP("BRK/A US Equity","GROSS_MARGIN","EQY_FUND_YEAR=2021","FUND_PER=C1","EQY_FUND_CRNCY=USD","FILING_STATUS=MR","FA_ADJUSTED=GAAP","Fill=—")</f>
        <v>28.919330289193301</v>
      </c>
    </row>
    <row r="10" spans="1:42" x14ac:dyDescent="0.25">
      <c r="A10" s="7" t="s">
        <v>96</v>
      </c>
      <c r="B10" s="7" t="s">
        <v>97</v>
      </c>
      <c r="C10" s="20">
        <f>_xll.BDP("BRK/A US Equity","EBITDA_TO_REVENUE","EQY_FUND_YEAR=2011","FUND_PER=C2","EQY_FUND_CRNCY=USD","FILING_STATUS=MR","FA_ADJUSTED=GAAP","Fill=—")</f>
        <v>15.411006472761619</v>
      </c>
      <c r="D10" s="20">
        <f>_xll.BDP("BRK/A US Equity","EBITDA_TO_REVENUE","EQY_FUND_YEAR=2011","FUND_PER=C3","EQY_FUND_CRNCY=USD","FILING_STATUS=MR","FA_ADJUSTED=GAAP","Fill=—")</f>
        <v>15.386870702618861</v>
      </c>
      <c r="E10" s="20">
        <f>_xll.BDP("BRK/A US Equity","EBITDA_TO_REVENUE","EQY_FUND_YEAR=2011","FUND_PER=C4","EQY_FUND_CRNCY=USD","FILING_STATUS=MR","FA_ADJUSTED=GAAP","Fill=—")</f>
        <v>16.334001447580871</v>
      </c>
      <c r="F10" s="20">
        <f>_xll.BDP("BRK/A US Equity","EBITDA_TO_REVENUE","EQY_FUND_YEAR=2012","FUND_PER=C1","EQY_FUND_CRNCY=USD","FILING_STATUS=MR","FA_ADJUSTED=GAAP","Fill=—")</f>
        <v>18.022387081552939</v>
      </c>
      <c r="G10" s="20">
        <f>_xll.BDP("BRK/A US Equity","EBITDA_TO_REVENUE","EQY_FUND_YEAR=2012","FUND_PER=C2","EQY_FUND_CRNCY=USD","FILING_STATUS=MR","FA_ADJUSTED=GAAP","Fill=—")</f>
        <v>17.538758426453523</v>
      </c>
      <c r="H10" s="20">
        <f>_xll.BDP("BRK/A US Equity","EBITDA_TO_REVENUE","EQY_FUND_YEAR=2012","FUND_PER=C3","EQY_FUND_CRNCY=USD","FILING_STATUS=MR","FA_ADJUSTED=GAAP","Fill=—")</f>
        <v>18.153945457479427</v>
      </c>
      <c r="I10" s="20">
        <f>_xll.BDP("BRK/A US Equity","EBITDA_TO_REVENUE","EQY_FUND_YEAR=2012","FUND_PER=C4","EQY_FUND_CRNCY=USD","FILING_STATUS=MR","FA_ADJUSTED=GAAP","Fill=—")</f>
        <v>19.16374805340293</v>
      </c>
      <c r="J10" s="20">
        <f>_xll.BDP("BRK/A US Equity","EBITDA_TO_REVENUE","EQY_FUND_YEAR=2013","FUND_PER=C1","EQY_FUND_CRNCY=USD","FILING_STATUS=MR","FA_ADJUSTED=GAAP","Fill=—")</f>
        <v>21.84329906307703</v>
      </c>
      <c r="K10" s="20">
        <f>_xll.BDP("BRK/A US Equity","EBITDA_TO_REVENUE","EQY_FUND_YEAR=2013","FUND_PER=C2","EQY_FUND_CRNCY=USD","FILING_STATUS=MR","FA_ADJUSTED=GAAP","Fill=—")</f>
        <v>21.205962059620596</v>
      </c>
      <c r="L10" s="20">
        <f>_xll.BDP("BRK/A US Equity","EBITDA_TO_REVENUE","EQY_FUND_YEAR=2013","FUND_PER=C3","EQY_FUND_CRNCY=USD","FILING_STATUS=MR","FA_ADJUSTED=GAAP","Fill=—")</f>
        <v>21.080524940599997</v>
      </c>
      <c r="M10" s="20">
        <f>_xll.BDP("BRK/A US Equity","EBITDA_TO_REVENUE","EQY_FUND_YEAR=2013","FUND_PER=C4","EQY_FUND_CRNCY=USD","FILING_STATUS=MR","FA_ADJUSTED=GAAP","Fill=—")</f>
        <v>20.919571781498764</v>
      </c>
      <c r="N10" s="20">
        <f>_xll.BDP("BRK/A US Equity","EBITDA_TO_REVENUE","EQY_FUND_YEAR=2014","FUND_PER=C1","EQY_FUND_CRNCY=USD","FILING_STATUS=MR","FA_ADJUSTED=GAAP","Fill=—")</f>
        <v>20.135084592876158</v>
      </c>
      <c r="O10" s="20">
        <f>_xll.BDP("BRK/A US Equity","EBITDA_TO_REVENUE","EQY_FUND_YEAR=2014","FUND_PER=C2","EQY_FUND_CRNCY=USD","FILING_STATUS=MR","FA_ADJUSTED=GAAP","Fill=—")</f>
        <v>21.742372525337395</v>
      </c>
      <c r="P10" s="20">
        <f>_xll.BDP("BRK/A US Equity","EBITDA_TO_REVENUE","EQY_FUND_YEAR=2014","FUND_PER=C3","EQY_FUND_CRNCY=USD","FILING_STATUS=MR","FA_ADJUSTED=GAAP","Fill=—")</f>
        <v>20.573852227246029</v>
      </c>
      <c r="Q10" s="20">
        <f>_xll.BDP("BRK/A US Equity","EBITDA_TO_REVENUE","EQY_FUND_YEAR=2014","FUND_PER=C4","EQY_FUND_CRNCY=USD","FILING_STATUS=MR","FA_ADJUSTED=GAAP","Fill=—")</f>
        <v>19.904570644944247</v>
      </c>
      <c r="R10" s="20">
        <f>_xll.BDP("BRK/A US Equity","EBITDA_TO_REVENUE","EQY_FUND_YEAR=2015","FUND_PER=C1","EQY_FUND_CRNCY=USD","FILING_STATUS=MR","FA_ADJUSTED=GAAP","Fill=—")</f>
        <v>21.365430474467562</v>
      </c>
      <c r="S10" s="20">
        <f>_xll.BDP("BRK/A US Equity","EBITDA_TO_REVENUE","EQY_FUND_YEAR=2015","FUND_PER=C2","EQY_FUND_CRNCY=USD","FILING_STATUS=MR","FA_ADJUSTED=GAAP","Fill=—")</f>
        <v>19.144702635683718</v>
      </c>
      <c r="T10" s="20">
        <f>_xll.BDP("BRK/A US Equity","EBITDA_TO_REVENUE","EQY_FUND_YEAR=2015","FUND_PER=C3","EQY_FUND_CRNCY=USD","FILING_STATUS=MR","FA_ADJUSTED=GAAP","Fill=—")</f>
        <v>22.687278696360398</v>
      </c>
      <c r="U10" s="20">
        <f>_xll.BDP("BRK/A US Equity","EBITDA_TO_REVENUE","EQY_FUND_YEAR=2015","FUND_PER=C4","EQY_FUND_CRNCY=USD","FILING_STATUS=MR","FA_ADJUSTED=GAAP","Fill=—")</f>
        <v>21.978449154510933</v>
      </c>
      <c r="V10" s="20">
        <f>_xll.BDP("BRK/A US Equity","EBITDA_TO_REVENUE","EQY_FUND_YEAR=2016","FUND_PER=C1","EQY_FUND_CRNCY=USD","FILING_STATUS=MR","FA_ADJUSTED=GAAP","Fill=—")</f>
        <v>18.23898165366256</v>
      </c>
      <c r="W10" s="20">
        <f>_xll.BDP("BRK/A US Equity","EBITDA_TO_REVENUE","EQY_FUND_YEAR=2016","FUND_PER=C2","EQY_FUND_CRNCY=USD","FILING_STATUS=MR","FA_ADJUSTED=GAAP","Fill=—")</f>
        <v>18.456637567305975</v>
      </c>
      <c r="X10" s="20">
        <f>_xll.BDP("BRK/A US Equity","EBITDA_TO_REVENUE","EQY_FUND_YEAR=2016","FUND_PER=C3","EQY_FUND_CRNCY=USD","FILING_STATUS=MR","FA_ADJUSTED=GAAP","Fill=—")</f>
        <v>20.107709064504416</v>
      </c>
      <c r="Y10" s="20">
        <f>_xll.BDP("BRK/A US Equity","EBITDA_TO_REVENUE","EQY_FUND_YEAR=2016","FUND_PER=C4","EQY_FUND_CRNCY=USD","FILING_STATUS=MR","FA_ADJUSTED=GAAP","Fill=—")</f>
        <v>20.231136255807499</v>
      </c>
      <c r="Z10" s="20">
        <f>_xll.BDP("BRK/A US Equity","EBITDA_TO_REVENUE","EQY_FUND_YEAR=2017","FUND_PER=C1","EQY_FUND_CRNCY=USD","FILING_STATUS=MR","FA_ADJUSTED=GAAP","Fill=—")</f>
        <v>13.380919487297566</v>
      </c>
      <c r="AA10" s="20">
        <f>_xll.BDP("BRK/A US Equity","EBITDA_TO_REVENUE","EQY_FUND_YEAR=2017","FUND_PER=C2","EQY_FUND_CRNCY=USD","FILING_STATUS=MR","FA_ADJUSTED=GAAP","Fill=—")</f>
        <v>14.920163749938839</v>
      </c>
      <c r="AB10" s="20">
        <f>_xll.BDP("BRK/A US Equity","EBITDA_TO_REVENUE","EQY_FUND_YEAR=2017","FUND_PER=C3","EQY_FUND_CRNCY=USD","FILING_STATUS=MR","FA_ADJUSTED=GAAP","Fill=—")</f>
        <v>14.828124829326372</v>
      </c>
      <c r="AC10" s="20">
        <f>_xll.BDP("BRK/A US Equity","EBITDA_TO_REVENUE","EQY_FUND_YEAR=2017","FUND_PER=C4","EQY_FUND_CRNCY=USD","FILING_STATUS=MR","FA_ADJUSTED=GAAP","Fill=—")</f>
        <v>14.21046760940424</v>
      </c>
      <c r="AD10" s="20">
        <f>_xll.BDP("BRK/A US Equity","EBITDA_TO_REVENUE","EQY_FUND_YEAR=2018","FUND_PER=C1","EQY_FUND_CRNCY=USD","FILING_STATUS=MR","FA_ADJUSTED=GAAP","Fill=—")</f>
        <v>2.849894962146736</v>
      </c>
      <c r="AE10" s="20">
        <f>_xll.BDP("BRK/A US Equity","EBITDA_TO_REVENUE","EQY_FUND_YEAR=2018","FUND_PER=C2","EQY_FUND_CRNCY=USD","FILING_STATUS=MR","FA_ADJUSTED=GAAP","Fill=—")</f>
        <v>16.428331372878507</v>
      </c>
      <c r="AF10" s="20">
        <f>_xll.BDP("BRK/A US Equity","EBITDA_TO_REVENUE","EQY_FUND_YEAR=2018","FUND_PER=C3","EQY_FUND_CRNCY=USD","FILING_STATUS=MR","FA_ADJUSTED=GAAP","Fill=—")</f>
        <v>23.191970625228223</v>
      </c>
      <c r="AG10" s="20">
        <f>_xll.BDP("BRK/A US Equity","EBITDA_TO_REVENUE","EQY_FUND_YEAR=2018","FUND_PER=C4","EQY_FUND_CRNCY=USD","FILING_STATUS=MR","FA_ADJUSTED=GAAP","Fill=—")</f>
        <v>8.78508487811804</v>
      </c>
      <c r="AH10" s="20">
        <f>_xll.BDP("BRK/A US Equity","EBITDA_TO_REVENUE","EQY_FUND_YEAR=2019","FUND_PER=C1","EQY_FUND_CRNCY=USD","FILING_STATUS=MR","FA_ADJUSTED=GAAP","Fill=—")</f>
        <v>38.57037037037037</v>
      </c>
      <c r="AI10" s="20">
        <f>_xll.BDP("BRK/A US Equity","EBITDA_TO_REVENUE","EQY_FUND_YEAR=2019","FUND_PER=C2","EQY_FUND_CRNCY=USD","FILING_STATUS=MR","FA_ADJUSTED=GAAP","Fill=—")</f>
        <v>34.068776431333497</v>
      </c>
      <c r="AJ10" s="20">
        <f>_xll.BDP("BRK/A US Equity","EBITDA_TO_REVENUE","EQY_FUND_YEAR=2019","FUND_PER=C3","EQY_FUND_CRNCY=USD","FILING_STATUS=MR","FA_ADJUSTED=GAAP","Fill=—")</f>
        <v>33.138576584079395</v>
      </c>
      <c r="AK10" s="20">
        <f>_xll.BDP("BRK/A US Equity","EBITDA_TO_REVENUE","EQY_FUND_YEAR=2019","FUND_PER=C4","EQY_FUND_CRNCY=USD","FILING_STATUS=MR","FA_ADJUSTED=GAAP","Fill=—")</f>
        <v>35.749320799577042</v>
      </c>
      <c r="AL10" s="20">
        <f>_xll.BDP("BRK/A US Equity","EBITDA_TO_REVENUE","EQY_FUND_YEAR=2020","FUND_PER=C1","EQY_FUND_CRNCY=USD","FILING_STATUS=MR","FA_ADJUSTED=GAAP","Fill=—")</f>
        <v>663.04106548279697</v>
      </c>
      <c r="AM10" s="20">
        <f>_xll.BDP("BRK/A US Equity","EBITDA_TO_REVENUE","EQY_FUND_YEAR=2020","FUND_PER=C2","EQY_FUND_CRNCY=USD","FILING_STATUS=MR","FA_ADJUSTED=GAAP","Fill=—")</f>
        <v>-23.372575783427173</v>
      </c>
      <c r="AN10" s="20">
        <f>_xll.BDP("BRK/A US Equity","EBITDA_TO_REVENUE","EQY_FUND_YEAR=2020","FUND_PER=C3","EQY_FUND_CRNCY=USD","FILING_STATUS=MR","FA_ADJUSTED=GAAP","Fill=—")</f>
        <v>11.327463689109745</v>
      </c>
      <c r="AO10" s="20">
        <f>_xll.BDP("BRK/A US Equity","EBITDA_TO_REVENUE","EQY_FUND_YEAR=2020","FUND_PER=C4","EQY_FUND_CRNCY=USD","FILING_STATUS=MR","FA_ADJUSTED=GAAP","Fill=—")</f>
        <v>24.820091107260634</v>
      </c>
      <c r="AP10" s="20">
        <f>_xll.BDP("BRK/A US Equity","EBITDA_TO_REVENUE","EQY_FUND_YEAR=2021","FUND_PER=C1","EQY_FUND_CRNCY=USD","FILING_STATUS=MR","FA_ADJUSTED=GAAP","Fill=—")</f>
        <v>25.604916143899629</v>
      </c>
    </row>
    <row r="11" spans="1:42" x14ac:dyDescent="0.25">
      <c r="A11" s="5" t="s">
        <v>98</v>
      </c>
      <c r="B11" s="5" t="s">
        <v>97</v>
      </c>
      <c r="C11" s="22">
        <v>-12.916410805865</v>
      </c>
      <c r="D11" s="22">
        <v>-12.442688516250501</v>
      </c>
      <c r="E11" s="22">
        <v>-14.074247126532301</v>
      </c>
      <c r="F11" s="22">
        <v>50.910084155978801</v>
      </c>
      <c r="G11" s="22">
        <v>13.806704117823299</v>
      </c>
      <c r="H11" s="22">
        <v>17.9833443719649</v>
      </c>
      <c r="I11" s="22">
        <v>17.324273458780802</v>
      </c>
      <c r="J11" s="22">
        <v>21.200920832517902</v>
      </c>
      <c r="K11" s="22">
        <v>20.909143053345002</v>
      </c>
      <c r="L11" s="22">
        <v>16.120903748469001</v>
      </c>
      <c r="M11" s="22">
        <v>9.1622160758949693</v>
      </c>
      <c r="N11" s="22">
        <v>-7.8203113916080103</v>
      </c>
      <c r="O11" s="22">
        <v>2.5295291956101802</v>
      </c>
      <c r="P11" s="22">
        <v>-2.4035122464929302</v>
      </c>
      <c r="Q11" s="22">
        <v>-4.8519204886218397</v>
      </c>
      <c r="R11" s="22">
        <v>6.1104534696526001</v>
      </c>
      <c r="S11" s="22">
        <v>-11.9474999348047</v>
      </c>
      <c r="T11" s="22">
        <v>10.272393327219399</v>
      </c>
      <c r="U11" s="22">
        <v>10.419104234901599</v>
      </c>
      <c r="V11" s="22">
        <v>-14.633208879952299</v>
      </c>
      <c r="W11" s="22">
        <v>-3.5940228479908898</v>
      </c>
      <c r="X11" s="22">
        <v>-11.3701162664769</v>
      </c>
      <c r="Y11" s="22">
        <v>-7.9501196831496204</v>
      </c>
      <c r="Z11" s="22">
        <v>-26.635603894998098</v>
      </c>
      <c r="AA11" s="22">
        <v>-19.160986957646401</v>
      </c>
      <c r="AB11" s="22">
        <v>-26.256516841376602</v>
      </c>
      <c r="AC11" s="22">
        <v>-29.7594163768164</v>
      </c>
      <c r="AD11" s="22">
        <v>-78.701799181356705</v>
      </c>
      <c r="AE11" s="22">
        <v>10.108246799432001</v>
      </c>
      <c r="AF11" s="22">
        <v>56.405283877766102</v>
      </c>
      <c r="AG11" s="22">
        <v>-38.178777785502902</v>
      </c>
      <c r="AH11" s="22">
        <v>1253.39617775392</v>
      </c>
      <c r="AI11" s="22">
        <v>107.378193195645</v>
      </c>
      <c r="AJ11" s="22">
        <v>42.888144349611302</v>
      </c>
      <c r="AK11" s="22">
        <v>306.93198756756499</v>
      </c>
      <c r="AL11" s="22">
        <v>1619.0425318709699</v>
      </c>
      <c r="AM11" s="22" t="s">
        <v>99</v>
      </c>
      <c r="AN11" s="22">
        <v>-65.8178925425796</v>
      </c>
      <c r="AO11" s="22">
        <v>-30.5718533786977</v>
      </c>
      <c r="AP11" s="22">
        <v>-96.138260908470301</v>
      </c>
    </row>
    <row r="12" spans="1:42" x14ac:dyDescent="0.25">
      <c r="A12" s="7" t="s">
        <v>100</v>
      </c>
      <c r="B12" s="7" t="s">
        <v>101</v>
      </c>
      <c r="C12" s="20">
        <f>_xll.BDP("BRK/A US Equity","OPER_MARGIN","EQY_FUND_YEAR=2011","FUND_PER=C2","EQY_FUND_CRNCY=USD","FILING_STATUS=MR","FA_ADJUSTED=GAAP","Fill=—")</f>
        <v>12.249631913770592</v>
      </c>
      <c r="D12" s="20">
        <f>_xll.BDP("BRK/A US Equity","OPER_MARGIN","EQY_FUND_YEAR=2011","FUND_PER=C3","EQY_FUND_CRNCY=USD","FILING_STATUS=MR","FA_ADJUSTED=GAAP","Fill=—")</f>
        <v>12.154199729507344</v>
      </c>
      <c r="E12" s="20">
        <f>_xll.BDP("BRK/A US Equity","OPER_MARGIN","EQY_FUND_YEAR=2011","FUND_PER=C4","EQY_FUND_CRNCY=USD","FILING_STATUS=MR","FA_ADJUSTED=GAAP","Fill=—")</f>
        <v>12.511831189800121</v>
      </c>
      <c r="F12" s="20">
        <f>_xll.BDP("BRK/A US Equity","OPER_MARGIN","EQY_FUND_YEAR=2012","FUND_PER=C1","EQY_FUND_CRNCY=USD","FILING_STATUS=MR","FA_ADJUSTED=GAAP","Fill=—")</f>
        <v>14.737725115998638</v>
      </c>
      <c r="G12" s="20">
        <f>_xll.BDP("BRK/A US Equity","OPER_MARGIN","EQY_FUND_YEAR=2012","FUND_PER=C2","EQY_FUND_CRNCY=USD","FILING_STATUS=MR","FA_ADJUSTED=GAAP","Fill=—")</f>
        <v>14.255538315100466</v>
      </c>
      <c r="H12" s="20">
        <f>_xll.BDP("BRK/A US Equity","OPER_MARGIN","EQY_FUND_YEAR=2012","FUND_PER=C3","EQY_FUND_CRNCY=USD","FILING_STATUS=MR","FA_ADJUSTED=GAAP","Fill=—")</f>
        <v>14.914687072692221</v>
      </c>
      <c r="I12" s="20">
        <f>_xll.BDP("BRK/A US Equity","OPER_MARGIN","EQY_FUND_YEAR=2012","FUND_PER=C4","EQY_FUND_CRNCY=USD","FILING_STATUS=MR","FA_ADJUSTED=GAAP","Fill=—")</f>
        <v>15.375808645660857</v>
      </c>
      <c r="J12" s="20">
        <f>_xll.BDP("BRK/A US Equity","OPER_MARGIN","EQY_FUND_YEAR=2013","FUND_PER=C1","EQY_FUND_CRNCY=USD","FILING_STATUS=MR","FA_ADJUSTED=GAAP","Fill=—")</f>
        <v>18.193630747486722</v>
      </c>
      <c r="K12" s="20">
        <f>_xll.BDP("BRK/A US Equity","OPER_MARGIN","EQY_FUND_YEAR=2013","FUND_PER=C2","EQY_FUND_CRNCY=USD","FILING_STATUS=MR","FA_ADJUSTED=GAAP","Fill=—")</f>
        <v>17.573396567299007</v>
      </c>
      <c r="L12" s="20">
        <f>_xll.BDP("BRK/A US Equity","OPER_MARGIN","EQY_FUND_YEAR=2013","FUND_PER=C3","EQY_FUND_CRNCY=USD","FILING_STATUS=MR","FA_ADJUSTED=GAAP","Fill=—")</f>
        <v>17.503201308650564</v>
      </c>
      <c r="M12" s="20">
        <f>_xll.BDP("BRK/A US Equity","OPER_MARGIN","EQY_FUND_YEAR=2013","FUND_PER=C4","EQY_FUND_CRNCY=USD","FILING_STATUS=MR","FA_ADJUSTED=GAAP","Fill=—")</f>
        <v>17.346692286576999</v>
      </c>
      <c r="N12" s="20">
        <f>_xll.BDP("BRK/A US Equity","OPER_MARGIN","EQY_FUND_YEAR=2014","FUND_PER=C1","EQY_FUND_CRNCY=USD","FILING_STATUS=MR","FA_ADJUSTED=GAAP","Fill=—")</f>
        <v>16.236552042769453</v>
      </c>
      <c r="O12" s="20">
        <f>_xll.BDP("BRK/A US Equity","OPER_MARGIN","EQY_FUND_YEAR=2014","FUND_PER=C2","EQY_FUND_CRNCY=USD","FILING_STATUS=MR","FA_ADJUSTED=GAAP","Fill=—")</f>
        <v>17.980360237357559</v>
      </c>
      <c r="P12" s="20">
        <f>_xll.BDP("BRK/A US Equity","OPER_MARGIN","EQY_FUND_YEAR=2014","FUND_PER=C3","EQY_FUND_CRNCY=USD","FILING_STATUS=MR","FA_ADJUSTED=GAAP","Fill=—")</f>
        <v>16.861092518475012</v>
      </c>
      <c r="Q12" s="20">
        <f>_xll.BDP("BRK/A US Equity","OPER_MARGIN","EQY_FUND_YEAR=2014","FUND_PER=C4","EQY_FUND_CRNCY=USD","FILING_STATUS=MR","FA_ADJUSTED=GAAP","Fill=—")</f>
        <v>16.119240468620795</v>
      </c>
      <c r="R12" s="20">
        <f>_xll.BDP("BRK/A US Equity","OPER_MARGIN","EQY_FUND_YEAR=2015","FUND_PER=C1","EQY_FUND_CRNCY=USD","FILING_STATUS=MR","FA_ADJUSTED=GAAP","Fill=—")</f>
        <v>17.519118493544937</v>
      </c>
      <c r="S12" s="20">
        <f>_xll.BDP("BRK/A US Equity","OPER_MARGIN","EQY_FUND_YEAR=2015","FUND_PER=C2","EQY_FUND_CRNCY=USD","FILING_STATUS=MR","FA_ADJUSTED=GAAP","Fill=—")</f>
        <v>15.333160020797504</v>
      </c>
      <c r="T12" s="20">
        <f>_xll.BDP("BRK/A US Equity","OPER_MARGIN","EQY_FUND_YEAR=2015","FUND_PER=C3","EQY_FUND_CRNCY=USD","FILING_STATUS=MR","FA_ADJUSTED=GAAP","Fill=—")</f>
        <v>19.038873969346103</v>
      </c>
      <c r="U12" s="20">
        <f>_xll.BDP("BRK/A US Equity","OPER_MARGIN","EQY_FUND_YEAR=2015","FUND_PER=C4","EQY_FUND_CRNCY=USD","FILING_STATUS=MR","FA_ADJUSTED=GAAP","Fill=—")</f>
        <v>18.290723086331379</v>
      </c>
      <c r="V12" s="20">
        <f>_xll.BDP("BRK/A US Equity","OPER_MARGIN","EQY_FUND_YEAR=2016","FUND_PER=C1","EQY_FUND_CRNCY=USD","FILING_STATUS=MR","FA_ADJUSTED=GAAP","Fill=—")</f>
        <v>14.165212890362902</v>
      </c>
      <c r="W12" s="20">
        <f>_xll.BDP("BRK/A US Equity","OPER_MARGIN","EQY_FUND_YEAR=2016","FUND_PER=C2","EQY_FUND_CRNCY=USD","FILING_STATUS=MR","FA_ADJUSTED=GAAP","Fill=—")</f>
        <v>14.360487516092354</v>
      </c>
      <c r="X12" s="20">
        <f>_xll.BDP("BRK/A US Equity","OPER_MARGIN","EQY_FUND_YEAR=2016","FUND_PER=C3","EQY_FUND_CRNCY=USD","FILING_STATUS=MR","FA_ADJUSTED=GAAP","Fill=—")</f>
        <v>16.110976642865786</v>
      </c>
      <c r="Y12" s="20">
        <f>_xll.BDP("BRK/A US Equity","OPER_MARGIN","EQY_FUND_YEAR=2016","FUND_PER=C4","EQY_FUND_CRNCY=USD","FILING_STATUS=MR","FA_ADJUSTED=GAAP","Fill=—")</f>
        <v>16.247124224547711</v>
      </c>
      <c r="Z12" s="20">
        <f>_xll.BDP("BRK/A US Equity","OPER_MARGIN","EQY_FUND_YEAR=2017","FUND_PER=C1","EQY_FUND_CRNCY=USD","FILING_STATUS=MR","FA_ADJUSTED=GAAP","Fill=—")</f>
        <v>9.9378309924015653</v>
      </c>
      <c r="AA12" s="20">
        <f>_xll.BDP("BRK/A US Equity","OPER_MARGIN","EQY_FUND_YEAR=2017","FUND_PER=C2","EQY_FUND_CRNCY=USD","FILING_STATUS=MR","FA_ADJUSTED=GAAP","Fill=—")</f>
        <v>11.218664883466802</v>
      </c>
      <c r="AB12" s="20">
        <f>_xll.BDP("BRK/A US Equity","OPER_MARGIN","EQY_FUND_YEAR=2017","FUND_PER=C3","EQY_FUND_CRNCY=USD","FILING_STATUS=MR","FA_ADJUSTED=GAAP","Fill=—")</f>
        <v>11.095151230488591</v>
      </c>
      <c r="AC12" s="20">
        <f>_xll.BDP("BRK/A US Equity","OPER_MARGIN","EQY_FUND_YEAR=2017","FUND_PER=C4","EQY_FUND_CRNCY=USD","FILING_STATUS=MR","FA_ADJUSTED=GAAP","Fill=—")</f>
        <v>10.414730171320452</v>
      </c>
      <c r="AD12" s="20">
        <f>_xll.BDP("BRK/A US Equity","OPER_MARGIN","EQY_FUND_YEAR=2018","FUND_PER=C1","EQY_FUND_CRNCY=USD","FILING_STATUS=MR","FA_ADJUSTED=GAAP","Fill=—")</f>
        <v>-1.8807721273138056</v>
      </c>
      <c r="AE12" s="20">
        <f>_xll.BDP("BRK/A US Equity","OPER_MARGIN","EQY_FUND_YEAR=2018","FUND_PER=C2","EQY_FUND_CRNCY=USD","FILING_STATUS=MR","FA_ADJUSTED=GAAP","Fill=—")</f>
        <v>12.417240799865569</v>
      </c>
      <c r="AF12" s="20">
        <f>_xll.BDP("BRK/A US Equity","OPER_MARGIN","EQY_FUND_YEAR=2018","FUND_PER=C3","EQY_FUND_CRNCY=USD","FILING_STATUS=MR","FA_ADJUSTED=GAAP","Fill=—")</f>
        <v>19.556132592201891</v>
      </c>
      <c r="AG12" s="20">
        <f>_xll.BDP("BRK/A US Equity","OPER_MARGIN","EQY_FUND_YEAR=2018","FUND_PER=C4","EQY_FUND_CRNCY=USD","FILING_STATUS=MR","FA_ADJUSTED=GAAP","Fill=—")</f>
        <v>4.4462290688697417</v>
      </c>
      <c r="AH12" s="20">
        <f>_xll.BDP("BRK/A US Equity","OPER_MARGIN","EQY_FUND_YEAR=2019","FUND_PER=C1","EQY_FUND_CRNCY=USD","FILING_STATUS=MR","FA_ADJUSTED=GAAP","Fill=—")</f>
        <v>35.148148148148152</v>
      </c>
      <c r="AI12" s="20">
        <f>_xll.BDP("BRK/A US Equity","OPER_MARGIN","EQY_FUND_YEAR=2019","FUND_PER=C2","EQY_FUND_CRNCY=USD","FILING_STATUS=MR","FA_ADJUSTED=GAAP","Fill=—")</f>
        <v>30.454715931870208</v>
      </c>
      <c r="AJ12" s="20">
        <f>_xll.BDP("BRK/A US Equity","OPER_MARGIN","EQY_FUND_YEAR=2019","FUND_PER=C3","EQY_FUND_CRNCY=USD","FILING_STATUS=MR","FA_ADJUSTED=GAAP","Fill=—")</f>
        <v>29.463789992365879</v>
      </c>
      <c r="AK12" s="20">
        <f>_xll.BDP("BRK/A US Equity","OPER_MARGIN","EQY_FUND_YEAR=2019","FUND_PER=C4","EQY_FUND_CRNCY=USD","FILING_STATUS=MR","FA_ADJUSTED=GAAP","Fill=—")</f>
        <v>32.235203515645296</v>
      </c>
      <c r="AL12" s="20" t="str">
        <f>_xll.BDP("BRK/A US Equity","OPER_MARGIN","EQY_FUND_YEAR=2020","FUND_PER=C1","EQY_FUND_CRNCY=USD","FILING_STATUS=MR","FA_ADJUSTED=GAAP","Fill=—")</f>
        <v>—</v>
      </c>
      <c r="AM12" s="20">
        <f>_xll.BDP("BRK/A US Equity","OPER_MARGIN","EQY_FUND_YEAR=2020","FUND_PER=C2","EQY_FUND_CRNCY=USD","FILING_STATUS=MR","FA_ADJUSTED=GAAP","Fill=—")</f>
        <v>-29.18387078428027</v>
      </c>
      <c r="AN12" s="20">
        <f>_xll.BDP("BRK/A US Equity","OPER_MARGIN","EQY_FUND_YEAR=2020","FUND_PER=C3","EQY_FUND_CRNCY=USD","FILING_STATUS=MR","FA_ADJUSTED=GAAP","Fill=—")</f>
        <v>7.1131541028155665</v>
      </c>
      <c r="AO12" s="20">
        <f>_xll.BDP("BRK/A US Equity","OPER_MARGIN","EQY_FUND_YEAR=2020","FUND_PER=C4","EQY_FUND_CRNCY=USD","FILING_STATUS=MR","FA_ADJUSTED=GAAP","Fill=—")</f>
        <v>20.628388575261305</v>
      </c>
      <c r="AP12" s="20">
        <f>_xll.BDP("BRK/A US Equity","OPER_MARGIN","EQY_FUND_YEAR=2021","FUND_PER=C1","EQY_FUND_CRNCY=USD","FILING_STATUS=MR","FA_ADJUSTED=GAAP","Fill=—")</f>
        <v>21.802586096530536</v>
      </c>
    </row>
    <row r="13" spans="1:42" x14ac:dyDescent="0.25">
      <c r="A13" s="7" t="s">
        <v>108</v>
      </c>
      <c r="B13" s="7" t="s">
        <v>109</v>
      </c>
      <c r="C13" s="20">
        <f>_xll.BDP("BRK/A US Equity","PROF_MARGIN","EQY_FUND_YEAR=2011","FUND_PER=C2","EQY_FUND_CRNCY=USD","FILING_STATUS=MR","FA_ADJUSTED=GAAP","Fill=—")</f>
        <v>6.8450148623496396</v>
      </c>
      <c r="D13" s="20">
        <f>_xll.BDP("BRK/A US Equity","PROF_MARGIN","EQY_FUND_YEAR=2011","FUND_PER=C3","EQY_FUND_CRNCY=USD","FILING_STATUS=MR","FA_ADJUSTED=GAAP","Fill=—")</f>
        <v>6.8152799977301308</v>
      </c>
      <c r="E13" s="20">
        <f>_xll.BDP("BRK/A US Equity","PROF_MARGIN","EQY_FUND_YEAR=2011","FUND_PER=C4","EQY_FUND_CRNCY=USD","FILING_STATUS=MR","FA_ADJUSTED=GAAP","Fill=—")</f>
        <v>7.1362953064974119</v>
      </c>
      <c r="F13" s="20">
        <f>_xll.BDP("BRK/A US Equity","PROF_MARGIN","EQY_FUND_YEAR=2012","FUND_PER=C1","EQY_FUND_CRNCY=USD","FILING_STATUS=MR","FA_ADJUSTED=GAAP","Fill=—")</f>
        <v>8.5065667024929876</v>
      </c>
      <c r="G13" s="20">
        <f>_xll.BDP("BRK/A US Equity","PROF_MARGIN","EQY_FUND_YEAR=2012","FUND_PER=C2","EQY_FUND_CRNCY=USD","FILING_STATUS=MR","FA_ADJUSTED=GAAP","Fill=—")</f>
        <v>8.2836764763407338</v>
      </c>
      <c r="H13" s="20">
        <f>_xll.BDP("BRK/A US Equity","PROF_MARGIN","EQY_FUND_YEAR=2012","FUND_PER=C3","EQY_FUND_CRNCY=USD","FILING_STATUS=MR","FA_ADJUSTED=GAAP","Fill=—")</f>
        <v>8.7249348156578304</v>
      </c>
      <c r="I13" s="20">
        <f>_xll.BDP("BRK/A US Equity","PROF_MARGIN","EQY_FUND_YEAR=2012","FUND_PER=C4","EQY_FUND_CRNCY=USD","FILING_STATUS=MR","FA_ADJUSTED=GAAP","Fill=—")</f>
        <v>9.1245391258317277</v>
      </c>
      <c r="J13" s="20">
        <f>_xll.BDP("BRK/A US Equity","PROF_MARGIN","EQY_FUND_YEAR=2013","FUND_PER=C1","EQY_FUND_CRNCY=USD","FILING_STATUS=MR","FA_ADJUSTED=GAAP","Fill=—")</f>
        <v>11.151890943077939</v>
      </c>
      <c r="K13" s="20">
        <f>_xll.BDP("BRK/A US Equity","PROF_MARGIN","EQY_FUND_YEAR=2013","FUND_PER=C2","EQY_FUND_CRNCY=USD","FILING_STATUS=MR","FA_ADJUSTED=GAAP","Fill=—")</f>
        <v>10.651535682023487</v>
      </c>
      <c r="L13" s="20">
        <f>_xll.BDP("BRK/A US Equity","PROF_MARGIN","EQY_FUND_YEAR=2013","FUND_PER=C3","EQY_FUND_CRNCY=USD","FILING_STATUS=MR","FA_ADJUSTED=GAAP","Fill=—")</f>
        <v>10.722348465222316</v>
      </c>
      <c r="M13" s="20">
        <f>_xll.BDP("BRK/A US Equity","PROF_MARGIN","EQY_FUND_YEAR=2013","FUND_PER=C4","EQY_FUND_CRNCY=USD","FILING_STATUS=MR","FA_ADJUSTED=GAAP","Fill=—")</f>
        <v>10.692286576996981</v>
      </c>
      <c r="N13" s="20">
        <f>_xll.BDP("BRK/A US Equity","PROF_MARGIN","EQY_FUND_YEAR=2014","FUND_PER=C1","EQY_FUND_CRNCY=USD","FILING_STATUS=MR","FA_ADJUSTED=GAAP","Fill=—")</f>
        <v>10.351351945966163</v>
      </c>
      <c r="O13" s="20">
        <f>_xll.BDP("BRK/A US Equity","PROF_MARGIN","EQY_FUND_YEAR=2014","FUND_PER=C2","EQY_FUND_CRNCY=USD","FILING_STATUS=MR","FA_ADJUSTED=GAAP","Fill=—")</f>
        <v>11.657827023053089</v>
      </c>
      <c r="P13" s="20">
        <f>_xll.BDP("BRK/A US Equity","PROF_MARGIN","EQY_FUND_YEAR=2014","FUND_PER=C3","EQY_FUND_CRNCY=USD","FILING_STATUS=MR","FA_ADJUSTED=GAAP","Fill=—")</f>
        <v>10.734629202125481</v>
      </c>
      <c r="Q13" s="20">
        <f>_xll.BDP("BRK/A US Equity","PROF_MARGIN","EQY_FUND_YEAR=2014","FUND_PER=C4","EQY_FUND_CRNCY=USD","FILING_STATUS=MR","FA_ADJUSTED=GAAP","Fill=—")</f>
        <v>10.206523916404295</v>
      </c>
      <c r="R13" s="20">
        <f>_xll.BDP("BRK/A US Equity","PROF_MARGIN","EQY_FUND_YEAR=2015","FUND_PER=C1","EQY_FUND_CRNCY=USD","FILING_STATUS=MR","FA_ADJUSTED=GAAP","Fill=—")</f>
        <v>10.615903297426199</v>
      </c>
      <c r="S13" s="20">
        <f>_xll.BDP("BRK/A US Equity","PROF_MARGIN","EQY_FUND_YEAR=2015","FUND_PER=C2","EQY_FUND_CRNCY=USD","FILING_STATUS=MR","FA_ADJUSTED=GAAP","Fill=—")</f>
        <v>9.1758988921329436</v>
      </c>
      <c r="T13" s="20">
        <f>_xll.BDP("BRK/A US Equity","PROF_MARGIN","EQY_FUND_YEAR=2015","FUND_PER=C3","EQY_FUND_CRNCY=USD","FILING_STATUS=MR","FA_ADJUSTED=GAAP","Fill=—")</f>
        <v>11.701184269281326</v>
      </c>
      <c r="U13" s="20">
        <f>_xll.BDP("BRK/A US Equity","PROF_MARGIN","EQY_FUND_YEAR=2015","FUND_PER=C4","EQY_FUND_CRNCY=USD","FILING_STATUS=MR","FA_ADJUSTED=GAAP","Fill=—")</f>
        <v>11.416828242700634</v>
      </c>
      <c r="V13" s="20">
        <f>_xll.BDP("BRK/A US Equity","PROF_MARGIN","EQY_FUND_YEAR=2016","FUND_PER=C1","EQY_FUND_CRNCY=USD","FILING_STATUS=MR","FA_ADJUSTED=GAAP","Fill=—")</f>
        <v>10.714491114391427</v>
      </c>
      <c r="W13" s="20">
        <f>_xll.BDP("BRK/A US Equity","PROF_MARGIN","EQY_FUND_YEAR=2016","FUND_PER=C2","EQY_FUND_CRNCY=USD","FILING_STATUS=MR","FA_ADJUSTED=GAAP","Fill=—")</f>
        <v>9.951417536671773</v>
      </c>
      <c r="X13" s="20">
        <f>_xll.BDP("BRK/A US Equity","PROF_MARGIN","EQY_FUND_YEAR=2016","FUND_PER=C3","EQY_FUND_CRNCY=USD","FILING_STATUS=MR","FA_ADJUSTED=GAAP","Fill=—")</f>
        <v>10.763645165194239</v>
      </c>
      <c r="Y13" s="20">
        <f>_xll.BDP("BRK/A US Equity","PROF_MARGIN","EQY_FUND_YEAR=2016","FUND_PER=C4","EQY_FUND_CRNCY=USD","FILING_STATUS=MR","FA_ADJUSTED=GAAP","Fill=—")</f>
        <v>10.775318013767915</v>
      </c>
      <c r="Z13" s="20">
        <f>_xll.BDP("BRK/A US Equity","PROF_MARGIN","EQY_FUND_YEAR=2017","FUND_PER=C1","EQY_FUND_CRNCY=USD","FILING_STATUS=MR","FA_ADJUSTED=GAAP","Fill=—")</f>
        <v>6.232251132089953</v>
      </c>
      <c r="AA13" s="20">
        <f>_xll.BDP("BRK/A US Equity","PROF_MARGIN","EQY_FUND_YEAR=2017","FUND_PER=C2","EQY_FUND_CRNCY=USD","FILING_STATUS=MR","FA_ADJUSTED=GAAP","Fill=—")</f>
        <v>6.7864889990703432</v>
      </c>
      <c r="AB13" s="20">
        <f>_xll.BDP("BRK/A US Equity","PROF_MARGIN","EQY_FUND_YEAR=2017","FUND_PER=C3","EQY_FUND_CRNCY=USD","FILING_STATUS=MR","FA_ADJUSTED=GAAP","Fill=—")</f>
        <v>6.7663218604244717</v>
      </c>
      <c r="AC13" s="20">
        <f>_xll.BDP("BRK/A US Equity","PROF_MARGIN","EQY_FUND_YEAR=2017","FUND_PER=C4","EQY_FUND_CRNCY=USD","FILING_STATUS=MR","FA_ADJUSTED=GAAP","Fill=—")</f>
        <v>18.565568183226542</v>
      </c>
      <c r="AD13" s="20">
        <f>_xll.BDP("BRK/A US Equity","PROF_MARGIN","EQY_FUND_YEAR=2018","FUND_PER=C1","EQY_FUND_CRNCY=USD","FILING_STATUS=MR","FA_ADJUSTED=GAAP","Fill=—")</f>
        <v>-2.2553410757461654</v>
      </c>
      <c r="AE13" s="20">
        <f>_xll.BDP("BRK/A US Equity","PROF_MARGIN","EQY_FUND_YEAR=2018","FUND_PER=C2","EQY_FUND_CRNCY=USD","FILING_STATUS=MR","FA_ADJUSTED=GAAP","Fill=—")</f>
        <v>9.1354394219458914</v>
      </c>
      <c r="AF13" s="20">
        <f>_xll.BDP("BRK/A US Equity","PROF_MARGIN","EQY_FUND_YEAR=2018","FUND_PER=C3","EQY_FUND_CRNCY=USD","FILING_STATUS=MR","FA_ADJUSTED=GAAP","Fill=—")</f>
        <v>14.917129873818313</v>
      </c>
      <c r="AG13" s="20">
        <f>_xll.BDP("BRK/A US Equity","PROF_MARGIN","EQY_FUND_YEAR=2018","FUND_PER=C4","EQY_FUND_CRNCY=USD","FILING_STATUS=MR","FA_ADJUSTED=GAAP","Fill=—")</f>
        <v>1.784082136106699</v>
      </c>
      <c r="AH13" s="20">
        <f>_xll.BDP("BRK/A US Equity","PROF_MARGIN","EQY_FUND_YEAR=2019","FUND_PER=C1","EQY_FUND_CRNCY=USD","FILING_STATUS=MR","FA_ADJUSTED=GAAP","Fill=—")</f>
        <v>26.741975308641976</v>
      </c>
      <c r="AI13" s="20">
        <f>_xll.BDP("BRK/A US Equity","PROF_MARGIN","EQY_FUND_YEAR=2019","FUND_PER=C2","EQY_FUND_CRNCY=USD","FILING_STATUS=MR","FA_ADJUSTED=GAAP","Fill=—")</f>
        <v>23.106966879195063</v>
      </c>
      <c r="AJ13" s="20">
        <f>_xll.BDP("BRK/A US Equity","PROF_MARGIN","EQY_FUND_YEAR=2019","FUND_PER=C3","EQY_FUND_CRNCY=USD","FILING_STATUS=MR","FA_ADJUSTED=GAAP","Fill=—")</f>
        <v>22.667256575751267</v>
      </c>
      <c r="AK13" s="20">
        <f>_xll.BDP("BRK/A US Equity","PROF_MARGIN","EQY_FUND_YEAR=2019","FUND_PER=C4","EQY_FUND_CRNCY=USD","FILING_STATUS=MR","FA_ADJUSTED=GAAP","Fill=—")</f>
        <v>24.881197226356338</v>
      </c>
      <c r="AL13" s="20" t="str">
        <f>_xll.BDP("BRK/A US Equity","PROF_MARGIN","EQY_FUND_YEAR=2020","FUND_PER=C1","EQY_FUND_CRNCY=USD","FILING_STATUS=MR","FA_ADJUSTED=GAAP","Fill=—")</f>
        <v>—</v>
      </c>
      <c r="AM13" s="20">
        <f>_xll.BDP("BRK/A US Equity","PROF_MARGIN","EQY_FUND_YEAR=2020","FUND_PER=C2","EQY_FUND_CRNCY=USD","FILING_STATUS=MR","FA_ADJUSTED=GAAP","Fill=—")</f>
        <v>-26.67462890291759</v>
      </c>
      <c r="AN13" s="20">
        <f>_xll.BDP("BRK/A US Equity","PROF_MARGIN","EQY_FUND_YEAR=2020","FUND_PER=C3","EQY_FUND_CRNCY=USD","FILING_STATUS=MR","FA_ADJUSTED=GAAP","Fill=—")</f>
        <v>3.6631401318204477</v>
      </c>
      <c r="AO13" s="20">
        <f>_xll.BDP("BRK/A US Equity","PROF_MARGIN","EQY_FUND_YEAR=2020","FUND_PER=C4","EQY_FUND_CRNCY=USD","FILING_STATUS=MR","FA_ADJUSTED=GAAP","Fill=—")</f>
        <v>14.854186462467162</v>
      </c>
      <c r="AP13" s="20">
        <f>_xll.BDP("BRK/A US Equity","PROF_MARGIN","EQY_FUND_YEAR=2021","FUND_PER=C1","EQY_FUND_CRNCY=USD","FILING_STATUS=MR","FA_ADJUSTED=GAAP","Fill=—")</f>
        <v>16.658842942289365</v>
      </c>
    </row>
    <row r="14" spans="1:42" x14ac:dyDescent="0.25">
      <c r="A14" s="7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</row>
    <row r="15" spans="1:42" x14ac:dyDescent="0.25">
      <c r="A15" s="6" t="s">
        <v>112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</row>
    <row r="16" spans="1:42" x14ac:dyDescent="0.25">
      <c r="A16" s="7" t="s">
        <v>113</v>
      </c>
      <c r="B16" s="7" t="s">
        <v>114</v>
      </c>
      <c r="C16" s="20">
        <f>_xll.BDP("BRK/A US Equity","EFF_TAX_RATE","EQY_FUND_YEAR=2011","FUND_PER=C2","EQY_FUND_CRNCY=USD","FILING_STATUS=MR","FA_ADJUSTED=GAAP","Fill=—")</f>
        <v>31.390852113615146</v>
      </c>
      <c r="D16" s="20">
        <f>_xll.BDP("BRK/A US Equity","EFF_TAX_RATE","EQY_FUND_YEAR=2011","FUND_PER=C3","EQY_FUND_CRNCY=USD","FILING_STATUS=MR","FA_ADJUSTED=GAAP","Fill=—")</f>
        <v>30.445590130730988</v>
      </c>
      <c r="E16" s="20">
        <f>_xll.BDP("BRK/A US Equity","EFF_TAX_RATE","EQY_FUND_YEAR=2011","FUND_PER=C4","EQY_FUND_CRNCY=USD","FILING_STATUS=MR","FA_ADJUSTED=GAAP","Fill=—")</f>
        <v>29.828914718558181</v>
      </c>
      <c r="F16" s="20">
        <f>_xll.BDP("BRK/A US Equity","EFF_TAX_RATE","EQY_FUND_YEAR=2012","FUND_PER=C1","EQY_FUND_CRNCY=USD","FILING_STATUS=MR","FA_ADJUSTED=GAAP","Fill=—")</f>
        <v>31.737984181707564</v>
      </c>
      <c r="G16" s="20">
        <f>_xll.BDP("BRK/A US Equity","EFF_TAX_RATE","EQY_FUND_YEAR=2012","FUND_PER=C2","EQY_FUND_CRNCY=USD","FILING_STATUS=MR","FA_ADJUSTED=GAAP","Fill=—")</f>
        <v>30.892520427404147</v>
      </c>
      <c r="H16" s="20">
        <f>_xll.BDP("BRK/A US Equity","EFF_TAX_RATE","EQY_FUND_YEAR=2012","FUND_PER=C3","EQY_FUND_CRNCY=USD","FILING_STATUS=MR","FA_ADJUSTED=GAAP","Fill=—")</f>
        <v>31.203978814106705</v>
      </c>
      <c r="I16" s="20">
        <f>_xll.BDP("BRK/A US Equity","EFF_TAX_RATE","EQY_FUND_YEAR=2012","FUND_PER=C4","EQY_FUND_CRNCY=USD","FILING_STATUS=MR","FA_ADJUSTED=GAAP","Fill=—")</f>
        <v>31.13869400971398</v>
      </c>
      <c r="J16" s="20">
        <f>_xll.BDP("BRK/A US Equity","EFF_TAX_RATE","EQY_FUND_YEAR=2013","FUND_PER=C1","EQY_FUND_CRNCY=USD","FILING_STATUS=MR","FA_ADJUSTED=GAAP","Fill=—")</f>
        <v>31.226867717614802</v>
      </c>
      <c r="K16" s="20">
        <f>_xll.BDP("BRK/A US Equity","EFF_TAX_RATE","EQY_FUND_YEAR=2013","FUND_PER=C2","EQY_FUND_CRNCY=USD","FILING_STATUS=MR","FA_ADJUSTED=GAAP","Fill=—")</f>
        <v>32.123220076131396</v>
      </c>
      <c r="L16" s="20">
        <f>_xll.BDP("BRK/A US Equity","EFF_TAX_RATE","EQY_FUND_YEAR=2013","FUND_PER=C3","EQY_FUND_CRNCY=USD","FILING_STATUS=MR","FA_ADJUSTED=GAAP","Fill=—")</f>
        <v>31.450565757744386</v>
      </c>
      <c r="M16" s="20">
        <f>_xll.BDP("BRK/A US Equity","EFF_TAX_RATE","EQY_FUND_YEAR=2013","FUND_PER=C4","EQY_FUND_CRNCY=USD","FILING_STATUS=MR","FA_ADJUSTED=GAAP","Fill=—")</f>
        <v>31.084178358105291</v>
      </c>
      <c r="N16" s="20">
        <f>_xll.BDP("BRK/A US Equity","EFF_TAX_RATE","EQY_FUND_YEAR=2014","FUND_PER=C1","EQY_FUND_CRNCY=USD","FILING_STATUS=MR","FA_ADJUSTED=GAAP","Fill=—")</f>
        <v>27.659896938466201</v>
      </c>
      <c r="O16" s="20">
        <f>_xll.BDP("BRK/A US Equity","EFF_TAX_RATE","EQY_FUND_YEAR=2014","FUND_PER=C2","EQY_FUND_CRNCY=USD","FILING_STATUS=MR","FA_ADJUSTED=GAAP","Fill=—")</f>
        <v>27.607322418460743</v>
      </c>
      <c r="P16" s="20">
        <f>_xll.BDP("BRK/A US Equity","EFF_TAX_RATE","EQY_FUND_YEAR=2014","FUND_PER=C3","EQY_FUND_CRNCY=USD","FILING_STATUS=MR","FA_ADJUSTED=GAAP","Fill=—")</f>
        <v>28.350700682716496</v>
      </c>
      <c r="Q16" s="20">
        <f>_xll.BDP("BRK/A US Equity","EFF_TAX_RATE","EQY_FUND_YEAR=2014","FUND_PER=C4","EQY_FUND_CRNCY=USD","FILING_STATUS=MR","FA_ADJUSTED=GAAP","Fill=—")</f>
        <v>28.233410425191245</v>
      </c>
      <c r="R16" s="20">
        <f>_xll.BDP("BRK/A US Equity","EFF_TAX_RATE","EQY_FUND_YEAR=2015","FUND_PER=C1","EQY_FUND_CRNCY=USD","FILING_STATUS=MR","FA_ADJUSTED=GAAP","Fill=—")</f>
        <v>31.5679351379626</v>
      </c>
      <c r="S16" s="20">
        <f>_xll.BDP("BRK/A US Equity","EFF_TAX_RATE","EQY_FUND_YEAR=2015","FUND_PER=C2","EQY_FUND_CRNCY=USD","FILING_STATUS=MR","FA_ADJUSTED=GAAP","Fill=—")</f>
        <v>30.778922404209592</v>
      </c>
      <c r="T16" s="20">
        <f>_xll.BDP("BRK/A US Equity","EFF_TAX_RATE","EQY_FUND_YEAR=2015","FUND_PER=C3","EQY_FUND_CRNCY=USD","FILING_STATUS=MR","FA_ADJUSTED=GAAP","Fill=—")</f>
        <v>31.55450752766189</v>
      </c>
      <c r="U16" s="20">
        <f>_xll.BDP("BRK/A US Equity","EFF_TAX_RATE","EQY_FUND_YEAR=2015","FUND_PER=C4","EQY_FUND_CRNCY=USD","FILING_STATUS=MR","FA_ADJUSTED=GAAP","Fill=—")</f>
        <v>30.137927087506437</v>
      </c>
      <c r="V16" s="20">
        <f>_xll.BDP("BRK/A US Equity","EFF_TAX_RATE","EQY_FUND_YEAR=2016","FUND_PER=C1","EQY_FUND_CRNCY=USD","FILING_STATUS=MR","FA_ADJUSTED=GAAP","Fill=—")</f>
        <v>12.376084262701363</v>
      </c>
      <c r="W16" s="20">
        <f>_xll.BDP("BRK/A US Equity","EFF_TAX_RATE","EQY_FUND_YEAR=2016","FUND_PER=C2","EQY_FUND_CRNCY=USD","FILING_STATUS=MR","FA_ADJUSTED=GAAP","Fill=—")</f>
        <v>22.338733005496096</v>
      </c>
      <c r="X16" s="20">
        <f>_xll.BDP("BRK/A US Equity","EFF_TAX_RATE","EQY_FUND_YEAR=2016","FUND_PER=C3","EQY_FUND_CRNCY=USD","FILING_STATUS=MR","FA_ADJUSTED=GAAP","Fill=—")</f>
        <v>25.791483595450256</v>
      </c>
      <c r="Y16" s="20">
        <f>_xll.BDP("BRK/A US Equity","EFF_TAX_RATE","EQY_FUND_YEAR=2016","FUND_PER=C4","EQY_FUND_CRNCY=USD","FILING_STATUS=MR","FA_ADJUSTED=GAAP","Fill=—")</f>
        <v>27.445272819081001</v>
      </c>
      <c r="Z16" s="20">
        <f>_xll.BDP("BRK/A US Equity","EFF_TAX_RATE","EQY_FUND_YEAR=2017","FUND_PER=C1","EQY_FUND_CRNCY=USD","FILING_STATUS=MR","FA_ADJUSTED=GAAP","Fill=—")</f>
        <v>27.232770745428976</v>
      </c>
      <c r="AA16" s="20">
        <f>_xll.BDP("BRK/A US Equity","EFF_TAX_RATE","EQY_FUND_YEAR=2017","FUND_PER=C2","EQY_FUND_CRNCY=USD","FILING_STATUS=MR","FA_ADJUSTED=GAAP","Fill=—")</f>
        <v>28.120504358128116</v>
      </c>
      <c r="AB16" s="20">
        <f>_xll.BDP("BRK/A US Equity","EFF_TAX_RATE","EQY_FUND_YEAR=2017","FUND_PER=C3","EQY_FUND_CRNCY=USD","FILING_STATUS=MR","FA_ADJUSTED=GAAP","Fill=—")</f>
        <v>27.225310941709175</v>
      </c>
      <c r="AC16" s="20" t="str">
        <f>_xll.BDP("BRK/A US Equity","EFF_TAX_RATE","EQY_FUND_YEAR=2017","FUND_PER=C4","EQY_FUND_CRNCY=USD","FILING_STATUS=MR","FA_ADJUSTED=GAAP","Fill=—")</f>
        <v>—</v>
      </c>
      <c r="AD16" s="20" t="str">
        <f>_xll.BDP("BRK/A US Equity","EFF_TAX_RATE","EQY_FUND_YEAR=2018","FUND_PER=C1","EQY_FUND_CRNCY=USD","FILING_STATUS=MR","FA_ADJUSTED=GAAP","Fill=—")</f>
        <v>—</v>
      </c>
      <c r="AE16" s="20">
        <f>_xll.BDP("BRK/A US Equity","EFF_TAX_RATE","EQY_FUND_YEAR=2018","FUND_PER=C2","EQY_FUND_CRNCY=USD","FILING_STATUS=MR","FA_ADJUSTED=GAAP","Fill=—")</f>
        <v>18.92449355432781</v>
      </c>
      <c r="AF16" s="20">
        <f>_xll.BDP("BRK/A US Equity","EFF_TAX_RATE","EQY_FUND_YEAR=2018","FUND_PER=C3","EQY_FUND_CRNCY=USD","FILING_STATUS=MR","FA_ADJUSTED=GAAP","Fill=—")</f>
        <v>19.086651053864166</v>
      </c>
      <c r="AG16" s="20" t="str">
        <f>_xll.BDP("BRK/A US Equity","EFF_TAX_RATE","EQY_FUND_YEAR=2018","FUND_PER=C4","EQY_FUND_CRNCY=USD","FILING_STATUS=MR","FA_ADJUSTED=GAAP","Fill=—")</f>
        <v>—</v>
      </c>
      <c r="AH16" s="20">
        <f>_xll.BDP("BRK/A US Equity","EFF_TAX_RATE","EQY_FUND_YEAR=2019","FUND_PER=C1","EQY_FUND_CRNCY=USD","FILING_STATUS=MR","FA_ADJUSTED=GAAP","Fill=—")</f>
        <v>21.394726371758239</v>
      </c>
      <c r="AI16" s="20">
        <f>_xll.BDP("BRK/A US Equity","EFF_TAX_RATE","EQY_FUND_YEAR=2019","FUND_PER=C2","EQY_FUND_CRNCY=USD","FILING_STATUS=MR","FA_ADJUSTED=GAAP","Fill=—")</f>
        <v>20.924547416640973</v>
      </c>
      <c r="AJ16" s="20">
        <f>_xll.BDP("BRK/A US Equity","EFF_TAX_RATE","EQY_FUND_YEAR=2019","FUND_PER=C3","EQY_FUND_CRNCY=USD","FILING_STATUS=MR","FA_ADJUSTED=GAAP","Fill=—")</f>
        <v>20.233705136960314</v>
      </c>
      <c r="AK16" s="20">
        <f>_xll.BDP("BRK/A US Equity","EFF_TAX_RATE","EQY_FUND_YEAR=2019","FUND_PER=C4","EQY_FUND_CRNCY=USD","FILING_STATUS=MR","FA_ADJUSTED=GAAP","Fill=—")</f>
        <v>20.355223182986677</v>
      </c>
      <c r="AL16" s="20" t="str">
        <f>_xll.BDP("BRK/A US Equity","EFF_TAX_RATE","EQY_FUND_YEAR=2020","FUND_PER=C1","EQY_FUND_CRNCY=USD","FILING_STATUS=MR","FA_ADJUSTED=GAAP","Fill=—")</f>
        <v>—</v>
      </c>
      <c r="AM16" s="20" t="str">
        <f>_xll.BDP("BRK/A US Equity","EFF_TAX_RATE","EQY_FUND_YEAR=2020","FUND_PER=C2","EQY_FUND_CRNCY=USD","FILING_STATUS=MR","FA_ADJUSTED=GAAP","Fill=—")</f>
        <v>—</v>
      </c>
      <c r="AN16" s="20">
        <f>_xll.BDP("BRK/A US Equity","EFF_TAX_RATE","EQY_FUND_YEAR=2020","FUND_PER=C3","EQY_FUND_CRNCY=USD","FILING_STATUS=MR","FA_ADJUSTED=GAAP","Fill=—")</f>
        <v>30.777453838678326</v>
      </c>
      <c r="AO16" s="20">
        <f>_xll.BDP("BRK/A US Equity","EFF_TAX_RATE","EQY_FUND_YEAR=2020","FUND_PER=C4","EQY_FUND_CRNCY=USD","FILING_STATUS=MR","FA_ADJUSTED=GAAP","Fill=—")</f>
        <v>22.336738907941754</v>
      </c>
      <c r="AP16" s="20">
        <f>_xll.BDP("BRK/A US Equity","EFF_TAX_RATE","EQY_FUND_YEAR=2021","FUND_PER=C1","EQY_FUND_CRNCY=USD","FILING_STATUS=MR","FA_ADJUSTED=GAAP","Fill=—")</f>
        <v>18.502202643171806</v>
      </c>
    </row>
    <row r="17" spans="1:42" x14ac:dyDescent="0.25">
      <c r="A17" s="7" t="s">
        <v>115</v>
      </c>
      <c r="B17" s="7" t="s">
        <v>116</v>
      </c>
      <c r="C17" s="20">
        <f>_xll.BDP("BRK/A US Equity","DVD_PAYOUT_RATIO","EQY_FUND_YEAR=2011","FUND_PER=C2","EQY_FUND_CRNCY=USD","FILING_STATUS=MR","FA_ADJUSTED=GAAP","Fill=—")</f>
        <v>0</v>
      </c>
      <c r="D17" s="20">
        <f>_xll.BDP("BRK/A US Equity","DVD_PAYOUT_RATIO","EQY_FUND_YEAR=2011","FUND_PER=C3","EQY_FUND_CRNCY=USD","FILING_STATUS=MR","FA_ADJUSTED=GAAP","Fill=—")</f>
        <v>0</v>
      </c>
      <c r="E17" s="20">
        <f>_xll.BDP("BRK/A US Equity","DVD_PAYOUT_RATIO","EQY_FUND_YEAR=2011","FUND_PER=C4","EQY_FUND_CRNCY=USD","FILING_STATUS=MR","FA_ADJUSTED=GAAP","Fill=—")</f>
        <v>0</v>
      </c>
      <c r="F17" s="20">
        <f>_xll.BDP("BRK/A US Equity","DVD_PAYOUT_RATIO","EQY_FUND_YEAR=2012","FUND_PER=C1","EQY_FUND_CRNCY=USD","FILING_STATUS=MR","FA_ADJUSTED=GAAP","Fill=—")</f>
        <v>0</v>
      </c>
      <c r="G17" s="20">
        <f>_xll.BDP("BRK/A US Equity","DVD_PAYOUT_RATIO","EQY_FUND_YEAR=2012","FUND_PER=C2","EQY_FUND_CRNCY=USD","FILING_STATUS=MR","FA_ADJUSTED=GAAP","Fill=—")</f>
        <v>0</v>
      </c>
      <c r="H17" s="20">
        <f>_xll.BDP("BRK/A US Equity","DVD_PAYOUT_RATIO","EQY_FUND_YEAR=2012","FUND_PER=C3","EQY_FUND_CRNCY=USD","FILING_STATUS=MR","FA_ADJUSTED=GAAP","Fill=—")</f>
        <v>0</v>
      </c>
      <c r="I17" s="20">
        <f>_xll.BDP("BRK/A US Equity","DVD_PAYOUT_RATIO","EQY_FUND_YEAR=2012","FUND_PER=C4","EQY_FUND_CRNCY=USD","FILING_STATUS=MR","FA_ADJUSTED=GAAP","Fill=—")</f>
        <v>0</v>
      </c>
      <c r="J17" s="20">
        <f>_xll.BDP("BRK/A US Equity","DVD_PAYOUT_RATIO","EQY_FUND_YEAR=2013","FUND_PER=C1","EQY_FUND_CRNCY=USD","FILING_STATUS=MR","FA_ADJUSTED=GAAP","Fill=—")</f>
        <v>0</v>
      </c>
      <c r="K17" s="20">
        <f>_xll.BDP("BRK/A US Equity","DVD_PAYOUT_RATIO","EQY_FUND_YEAR=2013","FUND_PER=C2","EQY_FUND_CRNCY=USD","FILING_STATUS=MR","FA_ADJUSTED=GAAP","Fill=—")</f>
        <v>0</v>
      </c>
      <c r="L17" s="20">
        <f>_xll.BDP("BRK/A US Equity","DVD_PAYOUT_RATIO","EQY_FUND_YEAR=2013","FUND_PER=C3","EQY_FUND_CRNCY=USD","FILING_STATUS=MR","FA_ADJUSTED=GAAP","Fill=—")</f>
        <v>0</v>
      </c>
      <c r="M17" s="20">
        <f>_xll.BDP("BRK/A US Equity","DVD_PAYOUT_RATIO","EQY_FUND_YEAR=2013","FUND_PER=C4","EQY_FUND_CRNCY=USD","FILING_STATUS=MR","FA_ADJUSTED=GAAP","Fill=—")</f>
        <v>0</v>
      </c>
      <c r="N17" s="20">
        <f>_xll.BDP("BRK/A US Equity","DVD_PAYOUT_RATIO","EQY_FUND_YEAR=2014","FUND_PER=C1","EQY_FUND_CRNCY=USD","FILING_STATUS=MR","FA_ADJUSTED=GAAP","Fill=—")</f>
        <v>0</v>
      </c>
      <c r="O17" s="20">
        <f>_xll.BDP("BRK/A US Equity","DVD_PAYOUT_RATIO","EQY_FUND_YEAR=2014","FUND_PER=C2","EQY_FUND_CRNCY=USD","FILING_STATUS=MR","FA_ADJUSTED=GAAP","Fill=—")</f>
        <v>0</v>
      </c>
      <c r="P17" s="20">
        <f>_xll.BDP("BRK/A US Equity","DVD_PAYOUT_RATIO","EQY_FUND_YEAR=2014","FUND_PER=C3","EQY_FUND_CRNCY=USD","FILING_STATUS=MR","FA_ADJUSTED=GAAP","Fill=—")</f>
        <v>0</v>
      </c>
      <c r="Q17" s="20">
        <f>_xll.BDP("BRK/A US Equity","DVD_PAYOUT_RATIO","EQY_FUND_YEAR=2014","FUND_PER=C4","EQY_FUND_CRNCY=USD","FILING_STATUS=MR","FA_ADJUSTED=GAAP","Fill=—")</f>
        <v>0</v>
      </c>
      <c r="R17" s="20">
        <f>_xll.BDP("BRK/A US Equity","DVD_PAYOUT_RATIO","EQY_FUND_YEAR=2015","FUND_PER=C1","EQY_FUND_CRNCY=USD","FILING_STATUS=MR","FA_ADJUSTED=GAAP","Fill=—")</f>
        <v>0</v>
      </c>
      <c r="S17" s="20">
        <f>_xll.BDP("BRK/A US Equity","DVD_PAYOUT_RATIO","EQY_FUND_YEAR=2015","FUND_PER=C2","EQY_FUND_CRNCY=USD","FILING_STATUS=MR","FA_ADJUSTED=GAAP","Fill=—")</f>
        <v>0</v>
      </c>
      <c r="T17" s="20">
        <f>_xll.BDP("BRK/A US Equity","DVD_PAYOUT_RATIO","EQY_FUND_YEAR=2015","FUND_PER=C3","EQY_FUND_CRNCY=USD","FILING_STATUS=MR","FA_ADJUSTED=GAAP","Fill=—")</f>
        <v>0</v>
      </c>
      <c r="U17" s="20">
        <f>_xll.BDP("BRK/A US Equity","DVD_PAYOUT_RATIO","EQY_FUND_YEAR=2015","FUND_PER=C4","EQY_FUND_CRNCY=USD","FILING_STATUS=MR","FA_ADJUSTED=GAAP","Fill=—")</f>
        <v>0</v>
      </c>
      <c r="V17" s="20">
        <f>_xll.BDP("BRK/A US Equity","DVD_PAYOUT_RATIO","EQY_FUND_YEAR=2016","FUND_PER=C1","EQY_FUND_CRNCY=USD","FILING_STATUS=MR","FA_ADJUSTED=GAAP","Fill=—")</f>
        <v>0</v>
      </c>
      <c r="W17" s="20">
        <f>_xll.BDP("BRK/A US Equity","DVD_PAYOUT_RATIO","EQY_FUND_YEAR=2016","FUND_PER=C2","EQY_FUND_CRNCY=USD","FILING_STATUS=MR","FA_ADJUSTED=GAAP","Fill=—")</f>
        <v>0</v>
      </c>
      <c r="X17" s="20">
        <f>_xll.BDP("BRK/A US Equity","DVD_PAYOUT_RATIO","EQY_FUND_YEAR=2016","FUND_PER=C3","EQY_FUND_CRNCY=USD","FILING_STATUS=MR","FA_ADJUSTED=GAAP","Fill=—")</f>
        <v>0</v>
      </c>
      <c r="Y17" s="20">
        <f>_xll.BDP("BRK/A US Equity","DVD_PAYOUT_RATIO","EQY_FUND_YEAR=2016","FUND_PER=C4","EQY_FUND_CRNCY=USD","FILING_STATUS=MR","FA_ADJUSTED=GAAP","Fill=—")</f>
        <v>0</v>
      </c>
      <c r="Z17" s="20">
        <f>_xll.BDP("BRK/A US Equity","DVD_PAYOUT_RATIO","EQY_FUND_YEAR=2017","FUND_PER=C1","EQY_FUND_CRNCY=USD","FILING_STATUS=MR","FA_ADJUSTED=GAAP","Fill=—")</f>
        <v>0</v>
      </c>
      <c r="AA17" s="20">
        <f>_xll.BDP("BRK/A US Equity","DVD_PAYOUT_RATIO","EQY_FUND_YEAR=2017","FUND_PER=C2","EQY_FUND_CRNCY=USD","FILING_STATUS=MR","FA_ADJUSTED=GAAP","Fill=—")</f>
        <v>0</v>
      </c>
      <c r="AB17" s="20">
        <f>_xll.BDP("BRK/A US Equity","DVD_PAYOUT_RATIO","EQY_FUND_YEAR=2017","FUND_PER=C3","EQY_FUND_CRNCY=USD","FILING_STATUS=MR","FA_ADJUSTED=GAAP","Fill=—")</f>
        <v>0</v>
      </c>
      <c r="AC17" s="20">
        <f>_xll.BDP("BRK/A US Equity","DVD_PAYOUT_RATIO","EQY_FUND_YEAR=2017","FUND_PER=C4","EQY_FUND_CRNCY=USD","FILING_STATUS=MR","FA_ADJUSTED=GAAP","Fill=—")</f>
        <v>0</v>
      </c>
      <c r="AD17" s="20" t="str">
        <f>_xll.BDP("BRK/A US Equity","DVD_PAYOUT_RATIO","EQY_FUND_YEAR=2018","FUND_PER=C1","EQY_FUND_CRNCY=USD","FILING_STATUS=MR","FA_ADJUSTED=GAAP","Fill=—")</f>
        <v>—</v>
      </c>
      <c r="AE17" s="20">
        <f>_xll.BDP("BRK/A US Equity","DVD_PAYOUT_RATIO","EQY_FUND_YEAR=2018","FUND_PER=C2","EQY_FUND_CRNCY=USD","FILING_STATUS=MR","FA_ADJUSTED=GAAP","Fill=—")</f>
        <v>0</v>
      </c>
      <c r="AF17" s="20">
        <f>_xll.BDP("BRK/A US Equity","DVD_PAYOUT_RATIO","EQY_FUND_YEAR=2018","FUND_PER=C3","EQY_FUND_CRNCY=USD","FILING_STATUS=MR","FA_ADJUSTED=GAAP","Fill=—")</f>
        <v>0</v>
      </c>
      <c r="AG17" s="20">
        <f>_xll.BDP("BRK/A US Equity","DVD_PAYOUT_RATIO","EQY_FUND_YEAR=2018","FUND_PER=C4","EQY_FUND_CRNCY=USD","FILING_STATUS=MR","FA_ADJUSTED=GAAP","Fill=—")</f>
        <v>0</v>
      </c>
      <c r="AH17" s="20">
        <f>_xll.BDP("BRK/A US Equity","DVD_PAYOUT_RATIO","EQY_FUND_YEAR=2019","FUND_PER=C1","EQY_FUND_CRNCY=USD","FILING_STATUS=MR","FA_ADJUSTED=GAAP","Fill=—")</f>
        <v>0</v>
      </c>
      <c r="AI17" s="20">
        <f>_xll.BDP("BRK/A US Equity","DVD_PAYOUT_RATIO","EQY_FUND_YEAR=2019","FUND_PER=C2","EQY_FUND_CRNCY=USD","FILING_STATUS=MR","FA_ADJUSTED=GAAP","Fill=—")</f>
        <v>0</v>
      </c>
      <c r="AJ17" s="20">
        <f>_xll.BDP("BRK/A US Equity","DVD_PAYOUT_RATIO","EQY_FUND_YEAR=2019","FUND_PER=C3","EQY_FUND_CRNCY=USD","FILING_STATUS=MR","FA_ADJUSTED=GAAP","Fill=—")</f>
        <v>0</v>
      </c>
      <c r="AK17" s="20">
        <f>_xll.BDP("BRK/A US Equity","DVD_PAYOUT_RATIO","EQY_FUND_YEAR=2019","FUND_PER=C4","EQY_FUND_CRNCY=USD","FILING_STATUS=MR","FA_ADJUSTED=GAAP","Fill=—")</f>
        <v>0</v>
      </c>
      <c r="AL17" s="20" t="str">
        <f>_xll.BDP("BRK/A US Equity","DVD_PAYOUT_RATIO","EQY_FUND_YEAR=2020","FUND_PER=C1","EQY_FUND_CRNCY=USD","FILING_STATUS=MR","FA_ADJUSTED=GAAP","Fill=—")</f>
        <v>—</v>
      </c>
      <c r="AM17" s="20" t="str">
        <f>_xll.BDP("BRK/A US Equity","DVD_PAYOUT_RATIO","EQY_FUND_YEAR=2020","FUND_PER=C2","EQY_FUND_CRNCY=USD","FILING_STATUS=MR","FA_ADJUSTED=GAAP","Fill=—")</f>
        <v>—</v>
      </c>
      <c r="AN17" s="20">
        <f>_xll.BDP("BRK/A US Equity","DVD_PAYOUT_RATIO","EQY_FUND_YEAR=2020","FUND_PER=C3","EQY_FUND_CRNCY=USD","FILING_STATUS=MR","FA_ADJUSTED=GAAP","Fill=—")</f>
        <v>0</v>
      </c>
      <c r="AO17" s="20">
        <f>_xll.BDP("BRK/A US Equity","DVD_PAYOUT_RATIO","EQY_FUND_YEAR=2020","FUND_PER=C4","EQY_FUND_CRNCY=USD","FILING_STATUS=MR","FA_ADJUSTED=GAAP","Fill=—")</f>
        <v>0</v>
      </c>
      <c r="AP17" s="20">
        <f>_xll.BDP("BRK/A US Equity","DVD_PAYOUT_RATIO","EQY_FUND_YEAR=2021","FUND_PER=C1","EQY_FUND_CRNCY=USD","FILING_STATUS=MR","FA_ADJUSTED=GAAP","Fill=—")</f>
        <v>0</v>
      </c>
    </row>
    <row r="18" spans="1:42" x14ac:dyDescent="0.25">
      <c r="A18" s="14" t="s">
        <v>119</v>
      </c>
      <c r="B18" s="14"/>
      <c r="C18" s="14" t="s">
        <v>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"/>
  <sheetViews>
    <sheetView tabSelected="1"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 spans="1:42" ht="20.25" x14ac:dyDescent="0.25">
      <c r="A2" s="15" t="s">
        <v>189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</row>
    <row r="3" spans="1:42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2" x14ac:dyDescent="0.25">
      <c r="A4" s="1" t="s">
        <v>2</v>
      </c>
      <c r="B4" s="1"/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  <c r="W4" s="2" t="s">
        <v>23</v>
      </c>
      <c r="X4" s="2" t="s">
        <v>24</v>
      </c>
      <c r="Y4" s="2" t="s">
        <v>25</v>
      </c>
      <c r="Z4" s="2" t="s">
        <v>26</v>
      </c>
      <c r="AA4" s="2" t="s">
        <v>27</v>
      </c>
      <c r="AB4" s="2" t="s">
        <v>28</v>
      </c>
      <c r="AC4" s="2" t="s">
        <v>29</v>
      </c>
      <c r="AD4" s="2" t="s">
        <v>30</v>
      </c>
      <c r="AE4" s="2" t="s">
        <v>31</v>
      </c>
      <c r="AF4" s="2" t="s">
        <v>32</v>
      </c>
      <c r="AG4" s="2" t="s">
        <v>33</v>
      </c>
      <c r="AH4" s="2" t="s">
        <v>34</v>
      </c>
      <c r="AI4" s="2" t="s">
        <v>35</v>
      </c>
      <c r="AJ4" s="2" t="s">
        <v>36</v>
      </c>
      <c r="AK4" s="2" t="s">
        <v>37</v>
      </c>
      <c r="AL4" s="2" t="s">
        <v>38</v>
      </c>
      <c r="AM4" s="2" t="s">
        <v>39</v>
      </c>
      <c r="AN4" s="2" t="s">
        <v>40</v>
      </c>
      <c r="AO4" s="2" t="s">
        <v>41</v>
      </c>
      <c r="AP4" s="2" t="s">
        <v>42</v>
      </c>
    </row>
    <row r="5" spans="1:42" x14ac:dyDescent="0.25">
      <c r="A5" s="3" t="s">
        <v>43</v>
      </c>
      <c r="B5" s="3"/>
      <c r="C5" s="4" t="s">
        <v>44</v>
      </c>
      <c r="D5" s="4" t="s">
        <v>45</v>
      </c>
      <c r="E5" s="4" t="s">
        <v>46</v>
      </c>
      <c r="F5" s="4" t="s">
        <v>47</v>
      </c>
      <c r="G5" s="4" t="s">
        <v>48</v>
      </c>
      <c r="H5" s="4" t="s">
        <v>49</v>
      </c>
      <c r="I5" s="4" t="s">
        <v>50</v>
      </c>
      <c r="J5" s="4" t="s">
        <v>51</v>
      </c>
      <c r="K5" s="4" t="s">
        <v>52</v>
      </c>
      <c r="L5" s="4" t="s">
        <v>53</v>
      </c>
      <c r="M5" s="4" t="s">
        <v>54</v>
      </c>
      <c r="N5" s="4" t="s">
        <v>55</v>
      </c>
      <c r="O5" s="4" t="s">
        <v>56</v>
      </c>
      <c r="P5" s="4" t="s">
        <v>57</v>
      </c>
      <c r="Q5" s="4" t="s">
        <v>58</v>
      </c>
      <c r="R5" s="4" t="s">
        <v>59</v>
      </c>
      <c r="S5" s="4" t="s">
        <v>60</v>
      </c>
      <c r="T5" s="4" t="s">
        <v>61</v>
      </c>
      <c r="U5" s="4" t="s">
        <v>62</v>
      </c>
      <c r="V5" s="4" t="s">
        <v>63</v>
      </c>
      <c r="W5" s="4" t="s">
        <v>64</v>
      </c>
      <c r="X5" s="4" t="s">
        <v>65</v>
      </c>
      <c r="Y5" s="4" t="s">
        <v>66</v>
      </c>
      <c r="Z5" s="4" t="s">
        <v>67</v>
      </c>
      <c r="AA5" s="4" t="s">
        <v>68</v>
      </c>
      <c r="AB5" s="4" t="s">
        <v>69</v>
      </c>
      <c r="AC5" s="4" t="s">
        <v>70</v>
      </c>
      <c r="AD5" s="4" t="s">
        <v>71</v>
      </c>
      <c r="AE5" s="4" t="s">
        <v>72</v>
      </c>
      <c r="AF5" s="4" t="s">
        <v>73</v>
      </c>
      <c r="AG5" s="4" t="s">
        <v>74</v>
      </c>
      <c r="AH5" s="4" t="s">
        <v>75</v>
      </c>
      <c r="AI5" s="4" t="s">
        <v>76</v>
      </c>
      <c r="AJ5" s="4" t="s">
        <v>77</v>
      </c>
      <c r="AK5" s="4" t="s">
        <v>78</v>
      </c>
      <c r="AL5" s="4" t="s">
        <v>79</v>
      </c>
      <c r="AM5" s="4" t="s">
        <v>80</v>
      </c>
      <c r="AN5" s="4" t="s">
        <v>81</v>
      </c>
      <c r="AO5" s="4" t="s">
        <v>82</v>
      </c>
      <c r="AP5" s="4" t="s">
        <v>83</v>
      </c>
    </row>
    <row r="6" spans="1:42" x14ac:dyDescent="0.25">
      <c r="A6" s="7" t="s">
        <v>188</v>
      </c>
      <c r="B6" s="7" t="s">
        <v>187</v>
      </c>
      <c r="C6" s="20" t="str">
        <f>_xll.BDH("BRK/A US Equity","CASH_RATIO","FQ2 2011","FQ2 2011","Currency=USD","Period=FQ","BEST_FPERIOD_OVERRIDE=FQ","FILING_STATUS=MR","Sort=A","Dates=H","DateFormat=P","Fill=—","Direction=H","UseDPDF=Y")</f>
        <v>#N/A Requesting Data...</v>
      </c>
      <c r="D6" s="20">
        <f>_xll.BDH("BRK/A US Equity","CASH_RATIO","FQ3 2011","FQ3 2011","Currency=USD","Period=FQ","BEST_FPERIOD_OVERRIDE=FQ","FILING_STATUS=MR","Sort=A","Dates=H","DateFormat=P","Fill=—","Direction=H","UseDPDF=Y")</f>
        <v>1.0313000000000001</v>
      </c>
      <c r="E6" s="20" t="str">
        <f>_xll.BDH("BRK/A US Equity","CASH_RATIO","FQ4 2011","FQ4 2011","Currency=USD","Period=FQ","BEST_FPERIOD_OVERRIDE=FQ","FILING_STATUS=MR","Sort=A","Dates=H","DateFormat=P","Fill=—","Direction=H","UseDPDF=Y")</f>
        <v>#N/A Requesting Data...</v>
      </c>
      <c r="F6" s="20">
        <f>_xll.BDH("BRK/A US Equity","CASH_RATIO","FQ1 2012","FQ1 2012","Currency=USD","Period=FQ","BEST_FPERIOD_OVERRIDE=FQ","FILING_STATUS=MR","Sort=A","Dates=H","DateFormat=P","Fill=—","Direction=H","UseDPDF=Y")</f>
        <v>1.1538999999999999</v>
      </c>
      <c r="G6" s="20">
        <f>_xll.BDH("BRK/A US Equity","CASH_RATIO","FQ2 2012","FQ2 2012","Currency=USD","Period=FQ","BEST_FPERIOD_OVERRIDE=FQ","FILING_STATUS=MR","Sort=A","Dates=H","DateFormat=P","Fill=—","Direction=H","UseDPDF=Y")</f>
        <v>1.1524000000000001</v>
      </c>
      <c r="H6" s="20">
        <f>_xll.BDH("BRK/A US Equity","CASH_RATIO","FQ3 2012","FQ3 2012","Currency=USD","Period=FQ","BEST_FPERIOD_OVERRIDE=FQ","FILING_STATUS=MR","Sort=A","Dates=H","DateFormat=P","Fill=—","Direction=H","UseDPDF=Y")</f>
        <v>1.2044999999999999</v>
      </c>
      <c r="I6" s="20">
        <f>_xll.BDH("BRK/A US Equity","CASH_RATIO","FQ4 2012","FQ4 2012","Currency=USD","Period=FQ","BEST_FPERIOD_OVERRIDE=FQ","FILING_STATUS=MR","Sort=A","Dates=H","DateFormat=P","Fill=—","Direction=H","UseDPDF=Y")</f>
        <v>1.2065999999999999</v>
      </c>
      <c r="J6" s="20">
        <f>_xll.BDH("BRK/A US Equity","CASH_RATIO","FQ1 2013","FQ1 2013","Currency=USD","Period=FQ","BEST_FPERIOD_OVERRIDE=FQ","FILING_STATUS=MR","Sort=A","Dates=H","DateFormat=P","Fill=—","Direction=H","UseDPDF=Y")</f>
        <v>1.29</v>
      </c>
      <c r="K6" s="20" t="str">
        <f>_xll.BDH("BRK/A US Equity","CASH_RATIO","FQ2 2013","FQ2 2013","Currency=USD","Period=FQ","BEST_FPERIOD_OVERRIDE=FQ","FILING_STATUS=MR","Sort=A","Dates=H","DateFormat=P","Fill=—","Direction=H","UseDPDF=Y")</f>
        <v>#N/A Requesting Data...</v>
      </c>
      <c r="L6" s="20">
        <f>_xll.BDH("BRK/A US Equity","CASH_RATIO","FQ3 2013","FQ3 2013","Currency=USD","Period=FQ","BEST_FPERIOD_OVERRIDE=FQ","FILING_STATUS=MR","Sort=A","Dates=H","DateFormat=P","Fill=—","Direction=H","UseDPDF=Y")</f>
        <v>1.3191999999999999</v>
      </c>
      <c r="M6" s="20" t="str">
        <f>_xll.BDH("BRK/A US Equity","CASH_RATIO","FQ4 2013","FQ4 2013","Currency=USD","Period=FQ","BEST_FPERIOD_OVERRIDE=FQ","FILING_STATUS=MR","Sort=A","Dates=H","DateFormat=P","Fill=—","Direction=H","UseDPDF=Y")</f>
        <v>#N/A Requesting Data...</v>
      </c>
      <c r="N6" s="20">
        <f>_xll.BDH("BRK/A US Equity","CASH_RATIO","FQ1 2014","FQ1 2014","Currency=USD","Period=FQ","BEST_FPERIOD_OVERRIDE=FQ","FILING_STATUS=MR","Sort=A","Dates=H","DateFormat=P","Fill=—","Direction=H","UseDPDF=Y")</f>
        <v>1.4457</v>
      </c>
      <c r="O6" s="20">
        <f>_xll.BDH("BRK/A US Equity","CASH_RATIO","FQ2 2014","FQ2 2014","Currency=USD","Period=FQ","BEST_FPERIOD_OVERRIDE=FQ","FILING_STATUS=MR","Sort=A","Dates=H","DateFormat=P","Fill=—","Direction=H","UseDPDF=Y")</f>
        <v>1.5245</v>
      </c>
      <c r="P6" s="20">
        <f>_xll.BDH("BRK/A US Equity","CASH_RATIO","FQ3 2014","FQ3 2014","Currency=USD","Period=FQ","BEST_FPERIOD_OVERRIDE=FQ","FILING_STATUS=MR","Sort=A","Dates=H","DateFormat=P","Fill=—","Direction=H","UseDPDF=Y")</f>
        <v>1.4419999999999999</v>
      </c>
      <c r="Q6" s="20">
        <f>_xll.BDH("BRK/A US Equity","CASH_RATIO","FQ4 2014","FQ4 2014","Currency=USD","Period=FQ","BEST_FPERIOD_OVERRIDE=FQ","FILING_STATUS=MR","Sort=A","Dates=H","DateFormat=P","Fill=—","Direction=H","UseDPDF=Y")</f>
        <v>1.4772000000000001</v>
      </c>
      <c r="R6" s="20">
        <f>_xll.BDH("BRK/A US Equity","CASH_RATIO","FQ1 2015","FQ1 2015","Currency=USD","Period=FQ","BEST_FPERIOD_OVERRIDE=FQ","FILING_STATUS=MR","Sort=A","Dates=H","DateFormat=P","Fill=—","Direction=H","UseDPDF=Y")</f>
        <v>1.4168000000000001</v>
      </c>
      <c r="S6" s="20">
        <f>_xll.BDH("BRK/A US Equity","CASH_RATIO","FQ2 2015","FQ2 2015","Currency=USD","Period=FQ","BEST_FPERIOD_OVERRIDE=FQ","FILING_STATUS=MR","Sort=A","Dates=H","DateFormat=P","Fill=—","Direction=H","UseDPDF=Y")</f>
        <v>1.4208000000000001</v>
      </c>
      <c r="T6" s="20">
        <f>_xll.BDH("BRK/A US Equity","CASH_RATIO","FQ3 2015","FQ3 2015","Currency=USD","Period=FQ","BEST_FPERIOD_OVERRIDE=FQ","FILING_STATUS=MR","Sort=A","Dates=H","DateFormat=P","Fill=—","Direction=H","UseDPDF=Y")</f>
        <v>1.4173</v>
      </c>
      <c r="U6" s="20">
        <f>_xll.BDH("BRK/A US Equity","CASH_RATIO","FQ4 2015","FQ4 2015","Currency=USD","Period=FQ","BEST_FPERIOD_OVERRIDE=FQ","FILING_STATUS=MR","Sort=A","Dates=H","DateFormat=P","Fill=—","Direction=H","UseDPDF=Y")</f>
        <v>1.4934000000000001</v>
      </c>
      <c r="V6" s="20" t="str">
        <f>_xll.BDH("BRK/A US Equity","CASH_RATIO","FQ1 2016","FQ1 2016","Currency=USD","Period=FQ","BEST_FPERIOD_OVERRIDE=FQ","FILING_STATUS=MR","Sort=A","Dates=H","DateFormat=P","Fill=—","Direction=H","UseDPDF=Y")</f>
        <v>#N/A Requesting Data...</v>
      </c>
      <c r="W6" s="20" t="str">
        <f>_xll.BDH("BRK/A US Equity","CASH_RATIO","FQ2 2016","FQ2 2016","Currency=USD","Period=FQ","BEST_FPERIOD_OVERRIDE=FQ","FILING_STATUS=MR","Sort=A","Dates=H","DateFormat=P","Fill=—","Direction=H","UseDPDF=Y")</f>
        <v>#N/A Requesting Data...</v>
      </c>
      <c r="X6" s="20" t="str">
        <f>_xll.BDH("BRK/A US Equity","CASH_RATIO","FQ3 2016","FQ3 2016","Currency=USD","Period=FQ","BEST_FPERIOD_OVERRIDE=FQ","FILING_STATUS=MR","Sort=A","Dates=H","DateFormat=P","Fill=—","Direction=H","UseDPDF=Y")</f>
        <v>#N/A Requesting Data...</v>
      </c>
      <c r="Y6" s="20" t="str">
        <f>_xll.BDH("BRK/A US Equity","CASH_RATIO","FQ4 2016","FQ4 2016","Currency=USD","Period=FQ","BEST_FPERIOD_OVERRIDE=FQ","FILING_STATUS=MR","Sort=A","Dates=H","DateFormat=P","Fill=—","Direction=H","UseDPDF=Y")</f>
        <v>#N/A Requesting Data...</v>
      </c>
      <c r="Z6" s="20">
        <f>_xll.BDH("BRK/A US Equity","CASH_RATIO","FQ1 2017","FQ1 2017","Currency=USD","Period=FQ","BEST_FPERIOD_OVERRIDE=FQ","FILING_STATUS=MR","Sort=A","Dates=H","DateFormat=P","Fill=—","Direction=H","UseDPDF=Y")</f>
        <v>1.3536999999999999</v>
      </c>
      <c r="AA6" s="20">
        <f>_xll.BDH("BRK/A US Equity","CASH_RATIO","FQ2 2017","FQ2 2017","Currency=USD","Period=FQ","BEST_FPERIOD_OVERRIDE=FQ","FILING_STATUS=MR","Sort=A","Dates=H","DateFormat=P","Fill=—","Direction=H","UseDPDF=Y")</f>
        <v>1.3815</v>
      </c>
      <c r="AB6" s="20" t="str">
        <f>_xll.BDH("BRK/A US Equity","CASH_RATIO","FQ3 2017","FQ3 2017","Currency=USD","Period=FQ","BEST_FPERIOD_OVERRIDE=FQ","FILING_STATUS=MR","Sort=A","Dates=H","DateFormat=P","Fill=—","Direction=H","UseDPDF=Y")</f>
        <v>#N/A Requesting Data...</v>
      </c>
      <c r="AC6" s="20">
        <f>_xll.BDH("BRK/A US Equity","CASH_RATIO","FQ4 2017","FQ4 2017","Currency=USD","Period=FQ","BEST_FPERIOD_OVERRIDE=FQ","FILING_STATUS=MR","Sort=A","Dates=H","DateFormat=P","Fill=—","Direction=H","UseDPDF=Y")</f>
        <v>1.4692000000000001</v>
      </c>
      <c r="AD6" s="20">
        <f>_xll.BDH("BRK/A US Equity","CASH_RATIO","FQ1 2018","FQ1 2018","Currency=USD","Period=FQ","BEST_FPERIOD_OVERRIDE=FQ","FILING_STATUS=MR","Sort=A","Dates=H","DateFormat=P","Fill=—","Direction=H","UseDPDF=Y")</f>
        <v>1.3866000000000001</v>
      </c>
      <c r="AE6" s="20">
        <f>_xll.BDH("BRK/A US Equity","CASH_RATIO","FQ2 2018","FQ2 2018","Currency=USD","Period=FQ","BEST_FPERIOD_OVERRIDE=FQ","FILING_STATUS=MR","Sort=A","Dates=H","DateFormat=P","Fill=—","Direction=H","UseDPDF=Y")</f>
        <v>1.4386999999999999</v>
      </c>
      <c r="AF6" s="20">
        <f>_xll.BDH("BRK/A US Equity","CASH_RATIO","FQ3 2018","FQ3 2018","Currency=USD","Period=FQ","BEST_FPERIOD_OVERRIDE=FQ","FILING_STATUS=MR","Sort=A","Dates=H","DateFormat=P","Fill=—","Direction=H","UseDPDF=Y")</f>
        <v>1.4979</v>
      </c>
      <c r="AG6" s="20">
        <f>_xll.BDH("BRK/A US Equity","CASH_RATIO","FQ4 2018","FQ4 2018","Currency=USD","Period=FQ","BEST_FPERIOD_OVERRIDE=FQ","FILING_STATUS=MR","Sort=A","Dates=H","DateFormat=P","Fill=—","Direction=H","UseDPDF=Y")</f>
        <v>1.3759999999999999</v>
      </c>
      <c r="AH6" s="20">
        <f>_xll.BDH("BRK/A US Equity","CASH_RATIO","FQ1 2019","FQ1 2019","Currency=USD","Period=FQ","BEST_FPERIOD_OVERRIDE=FQ","FILING_STATUS=MR","Sort=A","Dates=H","DateFormat=P","Fill=—","Direction=H","UseDPDF=Y")</f>
        <v>1.4373</v>
      </c>
      <c r="AI6" s="20" t="str">
        <f>_xll.BDH("BRK/A US Equity","CASH_RATIO","FQ2 2019","FQ2 2019","Currency=USD","Period=FQ","BEST_FPERIOD_OVERRIDE=FQ","FILING_STATUS=MR","Sort=A","Dates=H","DateFormat=P","Fill=—","Direction=H","UseDPDF=Y")</f>
        <v>#N/A Requesting Data...</v>
      </c>
      <c r="AJ6" s="20">
        <f>_xll.BDH("BRK/A US Equity","CASH_RATIO","FQ3 2019","FQ3 2019","Currency=USD","Period=FQ","BEST_FPERIOD_OVERRIDE=FQ","FILING_STATUS=MR","Sort=A","Dates=H","DateFormat=P","Fill=—","Direction=H","UseDPDF=Y")</f>
        <v>1.5150000000000001</v>
      </c>
      <c r="AK6" s="20">
        <f>_xll.BDH("BRK/A US Equity","CASH_RATIO","FQ4 2019","FQ4 2019","Currency=USD","Period=FQ","BEST_FPERIOD_OVERRIDE=FQ","FILING_STATUS=MR","Sort=A","Dates=H","DateFormat=P","Fill=—","Direction=H","UseDPDF=Y")</f>
        <v>1.6536</v>
      </c>
      <c r="AL6" s="20">
        <f>_xll.BDH("BRK/A US Equity","CASH_RATIO","FQ1 2020","FQ1 2020","Currency=USD","Period=FQ","BEST_FPERIOD_OVERRIDE=FQ","FILING_STATUS=MR","Sort=A","Dates=H","DateFormat=P","Fill=—","Direction=H","UseDPDF=Y")</f>
        <v>1.3664000000000001</v>
      </c>
      <c r="AM6" s="20">
        <f>_xll.BDH("BRK/A US Equity","CASH_RATIO","FQ2 2020","FQ2 2020","Currency=USD","Period=FQ","BEST_FPERIOD_OVERRIDE=FQ","FILING_STATUS=MR","Sort=A","Dates=H","DateFormat=P","Fill=—","Direction=H","UseDPDF=Y")</f>
        <v>1.5373000000000001</v>
      </c>
      <c r="AN6" s="20" t="str">
        <f>_xll.BDH("BRK/A US Equity","CASH_RATIO","FQ3 2020","FQ3 2020","Currency=USD","Period=FQ","BEST_FPERIOD_OVERRIDE=FQ","FILING_STATUS=MR","Sort=A","Dates=H","DateFormat=P","Fill=—","Direction=H","UseDPDF=Y")</f>
        <v>#N/A Requesting Data...</v>
      </c>
      <c r="AO6" s="20">
        <f>_xll.BDH("BRK/A US Equity","CASH_RATIO","FQ4 2020","FQ4 2020","Currency=USD","Period=FQ","BEST_FPERIOD_OVERRIDE=FQ","FILING_STATUS=MR","Sort=A","Dates=H","DateFormat=P","Fill=—","Direction=H","UseDPDF=Y")</f>
        <v>1.7223000000000002</v>
      </c>
      <c r="AP6" s="20">
        <f>_xll.BDH("BRK/A US Equity","CASH_RATIO","FQ1 2021","FQ1 2021","Currency=USD","Period=FQ","BEST_FPERIOD_OVERRIDE=FQ","FILING_STATUS=MR","Sort=A","Dates=H","DateFormat=P","Fill=—","Direction=H","UseDPDF=Y")</f>
        <v>1.7238</v>
      </c>
    </row>
    <row r="7" spans="1:42" x14ac:dyDescent="0.25">
      <c r="A7" s="7" t="s">
        <v>186</v>
      </c>
      <c r="B7" s="7" t="s">
        <v>185</v>
      </c>
      <c r="C7" s="20">
        <f>_xll.BDH("BRK/A US Equity","CUR_RATIO","FQ2 2011","FQ2 2011","Currency=USD","Period=FQ","BEST_FPERIOD_OVERRIDE=FQ","FILING_STATUS=MR","Sort=A","Dates=H","DateFormat=P","Fill=—","Direction=H","UseDPDF=Y")</f>
        <v>1.4236</v>
      </c>
      <c r="D7" s="20">
        <f>_xll.BDH("BRK/A US Equity","CUR_RATIO","FQ3 2011","FQ3 2011","Currency=USD","Period=FQ","BEST_FPERIOD_OVERRIDE=FQ","FILING_STATUS=MR","Sort=A","Dates=H","DateFormat=P","Fill=—","Direction=H","UseDPDF=Y")</f>
        <v>1.3151999999999999</v>
      </c>
      <c r="E7" s="20">
        <f>_xll.BDH("BRK/A US Equity","CUR_RATIO","FQ4 2011","FQ4 2011","Currency=USD","Period=FQ","BEST_FPERIOD_OVERRIDE=FQ","FILING_STATUS=MR","Sort=A","Dates=H","DateFormat=P","Fill=—","Direction=H","UseDPDF=Y")</f>
        <v>1.3332999999999999</v>
      </c>
      <c r="F7" s="20">
        <f>_xll.BDH("BRK/A US Equity","CUR_RATIO","FQ1 2012","FQ1 2012","Currency=USD","Period=FQ","BEST_FPERIOD_OVERRIDE=FQ","FILING_STATUS=MR","Sort=A","Dates=H","DateFormat=P","Fill=—","Direction=H","UseDPDF=Y")</f>
        <v>1.4422999999999999</v>
      </c>
      <c r="G7" s="20" t="str">
        <f>_xll.BDH("BRK/A US Equity","CUR_RATIO","FQ2 2012","FQ2 2012","Currency=USD","Period=FQ","BEST_FPERIOD_OVERRIDE=FQ","FILING_STATUS=MR","Sort=A","Dates=H","DateFormat=P","Fill=—","Direction=H","UseDPDF=Y")</f>
        <v>#N/A Requesting Data...</v>
      </c>
      <c r="H7" s="20">
        <f>_xll.BDH("BRK/A US Equity","CUR_RATIO","FQ3 2012","FQ3 2012","Currency=USD","Period=FQ","BEST_FPERIOD_OVERRIDE=FQ","FILING_STATUS=MR","Sort=A","Dates=H","DateFormat=P","Fill=—","Direction=H","UseDPDF=Y")</f>
        <v>1.4889999999999999</v>
      </c>
      <c r="I7" s="20" t="str">
        <f>_xll.BDH("BRK/A US Equity","CUR_RATIO","FQ4 2012","FQ4 2012","Currency=USD","Period=FQ","BEST_FPERIOD_OVERRIDE=FQ","FILING_STATUS=MR","Sort=A","Dates=H","DateFormat=P","Fill=—","Direction=H","UseDPDF=Y")</f>
        <v>#N/A Requesting Data...</v>
      </c>
      <c r="J7" s="20">
        <f>_xll.BDH("BRK/A US Equity","CUR_RATIO","FQ1 2013","FQ1 2013","Currency=USD","Period=FQ","BEST_FPERIOD_OVERRIDE=FQ","FILING_STATUS=MR","Sort=A","Dates=H","DateFormat=P","Fill=—","Direction=H","UseDPDF=Y")</f>
        <v>1.5886</v>
      </c>
      <c r="K7" s="20">
        <f>_xll.BDH("BRK/A US Equity","CUR_RATIO","FQ2 2013","FQ2 2013","Currency=USD","Period=FQ","BEST_FPERIOD_OVERRIDE=FQ","FILING_STATUS=MR","Sort=A","Dates=H","DateFormat=P","Fill=—","Direction=H","UseDPDF=Y")</f>
        <v>1.5992</v>
      </c>
      <c r="L7" s="20" t="str">
        <f>_xll.BDH("BRK/A US Equity","CUR_RATIO","FQ3 2013","FQ3 2013","Currency=USD","Period=FQ","BEST_FPERIOD_OVERRIDE=FQ","FILING_STATUS=MR","Sort=A","Dates=H","DateFormat=P","Fill=—","Direction=H","UseDPDF=Y")</f>
        <v>#N/A Requesting Data...</v>
      </c>
      <c r="M7" s="20" t="str">
        <f>_xll.BDH("BRK/A US Equity","CUR_RATIO","FQ4 2013","FQ4 2013","Currency=USD","Period=FQ","BEST_FPERIOD_OVERRIDE=FQ","FILING_STATUS=MR","Sort=A","Dates=H","DateFormat=P","Fill=—","Direction=H","UseDPDF=Y")</f>
        <v>#N/A Requesting Data...</v>
      </c>
      <c r="N7" s="20">
        <f>_xll.BDH("BRK/A US Equity","CUR_RATIO","FQ1 2014","FQ1 2014","Currency=USD","Period=FQ","BEST_FPERIOD_OVERRIDE=FQ","FILING_STATUS=MR","Sort=A","Dates=H","DateFormat=P","Fill=—","Direction=H","UseDPDF=Y")</f>
        <v>1.7351999999999999</v>
      </c>
      <c r="O7" s="20">
        <f>_xll.BDH("BRK/A US Equity","CUR_RATIO","FQ2 2014","FQ2 2014","Currency=USD","Period=FQ","BEST_FPERIOD_OVERRIDE=FQ","FILING_STATUS=MR","Sort=A","Dates=H","DateFormat=P","Fill=—","Direction=H","UseDPDF=Y")</f>
        <v>1.8134999999999999</v>
      </c>
      <c r="P7" s="20">
        <f>_xll.BDH("BRK/A US Equity","CUR_RATIO","FQ3 2014","FQ3 2014","Currency=USD","Period=FQ","BEST_FPERIOD_OVERRIDE=FQ","FILING_STATUS=MR","Sort=A","Dates=H","DateFormat=P","Fill=—","Direction=H","UseDPDF=Y")</f>
        <v>1.7231000000000001</v>
      </c>
      <c r="Q7" s="20">
        <f>_xll.BDH("BRK/A US Equity","CUR_RATIO","FQ4 2014","FQ4 2014","Currency=USD","Period=FQ","BEST_FPERIOD_OVERRIDE=FQ","FILING_STATUS=MR","Sort=A","Dates=H","DateFormat=P","Fill=—","Direction=H","UseDPDF=Y")</f>
        <v>1.7504</v>
      </c>
      <c r="R7" s="20">
        <f>_xll.BDH("BRK/A US Equity","CUR_RATIO","FQ1 2015","FQ1 2015","Currency=USD","Period=FQ","BEST_FPERIOD_OVERRIDE=FQ","FILING_STATUS=MR","Sort=A","Dates=H","DateFormat=P","Fill=—","Direction=H","UseDPDF=Y")</f>
        <v>1.7034</v>
      </c>
      <c r="S7" s="20" t="str">
        <f>_xll.BDH("BRK/A US Equity","CUR_RATIO","FQ2 2015","FQ2 2015","Currency=USD","Period=FQ","BEST_FPERIOD_OVERRIDE=FQ","FILING_STATUS=MR","Sort=A","Dates=H","DateFormat=P","Fill=—","Direction=H","UseDPDF=Y")</f>
        <v>#N/A Requesting Data...</v>
      </c>
      <c r="T7" s="20" t="str">
        <f>_xll.BDH("BRK/A US Equity","CUR_RATIO","FQ3 2015","FQ3 2015","Currency=USD","Period=FQ","BEST_FPERIOD_OVERRIDE=FQ","FILING_STATUS=MR","Sort=A","Dates=H","DateFormat=P","Fill=—","Direction=H","UseDPDF=Y")</f>
        <v>#N/A Requesting Data...</v>
      </c>
      <c r="U7" s="20" t="str">
        <f>_xll.BDH("BRK/A US Equity","CUR_RATIO","FQ4 2015","FQ4 2015","Currency=USD","Period=FQ","BEST_FPERIOD_OVERRIDE=FQ","FILING_STATUS=MR","Sort=A","Dates=H","DateFormat=P","Fill=—","Direction=H","UseDPDF=Y")</f>
        <v>#N/A Requesting Data...</v>
      </c>
      <c r="V7" s="20">
        <f>_xll.BDH("BRK/A US Equity","CUR_RATIO","FQ1 2016","FQ1 2016","Currency=USD","Period=FQ","BEST_FPERIOD_OVERRIDE=FQ","FILING_STATUS=MR","Sort=A","Dates=H","DateFormat=P","Fill=—","Direction=H","UseDPDF=Y")</f>
        <v>1.4941</v>
      </c>
      <c r="W7" s="20">
        <f>_xll.BDH("BRK/A US Equity","CUR_RATIO","FQ2 2016","FQ2 2016","Currency=USD","Period=FQ","BEST_FPERIOD_OVERRIDE=FQ","FILING_STATUS=MR","Sort=A","Dates=H","DateFormat=P","Fill=—","Direction=H","UseDPDF=Y")</f>
        <v>1.5145999999999999</v>
      </c>
      <c r="X7" s="20">
        <f>_xll.BDH("BRK/A US Equity","CUR_RATIO","FQ3 2016","FQ3 2016","Currency=USD","Period=FQ","BEST_FPERIOD_OVERRIDE=FQ","FILING_STATUS=MR","Sort=A","Dates=H","DateFormat=P","Fill=—","Direction=H","UseDPDF=Y")</f>
        <v>1.5324</v>
      </c>
      <c r="Y7" s="20" t="str">
        <f>_xll.BDH("BRK/A US Equity","CUR_RATIO","FQ4 2016","FQ4 2016","Currency=USD","Period=FQ","BEST_FPERIOD_OVERRIDE=FQ","FILING_STATUS=MR","Sort=A","Dates=H","DateFormat=P","Fill=—","Direction=H","UseDPDF=Y")</f>
        <v>#N/A Requesting Data...</v>
      </c>
      <c r="Z7" s="20">
        <f>_xll.BDH("BRK/A US Equity","CUR_RATIO","FQ1 2017","FQ1 2017","Currency=USD","Period=FQ","BEST_FPERIOD_OVERRIDE=FQ","FILING_STATUS=MR","Sort=A","Dates=H","DateFormat=P","Fill=—","Direction=H","UseDPDF=Y")</f>
        <v>1.6289</v>
      </c>
      <c r="AA7" s="20">
        <f>_xll.BDH("BRK/A US Equity","CUR_RATIO","FQ2 2017","FQ2 2017","Currency=USD","Period=FQ","BEST_FPERIOD_OVERRIDE=FQ","FILING_STATUS=MR","Sort=A","Dates=H","DateFormat=P","Fill=—","Direction=H","UseDPDF=Y")</f>
        <v>1.6625000000000001</v>
      </c>
      <c r="AB7" s="20">
        <f>_xll.BDH("BRK/A US Equity","CUR_RATIO","FQ3 2017","FQ3 2017","Currency=USD","Period=FQ","BEST_FPERIOD_OVERRIDE=FQ","FILING_STATUS=MR","Sort=A","Dates=H","DateFormat=P","Fill=—","Direction=H","UseDPDF=Y")</f>
        <v>1.6562000000000001</v>
      </c>
      <c r="AC7" s="20">
        <f>_xll.BDH("BRK/A US Equity","CUR_RATIO","FQ4 2017","FQ4 2017","Currency=USD","Period=FQ","BEST_FPERIOD_OVERRIDE=FQ","FILING_STATUS=MR","Sort=A","Dates=H","DateFormat=P","Fill=—","Direction=H","UseDPDF=Y")</f>
        <v>1.7553000000000001</v>
      </c>
      <c r="AD7" s="20">
        <f>_xll.BDH("BRK/A US Equity","CUR_RATIO","FQ1 2018","FQ1 2018","Currency=USD","Period=FQ","BEST_FPERIOD_OVERRIDE=FQ","FILING_STATUS=MR","Sort=A","Dates=H","DateFormat=P","Fill=—","Direction=H","UseDPDF=Y")</f>
        <v>1.6569</v>
      </c>
      <c r="AE7" s="20" t="str">
        <f>_xll.BDH("BRK/A US Equity","CUR_RATIO","FQ2 2018","FQ2 2018","Currency=USD","Period=FQ","BEST_FPERIOD_OVERRIDE=FQ","FILING_STATUS=MR","Sort=A","Dates=H","DateFormat=P","Fill=—","Direction=H","UseDPDF=Y")</f>
        <v>#N/A Requesting Data...</v>
      </c>
      <c r="AF7" s="20">
        <f>_xll.BDH("BRK/A US Equity","CUR_RATIO","FQ3 2018","FQ3 2018","Currency=USD","Period=FQ","BEST_FPERIOD_OVERRIDE=FQ","FILING_STATUS=MR","Sort=A","Dates=H","DateFormat=P","Fill=—","Direction=H","UseDPDF=Y")</f>
        <v>1.7757000000000001</v>
      </c>
      <c r="AG7" s="20">
        <f>_xll.BDH("BRK/A US Equity","CUR_RATIO","FQ4 2018","FQ4 2018","Currency=USD","Period=FQ","BEST_FPERIOD_OVERRIDE=FQ","FILING_STATUS=MR","Sort=A","Dates=H","DateFormat=P","Fill=—","Direction=H","UseDPDF=Y")</f>
        <v>1.6778</v>
      </c>
      <c r="AH7" s="20">
        <f>_xll.BDH("BRK/A US Equity","CUR_RATIO","FQ1 2019","FQ1 2019","Currency=USD","Period=FQ","BEST_FPERIOD_OVERRIDE=FQ","FILING_STATUS=MR","Sort=A","Dates=H","DateFormat=P","Fill=—","Direction=H","UseDPDF=Y")</f>
        <v>1.7437</v>
      </c>
      <c r="AI7" s="20">
        <f>_xll.BDH("BRK/A US Equity","CUR_RATIO","FQ2 2019","FQ2 2019","Currency=USD","Period=FQ","BEST_FPERIOD_OVERRIDE=FQ","FILING_STATUS=MR","Sort=A","Dates=H","DateFormat=P","Fill=—","Direction=H","UseDPDF=Y")</f>
        <v>1.7896999999999998</v>
      </c>
      <c r="AJ7" s="20">
        <f>_xll.BDH("BRK/A US Equity","CUR_RATIO","FQ3 2019","FQ3 2019","Currency=USD","Period=FQ","BEST_FPERIOD_OVERRIDE=FQ","FILING_STATUS=MR","Sort=A","Dates=H","DateFormat=P","Fill=—","Direction=H","UseDPDF=Y")</f>
        <v>1.8115999999999999</v>
      </c>
      <c r="AK7" s="20">
        <f>_xll.BDH("BRK/A US Equity","CUR_RATIO","FQ4 2019","FQ4 2019","Currency=USD","Period=FQ","BEST_FPERIOD_OVERRIDE=FQ","FILING_STATUS=MR","Sort=A","Dates=H","DateFormat=P","Fill=—","Direction=H","UseDPDF=Y")</f>
        <v>1.9473</v>
      </c>
      <c r="AL7" s="20">
        <f>_xll.BDH("BRK/A US Equity","CUR_RATIO","FQ1 2020","FQ1 2020","Currency=USD","Period=FQ","BEST_FPERIOD_OVERRIDE=FQ","FILING_STATUS=MR","Sort=A","Dates=H","DateFormat=P","Fill=—","Direction=H","UseDPDF=Y")</f>
        <v>1.6594</v>
      </c>
      <c r="AM7" s="20">
        <f>_xll.BDH("BRK/A US Equity","CUR_RATIO","FQ2 2020","FQ2 2020","Currency=USD","Period=FQ","BEST_FPERIOD_OVERRIDE=FQ","FILING_STATUS=MR","Sort=A","Dates=H","DateFormat=P","Fill=—","Direction=H","UseDPDF=Y")</f>
        <v>1.8296000000000001</v>
      </c>
      <c r="AN7" s="20">
        <f>_xll.BDH("BRK/A US Equity","CUR_RATIO","FQ3 2020","FQ3 2020","Currency=USD","Period=FQ","BEST_FPERIOD_OVERRIDE=FQ","FILING_STATUS=MR","Sort=A","Dates=H","DateFormat=P","Fill=—","Direction=H","UseDPDF=Y")</f>
        <v>1.8806</v>
      </c>
      <c r="AO7" s="20">
        <f>_xll.BDH("BRK/A US Equity","CUR_RATIO","FQ4 2020","FQ4 2020","Currency=USD","Period=FQ","BEST_FPERIOD_OVERRIDE=FQ","FILING_STATUS=MR","Sort=A","Dates=H","DateFormat=P","Fill=—","Direction=H","UseDPDF=Y")</f>
        <v>2.0019999999999998</v>
      </c>
      <c r="AP7" s="20">
        <f>_xll.BDH("BRK/A US Equity","CUR_RATIO","FQ1 2021","FQ1 2021","Currency=USD","Period=FQ","BEST_FPERIOD_OVERRIDE=FQ","FILING_STATUS=MR","Sort=A","Dates=H","DateFormat=P","Fill=—","Direction=H","UseDPDF=Y")</f>
        <v>2.0112999999999999</v>
      </c>
    </row>
    <row r="8" spans="1:42" x14ac:dyDescent="0.25">
      <c r="A8" s="7" t="s">
        <v>184</v>
      </c>
      <c r="B8" s="7" t="s">
        <v>183</v>
      </c>
      <c r="C8" s="20" t="str">
        <f>_xll.BDH("BRK/A US Equity","QUICK_RATIO","FQ2 2011","FQ2 2011","Currency=USD","Period=FQ","BEST_FPERIOD_OVERRIDE=FQ","FILING_STATUS=MR","Sort=A","Dates=H","DateFormat=P","Fill=—","Direction=H","UseDPDF=Y")</f>
        <v>#N/A Requesting Data...</v>
      </c>
      <c r="D8" s="20">
        <f>_xll.BDH("BRK/A US Equity","QUICK_RATIO","FQ3 2011","FQ3 2011","Currency=USD","Period=FQ","BEST_FPERIOD_OVERRIDE=FQ","FILING_STATUS=MR","Sort=A","Dates=H","DateFormat=P","Fill=—","Direction=H","UseDPDF=Y")</f>
        <v>1.2542</v>
      </c>
      <c r="E8" s="20" t="str">
        <f>_xll.BDH("BRK/A US Equity","QUICK_RATIO","FQ4 2011","FQ4 2011","Currency=USD","Period=FQ","BEST_FPERIOD_OVERRIDE=FQ","FILING_STATUS=MR","Sort=A","Dates=H","DateFormat=P","Fill=—","Direction=H","UseDPDF=Y")</f>
        <v>#N/A Requesting Data...</v>
      </c>
      <c r="F8" s="20">
        <f>_xll.BDH("BRK/A US Equity","QUICK_RATIO","FQ1 2012","FQ1 2012","Currency=USD","Period=FQ","BEST_FPERIOD_OVERRIDE=FQ","FILING_STATUS=MR","Sort=A","Dates=H","DateFormat=P","Fill=—","Direction=H","UseDPDF=Y")</f>
        <v>1.3832</v>
      </c>
      <c r="G8" s="20" t="str">
        <f>_xll.BDH("BRK/A US Equity","QUICK_RATIO","FQ2 2012","FQ2 2012","Currency=USD","Period=FQ","BEST_FPERIOD_OVERRIDE=FQ","FILING_STATUS=MR","Sort=A","Dates=H","DateFormat=P","Fill=—","Direction=H","UseDPDF=Y")</f>
        <v>#N/A Requesting Data...</v>
      </c>
      <c r="H8" s="20" t="str">
        <f>_xll.BDH("BRK/A US Equity","QUICK_RATIO","FQ3 2012","FQ3 2012","Currency=USD","Period=FQ","BEST_FPERIOD_OVERRIDE=FQ","FILING_STATUS=MR","Sort=A","Dates=H","DateFormat=P","Fill=—","Direction=H","UseDPDF=Y")</f>
        <v>#N/A Requesting Data...</v>
      </c>
      <c r="I8" s="20" t="str">
        <f>_xll.BDH("BRK/A US Equity","QUICK_RATIO","FQ4 2012","FQ4 2012","Currency=USD","Period=FQ","BEST_FPERIOD_OVERRIDE=FQ","FILING_STATUS=MR","Sort=A","Dates=H","DateFormat=P","Fill=—","Direction=H","UseDPDF=Y")</f>
        <v>#N/A Requesting Data...</v>
      </c>
      <c r="J8" s="20">
        <f>_xll.BDH("BRK/A US Equity","QUICK_RATIO","FQ1 2013","FQ1 2013","Currency=USD","Period=FQ","BEST_FPERIOD_OVERRIDE=FQ","FILING_STATUS=MR","Sort=A","Dates=H","DateFormat=P","Fill=—","Direction=H","UseDPDF=Y")</f>
        <v>1.5255999999999998</v>
      </c>
      <c r="K8" s="20" t="str">
        <f>_xll.BDH("BRK/A US Equity","QUICK_RATIO","FQ2 2013","FQ2 2013","Currency=USD","Period=FQ","BEST_FPERIOD_OVERRIDE=FQ","FILING_STATUS=MR","Sort=A","Dates=H","DateFormat=P","Fill=—","Direction=H","UseDPDF=Y")</f>
        <v>#N/A Requesting Data...</v>
      </c>
      <c r="L8" s="20">
        <f>_xll.BDH("BRK/A US Equity","QUICK_RATIO","FQ3 2013","FQ3 2013","Currency=USD","Period=FQ","BEST_FPERIOD_OVERRIDE=FQ","FILING_STATUS=MR","Sort=A","Dates=H","DateFormat=P","Fill=—","Direction=H","UseDPDF=Y")</f>
        <v>1.5758999999999999</v>
      </c>
      <c r="M8" s="20">
        <f>_xll.BDH("BRK/A US Equity","QUICK_RATIO","FQ4 2013","FQ4 2013","Currency=USD","Period=FQ","BEST_FPERIOD_OVERRIDE=FQ","FILING_STATUS=MR","Sort=A","Dates=H","DateFormat=P","Fill=—","Direction=H","UseDPDF=Y")</f>
        <v>1.649</v>
      </c>
      <c r="N8" s="20">
        <f>_xll.BDH("BRK/A US Equity","QUICK_RATIO","FQ1 2014","FQ1 2014","Currency=USD","Period=FQ","BEST_FPERIOD_OVERRIDE=FQ","FILING_STATUS=MR","Sort=A","Dates=H","DateFormat=P","Fill=—","Direction=H","UseDPDF=Y")</f>
        <v>1.6699000000000002</v>
      </c>
      <c r="O8" s="20" t="str">
        <f>_xll.BDH("BRK/A US Equity","QUICK_RATIO","FQ2 2014","FQ2 2014","Currency=USD","Period=FQ","BEST_FPERIOD_OVERRIDE=FQ","FILING_STATUS=MR","Sort=A","Dates=H","DateFormat=P","Fill=—","Direction=H","UseDPDF=Y")</f>
        <v>#N/A Requesting Data...</v>
      </c>
      <c r="P8" s="20">
        <f>_xll.BDH("BRK/A US Equity","QUICK_RATIO","FQ3 2014","FQ3 2014","Currency=USD","Period=FQ","BEST_FPERIOD_OVERRIDE=FQ","FILING_STATUS=MR","Sort=A","Dates=H","DateFormat=P","Fill=—","Direction=H","UseDPDF=Y")</f>
        <v>1.6619000000000002</v>
      </c>
      <c r="Q8" s="20" t="str">
        <f>_xll.BDH("BRK/A US Equity","QUICK_RATIO","FQ4 2014","FQ4 2014","Currency=USD","Period=FQ","BEST_FPERIOD_OVERRIDE=FQ","FILING_STATUS=MR","Sort=A","Dates=H","DateFormat=P","Fill=—","Direction=H","UseDPDF=Y")</f>
        <v>#N/A Requesting Data...</v>
      </c>
      <c r="R8" s="20">
        <f>_xll.BDH("BRK/A US Equity","QUICK_RATIO","FQ1 2015","FQ1 2015","Currency=USD","Period=FQ","BEST_FPERIOD_OVERRIDE=FQ","FILING_STATUS=MR","Sort=A","Dates=H","DateFormat=P","Fill=—","Direction=H","UseDPDF=Y")</f>
        <v>1.6339000000000001</v>
      </c>
      <c r="S8" s="20" t="str">
        <f>_xll.BDH("BRK/A US Equity","QUICK_RATIO","FQ2 2015","FQ2 2015","Currency=USD","Period=FQ","BEST_FPERIOD_OVERRIDE=FQ","FILING_STATUS=MR","Sort=A","Dates=H","DateFormat=P","Fill=—","Direction=H","UseDPDF=Y")</f>
        <v>#N/A Requesting Data...</v>
      </c>
      <c r="T8" s="20">
        <f>_xll.BDH("BRK/A US Equity","QUICK_RATIO","FQ3 2015","FQ3 2015","Currency=USD","Period=FQ","BEST_FPERIOD_OVERRIDE=FQ","FILING_STATUS=MR","Sort=A","Dates=H","DateFormat=P","Fill=—","Direction=H","UseDPDF=Y")</f>
        <v>1.6309</v>
      </c>
      <c r="U8" s="20">
        <f>_xll.BDH("BRK/A US Equity","QUICK_RATIO","FQ4 2015","FQ4 2015","Currency=USD","Period=FQ","BEST_FPERIOD_OVERRIDE=FQ","FILING_STATUS=MR","Sort=A","Dates=H","DateFormat=P","Fill=—","Direction=H","UseDPDF=Y")</f>
        <v>1.706</v>
      </c>
      <c r="V8" s="20">
        <f>_xll.BDH("BRK/A US Equity","QUICK_RATIO","FQ1 2016","FQ1 2016","Currency=USD","Period=FQ","BEST_FPERIOD_OVERRIDE=FQ","FILING_STATUS=MR","Sort=A","Dates=H","DateFormat=P","Fill=—","Direction=H","UseDPDF=Y")</f>
        <v>1.4117999999999999</v>
      </c>
      <c r="W8" s="20">
        <f>_xll.BDH("BRK/A US Equity","QUICK_RATIO","FQ2 2016","FQ2 2016","Currency=USD","Period=FQ","BEST_FPERIOD_OVERRIDE=FQ","FILING_STATUS=MR","Sort=A","Dates=H","DateFormat=P","Fill=—","Direction=H","UseDPDF=Y")</f>
        <v>1.4330000000000001</v>
      </c>
      <c r="X8" s="20">
        <f>_xll.BDH("BRK/A US Equity","QUICK_RATIO","FQ3 2016","FQ3 2016","Currency=USD","Period=FQ","BEST_FPERIOD_OVERRIDE=FQ","FILING_STATUS=MR","Sort=A","Dates=H","DateFormat=P","Fill=—","Direction=H","UseDPDF=Y")</f>
        <v>1.4519</v>
      </c>
      <c r="Y8" s="20">
        <f>_xll.BDH("BRK/A US Equity","QUICK_RATIO","FQ4 2016","FQ4 2016","Currency=USD","Period=FQ","BEST_FPERIOD_OVERRIDE=FQ","FILING_STATUS=MR","Sort=A","Dates=H","DateFormat=P","Fill=—","Direction=H","UseDPDF=Y")</f>
        <v>1.5343</v>
      </c>
      <c r="Z8" s="20">
        <f>_xll.BDH("BRK/A US Equity","QUICK_RATIO","FQ1 2017","FQ1 2017","Currency=USD","Period=FQ","BEST_FPERIOD_OVERRIDE=FQ","FILING_STATUS=MR","Sort=A","Dates=H","DateFormat=P","Fill=—","Direction=H","UseDPDF=Y")</f>
        <v>1.5528999999999999</v>
      </c>
      <c r="AA8" s="20" t="str">
        <f>_xll.BDH("BRK/A US Equity","QUICK_RATIO","FQ2 2017","FQ2 2017","Currency=USD","Period=FQ","BEST_FPERIOD_OVERRIDE=FQ","FILING_STATUS=MR","Sort=A","Dates=H","DateFormat=P","Fill=—","Direction=H","UseDPDF=Y")</f>
        <v>#N/A Requesting Data...</v>
      </c>
      <c r="AB8" s="20">
        <f>_xll.BDH("BRK/A US Equity","QUICK_RATIO","FQ3 2017","FQ3 2017","Currency=USD","Period=FQ","BEST_FPERIOD_OVERRIDE=FQ","FILING_STATUS=MR","Sort=A","Dates=H","DateFormat=P","Fill=—","Direction=H","UseDPDF=Y")</f>
        <v>1.5788</v>
      </c>
      <c r="AC8" s="20" t="str">
        <f>_xll.BDH("BRK/A US Equity","QUICK_RATIO","FQ4 2017","FQ4 2017","Currency=USD","Period=FQ","BEST_FPERIOD_OVERRIDE=FQ","FILING_STATUS=MR","Sort=A","Dates=H","DateFormat=P","Fill=—","Direction=H","UseDPDF=Y")</f>
        <v>#N/A Requesting Data...</v>
      </c>
      <c r="AD8" s="20" t="str">
        <f>_xll.BDH("BRK/A US Equity","QUICK_RATIO","FQ1 2018","FQ1 2018","Currency=USD","Period=FQ","BEST_FPERIOD_OVERRIDE=FQ","FILING_STATUS=MR","Sort=A","Dates=H","DateFormat=P","Fill=—","Direction=H","UseDPDF=Y")</f>
        <v>#N/A Requesting Data...</v>
      </c>
      <c r="AE8" s="20">
        <f>_xll.BDH("BRK/A US Equity","QUICK_RATIO","FQ2 2018","FQ2 2018","Currency=USD","Period=FQ","BEST_FPERIOD_OVERRIDE=FQ","FILING_STATUS=MR","Sort=A","Dates=H","DateFormat=P","Fill=—","Direction=H","UseDPDF=Y")</f>
        <v>1.6423999999999999</v>
      </c>
      <c r="AF8" s="20" t="str">
        <f>_xll.BDH("BRK/A US Equity","QUICK_RATIO","FQ3 2018","FQ3 2018","Currency=USD","Period=FQ","BEST_FPERIOD_OVERRIDE=FQ","FILING_STATUS=MR","Sort=A","Dates=H","DateFormat=P","Fill=—","Direction=H","UseDPDF=Y")</f>
        <v>#N/A Requesting Data...</v>
      </c>
      <c r="AG8" s="20">
        <f>_xll.BDH("BRK/A US Equity","QUICK_RATIO","FQ4 2018","FQ4 2018","Currency=USD","Period=FQ","BEST_FPERIOD_OVERRIDE=FQ","FILING_STATUS=MR","Sort=A","Dates=H","DateFormat=P","Fill=—","Direction=H","UseDPDF=Y")</f>
        <v>1.5962000000000001</v>
      </c>
      <c r="AH8" s="20">
        <f>_xll.BDH("BRK/A US Equity","QUICK_RATIO","FQ1 2019","FQ1 2019","Currency=USD","Period=FQ","BEST_FPERIOD_OVERRIDE=FQ","FILING_STATUS=MR","Sort=A","Dates=H","DateFormat=P","Fill=—","Direction=H","UseDPDF=Y")</f>
        <v>1.6621000000000001</v>
      </c>
      <c r="AI8" s="20">
        <f>_xll.BDH("BRK/A US Equity","QUICK_RATIO","FQ2 2019","FQ2 2019","Currency=USD","Period=FQ","BEST_FPERIOD_OVERRIDE=FQ","FILING_STATUS=MR","Sort=A","Dates=H","DateFormat=P","Fill=—","Direction=H","UseDPDF=Y")</f>
        <v>1.708</v>
      </c>
      <c r="AJ8" s="20">
        <f>_xll.BDH("BRK/A US Equity","QUICK_RATIO","FQ3 2019","FQ3 2019","Currency=USD","Period=FQ","BEST_FPERIOD_OVERRIDE=FQ","FILING_STATUS=MR","Sort=A","Dates=H","DateFormat=P","Fill=—","Direction=H","UseDPDF=Y")</f>
        <v>1.7330999999999999</v>
      </c>
      <c r="AK8" s="20">
        <f>_xll.BDH("BRK/A US Equity","QUICK_RATIO","FQ4 2019","FQ4 2019","Currency=USD","Period=FQ","BEST_FPERIOD_OVERRIDE=FQ","FILING_STATUS=MR","Sort=A","Dates=H","DateFormat=P","Fill=—","Direction=H","UseDPDF=Y")</f>
        <v>1.8677000000000001</v>
      </c>
      <c r="AL8" s="20">
        <f>_xll.BDH("BRK/A US Equity","QUICK_RATIO","FQ1 2020","FQ1 2020","Currency=USD","Period=FQ","BEST_FPERIOD_OVERRIDE=FQ","FILING_STATUS=MR","Sort=A","Dates=H","DateFormat=P","Fill=—","Direction=H","UseDPDF=Y")</f>
        <v>1.5813999999999999</v>
      </c>
      <c r="AM8" s="20" t="str">
        <f>_xll.BDH("BRK/A US Equity","QUICK_RATIO","FQ2 2020","FQ2 2020","Currency=USD","Period=FQ","BEST_FPERIOD_OVERRIDE=FQ","FILING_STATUS=MR","Sort=A","Dates=H","DateFormat=P","Fill=—","Direction=H","UseDPDF=Y")</f>
        <v>#N/A Requesting Data...</v>
      </c>
      <c r="AN8" s="20">
        <f>_xll.BDH("BRK/A US Equity","QUICK_RATIO","FQ3 2020","FQ3 2020","Currency=USD","Period=FQ","BEST_FPERIOD_OVERRIDE=FQ","FILING_STATUS=MR","Sort=A","Dates=H","DateFormat=P","Fill=—","Direction=H","UseDPDF=Y")</f>
        <v>1.8083</v>
      </c>
      <c r="AO8" s="20">
        <f>_xll.BDH("BRK/A US Equity","QUICK_RATIO","FQ4 2020","FQ4 2020","Currency=USD","Period=FQ","BEST_FPERIOD_OVERRIDE=FQ","FILING_STATUS=MR","Sort=A","Dates=H","DateFormat=P","Fill=—","Direction=H","UseDPDF=Y")</f>
        <v>1.9297</v>
      </c>
      <c r="AP8" s="20">
        <f>_xll.BDH("BRK/A US Equity","QUICK_RATIO","FQ1 2021","FQ1 2021","Currency=USD","Period=FQ","BEST_FPERIOD_OVERRIDE=FQ","FILING_STATUS=MR","Sort=A","Dates=H","DateFormat=P","Fill=—","Direction=H","UseDPDF=Y")</f>
        <v>1.9411</v>
      </c>
    </row>
    <row r="9" spans="1:42" x14ac:dyDescent="0.25">
      <c r="A9" s="7" t="s">
        <v>182</v>
      </c>
      <c r="B9" s="7" t="s">
        <v>181</v>
      </c>
      <c r="C9" s="20">
        <f>_xll.BDH("BRK/A US Equity","CFO_TO_AVG_CURRENT_LIABILITIES","FQ2 2011","FQ2 2011","Currency=USD","Period=FQ","BEST_FPERIOD_OVERRIDE=FQ","FILING_STATUS=MR","Sort=A","Dates=H","DateFormat=P","Fill=—","Direction=H","UseDPDF=Y")</f>
        <v>0.13880000000000001</v>
      </c>
      <c r="D9" s="20">
        <f>_xll.BDH("BRK/A US Equity","CFO_TO_AVG_CURRENT_LIABILITIES","FQ3 2011","FQ3 2011","Currency=USD","Period=FQ","BEST_FPERIOD_OVERRIDE=FQ","FILING_STATUS=MR","Sort=A","Dates=H","DateFormat=P","Fill=—","Direction=H","UseDPDF=Y")</f>
        <v>0.12770000000000001</v>
      </c>
      <c r="E9" s="20">
        <f>_xll.BDH("BRK/A US Equity","CFO_TO_AVG_CURRENT_LIABILITIES","FQ4 2011","FQ4 2011","Currency=USD","Period=FQ","BEST_FPERIOD_OVERRIDE=FQ","FILING_STATUS=MR","Sort=A","Dates=H","DateFormat=P","Fill=—","Direction=H","UseDPDF=Y")</f>
        <v>0.13900000000000001</v>
      </c>
      <c r="F9" s="20">
        <f>_xll.BDH("BRK/A US Equity","CFO_TO_AVG_CURRENT_LIABILITIES","FQ1 2012","FQ1 2012","Currency=USD","Period=FQ","BEST_FPERIOD_OVERRIDE=FQ","FILING_STATUS=MR","Sort=A","Dates=H","DateFormat=P","Fill=—","Direction=H","UseDPDF=Y")</f>
        <v>0.14580000000000001</v>
      </c>
      <c r="G9" s="20">
        <f>_xll.BDH("BRK/A US Equity","CFO_TO_AVG_CURRENT_LIABILITIES","FQ2 2012","FQ2 2012","Currency=USD","Period=FQ","BEST_FPERIOD_OVERRIDE=FQ","FILING_STATUS=MR","Sort=A","Dates=H","DateFormat=P","Fill=—","Direction=H","UseDPDF=Y")</f>
        <v>0.13400000000000001</v>
      </c>
      <c r="H9" s="20">
        <f>_xll.BDH("BRK/A US Equity","CFO_TO_AVG_CURRENT_LIABILITIES","FQ3 2012","FQ3 2012","Currency=USD","Period=FQ","BEST_FPERIOD_OVERRIDE=FQ","FILING_STATUS=MR","Sort=A","Dates=H","DateFormat=P","Fill=—","Direction=H","UseDPDF=Y")</f>
        <v>0.13469999999999999</v>
      </c>
      <c r="I9" s="20" t="str">
        <f>_xll.BDH("BRK/A US Equity","CFO_TO_AVG_CURRENT_LIABILITIES","FQ4 2012","FQ4 2012","Currency=USD","Period=FQ","BEST_FPERIOD_OVERRIDE=FQ","FILING_STATUS=MR","Sort=A","Dates=H","DateFormat=P","Fill=—","Direction=H","UseDPDF=Y")</f>
        <v>#N/A Requesting Data...</v>
      </c>
      <c r="J9" s="20">
        <f>_xll.BDH("BRK/A US Equity","CFO_TO_AVG_CURRENT_LIABILITIES","FQ1 2013","FQ1 2013","Currency=USD","Period=FQ","BEST_FPERIOD_OVERRIDE=FQ","FILING_STATUS=MR","Sort=A","Dates=H","DateFormat=P","Fill=—","Direction=H","UseDPDF=Y")</f>
        <v>0.14560000000000001</v>
      </c>
      <c r="K9" s="20" t="str">
        <f>_xll.BDH("BRK/A US Equity","CFO_TO_AVG_CURRENT_LIABILITIES","FQ2 2013","FQ2 2013","Currency=USD","Period=FQ","BEST_FPERIOD_OVERRIDE=FQ","FILING_STATUS=MR","Sort=A","Dates=H","DateFormat=P","Fill=—","Direction=H","UseDPDF=Y")</f>
        <v>#N/A Requesting Data...</v>
      </c>
      <c r="L9" s="20">
        <f>_xll.BDH("BRK/A US Equity","CFO_TO_AVG_CURRENT_LIABILITIES","FQ3 2013","FQ3 2013","Currency=USD","Period=FQ","BEST_FPERIOD_OVERRIDE=FQ","FILING_STATUS=MR","Sort=A","Dates=H","DateFormat=P","Fill=—","Direction=H","UseDPDF=Y")</f>
        <v>0.16439999999999999</v>
      </c>
      <c r="M9" s="20">
        <f>_xll.BDH("BRK/A US Equity","CFO_TO_AVG_CURRENT_LIABILITIES","FQ4 2013","FQ4 2013","Currency=USD","Period=FQ","BEST_FPERIOD_OVERRIDE=FQ","FILING_STATUS=MR","Sort=A","Dates=H","DateFormat=P","Fill=—","Direction=H","UseDPDF=Y")</f>
        <v>0.17799999999999999</v>
      </c>
      <c r="N9" s="20">
        <f>_xll.BDH("BRK/A US Equity","CFO_TO_AVG_CURRENT_LIABILITIES","FQ1 2014","FQ1 2014","Currency=USD","Period=FQ","BEST_FPERIOD_OVERRIDE=FQ","FILING_STATUS=MR","Sort=A","Dates=H","DateFormat=P","Fill=—","Direction=H","UseDPDF=Y")</f>
        <v>0.1711</v>
      </c>
      <c r="O9" s="20" t="str">
        <f>_xll.BDH("BRK/A US Equity","CFO_TO_AVG_CURRENT_LIABILITIES","FQ2 2014","FQ2 2014","Currency=USD","Period=FQ","BEST_FPERIOD_OVERRIDE=FQ","FILING_STATUS=MR","Sort=A","Dates=H","DateFormat=P","Fill=—","Direction=H","UseDPDF=Y")</f>
        <v>#N/A Requesting Data...</v>
      </c>
      <c r="P9" s="20">
        <f>_xll.BDH("BRK/A US Equity","CFO_TO_AVG_CURRENT_LIABILITIES","FQ3 2014","FQ3 2014","Currency=USD","Period=FQ","BEST_FPERIOD_OVERRIDE=FQ","FILING_STATUS=MR","Sort=A","Dates=H","DateFormat=P","Fill=—","Direction=H","UseDPDF=Y")</f>
        <v>0.1933</v>
      </c>
      <c r="Q9" s="20" t="str">
        <f>_xll.BDH("BRK/A US Equity","CFO_TO_AVG_CURRENT_LIABILITIES","FQ4 2014","FQ4 2014","Currency=USD","Period=FQ","BEST_FPERIOD_OVERRIDE=FQ","FILING_STATUS=MR","Sort=A","Dates=H","DateFormat=P","Fill=—","Direction=H","UseDPDF=Y")</f>
        <v>#N/A Requesting Data...</v>
      </c>
      <c r="R9" s="20">
        <f>_xll.BDH("BRK/A US Equity","CFO_TO_AVG_CURRENT_LIABILITIES","FQ1 2015","FQ1 2015","Currency=USD","Period=FQ","BEST_FPERIOD_OVERRIDE=FQ","FILING_STATUS=MR","Sort=A","Dates=H","DateFormat=P","Fill=—","Direction=H","UseDPDF=Y")</f>
        <v>0.2034</v>
      </c>
      <c r="S9" s="20">
        <f>_xll.BDH("BRK/A US Equity","CFO_TO_AVG_CURRENT_LIABILITIES","FQ2 2015","FQ2 2015","Currency=USD","Period=FQ","BEST_FPERIOD_OVERRIDE=FQ","FILING_STATUS=MR","Sort=A","Dates=H","DateFormat=P","Fill=—","Direction=H","UseDPDF=Y")</f>
        <v>0.2069</v>
      </c>
      <c r="T9" s="20">
        <f>_xll.BDH("BRK/A US Equity","CFO_TO_AVG_CURRENT_LIABILITIES","FQ3 2015","FQ3 2015","Currency=USD","Period=FQ","BEST_FPERIOD_OVERRIDE=FQ","FILING_STATUS=MR","Sort=A","Dates=H","DateFormat=P","Fill=—","Direction=H","UseDPDF=Y")</f>
        <v>0.18809999999999999</v>
      </c>
      <c r="U9" s="20">
        <f>_xll.BDH("BRK/A US Equity","CFO_TO_AVG_CURRENT_LIABILITIES","FQ4 2015","FQ4 2015","Currency=USD","Period=FQ","BEST_FPERIOD_OVERRIDE=FQ","FILING_STATUS=MR","Sort=A","Dates=H","DateFormat=P","Fill=—","Direction=H","UseDPDF=Y")</f>
        <v>0.189</v>
      </c>
      <c r="V9" s="20">
        <f>_xll.BDH("BRK/A US Equity","CFO_TO_AVG_CURRENT_LIABILITIES","FQ1 2016","FQ1 2016","Currency=USD","Period=FQ","BEST_FPERIOD_OVERRIDE=FQ","FILING_STATUS=MR","Sort=A","Dates=H","DateFormat=P","Fill=—","Direction=H","UseDPDF=Y")</f>
        <v>0.18310000000000001</v>
      </c>
      <c r="W9" s="20" t="str">
        <f>_xll.BDH("BRK/A US Equity","CFO_TO_AVG_CURRENT_LIABILITIES","FQ2 2016","FQ2 2016","Currency=USD","Period=FQ","BEST_FPERIOD_OVERRIDE=FQ","FILING_STATUS=MR","Sort=A","Dates=H","DateFormat=P","Fill=—","Direction=H","UseDPDF=Y")</f>
        <v>#N/A Requesting Data...</v>
      </c>
      <c r="X9" s="20">
        <f>_xll.BDH("BRK/A US Equity","CFO_TO_AVG_CURRENT_LIABILITIES","FQ3 2016","FQ3 2016","Currency=USD","Period=FQ","BEST_FPERIOD_OVERRIDE=FQ","FILING_STATUS=MR","Sort=A","Dates=H","DateFormat=P","Fill=—","Direction=H","UseDPDF=Y")</f>
        <v>0.17530000000000001</v>
      </c>
      <c r="Y9" s="20" t="str">
        <f>_xll.BDH("BRK/A US Equity","CFO_TO_AVG_CURRENT_LIABILITIES","FQ4 2016","FQ4 2016","Currency=USD","Period=FQ","BEST_FPERIOD_OVERRIDE=FQ","FILING_STATUS=MR","Sort=A","Dates=H","DateFormat=P","Fill=—","Direction=H","UseDPDF=Y")</f>
        <v>#N/A Requesting Data...</v>
      </c>
      <c r="Z9" s="20">
        <f>_xll.BDH("BRK/A US Equity","CFO_TO_AVG_CURRENT_LIABILITIES","FQ1 2017","FQ1 2017","Currency=USD","Period=FQ","BEST_FPERIOD_OVERRIDE=FQ","FILING_STATUS=MR","Sort=A","Dates=H","DateFormat=P","Fill=—","Direction=H","UseDPDF=Y")</f>
        <v>0.21510000000000001</v>
      </c>
      <c r="AA9" s="20">
        <f>_xll.BDH("BRK/A US Equity","CFO_TO_AVG_CURRENT_LIABILITIES","FQ2 2017","FQ2 2017","Currency=USD","Period=FQ","BEST_FPERIOD_OVERRIDE=FQ","FILING_STATUS=MR","Sort=A","Dates=H","DateFormat=P","Fill=—","Direction=H","UseDPDF=Y")</f>
        <v>0.2167</v>
      </c>
      <c r="AB9" s="20">
        <f>_xll.BDH("BRK/A US Equity","CFO_TO_AVG_CURRENT_LIABILITIES","FQ3 2017","FQ3 2017","Currency=USD","Period=FQ","BEST_FPERIOD_OVERRIDE=FQ","FILING_STATUS=MR","Sort=A","Dates=H","DateFormat=P","Fill=—","Direction=H","UseDPDF=Y")</f>
        <v>0.2172</v>
      </c>
      <c r="AC9" s="20">
        <f>_xll.BDH("BRK/A US Equity","CFO_TO_AVG_CURRENT_LIABILITIES","FQ4 2017","FQ4 2017","Currency=USD","Period=FQ","BEST_FPERIOD_OVERRIDE=FQ","FILING_STATUS=MR","Sort=A","Dates=H","DateFormat=P","Fill=—","Direction=H","UseDPDF=Y")</f>
        <v>0.21790000000000001</v>
      </c>
      <c r="AD9" s="20">
        <f>_xll.BDH("BRK/A US Equity","CFO_TO_AVG_CURRENT_LIABILITIES","FQ1 2018","FQ1 2018","Currency=USD","Period=FQ","BEST_FPERIOD_OVERRIDE=FQ","FILING_STATUS=MR","Sort=A","Dates=H","DateFormat=P","Fill=—","Direction=H","UseDPDF=Y")</f>
        <v>0.15989999999999999</v>
      </c>
      <c r="AE9" s="20">
        <f>_xll.BDH("BRK/A US Equity","CFO_TO_AVG_CURRENT_LIABILITIES","FQ2 2018","FQ2 2018","Currency=USD","Period=FQ","BEST_FPERIOD_OVERRIDE=FQ","FILING_STATUS=MR","Sort=A","Dates=H","DateFormat=P","Fill=—","Direction=H","UseDPDF=Y")</f>
        <v>0.16120000000000001</v>
      </c>
      <c r="AF9" s="20">
        <f>_xll.BDH("BRK/A US Equity","CFO_TO_AVG_CURRENT_LIABILITIES","FQ3 2018","FQ3 2018","Currency=USD","Period=FQ","BEST_FPERIOD_OVERRIDE=FQ","FILING_STATUS=MR","Sort=A","Dates=H","DateFormat=P","Fill=—","Direction=H","UseDPDF=Y")</f>
        <v>0.15590000000000001</v>
      </c>
      <c r="AG9" s="20">
        <f>_xll.BDH("BRK/A US Equity","CFO_TO_AVG_CURRENT_LIABILITIES","FQ4 2018","FQ4 2018","Currency=USD","Period=FQ","BEST_FPERIOD_OVERRIDE=FQ","FILING_STATUS=MR","Sort=A","Dates=H","DateFormat=P","Fill=—","Direction=H","UseDPDF=Y")</f>
        <v>0.16339999999999999</v>
      </c>
      <c r="AH9" s="20">
        <f>_xll.BDH("BRK/A US Equity","CFO_TO_AVG_CURRENT_LIABILITIES","FQ1 2019","FQ1 2019","Currency=USD","Period=FQ","BEST_FPERIOD_OVERRIDE=FQ","FILING_STATUS=MR","Sort=A","Dates=H","DateFormat=P","Fill=—","Direction=H","UseDPDF=Y")</f>
        <v>0.1613</v>
      </c>
      <c r="AI9" s="20">
        <f>_xll.BDH("BRK/A US Equity","CFO_TO_AVG_CURRENT_LIABILITIES","FQ2 2019","FQ2 2019","Currency=USD","Period=FQ","BEST_FPERIOD_OVERRIDE=FQ","FILING_STATUS=MR","Sort=A","Dates=H","DateFormat=P","Fill=—","Direction=H","UseDPDF=Y")</f>
        <v>0.16339999999999999</v>
      </c>
      <c r="AJ9" s="20">
        <f>_xll.BDH("BRK/A US Equity","CFO_TO_AVG_CURRENT_LIABILITIES","FQ3 2019","FQ3 2019","Currency=USD","Period=FQ","BEST_FPERIOD_OVERRIDE=FQ","FILING_STATUS=MR","Sort=A","Dates=H","DateFormat=P","Fill=—","Direction=H","UseDPDF=Y")</f>
        <v>0.15559999999999999</v>
      </c>
      <c r="AK9" s="20" t="str">
        <f>_xll.BDH("BRK/A US Equity","CFO_TO_AVG_CURRENT_LIABILITIES","FQ4 2019","FQ4 2019","Currency=USD","Period=FQ","BEST_FPERIOD_OVERRIDE=FQ","FILING_STATUS=MR","Sort=A","Dates=H","DateFormat=P","Fill=—","Direction=H","UseDPDF=Y")</f>
        <v>#N/A Requesting Data...</v>
      </c>
      <c r="AL9" s="20">
        <f>_xll.BDH("BRK/A US Equity","CFO_TO_AVG_CURRENT_LIABILITIES","FQ1 2020","FQ1 2020","Currency=USD","Period=FQ","BEST_FPERIOD_OVERRIDE=FQ","FILING_STATUS=MR","Sort=A","Dates=H","DateFormat=P","Fill=—","Direction=H","UseDPDF=Y")</f>
        <v>0.1525</v>
      </c>
      <c r="AM9" s="20">
        <f>_xll.BDH("BRK/A US Equity","CFO_TO_AVG_CURRENT_LIABILITIES","FQ2 2020","FQ2 2020","Currency=USD","Period=FQ","BEST_FPERIOD_OVERRIDE=FQ","FILING_STATUS=MR","Sort=A","Dates=H","DateFormat=P","Fill=—","Direction=H","UseDPDF=Y")</f>
        <v>0.15859999999999999</v>
      </c>
      <c r="AN9" s="20" t="str">
        <f>_xll.BDH("BRK/A US Equity","CFO_TO_AVG_CURRENT_LIABILITIES","FQ3 2020","FQ3 2020","Currency=USD","Period=FQ","BEST_FPERIOD_OVERRIDE=FQ","FILING_STATUS=MR","Sort=A","Dates=H","DateFormat=P","Fill=—","Direction=H","UseDPDF=Y")</f>
        <v>#N/A Requesting Data...</v>
      </c>
      <c r="AO9" s="20" t="str">
        <f>_xll.BDH("BRK/A US Equity","CFO_TO_AVG_CURRENT_LIABILITIES","FQ4 2020","FQ4 2020","Currency=USD","Period=FQ","BEST_FPERIOD_OVERRIDE=FQ","FILING_STATUS=MR","Sort=A","Dates=H","DateFormat=P","Fill=—","Direction=H","UseDPDF=Y")</f>
        <v>#N/A Requesting Data...</v>
      </c>
      <c r="AP9" s="20">
        <f>_xll.BDH("BRK/A US Equity","CFO_TO_AVG_CURRENT_LIABILITIES","FQ1 2021","FQ1 2021","Currency=USD","Period=FQ","BEST_FPERIOD_OVERRIDE=FQ","FILING_STATUS=MR","Sort=A","Dates=H","DateFormat=P","Fill=—","Direction=H","UseDPDF=Y")</f>
        <v>0.16020000000000001</v>
      </c>
    </row>
    <row r="10" spans="1:42" x14ac:dyDescent="0.25">
      <c r="A10" s="7" t="s">
        <v>180</v>
      </c>
      <c r="B10" s="7" t="s">
        <v>179</v>
      </c>
      <c r="C10" s="20">
        <f>_xll.BDH("BRK/A US Equity","COM_EQY_TO_TOT_ASSET","FQ2 2011","FQ2 2011","Currency=USD","Period=FQ","BEST_FPERIOD_OVERRIDE=FQ","FILING_STATUS=MR","Sort=A","Dates=H","DateFormat=P","Fill=—","Direction=H","UseDPDF=Y")</f>
        <v>42.5944</v>
      </c>
      <c r="D10" s="20">
        <f>_xll.BDH("BRK/A US Equity","COM_EQY_TO_TOT_ASSET","FQ3 2011","FQ3 2011","Currency=USD","Period=FQ","BEST_FPERIOD_OVERRIDE=FQ","FILING_STATUS=MR","Sort=A","Dates=H","DateFormat=P","Fill=—","Direction=H","UseDPDF=Y")</f>
        <v>41.494</v>
      </c>
      <c r="E10" s="20">
        <f>_xll.BDH("BRK/A US Equity","COM_EQY_TO_TOT_ASSET","FQ4 2011","FQ4 2011","Currency=USD","Period=FQ","BEST_FPERIOD_OVERRIDE=FQ","FILING_STATUS=MR","Sort=A","Dates=H","DateFormat=P","Fill=—","Direction=H","UseDPDF=Y")</f>
        <v>41.984299999999998</v>
      </c>
      <c r="F10" s="20">
        <f>_xll.BDH("BRK/A US Equity","COM_EQY_TO_TOT_ASSET","FQ1 2012","FQ1 2012","Currency=USD","Period=FQ","BEST_FPERIOD_OVERRIDE=FQ","FILING_STATUS=MR","Sort=A","Dates=H","DateFormat=P","Fill=—","Direction=H","UseDPDF=Y")</f>
        <v>42.783999999999999</v>
      </c>
      <c r="G10" s="20" t="str">
        <f>_xll.BDH("BRK/A US Equity","COM_EQY_TO_TOT_ASSET","FQ2 2012","FQ2 2012","Currency=USD","Period=FQ","BEST_FPERIOD_OVERRIDE=FQ","FILING_STATUS=MR","Sort=A","Dates=H","DateFormat=P","Fill=—","Direction=H","UseDPDF=Y")</f>
        <v>#N/A Requesting Data...</v>
      </c>
      <c r="H10" s="20" t="str">
        <f>_xll.BDH("BRK/A US Equity","COM_EQY_TO_TOT_ASSET","FQ3 2012","FQ3 2012","Currency=USD","Period=FQ","BEST_FPERIOD_OVERRIDE=FQ","FILING_STATUS=MR","Sort=A","Dates=H","DateFormat=P","Fill=—","Direction=H","UseDPDF=Y")</f>
        <v>#N/A Requesting Data...</v>
      </c>
      <c r="I10" s="20" t="str">
        <f>_xll.BDH("BRK/A US Equity","COM_EQY_TO_TOT_ASSET","FQ4 2012","FQ4 2012","Currency=USD","Period=FQ","BEST_FPERIOD_OVERRIDE=FQ","FILING_STATUS=MR","Sort=A","Dates=H","DateFormat=P","Fill=—","Direction=H","UseDPDF=Y")</f>
        <v>#N/A Requesting Data...</v>
      </c>
      <c r="J10" s="20">
        <f>_xll.BDH("BRK/A US Equity","COM_EQY_TO_TOT_ASSET","FQ1 2013","FQ1 2013","Currency=USD","Period=FQ","BEST_FPERIOD_OVERRIDE=FQ","FILING_STATUS=MR","Sort=A","Dates=H","DateFormat=P","Fill=—","Direction=H","UseDPDF=Y")</f>
        <v>44.781799999999997</v>
      </c>
      <c r="K10" s="20">
        <f>_xll.BDH("BRK/A US Equity","COM_EQY_TO_TOT_ASSET","FQ2 2013","FQ2 2013","Currency=USD","Period=FQ","BEST_FPERIOD_OVERRIDE=FQ","FILING_STATUS=MR","Sort=A","Dates=H","DateFormat=P","Fill=—","Direction=H","UseDPDF=Y")</f>
        <v>45.238</v>
      </c>
      <c r="L10" s="20">
        <f>_xll.BDH("BRK/A US Equity","COM_EQY_TO_TOT_ASSET","FQ3 2013","FQ3 2013","Currency=USD","Period=FQ","BEST_FPERIOD_OVERRIDE=FQ","FILING_STATUS=MR","Sort=A","Dates=H","DateFormat=P","Fill=—","Direction=H","UseDPDF=Y")</f>
        <v>45.490200000000002</v>
      </c>
      <c r="M10" s="20">
        <f>_xll.BDH("BRK/A US Equity","COM_EQY_TO_TOT_ASSET","FQ4 2013","FQ4 2013","Currency=USD","Period=FQ","BEST_FPERIOD_OVERRIDE=FQ","FILING_STATUS=MR","Sort=A","Dates=H","DateFormat=P","Fill=—","Direction=H","UseDPDF=Y")</f>
        <v>45.756999999999998</v>
      </c>
      <c r="N10" s="20">
        <f>_xll.BDH("BRK/A US Equity","COM_EQY_TO_TOT_ASSET","FQ1 2014","FQ1 2014","Currency=USD","Period=FQ","BEST_FPERIOD_OVERRIDE=FQ","FILING_STATUS=MR","Sort=A","Dates=H","DateFormat=P","Fill=—","Direction=H","UseDPDF=Y")</f>
        <v>45.987400000000001</v>
      </c>
      <c r="O10" s="20">
        <f>_xll.BDH("BRK/A US Equity","COM_EQY_TO_TOT_ASSET","FQ2 2014","FQ2 2014","Currency=USD","Period=FQ","BEST_FPERIOD_OVERRIDE=FQ","FILING_STATUS=MR","Sort=A","Dates=H","DateFormat=P","Fill=—","Direction=H","UseDPDF=Y")</f>
        <v>46.3947</v>
      </c>
      <c r="P10" s="20">
        <f>_xll.BDH("BRK/A US Equity","COM_EQY_TO_TOT_ASSET","FQ3 2014","FQ3 2014","Currency=USD","Period=FQ","BEST_FPERIOD_OVERRIDE=FQ","FILING_STATUS=MR","Sort=A","Dates=H","DateFormat=P","Fill=—","Direction=H","UseDPDF=Y")</f>
        <v>45.897399999999998</v>
      </c>
      <c r="Q10" s="20">
        <f>_xll.BDH("BRK/A US Equity","COM_EQY_TO_TOT_ASSET","FQ4 2014","FQ4 2014","Currency=USD","Period=FQ","BEST_FPERIOD_OVERRIDE=FQ","FILING_STATUS=MR","Sort=A","Dates=H","DateFormat=P","Fill=—","Direction=H","UseDPDF=Y")</f>
        <v>45.671199999999999</v>
      </c>
      <c r="R10" s="20">
        <f>_xll.BDH("BRK/A US Equity","COM_EQY_TO_TOT_ASSET","FQ1 2015","FQ1 2015","Currency=USD","Period=FQ","BEST_FPERIOD_OVERRIDE=FQ","FILING_STATUS=MR","Sort=A","Dates=H","DateFormat=P","Fill=—","Direction=H","UseDPDF=Y")</f>
        <v>45.465800000000002</v>
      </c>
      <c r="S10" s="20" t="str">
        <f>_xll.BDH("BRK/A US Equity","COM_EQY_TO_TOT_ASSET","FQ2 2015","FQ2 2015","Currency=USD","Period=FQ","BEST_FPERIOD_OVERRIDE=FQ","FILING_STATUS=MR","Sort=A","Dates=H","DateFormat=P","Fill=—","Direction=H","UseDPDF=Y")</f>
        <v>#N/A Requesting Data...</v>
      </c>
      <c r="T10" s="20" t="str">
        <f>_xll.BDH("BRK/A US Equity","COM_EQY_TO_TOT_ASSET","FQ3 2015","FQ3 2015","Currency=USD","Period=FQ","BEST_FPERIOD_OVERRIDE=FQ","FILING_STATUS=MR","Sort=A","Dates=H","DateFormat=P","Fill=—","Direction=H","UseDPDF=Y")</f>
        <v>#N/A Requesting Data...</v>
      </c>
      <c r="U10" s="20" t="str">
        <f>_xll.BDH("BRK/A US Equity","COM_EQY_TO_TOT_ASSET","FQ4 2015","FQ4 2015","Currency=USD","Period=FQ","BEST_FPERIOD_OVERRIDE=FQ","FILING_STATUS=MR","Sort=A","Dates=H","DateFormat=P","Fill=—","Direction=H","UseDPDF=Y")</f>
        <v>#N/A Requesting Data...</v>
      </c>
      <c r="V10" s="20" t="str">
        <f>_xll.BDH("BRK/A US Equity","COM_EQY_TO_TOT_ASSET","FQ1 2016","FQ1 2016","Currency=USD","Period=FQ","BEST_FPERIOD_OVERRIDE=FQ","FILING_STATUS=MR","Sort=A","Dates=H","DateFormat=P","Fill=—","Direction=H","UseDPDF=Y")</f>
        <v>#N/A Requesting Data...</v>
      </c>
      <c r="W10" s="20" t="str">
        <f>_xll.BDH("BRK/A US Equity","COM_EQY_TO_TOT_ASSET","FQ2 2016","FQ2 2016","Currency=USD","Period=FQ","BEST_FPERIOD_OVERRIDE=FQ","FILING_STATUS=MR","Sort=A","Dates=H","DateFormat=P","Fill=—","Direction=H","UseDPDF=Y")</f>
        <v>#N/A Requesting Data...</v>
      </c>
      <c r="X10" s="20" t="str">
        <f>_xll.BDH("BRK/A US Equity","COM_EQY_TO_TOT_ASSET","FQ3 2016","FQ3 2016","Currency=USD","Period=FQ","BEST_FPERIOD_OVERRIDE=FQ","FILING_STATUS=MR","Sort=A","Dates=H","DateFormat=P","Fill=—","Direction=H","UseDPDF=Y")</f>
        <v>#N/A Requesting Data...</v>
      </c>
      <c r="Y10" s="20">
        <f>_xll.BDH("BRK/A US Equity","COM_EQY_TO_TOT_ASSET","FQ4 2016","FQ4 2016","Currency=USD","Period=FQ","BEST_FPERIOD_OVERRIDE=FQ","FILING_STATUS=MR","Sort=A","Dates=H","DateFormat=P","Fill=—","Direction=H","UseDPDF=Y")</f>
        <v>45.432600000000001</v>
      </c>
      <c r="Z10" s="20">
        <f>_xll.BDH("BRK/A US Equity","COM_EQY_TO_TOT_ASSET","FQ1 2017","FQ1 2017","Currency=USD","Period=FQ","BEST_FPERIOD_OVERRIDE=FQ","FILING_STATUS=MR","Sort=A","Dates=H","DateFormat=P","Fill=—","Direction=H","UseDPDF=Y")</f>
        <v>44.747599999999998</v>
      </c>
      <c r="AA10" s="20">
        <f>_xll.BDH("BRK/A US Equity","COM_EQY_TO_TOT_ASSET","FQ2 2017","FQ2 2017","Currency=USD","Period=FQ","BEST_FPERIOD_OVERRIDE=FQ","FILING_STATUS=MR","Sort=A","Dates=H","DateFormat=P","Fill=—","Direction=H","UseDPDF=Y")</f>
        <v>45.171799999999998</v>
      </c>
      <c r="AB10" s="20">
        <f>_xll.BDH("BRK/A US Equity","COM_EQY_TO_TOT_ASSET","FQ3 2017","FQ3 2017","Currency=USD","Period=FQ","BEST_FPERIOD_OVERRIDE=FQ","FILING_STATUS=MR","Sort=A","Dates=H","DateFormat=P","Fill=—","Direction=H","UseDPDF=Y")</f>
        <v>45.2316</v>
      </c>
      <c r="AC10" s="20">
        <f>_xll.BDH("BRK/A US Equity","COM_EQY_TO_TOT_ASSET","FQ4 2017","FQ4 2017","Currency=USD","Period=FQ","BEST_FPERIOD_OVERRIDE=FQ","FILING_STATUS=MR","Sort=A","Dates=H","DateFormat=P","Fill=—","Direction=H","UseDPDF=Y")</f>
        <v>49.6081</v>
      </c>
      <c r="AD10" s="20">
        <f>_xll.BDH("BRK/A US Equity","COM_EQY_TO_TOT_ASSET","FQ1 2018","FQ1 2018","Currency=USD","Period=FQ","BEST_FPERIOD_OVERRIDE=FQ","FILING_STATUS=MR","Sort=A","Dates=H","DateFormat=P","Fill=—","Direction=H","UseDPDF=Y")</f>
        <v>49.441499999999998</v>
      </c>
      <c r="AE10" s="20" t="str">
        <f>_xll.BDH("BRK/A US Equity","COM_EQY_TO_TOT_ASSET","FQ2 2018","FQ2 2018","Currency=USD","Period=FQ","BEST_FPERIOD_OVERRIDE=FQ","FILING_STATUS=MR","Sort=A","Dates=H","DateFormat=P","Fill=—","Direction=H","UseDPDF=Y")</f>
        <v>#N/A Requesting Data...</v>
      </c>
      <c r="AF10" s="20" t="str">
        <f>_xll.BDH("BRK/A US Equity","COM_EQY_TO_TOT_ASSET","FQ3 2018","FQ3 2018","Currency=USD","Period=FQ","BEST_FPERIOD_OVERRIDE=FQ","FILING_STATUS=MR","Sort=A","Dates=H","DateFormat=P","Fill=—","Direction=H","UseDPDF=Y")</f>
        <v>#N/A Requesting Data...</v>
      </c>
      <c r="AG10" s="20" t="str">
        <f>_xll.BDH("BRK/A US Equity","COM_EQY_TO_TOT_ASSET","FQ4 2018","FQ4 2018","Currency=USD","Period=FQ","BEST_FPERIOD_OVERRIDE=FQ","FILING_STATUS=MR","Sort=A","Dates=H","DateFormat=P","Fill=—","Direction=H","UseDPDF=Y")</f>
        <v>#N/A Requesting Data...</v>
      </c>
      <c r="AH10" s="20" t="str">
        <f>_xll.BDH("BRK/A US Equity","COM_EQY_TO_TOT_ASSET","FQ1 2019","FQ1 2019","Currency=USD","Period=FQ","BEST_FPERIOD_OVERRIDE=FQ","FILING_STATUS=MR","Sort=A","Dates=H","DateFormat=P","Fill=—","Direction=H","UseDPDF=Y")</f>
        <v>#N/A Requesting Data...</v>
      </c>
      <c r="AI10" s="20">
        <f>_xll.BDH("BRK/A US Equity","COM_EQY_TO_TOT_ASSET","FQ2 2019","FQ2 2019","Currency=USD","Period=FQ","BEST_FPERIOD_OVERRIDE=FQ","FILING_STATUS=MR","Sort=A","Dates=H","DateFormat=P","Fill=—","Direction=H","UseDPDF=Y")</f>
        <v>50.327599999999997</v>
      </c>
      <c r="AJ10" s="20">
        <f>_xll.BDH("BRK/A US Equity","COM_EQY_TO_TOT_ASSET","FQ3 2019","FQ3 2019","Currency=USD","Period=FQ","BEST_FPERIOD_OVERRIDE=FQ","FILING_STATUS=MR","Sort=A","Dates=H","DateFormat=P","Fill=—","Direction=H","UseDPDF=Y")</f>
        <v>50.427100000000003</v>
      </c>
      <c r="AK10" s="20">
        <f>_xll.BDH("BRK/A US Equity","COM_EQY_TO_TOT_ASSET","FQ4 2019","FQ4 2019","Currency=USD","Period=FQ","BEST_FPERIOD_OVERRIDE=FQ","FILING_STATUS=MR","Sort=A","Dates=H","DateFormat=P","Fill=—","Direction=H","UseDPDF=Y")</f>
        <v>51.947699999999998</v>
      </c>
      <c r="AL10" s="20">
        <f>_xll.BDH("BRK/A US Equity","COM_EQY_TO_TOT_ASSET","FQ1 2020","FQ1 2020","Currency=USD","Period=FQ","BEST_FPERIOD_OVERRIDE=FQ","FILING_STATUS=MR","Sort=A","Dates=H","DateFormat=P","Fill=—","Direction=H","UseDPDF=Y")</f>
        <v>48.8613</v>
      </c>
      <c r="AM10" s="20">
        <f>_xll.BDH("BRK/A US Equity","COM_EQY_TO_TOT_ASSET","FQ2 2020","FQ2 2020","Currency=USD","Period=FQ","BEST_FPERIOD_OVERRIDE=FQ","FILING_STATUS=MR","Sort=A","Dates=H","DateFormat=P","Fill=—","Direction=H","UseDPDF=Y")</f>
        <v>49.927500000000002</v>
      </c>
      <c r="AN10" s="20">
        <f>_xll.BDH("BRK/A US Equity","COM_EQY_TO_TOT_ASSET","FQ3 2020","FQ3 2020","Currency=USD","Period=FQ","BEST_FPERIOD_OVERRIDE=FQ","FILING_STATUS=MR","Sort=A","Dates=H","DateFormat=P","Fill=—","Direction=H","UseDPDF=Y")</f>
        <v>50.021900000000002</v>
      </c>
      <c r="AO10" s="20">
        <f>_xll.BDH("BRK/A US Equity","COM_EQY_TO_TOT_ASSET","FQ4 2020","FQ4 2020","Currency=USD","Period=FQ","BEST_FPERIOD_OVERRIDE=FQ","FILING_STATUS=MR","Sort=A","Dates=H","DateFormat=P","Fill=—","Direction=H","UseDPDF=Y")</f>
        <v>50.720999999999997</v>
      </c>
      <c r="AP10" s="20">
        <f>_xll.BDH("BRK/A US Equity","COM_EQY_TO_TOT_ASSET","FQ1 2021","FQ1 2021","Currency=USD","Period=FQ","BEST_FPERIOD_OVERRIDE=FQ","FILING_STATUS=MR","Sort=A","Dates=H","DateFormat=P","Fill=—","Direction=H","UseDPDF=Y")</f>
        <v>50.654699999999998</v>
      </c>
    </row>
    <row r="11" spans="1:42" x14ac:dyDescent="0.25">
      <c r="A11" s="7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</row>
    <row r="12" spans="1:42" x14ac:dyDescent="0.25">
      <c r="A12" s="7" t="s">
        <v>178</v>
      </c>
      <c r="B12" s="7" t="s">
        <v>177</v>
      </c>
      <c r="C12" s="20">
        <f>_xll.BDH("BRK/A US Equity","LT_DEBT_TO_TOT_EQY","FQ2 2011","FQ2 2011","Currency=USD","Period=FQ","BEST_FPERIOD_OVERRIDE=FQ","FILING_STATUS=MR","Sort=A","Dates=H","DateFormat=P","Fill=—","Direction=H","UseDPDF=Y")</f>
        <v>19.352</v>
      </c>
      <c r="D12" s="20">
        <f>_xll.BDH("BRK/A US Equity","LT_DEBT_TO_TOT_EQY","FQ3 2011","FQ3 2011","Currency=USD","Period=FQ","BEST_FPERIOD_OVERRIDE=FQ","FILING_STATUS=MR","Sort=A","Dates=H","DateFormat=P","Fill=—","Direction=H","UseDPDF=Y")</f>
        <v>19.9193</v>
      </c>
      <c r="E12" s="20" t="str">
        <f>_xll.BDH("BRK/A US Equity","LT_DEBT_TO_TOT_EQY","FQ4 2011","FQ4 2011","Currency=USD","Period=FQ","BEST_FPERIOD_OVERRIDE=FQ","FILING_STATUS=MR","Sort=A","Dates=H","DateFormat=P","Fill=—","Direction=H","UseDPDF=Y")</f>
        <v>#N/A Requesting Data...</v>
      </c>
      <c r="F12" s="20">
        <f>_xll.BDH("BRK/A US Equity","LT_DEBT_TO_TOT_EQY","FQ1 2012","FQ1 2012","Currency=USD","Period=FQ","BEST_FPERIOD_OVERRIDE=FQ","FILING_STATUS=MR","Sort=A","Dates=H","DateFormat=P","Fill=—","Direction=H","UseDPDF=Y")</f>
        <v>19.1508</v>
      </c>
      <c r="G12" s="20">
        <f>_xll.BDH("BRK/A US Equity","LT_DEBT_TO_TOT_EQY","FQ2 2012","FQ2 2012","Currency=USD","Period=FQ","BEST_FPERIOD_OVERRIDE=FQ","FILING_STATUS=MR","Sort=A","Dates=H","DateFormat=P","Fill=—","Direction=H","UseDPDF=Y")</f>
        <v>18.792100000000001</v>
      </c>
      <c r="H12" s="20" t="str">
        <f>_xll.BDH("BRK/A US Equity","LT_DEBT_TO_TOT_EQY","FQ3 2012","FQ3 2012","Currency=USD","Period=FQ","BEST_FPERIOD_OVERRIDE=FQ","FILING_STATUS=MR","Sort=A","Dates=H","DateFormat=P","Fill=—","Direction=H","UseDPDF=Y")</f>
        <v>#N/A Requesting Data...</v>
      </c>
      <c r="I12" s="20" t="str">
        <f>_xll.BDH("BRK/A US Equity","LT_DEBT_TO_TOT_EQY","FQ4 2012","FQ4 2012","Currency=USD","Period=FQ","BEST_FPERIOD_OVERRIDE=FQ","FILING_STATUS=MR","Sort=A","Dates=H","DateFormat=P","Fill=—","Direction=H","UseDPDF=Y")</f>
        <v>#N/A Requesting Data...</v>
      </c>
      <c r="J12" s="20">
        <f>_xll.BDH("BRK/A US Equity","LT_DEBT_TO_TOT_EQY","FQ1 2013","FQ1 2013","Currency=USD","Period=FQ","BEST_FPERIOD_OVERRIDE=FQ","FILING_STATUS=MR","Sort=A","Dates=H","DateFormat=P","Fill=—","Direction=H","UseDPDF=Y")</f>
        <v>18.252800000000001</v>
      </c>
      <c r="K12" s="20">
        <f>_xll.BDH("BRK/A US Equity","LT_DEBT_TO_TOT_EQY","FQ2 2013","FQ2 2013","Currency=USD","Period=FQ","BEST_FPERIOD_OVERRIDE=FQ","FILING_STATUS=MR","Sort=A","Dates=H","DateFormat=P","Fill=—","Direction=H","UseDPDF=Y")</f>
        <v>18.469899999999999</v>
      </c>
      <c r="L12" s="20">
        <f>_xll.BDH("BRK/A US Equity","LT_DEBT_TO_TOT_EQY","FQ3 2013","FQ3 2013","Currency=USD","Period=FQ","BEST_FPERIOD_OVERRIDE=FQ","FILING_STATUS=MR","Sort=A","Dates=H","DateFormat=P","Fill=—","Direction=H","UseDPDF=Y")</f>
        <v>18.926300000000001</v>
      </c>
      <c r="M12" s="20">
        <f>_xll.BDH("BRK/A US Equity","LT_DEBT_TO_TOT_EQY","FQ4 2013","FQ4 2013","Currency=USD","Period=FQ","BEST_FPERIOD_OVERRIDE=FQ","FILING_STATUS=MR","Sort=A","Dates=H","DateFormat=P","Fill=—","Direction=H","UseDPDF=Y")</f>
        <v>20.783100000000001</v>
      </c>
      <c r="N12" s="20">
        <f>_xll.BDH("BRK/A US Equity","LT_DEBT_TO_TOT_EQY","FQ1 2014","FQ1 2014","Currency=USD","Period=FQ","BEST_FPERIOD_OVERRIDE=FQ","FILING_STATUS=MR","Sort=A","Dates=H","DateFormat=P","Fill=—","Direction=H","UseDPDF=Y")</f>
        <v>20.735299999999999</v>
      </c>
      <c r="O12" s="20" t="str">
        <f>_xll.BDH("BRK/A US Equity","LT_DEBT_TO_TOT_EQY","FQ2 2014","FQ2 2014","Currency=USD","Period=FQ","BEST_FPERIOD_OVERRIDE=FQ","FILING_STATUS=MR","Sort=A","Dates=H","DateFormat=P","Fill=—","Direction=H","UseDPDF=Y")</f>
        <v>#N/A Requesting Data...</v>
      </c>
      <c r="P12" s="20" t="str">
        <f>_xll.BDH("BRK/A US Equity","LT_DEBT_TO_TOT_EQY","FQ3 2014","FQ3 2014","Currency=USD","Period=FQ","BEST_FPERIOD_OVERRIDE=FQ","FILING_STATUS=MR","Sort=A","Dates=H","DateFormat=P","Fill=—","Direction=H","UseDPDF=Y")</f>
        <v>#N/A Requesting Data...</v>
      </c>
      <c r="Q12" s="20" t="str">
        <f>_xll.BDH("BRK/A US Equity","LT_DEBT_TO_TOT_EQY","FQ4 2014","FQ4 2014","Currency=USD","Period=FQ","BEST_FPERIOD_OVERRIDE=FQ","FILING_STATUS=MR","Sort=A","Dates=H","DateFormat=P","Fill=—","Direction=H","UseDPDF=Y")</f>
        <v>#N/A Requesting Data...</v>
      </c>
      <c r="R12" s="20">
        <f>_xll.BDH("BRK/A US Equity","LT_DEBT_TO_TOT_EQY","FQ1 2015","FQ1 2015","Currency=USD","Period=FQ","BEST_FPERIOD_OVERRIDE=FQ","FILING_STATUS=MR","Sort=A","Dates=H","DateFormat=P","Fill=—","Direction=H","UseDPDF=Y")</f>
        <v>23.1189</v>
      </c>
      <c r="S12" s="20">
        <f>_xll.BDH("BRK/A US Equity","LT_DEBT_TO_TOT_EQY","FQ2 2015","FQ2 2015","Currency=USD","Period=FQ","BEST_FPERIOD_OVERRIDE=FQ","FILING_STATUS=MR","Sort=A","Dates=H","DateFormat=P","Fill=—","Direction=H","UseDPDF=Y")</f>
        <v>22.981000000000002</v>
      </c>
      <c r="T12" s="20">
        <f>_xll.BDH("BRK/A US Equity","LT_DEBT_TO_TOT_EQY","FQ3 2015","FQ3 2015","Currency=USD","Period=FQ","BEST_FPERIOD_OVERRIDE=FQ","FILING_STATUS=MR","Sort=A","Dates=H","DateFormat=P","Fill=—","Direction=H","UseDPDF=Y")</f>
        <v>23.027100000000001</v>
      </c>
      <c r="U12" s="20">
        <f>_xll.BDH("BRK/A US Equity","LT_DEBT_TO_TOT_EQY","FQ4 2015","FQ4 2015","Currency=USD","Period=FQ","BEST_FPERIOD_OVERRIDE=FQ","FILING_STATUS=MR","Sort=A","Dates=H","DateFormat=P","Fill=—","Direction=H","UseDPDF=Y")</f>
        <v>22.325199999999999</v>
      </c>
      <c r="V12" s="20">
        <f>_xll.BDH("BRK/A US Equity","LT_DEBT_TO_TOT_EQY","FQ1 2016","FQ1 2016","Currency=USD","Period=FQ","BEST_FPERIOD_OVERRIDE=FQ","FILING_STATUS=MR","Sort=A","Dates=H","DateFormat=P","Fill=—","Direction=H","UseDPDF=Y")</f>
        <v>22.193200000000001</v>
      </c>
      <c r="W12" s="20">
        <f>_xll.BDH("BRK/A US Equity","LT_DEBT_TO_TOT_EQY","FQ2 2016","FQ2 2016","Currency=USD","Period=FQ","BEST_FPERIOD_OVERRIDE=FQ","FILING_STATUS=MR","Sort=A","Dates=H","DateFormat=P","Fill=—","Direction=H","UseDPDF=Y")</f>
        <v>22.006900000000002</v>
      </c>
      <c r="X12" s="20" t="str">
        <f>_xll.BDH("BRK/A US Equity","LT_DEBT_TO_TOT_EQY","FQ3 2016","FQ3 2016","Currency=USD","Period=FQ","BEST_FPERIOD_OVERRIDE=FQ","FILING_STATUS=MR","Sort=A","Dates=H","DateFormat=P","Fill=—","Direction=H","UseDPDF=Y")</f>
        <v>#N/A Requesting Data...</v>
      </c>
      <c r="Y12" s="20">
        <f>_xll.BDH("BRK/A US Equity","LT_DEBT_TO_TOT_EQY","FQ4 2016","FQ4 2016","Currency=USD","Period=FQ","BEST_FPERIOD_OVERRIDE=FQ","FILING_STATUS=MR","Sort=A","Dates=H","DateFormat=P","Fill=—","Direction=H","UseDPDF=Y")</f>
        <v>20.700500000000002</v>
      </c>
      <c r="Z12" s="20">
        <f>_xll.BDH("BRK/A US Equity","LT_DEBT_TO_TOT_EQY","FQ1 2017","FQ1 2017","Currency=USD","Period=FQ","BEST_FPERIOD_OVERRIDE=FQ","FILING_STATUS=MR","Sort=A","Dates=H","DateFormat=P","Fill=—","Direction=H","UseDPDF=Y")</f>
        <v>20.563300000000002</v>
      </c>
      <c r="AA12" s="20" t="str">
        <f>_xll.BDH("BRK/A US Equity","LT_DEBT_TO_TOT_EQY","FQ2 2017","FQ2 2017","Currency=USD","Period=FQ","BEST_FPERIOD_OVERRIDE=FQ","FILING_STATUS=MR","Sort=A","Dates=H","DateFormat=P","Fill=—","Direction=H","UseDPDF=Y")</f>
        <v>#N/A Requesting Data...</v>
      </c>
      <c r="AB12" s="20">
        <f>_xll.BDH("BRK/A US Equity","LT_DEBT_TO_TOT_EQY","FQ3 2017","FQ3 2017","Currency=USD","Period=FQ","BEST_FPERIOD_OVERRIDE=FQ","FILING_STATUS=MR","Sort=A","Dates=H","DateFormat=P","Fill=—","Direction=H","UseDPDF=Y")</f>
        <v>19.607700000000001</v>
      </c>
      <c r="AC12" s="20">
        <f>_xll.BDH("BRK/A US Equity","LT_DEBT_TO_TOT_EQY","FQ4 2017","FQ4 2017","Currency=USD","Period=FQ","BEST_FPERIOD_OVERRIDE=FQ","FILING_STATUS=MR","Sort=A","Dates=H","DateFormat=P","Fill=—","Direction=H","UseDPDF=Y")</f>
        <v>17.666499999999999</v>
      </c>
      <c r="AD12" s="20">
        <f>_xll.BDH("BRK/A US Equity","LT_DEBT_TO_TOT_EQY","FQ1 2018","FQ1 2018","Currency=USD","Period=FQ","BEST_FPERIOD_OVERRIDE=FQ","FILING_STATUS=MR","Sort=A","Dates=H","DateFormat=P","Fill=—","Direction=H","UseDPDF=Y")</f>
        <v>17.851199999999999</v>
      </c>
      <c r="AE12" s="20">
        <f>_xll.BDH("BRK/A US Equity","LT_DEBT_TO_TOT_EQY","FQ2 2018","FQ2 2018","Currency=USD","Period=FQ","BEST_FPERIOD_OVERRIDE=FQ","FILING_STATUS=MR","Sort=A","Dates=H","DateFormat=P","Fill=—","Direction=H","UseDPDF=Y")</f>
        <v>17.322099999999999</v>
      </c>
      <c r="AF12" s="20" t="str">
        <f>_xll.BDH("BRK/A US Equity","LT_DEBT_TO_TOT_EQY","FQ3 2018","FQ3 2018","Currency=USD","Period=FQ","BEST_FPERIOD_OVERRIDE=FQ","FILING_STATUS=MR","Sort=A","Dates=H","DateFormat=P","Fill=—","Direction=H","UseDPDF=Y")</f>
        <v>#N/A Requesting Data...</v>
      </c>
      <c r="AG12" s="20" t="str">
        <f>_xll.BDH("BRK/A US Equity","LT_DEBT_TO_TOT_EQY","FQ4 2018","FQ4 2018","Currency=USD","Period=FQ","BEST_FPERIOD_OVERRIDE=FQ","FILING_STATUS=MR","Sort=A","Dates=H","DateFormat=P","Fill=—","Direction=H","UseDPDF=Y")</f>
        <v>#N/A Requesting Data...</v>
      </c>
      <c r="AH12" s="20">
        <f>_xll.BDH("BRK/A US Equity","LT_DEBT_TO_TOT_EQY","FQ1 2019","FQ1 2019","Currency=USD","Period=FQ","BEST_FPERIOD_OVERRIDE=FQ","FILING_STATUS=MR","Sort=A","Dates=H","DateFormat=P","Fill=—","Direction=H","UseDPDF=Y")</f>
        <v>18.364100000000001</v>
      </c>
      <c r="AI12" s="20">
        <f>_xll.BDH("BRK/A US Equity","LT_DEBT_TO_TOT_EQY","FQ2 2019","FQ2 2019","Currency=USD","Period=FQ","BEST_FPERIOD_OVERRIDE=FQ","FILING_STATUS=MR","Sort=A","Dates=H","DateFormat=P","Fill=—","Direction=H","UseDPDF=Y")</f>
        <v>17.913699999999999</v>
      </c>
      <c r="AJ12" s="20">
        <f>_xll.BDH("BRK/A US Equity","LT_DEBT_TO_TOT_EQY","FQ3 2019","FQ3 2019","Currency=USD","Period=FQ","BEST_FPERIOD_OVERRIDE=FQ","FILING_STATUS=MR","Sort=A","Dates=H","DateFormat=P","Fill=—","Direction=H","UseDPDF=Y")</f>
        <v>17.574999999999999</v>
      </c>
      <c r="AK12" s="20">
        <f>_xll.BDH("BRK/A US Equity","LT_DEBT_TO_TOT_EQY","FQ4 2019","FQ4 2019","Currency=USD","Period=FQ","BEST_FPERIOD_OVERRIDE=FQ","FILING_STATUS=MR","Sort=A","Dates=H","DateFormat=P","Fill=—","Direction=H","UseDPDF=Y")</f>
        <v>16.400400000000001</v>
      </c>
      <c r="AL12" s="20">
        <f>_xll.BDH("BRK/A US Equity","LT_DEBT_TO_TOT_EQY","FQ1 2020","FQ1 2020","Currency=USD","Period=FQ","BEST_FPERIOD_OVERRIDE=FQ","FILING_STATUS=MR","Sort=A","Dates=H","DateFormat=P","Fill=—","Direction=H","UseDPDF=Y")</f>
        <v>17.7881</v>
      </c>
      <c r="AM12" s="20" t="str">
        <f>_xll.BDH("BRK/A US Equity","LT_DEBT_TO_TOT_EQY","FQ2 2020","FQ2 2020","Currency=USD","Period=FQ","BEST_FPERIOD_OVERRIDE=FQ","FILING_STATUS=MR","Sort=A","Dates=H","DateFormat=P","Fill=—","Direction=H","UseDPDF=Y")</f>
        <v>#N/A Requesting Data...</v>
      </c>
      <c r="AN12" s="20">
        <f>_xll.BDH("BRK/A US Equity","LT_DEBT_TO_TOT_EQY","FQ3 2020","FQ3 2020","Currency=USD","Period=FQ","BEST_FPERIOD_OVERRIDE=FQ","FILING_STATUS=MR","Sort=A","Dates=H","DateFormat=P","Fill=—","Direction=H","UseDPDF=Y")</f>
        <v>16.4116</v>
      </c>
      <c r="AO12" s="20" t="str">
        <f>_xll.BDH("BRK/A US Equity","LT_DEBT_TO_TOT_EQY","FQ4 2020","FQ4 2020","Currency=USD","Period=FQ","BEST_FPERIOD_OVERRIDE=FQ","FILING_STATUS=MR","Sort=A","Dates=H","DateFormat=P","Fill=—","Direction=H","UseDPDF=Y")</f>
        <v>#N/A Requesting Data...</v>
      </c>
      <c r="AP12" s="20" t="str">
        <f>_xll.BDH("BRK/A US Equity","LT_DEBT_TO_TOT_EQY","FQ1 2021","FQ1 2021","Currency=USD","Period=FQ","BEST_FPERIOD_OVERRIDE=FQ","FILING_STATUS=MR","Sort=A","Dates=H","DateFormat=P","Fill=—","Direction=H","UseDPDF=Y")</f>
        <v>#N/A Requesting Data...</v>
      </c>
    </row>
    <row r="13" spans="1:42" x14ac:dyDescent="0.25">
      <c r="A13" s="7" t="s">
        <v>176</v>
      </c>
      <c r="B13" s="7" t="s">
        <v>175</v>
      </c>
      <c r="C13" s="20" t="str">
        <f>_xll.BDH("BRK/A US Equity","LT_DEBT_TO_TOT_CAP","FQ2 2011","FQ2 2011","Currency=USD","Period=FQ","BEST_FPERIOD_OVERRIDE=FQ","FILING_STATUS=MR","Sort=A","Dates=H","DateFormat=P","Fill=—","Direction=H","UseDPDF=Y")</f>
        <v>#N/A Requesting Data...</v>
      </c>
      <c r="D13" s="20" t="str">
        <f>_xll.BDH("BRK/A US Equity","LT_DEBT_TO_TOT_CAP","FQ3 2011","FQ3 2011","Currency=USD","Period=FQ","BEST_FPERIOD_OVERRIDE=FQ","FILING_STATUS=MR","Sort=A","Dates=H","DateFormat=P","Fill=—","Direction=H","UseDPDF=Y")</f>
        <v>#N/A Requesting Data...</v>
      </c>
      <c r="E13" s="20">
        <f>_xll.BDH("BRK/A US Equity","LT_DEBT_TO_TOT_CAP","FQ4 2011","FQ4 2011","Currency=USD","Period=FQ","BEST_FPERIOD_OVERRIDE=FQ","FILING_STATUS=MR","Sort=A","Dates=H","DateFormat=P","Fill=—","Direction=H","UseDPDF=Y")</f>
        <v>14.2057</v>
      </c>
      <c r="F13" s="20">
        <f>_xll.BDH("BRK/A US Equity","LT_DEBT_TO_TOT_CAP","FQ1 2012","FQ1 2012","Currency=USD","Period=FQ","BEST_FPERIOD_OVERRIDE=FQ","FILING_STATUS=MR","Sort=A","Dates=H","DateFormat=P","Fill=—","Direction=H","UseDPDF=Y")</f>
        <v>14.259600000000001</v>
      </c>
      <c r="G13" s="20">
        <f>_xll.BDH("BRK/A US Equity","LT_DEBT_TO_TOT_CAP","FQ2 2012","FQ2 2012","Currency=USD","Period=FQ","BEST_FPERIOD_OVERRIDE=FQ","FILING_STATUS=MR","Sort=A","Dates=H","DateFormat=P","Fill=—","Direction=H","UseDPDF=Y")</f>
        <v>14.061500000000001</v>
      </c>
      <c r="H13" s="20">
        <f>_xll.BDH("BRK/A US Equity","LT_DEBT_TO_TOT_CAP","FQ3 2012","FQ3 2012","Currency=USD","Period=FQ","BEST_FPERIOD_OVERRIDE=FQ","FILING_STATUS=MR","Sort=A","Dates=H","DateFormat=P","Fill=—","Direction=H","UseDPDF=Y")</f>
        <v>14.2029</v>
      </c>
      <c r="I13" s="20">
        <f>_xll.BDH("BRK/A US Equity","LT_DEBT_TO_TOT_CAP","FQ4 2012","FQ4 2012","Currency=USD","Period=FQ","BEST_FPERIOD_OVERRIDE=FQ","FILING_STATUS=MR","Sort=A","Dates=H","DateFormat=P","Fill=—","Direction=H","UseDPDF=Y")</f>
        <v>14.2165</v>
      </c>
      <c r="J13" s="20">
        <f>_xll.BDH("BRK/A US Equity","LT_DEBT_TO_TOT_CAP","FQ1 2013","FQ1 2013","Currency=USD","Period=FQ","BEST_FPERIOD_OVERRIDE=FQ","FILING_STATUS=MR","Sort=A","Dates=H","DateFormat=P","Fill=—","Direction=H","UseDPDF=Y")</f>
        <v>13.902100000000001</v>
      </c>
      <c r="K13" s="20" t="str">
        <f>_xll.BDH("BRK/A US Equity","LT_DEBT_TO_TOT_CAP","FQ2 2013","FQ2 2013","Currency=USD","Period=FQ","BEST_FPERIOD_OVERRIDE=FQ","FILING_STATUS=MR","Sort=A","Dates=H","DateFormat=P","Fill=—","Direction=H","UseDPDF=Y")</f>
        <v>#N/A Requesting Data...</v>
      </c>
      <c r="L13" s="20" t="str">
        <f>_xll.BDH("BRK/A US Equity","LT_DEBT_TO_TOT_CAP","FQ3 2013","FQ3 2013","Currency=USD","Period=FQ","BEST_FPERIOD_OVERRIDE=FQ","FILING_STATUS=MR","Sort=A","Dates=H","DateFormat=P","Fill=—","Direction=H","UseDPDF=Y")</f>
        <v>#N/A Requesting Data...</v>
      </c>
      <c r="M13" s="20" t="str">
        <f>_xll.BDH("BRK/A US Equity","LT_DEBT_TO_TOT_CAP","FQ4 2013","FQ4 2013","Currency=USD","Period=FQ","BEST_FPERIOD_OVERRIDE=FQ","FILING_STATUS=MR","Sort=A","Dates=H","DateFormat=P","Fill=—","Direction=H","UseDPDF=Y")</f>
        <v>#N/A Requesting Data...</v>
      </c>
      <c r="N13" s="20">
        <f>_xll.BDH("BRK/A US Equity","LT_DEBT_TO_TOT_CAP","FQ1 2014","FQ1 2014","Currency=USD","Period=FQ","BEST_FPERIOD_OVERRIDE=FQ","FILING_STATUS=MR","Sort=A","Dates=H","DateFormat=P","Fill=—","Direction=H","UseDPDF=Y")</f>
        <v>15.732799999999999</v>
      </c>
      <c r="O13" s="20">
        <f>_xll.BDH("BRK/A US Equity","LT_DEBT_TO_TOT_CAP","FQ2 2014","FQ2 2014","Currency=USD","Period=FQ","BEST_FPERIOD_OVERRIDE=FQ","FILING_STATUS=MR","Sort=A","Dates=H","DateFormat=P","Fill=—","Direction=H","UseDPDF=Y")</f>
        <v>15.7119</v>
      </c>
      <c r="P13" s="20">
        <f>_xll.BDH("BRK/A US Equity","LT_DEBT_TO_TOT_CAP","FQ3 2014","FQ3 2014","Currency=USD","Period=FQ","BEST_FPERIOD_OVERRIDE=FQ","FILING_STATUS=MR","Sort=A","Dates=H","DateFormat=P","Fill=—","Direction=H","UseDPDF=Y")</f>
        <v>15.770199999999999</v>
      </c>
      <c r="Q13" s="20" t="str">
        <f>_xll.BDH("BRK/A US Equity","LT_DEBT_TO_TOT_CAP","FQ4 2014","FQ4 2014","Currency=USD","Period=FQ","BEST_FPERIOD_OVERRIDE=FQ","FILING_STATUS=MR","Sort=A","Dates=H","DateFormat=P","Fill=—","Direction=H","UseDPDF=Y")</f>
        <v>#N/A Requesting Data...</v>
      </c>
      <c r="R13" s="20">
        <f>_xll.BDH("BRK/A US Equity","LT_DEBT_TO_TOT_CAP","FQ1 2015","FQ1 2015","Currency=USD","Period=FQ","BEST_FPERIOD_OVERRIDE=FQ","FILING_STATUS=MR","Sort=A","Dates=H","DateFormat=P","Fill=—","Direction=H","UseDPDF=Y")</f>
        <v>17.224</v>
      </c>
      <c r="S13" s="20">
        <f>_xll.BDH("BRK/A US Equity","LT_DEBT_TO_TOT_CAP","FQ2 2015","FQ2 2015","Currency=USD","Period=FQ","BEST_FPERIOD_OVERRIDE=FQ","FILING_STATUS=MR","Sort=A","Dates=H","DateFormat=P","Fill=—","Direction=H","UseDPDF=Y")</f>
        <v>17.157699999999998</v>
      </c>
      <c r="T13" s="20">
        <f>_xll.BDH("BRK/A US Equity","LT_DEBT_TO_TOT_CAP","FQ3 2015","FQ3 2015","Currency=USD","Period=FQ","BEST_FPERIOD_OVERRIDE=FQ","FILING_STATUS=MR","Sort=A","Dates=H","DateFormat=P","Fill=—","Direction=H","UseDPDF=Y")</f>
        <v>17.2119</v>
      </c>
      <c r="U13" s="20">
        <f>_xll.BDH("BRK/A US Equity","LT_DEBT_TO_TOT_CAP","FQ4 2015","FQ4 2015","Currency=USD","Period=FQ","BEST_FPERIOD_OVERRIDE=FQ","FILING_STATUS=MR","Sort=A","Dates=H","DateFormat=P","Fill=—","Direction=H","UseDPDF=Y")</f>
        <v>16.837700000000002</v>
      </c>
      <c r="V13" s="20">
        <f>_xll.BDH("BRK/A US Equity","LT_DEBT_TO_TOT_CAP","FQ1 2016","FQ1 2016","Currency=USD","Period=FQ","BEST_FPERIOD_OVERRIDE=FQ","FILING_STATUS=MR","Sort=A","Dates=H","DateFormat=P","Fill=—","Direction=H","UseDPDF=Y")</f>
        <v>15.9917</v>
      </c>
      <c r="W13" s="20">
        <f>_xll.BDH("BRK/A US Equity","LT_DEBT_TO_TOT_CAP","FQ2 2016","FQ2 2016","Currency=USD","Period=FQ","BEST_FPERIOD_OVERRIDE=FQ","FILING_STATUS=MR","Sort=A","Dates=H","DateFormat=P","Fill=—","Direction=H","UseDPDF=Y")</f>
        <v>15.9368</v>
      </c>
      <c r="X13" s="20">
        <f>_xll.BDH("BRK/A US Equity","LT_DEBT_TO_TOT_CAP","FQ3 2016","FQ3 2016","Currency=USD","Period=FQ","BEST_FPERIOD_OVERRIDE=FQ","FILING_STATUS=MR","Sort=A","Dates=H","DateFormat=P","Fill=—","Direction=H","UseDPDF=Y")</f>
        <v>15.7075</v>
      </c>
      <c r="Y13" s="20" t="str">
        <f>_xll.BDH("BRK/A US Equity","LT_DEBT_TO_TOT_CAP","FQ4 2016","FQ4 2016","Currency=USD","Period=FQ","BEST_FPERIOD_OVERRIDE=FQ","FILING_STATUS=MR","Sort=A","Dates=H","DateFormat=P","Fill=—","Direction=H","UseDPDF=Y")</f>
        <v>#N/A Requesting Data...</v>
      </c>
      <c r="Z13" s="20">
        <f>_xll.BDH("BRK/A US Equity","LT_DEBT_TO_TOT_CAP","FQ1 2017","FQ1 2017","Currency=USD","Period=FQ","BEST_FPERIOD_OVERRIDE=FQ","FILING_STATUS=MR","Sort=A","Dates=H","DateFormat=P","Fill=—","Direction=H","UseDPDF=Y")</f>
        <v>15.222300000000001</v>
      </c>
      <c r="AA13" s="20" t="str">
        <f>_xll.BDH("BRK/A US Equity","LT_DEBT_TO_TOT_CAP","FQ2 2017","FQ2 2017","Currency=USD","Period=FQ","BEST_FPERIOD_OVERRIDE=FQ","FILING_STATUS=MR","Sort=A","Dates=H","DateFormat=P","Fill=—","Direction=H","UseDPDF=Y")</f>
        <v>#N/A Requesting Data...</v>
      </c>
      <c r="AB13" s="20">
        <f>_xll.BDH("BRK/A US Equity","LT_DEBT_TO_TOT_CAP","FQ3 2017","FQ3 2017","Currency=USD","Period=FQ","BEST_FPERIOD_OVERRIDE=FQ","FILING_STATUS=MR","Sort=A","Dates=H","DateFormat=P","Fill=—","Direction=H","UseDPDF=Y")</f>
        <v>14.7933</v>
      </c>
      <c r="AC13" s="20" t="str">
        <f>_xll.BDH("BRK/A US Equity","LT_DEBT_TO_TOT_CAP","FQ4 2017","FQ4 2017","Currency=USD","Period=FQ","BEST_FPERIOD_OVERRIDE=FQ","FILING_STATUS=MR","Sort=A","Dates=H","DateFormat=P","Fill=—","Direction=H","UseDPDF=Y")</f>
        <v>#N/A Requesting Data...</v>
      </c>
      <c r="AD13" s="20">
        <f>_xll.BDH("BRK/A US Equity","LT_DEBT_TO_TOT_CAP","FQ1 2018","FQ1 2018","Currency=USD","Period=FQ","BEST_FPERIOD_OVERRIDE=FQ","FILING_STATUS=MR","Sort=A","Dates=H","DateFormat=P","Fill=—","Direction=H","UseDPDF=Y")</f>
        <v>13.921799999999999</v>
      </c>
      <c r="AE13" s="20">
        <f>_xll.BDH("BRK/A US Equity","LT_DEBT_TO_TOT_CAP","FQ2 2018","FQ2 2018","Currency=USD","Period=FQ","BEST_FPERIOD_OVERRIDE=FQ","FILING_STATUS=MR","Sort=A","Dates=H","DateFormat=P","Fill=—","Direction=H","UseDPDF=Y")</f>
        <v>13.6663</v>
      </c>
      <c r="AF13" s="20">
        <f>_xll.BDH("BRK/A US Equity","LT_DEBT_TO_TOT_CAP","FQ3 2018","FQ3 2018","Currency=USD","Period=FQ","BEST_FPERIOD_OVERRIDE=FQ","FILING_STATUS=MR","Sort=A","Dates=H","DateFormat=P","Fill=—","Direction=H","UseDPDF=Y")</f>
        <v>13.1219</v>
      </c>
      <c r="AG13" s="20">
        <f>_xll.BDH("BRK/A US Equity","LT_DEBT_TO_TOT_CAP","FQ4 2018","FQ4 2018","Currency=USD","Period=FQ","BEST_FPERIOD_OVERRIDE=FQ","FILING_STATUS=MR","Sort=A","Dates=H","DateFormat=P","Fill=—","Direction=H","UseDPDF=Y")</f>
        <v>13.8925</v>
      </c>
      <c r="AH13" s="20">
        <f>_xll.BDH("BRK/A US Equity","LT_DEBT_TO_TOT_CAP","FQ1 2019","FQ1 2019","Currency=USD","Period=FQ","BEST_FPERIOD_OVERRIDE=FQ","FILING_STATUS=MR","Sort=A","Dates=H","DateFormat=P","Fill=—","Direction=H","UseDPDF=Y")</f>
        <v>14.380800000000001</v>
      </c>
      <c r="AI13" s="20" t="str">
        <f>_xll.BDH("BRK/A US Equity","LT_DEBT_TO_TOT_CAP","FQ2 2019","FQ2 2019","Currency=USD","Period=FQ","BEST_FPERIOD_OVERRIDE=FQ","FILING_STATUS=MR","Sort=A","Dates=H","DateFormat=P","Fill=—","Direction=H","UseDPDF=Y")</f>
        <v>#N/A Requesting Data...</v>
      </c>
      <c r="AJ13" s="20">
        <f>_xll.BDH("BRK/A US Equity","LT_DEBT_TO_TOT_CAP","FQ3 2019","FQ3 2019","Currency=USD","Period=FQ","BEST_FPERIOD_OVERRIDE=FQ","FILING_STATUS=MR","Sort=A","Dates=H","DateFormat=P","Fill=—","Direction=H","UseDPDF=Y")</f>
        <v>13.848800000000001</v>
      </c>
      <c r="AK13" s="20" t="str">
        <f>_xll.BDH("BRK/A US Equity","LT_DEBT_TO_TOT_CAP","FQ4 2019","FQ4 2019","Currency=USD","Period=FQ","BEST_FPERIOD_OVERRIDE=FQ","FILING_STATUS=MR","Sort=A","Dates=H","DateFormat=P","Fill=—","Direction=H","UseDPDF=Y")</f>
        <v>#N/A Requesting Data...</v>
      </c>
      <c r="AL13" s="20" t="str">
        <f>_xll.BDH("BRK/A US Equity","LT_DEBT_TO_TOT_CAP","FQ1 2020","FQ1 2020","Currency=USD","Period=FQ","BEST_FPERIOD_OVERRIDE=FQ","FILING_STATUS=MR","Sort=A","Dates=H","DateFormat=P","Fill=—","Direction=H","UseDPDF=Y")</f>
        <v>#N/A Requesting Data...</v>
      </c>
      <c r="AM13" s="20">
        <f>_xll.BDH("BRK/A US Equity","LT_DEBT_TO_TOT_CAP","FQ2 2020","FQ2 2020","Currency=USD","Period=FQ","BEST_FPERIOD_OVERRIDE=FQ","FILING_STATUS=MR","Sort=A","Dates=H","DateFormat=P","Fill=—","Direction=H","UseDPDF=Y")</f>
        <v>13.582100000000001</v>
      </c>
      <c r="AN13" s="20" t="str">
        <f>_xll.BDH("BRK/A US Equity","LT_DEBT_TO_TOT_CAP","FQ3 2020","FQ3 2020","Currency=USD","Period=FQ","BEST_FPERIOD_OVERRIDE=FQ","FILING_STATUS=MR","Sort=A","Dates=H","DateFormat=P","Fill=—","Direction=H","UseDPDF=Y")</f>
        <v>#N/A Requesting Data...</v>
      </c>
      <c r="AO13" s="20" t="str">
        <f>_xll.BDH("BRK/A US Equity","LT_DEBT_TO_TOT_CAP","FQ4 2020","FQ4 2020","Currency=USD","Period=FQ","BEST_FPERIOD_OVERRIDE=FQ","FILING_STATUS=MR","Sort=A","Dates=H","DateFormat=P","Fill=—","Direction=H","UseDPDF=Y")</f>
        <v>#N/A Requesting Data...</v>
      </c>
      <c r="AP13" s="20">
        <f>_xll.BDH("BRK/A US Equity","LT_DEBT_TO_TOT_CAP","FQ1 2021","FQ1 2021","Currency=USD","Period=FQ","BEST_FPERIOD_OVERRIDE=FQ","FILING_STATUS=MR","Sort=A","Dates=H","DateFormat=P","Fill=—","Direction=H","UseDPDF=Y")</f>
        <v>13.1372</v>
      </c>
    </row>
    <row r="14" spans="1:42" x14ac:dyDescent="0.25">
      <c r="A14" s="7" t="s">
        <v>174</v>
      </c>
      <c r="B14" s="7" t="s">
        <v>173</v>
      </c>
      <c r="C14" s="20">
        <f>_xll.BDH("BRK/A US Equity","LT_DEBT_TO_TOT_ASSET","FQ2 2011","FQ2 2011","Currency=USD","Period=FQ","BEST_FPERIOD_OVERRIDE=FQ","FILING_STATUS=MR","Sort=A","Dates=H","DateFormat=P","Fill=—","Direction=H","UseDPDF=Y")</f>
        <v>8.4337999999999997</v>
      </c>
      <c r="D14" s="20">
        <f>_xll.BDH("BRK/A US Equity","LT_DEBT_TO_TOT_ASSET","FQ3 2011","FQ3 2011","Currency=USD","Period=FQ","BEST_FPERIOD_OVERRIDE=FQ","FILING_STATUS=MR","Sort=A","Dates=H","DateFormat=P","Fill=—","Direction=H","UseDPDF=Y")</f>
        <v>8.4680999999999997</v>
      </c>
      <c r="E14" s="20">
        <f>_xll.BDH("BRK/A US Equity","LT_DEBT_TO_TOT_ASSET","FQ4 2011","FQ4 2011","Currency=USD","Period=FQ","BEST_FPERIOD_OVERRIDE=FQ","FILING_STATUS=MR","Sort=A","Dates=H","DateFormat=P","Fill=—","Direction=H","UseDPDF=Y")</f>
        <v>8.2974999999999994</v>
      </c>
      <c r="F14" s="20">
        <f>_xll.BDH("BRK/A US Equity","LT_DEBT_TO_TOT_ASSET","FQ1 2012","FQ1 2012","Currency=USD","Period=FQ","BEST_FPERIOD_OVERRIDE=FQ","FILING_STATUS=MR","Sort=A","Dates=H","DateFormat=P","Fill=—","Direction=H","UseDPDF=Y")</f>
        <v>8.3924000000000003</v>
      </c>
      <c r="G14" s="20" t="str">
        <f>_xll.BDH("BRK/A US Equity","LT_DEBT_TO_TOT_ASSET","FQ2 2012","FQ2 2012","Currency=USD","Period=FQ","BEST_FPERIOD_OVERRIDE=FQ","FILING_STATUS=MR","Sort=A","Dates=H","DateFormat=P","Fill=—","Direction=H","UseDPDF=Y")</f>
        <v>#N/A Requesting Data...</v>
      </c>
      <c r="H14" s="20" t="str">
        <f>_xll.BDH("BRK/A US Equity","LT_DEBT_TO_TOT_ASSET","FQ3 2012","FQ3 2012","Currency=USD","Period=FQ","BEST_FPERIOD_OVERRIDE=FQ","FILING_STATUS=MR","Sort=A","Dates=H","DateFormat=P","Fill=—","Direction=H","UseDPDF=Y")</f>
        <v>#N/A Requesting Data...</v>
      </c>
      <c r="I14" s="20" t="str">
        <f>_xll.BDH("BRK/A US Equity","LT_DEBT_TO_TOT_ASSET","FQ4 2012","FQ4 2012","Currency=USD","Period=FQ","BEST_FPERIOD_OVERRIDE=FQ","FILING_STATUS=MR","Sort=A","Dates=H","DateFormat=P","Fill=—","Direction=H","UseDPDF=Y")</f>
        <v>#N/A Requesting Data...</v>
      </c>
      <c r="J14" s="20">
        <f>_xll.BDH("BRK/A US Equity","LT_DEBT_TO_TOT_ASSET","FQ1 2013","FQ1 2013","Currency=USD","Period=FQ","BEST_FPERIOD_OVERRIDE=FQ","FILING_STATUS=MR","Sort=A","Dates=H","DateFormat=P","Fill=—","Direction=H","UseDPDF=Y")</f>
        <v>8.3405000000000005</v>
      </c>
      <c r="K14" s="20">
        <f>_xll.BDH("BRK/A US Equity","LT_DEBT_TO_TOT_ASSET","FQ2 2013","FQ2 2013","Currency=USD","Period=FQ","BEST_FPERIOD_OVERRIDE=FQ","FILING_STATUS=MR","Sort=A","Dates=H","DateFormat=P","Fill=—","Direction=H","UseDPDF=Y")</f>
        <v>8.4783000000000008</v>
      </c>
      <c r="L14" s="20">
        <f>_xll.BDH("BRK/A US Equity","LT_DEBT_TO_TOT_ASSET","FQ3 2013","FQ3 2013","Currency=USD","Period=FQ","BEST_FPERIOD_OVERRIDE=FQ","FILING_STATUS=MR","Sort=A","Dates=H","DateFormat=P","Fill=—","Direction=H","UseDPDF=Y")</f>
        <v>8.7355999999999998</v>
      </c>
      <c r="M14" s="20" t="str">
        <f>_xll.BDH("BRK/A US Equity","LT_DEBT_TO_TOT_ASSET","FQ4 2013","FQ4 2013","Currency=USD","Period=FQ","BEST_FPERIOD_OVERRIDE=FQ","FILING_STATUS=MR","Sort=A","Dates=H","DateFormat=P","Fill=—","Direction=H","UseDPDF=Y")</f>
        <v>#N/A Requesting Data...</v>
      </c>
      <c r="N14" s="20">
        <f>_xll.BDH("BRK/A US Equity","LT_DEBT_TO_TOT_ASSET","FQ1 2014","FQ1 2014","Currency=USD","Period=FQ","BEST_FPERIOD_OVERRIDE=FQ","FILING_STATUS=MR","Sort=A","Dates=H","DateFormat=P","Fill=—","Direction=H","UseDPDF=Y")</f>
        <v>9.6478000000000002</v>
      </c>
      <c r="O14" s="20">
        <f>_xll.BDH("BRK/A US Equity","LT_DEBT_TO_TOT_ASSET","FQ2 2014","FQ2 2014","Currency=USD","Period=FQ","BEST_FPERIOD_OVERRIDE=FQ","FILING_STATUS=MR","Sort=A","Dates=H","DateFormat=P","Fill=—","Direction=H","UseDPDF=Y")</f>
        <v>9.6831999999999994</v>
      </c>
      <c r="P14" s="20">
        <f>_xll.BDH("BRK/A US Equity","LT_DEBT_TO_TOT_ASSET","FQ3 2014","FQ3 2014","Currency=USD","Period=FQ","BEST_FPERIOD_OVERRIDE=FQ","FILING_STATUS=MR","Sort=A","Dates=H","DateFormat=P","Fill=—","Direction=H","UseDPDF=Y")</f>
        <v>9.6052</v>
      </c>
      <c r="Q14" s="20">
        <f>_xll.BDH("BRK/A US Equity","LT_DEBT_TO_TOT_ASSET","FQ4 2014","FQ4 2014","Currency=USD","Period=FQ","BEST_FPERIOD_OVERRIDE=FQ","FILING_STATUS=MR","Sort=A","Dates=H","DateFormat=P","Fill=—","Direction=H","UseDPDF=Y")</f>
        <v>10.517099999999999</v>
      </c>
      <c r="R14" s="20">
        <f>_xll.BDH("BRK/A US Equity","LT_DEBT_TO_TOT_ASSET","FQ1 2015","FQ1 2015","Currency=USD","Period=FQ","BEST_FPERIOD_OVERRIDE=FQ","FILING_STATUS=MR","Sort=A","Dates=H","DateFormat=P","Fill=—","Direction=H","UseDPDF=Y")</f>
        <v>10.6584</v>
      </c>
      <c r="S14" s="20" t="str">
        <f>_xll.BDH("BRK/A US Equity","LT_DEBT_TO_TOT_ASSET","FQ2 2015","FQ2 2015","Currency=USD","Period=FQ","BEST_FPERIOD_OVERRIDE=FQ","FILING_STATUS=MR","Sort=A","Dates=H","DateFormat=P","Fill=—","Direction=H","UseDPDF=Y")</f>
        <v>#N/A Requesting Data...</v>
      </c>
      <c r="T14" s="20">
        <f>_xll.BDH("BRK/A US Equity","LT_DEBT_TO_TOT_ASSET","FQ3 2015","FQ3 2015","Currency=USD","Period=FQ","BEST_FPERIOD_OVERRIDE=FQ","FILING_STATUS=MR","Sort=A","Dates=H","DateFormat=P","Fill=—","Direction=H","UseDPDF=Y")</f>
        <v>10.6096</v>
      </c>
      <c r="U14" s="20" t="str">
        <f>_xll.BDH("BRK/A US Equity","LT_DEBT_TO_TOT_ASSET","FQ4 2015","FQ4 2015","Currency=USD","Period=FQ","BEST_FPERIOD_OVERRIDE=FQ","FILING_STATUS=MR","Sort=A","Dates=H","DateFormat=P","Fill=—","Direction=H","UseDPDF=Y")</f>
        <v>#N/A Requesting Data...</v>
      </c>
      <c r="V14" s="20">
        <f>_xll.BDH("BRK/A US Equity","LT_DEBT_TO_TOT_ASSET","FQ1 2016","FQ1 2016","Currency=USD","Period=FQ","BEST_FPERIOD_OVERRIDE=FQ","FILING_STATUS=MR","Sort=A","Dates=H","DateFormat=P","Fill=—","Direction=H","UseDPDF=Y")</f>
        <v>9.9110999999999994</v>
      </c>
      <c r="W14" s="20">
        <f>_xll.BDH("BRK/A US Equity","LT_DEBT_TO_TOT_ASSET","FQ2 2016","FQ2 2016","Currency=USD","Period=FQ","BEST_FPERIOD_OVERRIDE=FQ","FILING_STATUS=MR","Sort=A","Dates=H","DateFormat=P","Fill=—","Direction=H","UseDPDF=Y")</f>
        <v>9.8841999999999999</v>
      </c>
      <c r="X14" s="20">
        <f>_xll.BDH("BRK/A US Equity","LT_DEBT_TO_TOT_ASSET","FQ3 2016","FQ3 2016","Currency=USD","Period=FQ","BEST_FPERIOD_OVERRIDE=FQ","FILING_STATUS=MR","Sort=A","Dates=H","DateFormat=P","Fill=—","Direction=H","UseDPDF=Y")</f>
        <v>9.7363</v>
      </c>
      <c r="Y14" s="20" t="str">
        <f>_xll.BDH("BRK/A US Equity","LT_DEBT_TO_TOT_ASSET","FQ4 2016","FQ4 2016","Currency=USD","Period=FQ","BEST_FPERIOD_OVERRIDE=FQ","FILING_STATUS=MR","Sort=A","Dates=H","DateFormat=P","Fill=—","Direction=H","UseDPDF=Y")</f>
        <v>#N/A Requesting Data...</v>
      </c>
      <c r="Z14" s="20">
        <f>_xll.BDH("BRK/A US Equity","LT_DEBT_TO_TOT_ASSET","FQ1 2017","FQ1 2017","Currency=USD","Period=FQ","BEST_FPERIOD_OVERRIDE=FQ","FILING_STATUS=MR","Sort=A","Dates=H","DateFormat=P","Fill=—","Direction=H","UseDPDF=Y")</f>
        <v>9.3093000000000004</v>
      </c>
      <c r="AA14" s="20">
        <f>_xll.BDH("BRK/A US Equity","LT_DEBT_TO_TOT_ASSET","FQ2 2017","FQ2 2017","Currency=USD","Period=FQ","BEST_FPERIOD_OVERRIDE=FQ","FILING_STATUS=MR","Sort=A","Dates=H","DateFormat=P","Fill=—","Direction=H","UseDPDF=Y")</f>
        <v>9.1198999999999995</v>
      </c>
      <c r="AB14" s="20">
        <f>_xll.BDH("BRK/A US Equity","LT_DEBT_TO_TOT_ASSET","FQ3 2017","FQ3 2017","Currency=USD","Period=FQ","BEST_FPERIOD_OVERRIDE=FQ","FILING_STATUS=MR","Sort=A","Dates=H","DateFormat=P","Fill=—","Direction=H","UseDPDF=Y")</f>
        <v>8.9717000000000002</v>
      </c>
      <c r="AC14" s="20" t="str">
        <f>_xll.BDH("BRK/A US Equity","LT_DEBT_TO_TOT_ASSET","FQ4 2017","FQ4 2017","Currency=USD","Period=FQ","BEST_FPERIOD_OVERRIDE=FQ","FILING_STATUS=MR","Sort=A","Dates=H","DateFormat=P","Fill=—","Direction=H","UseDPDF=Y")</f>
        <v>#N/A Requesting Data...</v>
      </c>
      <c r="AD14" s="20">
        <f>_xll.BDH("BRK/A US Equity","LT_DEBT_TO_TOT_ASSET","FQ1 2018","FQ1 2018","Currency=USD","Period=FQ","BEST_FPERIOD_OVERRIDE=FQ","FILING_STATUS=MR","Sort=A","Dates=H","DateFormat=P","Fill=—","Direction=H","UseDPDF=Y")</f>
        <v>8.9186999999999994</v>
      </c>
      <c r="AE14" s="20">
        <f>_xll.BDH("BRK/A US Equity","LT_DEBT_TO_TOT_ASSET","FQ2 2018","FQ2 2018","Currency=USD","Period=FQ","BEST_FPERIOD_OVERRIDE=FQ","FILING_STATUS=MR","Sort=A","Dates=H","DateFormat=P","Fill=—","Direction=H","UseDPDF=Y")</f>
        <v>8.8019999999999996</v>
      </c>
      <c r="AF14" s="20" t="str">
        <f>_xll.BDH("BRK/A US Equity","LT_DEBT_TO_TOT_ASSET","FQ3 2018","FQ3 2018","Currency=USD","Period=FQ","BEST_FPERIOD_OVERRIDE=FQ","FILING_STATUS=MR","Sort=A","Dates=H","DateFormat=P","Fill=—","Direction=H","UseDPDF=Y")</f>
        <v>#N/A Requesting Data...</v>
      </c>
      <c r="AG14" s="20" t="str">
        <f>_xll.BDH("BRK/A US Equity","LT_DEBT_TO_TOT_ASSET","FQ4 2018","FQ4 2018","Currency=USD","Period=FQ","BEST_FPERIOD_OVERRIDE=FQ","FILING_STATUS=MR","Sort=A","Dates=H","DateFormat=P","Fill=—","Direction=H","UseDPDF=Y")</f>
        <v>#N/A Requesting Data...</v>
      </c>
      <c r="AH14" s="20">
        <f>_xll.BDH("BRK/A US Equity","LT_DEBT_TO_TOT_ASSET","FQ1 2019","FQ1 2019","Currency=USD","Period=FQ","BEST_FPERIOD_OVERRIDE=FQ","FILING_STATUS=MR","Sort=A","Dates=H","DateFormat=P","Fill=—","Direction=H","UseDPDF=Y")</f>
        <v>9.2622999999999998</v>
      </c>
      <c r="AI14" s="20">
        <f>_xll.BDH("BRK/A US Equity","LT_DEBT_TO_TOT_ASSET","FQ2 2019","FQ2 2019","Currency=USD","Period=FQ","BEST_FPERIOD_OVERRIDE=FQ","FILING_STATUS=MR","Sort=A","Dates=H","DateFormat=P","Fill=—","Direction=H","UseDPDF=Y")</f>
        <v>9.1061999999999994</v>
      </c>
      <c r="AJ14" s="20">
        <f>_xll.BDH("BRK/A US Equity","LT_DEBT_TO_TOT_ASSET","FQ3 2019","FQ3 2019","Currency=USD","Period=FQ","BEST_FPERIOD_OVERRIDE=FQ","FILING_STATUS=MR","Sort=A","Dates=H","DateFormat=P","Fill=—","Direction=H","UseDPDF=Y")</f>
        <v>8.9505999999999997</v>
      </c>
      <c r="AK14" s="20">
        <f>_xll.BDH("BRK/A US Equity","LT_DEBT_TO_TOT_ASSET","FQ4 2019","FQ4 2019","Currency=USD","Period=FQ","BEST_FPERIOD_OVERRIDE=FQ","FILING_STATUS=MR","Sort=A","Dates=H","DateFormat=P","Fill=—","Direction=H","UseDPDF=Y")</f>
        <v>8.5952999999999999</v>
      </c>
      <c r="AL14" s="20">
        <f>_xll.BDH("BRK/A US Equity","LT_DEBT_TO_TOT_ASSET","FQ1 2020","FQ1 2020","Currency=USD","Period=FQ","BEST_FPERIOD_OVERRIDE=FQ","FILING_STATUS=MR","Sort=A","Dates=H","DateFormat=P","Fill=—","Direction=H","UseDPDF=Y")</f>
        <v>8.7773000000000003</v>
      </c>
      <c r="AM14" s="20">
        <f>_xll.BDH("BRK/A US Equity","LT_DEBT_TO_TOT_ASSET","FQ2 2020","FQ2 2020","Currency=USD","Period=FQ","BEST_FPERIOD_OVERRIDE=FQ","FILING_STATUS=MR","Sort=A","Dates=H","DateFormat=P","Fill=—","Direction=H","UseDPDF=Y")</f>
        <v>8.6845999999999997</v>
      </c>
      <c r="AN14" s="20">
        <f>_xll.BDH("BRK/A US Equity","LT_DEBT_TO_TOT_ASSET","FQ3 2020","FQ3 2020","Currency=USD","Period=FQ","BEST_FPERIOD_OVERRIDE=FQ","FILING_STATUS=MR","Sort=A","Dates=H","DateFormat=P","Fill=—","Direction=H","UseDPDF=Y")</f>
        <v>8.2896999999999998</v>
      </c>
      <c r="AO14" s="20">
        <f>_xll.BDH("BRK/A US Equity","LT_DEBT_TO_TOT_ASSET","FQ4 2020","FQ4 2020","Currency=USD","Period=FQ","BEST_FPERIOD_OVERRIDE=FQ","FILING_STATUS=MR","Sort=A","Dates=H","DateFormat=P","Fill=—","Direction=H","UseDPDF=Y")</f>
        <v>9.0989000000000004</v>
      </c>
      <c r="AP14" s="20">
        <f>_xll.BDH("BRK/A US Equity","LT_DEBT_TO_TOT_ASSET","FQ1 2021","FQ1 2021","Currency=USD","Period=FQ","BEST_FPERIOD_OVERRIDE=FQ","FILING_STATUS=MR","Sort=A","Dates=H","DateFormat=P","Fill=—","Direction=H","UseDPDF=Y")</f>
        <v>8.4776000000000007</v>
      </c>
    </row>
    <row r="15" spans="1:42" x14ac:dyDescent="0.25">
      <c r="A15" s="7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</row>
    <row r="16" spans="1:42" x14ac:dyDescent="0.25">
      <c r="A16" s="7" t="s">
        <v>172</v>
      </c>
      <c r="B16" s="7" t="s">
        <v>171</v>
      </c>
      <c r="C16" s="20" t="str">
        <f>_xll.BDH("BRK/A US Equity","TOT_DEBT_TO_TOT_EQY","FQ2 2011","FQ2 2011","Currency=USD","Period=FQ","BEST_FPERIOD_OVERRIDE=FQ","FILING_STATUS=MR","Sort=A","Dates=H","DateFormat=P","Fill=—","Direction=H","UseDPDF=Y")</f>
        <v>#N/A Requesting Data...</v>
      </c>
      <c r="D16" s="20" t="str">
        <f>_xll.BDH("BRK/A US Equity","TOT_DEBT_TO_TOT_EQY","FQ3 2011","FQ3 2011","Currency=USD","Period=FQ","BEST_FPERIOD_OVERRIDE=FQ","FILING_STATUS=MR","Sort=A","Dates=H","DateFormat=P","Fill=—","Direction=H","UseDPDF=Y")</f>
        <v>#N/A Requesting Data...</v>
      </c>
      <c r="E16" s="20">
        <f>_xll.BDH("BRK/A US Equity","TOT_DEBT_TO_TOT_EQY","FQ4 2011","FQ4 2011","Currency=USD","Period=FQ","BEST_FPERIOD_OVERRIDE=FQ","FILING_STATUS=MR","Sort=A","Dates=H","DateFormat=P","Fill=—","Direction=H","UseDPDF=Y")</f>
        <v>35.738399999999999</v>
      </c>
      <c r="F16" s="20">
        <f>_xll.BDH("BRK/A US Equity","TOT_DEBT_TO_TOT_EQY","FQ1 2012","FQ1 2012","Currency=USD","Period=FQ","BEST_FPERIOD_OVERRIDE=FQ","FILING_STATUS=MR","Sort=A","Dates=H","DateFormat=P","Fill=—","Direction=H","UseDPDF=Y")</f>
        <v>34.301499999999997</v>
      </c>
      <c r="G16" s="20">
        <f>_xll.BDH("BRK/A US Equity","TOT_DEBT_TO_TOT_EQY","FQ2 2012","FQ2 2012","Currency=USD","Period=FQ","BEST_FPERIOD_OVERRIDE=FQ","FILING_STATUS=MR","Sort=A","Dates=H","DateFormat=P","Fill=—","Direction=H","UseDPDF=Y")</f>
        <v>33.6417</v>
      </c>
      <c r="H16" s="20">
        <f>_xll.BDH("BRK/A US Equity","TOT_DEBT_TO_TOT_EQY","FQ3 2012","FQ3 2012","Currency=USD","Period=FQ","BEST_FPERIOD_OVERRIDE=FQ","FILING_STATUS=MR","Sort=A","Dates=H","DateFormat=P","Fill=—","Direction=H","UseDPDF=Y")</f>
        <v>33.060600000000001</v>
      </c>
      <c r="I16" s="20">
        <f>_xll.BDH("BRK/A US Equity","TOT_DEBT_TO_TOT_EQY","FQ4 2012","FQ4 2012","Currency=USD","Period=FQ","BEST_FPERIOD_OVERRIDE=FQ","FILING_STATUS=MR","Sort=A","Dates=H","DateFormat=P","Fill=—","Direction=H","UseDPDF=Y")</f>
        <v>32.7453</v>
      </c>
      <c r="J16" s="20">
        <f>_xll.BDH("BRK/A US Equity","TOT_DEBT_TO_TOT_EQY","FQ1 2013","FQ1 2013","Currency=USD","Period=FQ","BEST_FPERIOD_OVERRIDE=FQ","FILING_STATUS=MR","Sort=A","Dates=H","DateFormat=P","Fill=—","Direction=H","UseDPDF=Y")</f>
        <v>31.295000000000002</v>
      </c>
      <c r="K16" s="20">
        <f>_xll.BDH("BRK/A US Equity","TOT_DEBT_TO_TOT_EQY","FQ2 2013","FQ2 2013","Currency=USD","Period=FQ","BEST_FPERIOD_OVERRIDE=FQ","FILING_STATUS=MR","Sort=A","Dates=H","DateFormat=P","Fill=—","Direction=H","UseDPDF=Y")</f>
        <v>31.198399999999999</v>
      </c>
      <c r="L16" s="20">
        <f>_xll.BDH("BRK/A US Equity","TOT_DEBT_TO_TOT_EQY","FQ3 2013","FQ3 2013","Currency=USD","Period=FQ","BEST_FPERIOD_OVERRIDE=FQ","FILING_STATUS=MR","Sort=A","Dates=H","DateFormat=P","Fill=—","Direction=H","UseDPDF=Y")</f>
        <v>31.097100000000001</v>
      </c>
      <c r="M16" s="20">
        <f>_xll.BDH("BRK/A US Equity","TOT_DEBT_TO_TOT_EQY","FQ4 2013","FQ4 2013","Currency=USD","Period=FQ","BEST_FPERIOD_OVERRIDE=FQ","FILING_STATUS=MR","Sort=A","Dates=H","DateFormat=P","Fill=—","Direction=H","UseDPDF=Y")</f>
        <v>32.173200000000001</v>
      </c>
      <c r="N16" s="20">
        <f>_xll.BDH("BRK/A US Equity","TOT_DEBT_TO_TOT_EQY","FQ1 2014","FQ1 2014","Currency=USD","Period=FQ","BEST_FPERIOD_OVERRIDE=FQ","FILING_STATUS=MR","Sort=A","Dates=H","DateFormat=P","Fill=—","Direction=H","UseDPDF=Y")</f>
        <v>31.796099999999999</v>
      </c>
      <c r="O16" s="20" t="str">
        <f>_xll.BDH("BRK/A US Equity","TOT_DEBT_TO_TOT_EQY","FQ2 2014","FQ2 2014","Currency=USD","Period=FQ","BEST_FPERIOD_OVERRIDE=FQ","FILING_STATUS=MR","Sort=A","Dates=H","DateFormat=P","Fill=—","Direction=H","UseDPDF=Y")</f>
        <v>#N/A Requesting Data...</v>
      </c>
      <c r="P16" s="20" t="str">
        <f>_xll.BDH("BRK/A US Equity","TOT_DEBT_TO_TOT_EQY","FQ3 2014","FQ3 2014","Currency=USD","Period=FQ","BEST_FPERIOD_OVERRIDE=FQ","FILING_STATUS=MR","Sort=A","Dates=H","DateFormat=P","Fill=—","Direction=H","UseDPDF=Y")</f>
        <v>#N/A Requesting Data...</v>
      </c>
      <c r="Q16" s="20" t="str">
        <f>_xll.BDH("BRK/A US Equity","TOT_DEBT_TO_TOT_EQY","FQ4 2014","FQ4 2014","Currency=USD","Period=FQ","BEST_FPERIOD_OVERRIDE=FQ","FILING_STATUS=MR","Sort=A","Dates=H","DateFormat=P","Fill=—","Direction=H","UseDPDF=Y")</f>
        <v>#N/A Requesting Data...</v>
      </c>
      <c r="R16" s="20">
        <f>_xll.BDH("BRK/A US Equity","TOT_DEBT_TO_TOT_EQY","FQ1 2015","FQ1 2015","Currency=USD","Period=FQ","BEST_FPERIOD_OVERRIDE=FQ","FILING_STATUS=MR","Sort=A","Dates=H","DateFormat=P","Fill=—","Direction=H","UseDPDF=Y")</f>
        <v>34.224499999999999</v>
      </c>
      <c r="S16" s="20">
        <f>_xll.BDH("BRK/A US Equity","TOT_DEBT_TO_TOT_EQY","FQ2 2015","FQ2 2015","Currency=USD","Period=FQ","BEST_FPERIOD_OVERRIDE=FQ","FILING_STATUS=MR","Sort=A","Dates=H","DateFormat=P","Fill=—","Direction=H","UseDPDF=Y")</f>
        <v>33.939500000000002</v>
      </c>
      <c r="T16" s="20">
        <f>_xll.BDH("BRK/A US Equity","TOT_DEBT_TO_TOT_EQY","FQ3 2015","FQ3 2015","Currency=USD","Period=FQ","BEST_FPERIOD_OVERRIDE=FQ","FILING_STATUS=MR","Sort=A","Dates=H","DateFormat=P","Fill=—","Direction=H","UseDPDF=Y")</f>
        <v>33.785899999999998</v>
      </c>
      <c r="U16" s="20">
        <f>_xll.BDH("BRK/A US Equity","TOT_DEBT_TO_TOT_EQY","FQ4 2015","FQ4 2015","Currency=USD","Period=FQ","BEST_FPERIOD_OVERRIDE=FQ","FILING_STATUS=MR","Sort=A","Dates=H","DateFormat=P","Fill=—","Direction=H","UseDPDF=Y")</f>
        <v>32.591000000000001</v>
      </c>
      <c r="V16" s="20">
        <f>_xll.BDH("BRK/A US Equity","TOT_DEBT_TO_TOT_EQY","FQ1 2016","FQ1 2016","Currency=USD","Period=FQ","BEST_FPERIOD_OVERRIDE=FQ","FILING_STATUS=MR","Sort=A","Dates=H","DateFormat=P","Fill=—","Direction=H","UseDPDF=Y")</f>
        <v>38.779499999999999</v>
      </c>
      <c r="W16" s="20">
        <f>_xll.BDH("BRK/A US Equity","TOT_DEBT_TO_TOT_EQY","FQ2 2016","FQ2 2016","Currency=USD","Period=FQ","BEST_FPERIOD_OVERRIDE=FQ","FILING_STATUS=MR","Sort=A","Dates=H","DateFormat=P","Fill=—","Direction=H","UseDPDF=Y")</f>
        <v>38.088200000000001</v>
      </c>
      <c r="X16" s="20">
        <f>_xll.BDH("BRK/A US Equity","TOT_DEBT_TO_TOT_EQY","FQ3 2016","FQ3 2016","Currency=USD","Period=FQ","BEST_FPERIOD_OVERRIDE=FQ","FILING_STATUS=MR","Sort=A","Dates=H","DateFormat=P","Fill=—","Direction=H","UseDPDF=Y")</f>
        <v>37.341299999999997</v>
      </c>
      <c r="Y16" s="20">
        <f>_xll.BDH("BRK/A US Equity","TOT_DEBT_TO_TOT_EQY","FQ4 2016","FQ4 2016","Currency=USD","Period=FQ","BEST_FPERIOD_OVERRIDE=FQ","FILING_STATUS=MR","Sort=A","Dates=H","DateFormat=P","Fill=—","Direction=H","UseDPDF=Y")</f>
        <v>35.6111</v>
      </c>
      <c r="Z16" s="20">
        <f>_xll.BDH("BRK/A US Equity","TOT_DEBT_TO_TOT_EQY","FQ1 2017","FQ1 2017","Currency=USD","Period=FQ","BEST_FPERIOD_OVERRIDE=FQ","FILING_STATUS=MR","Sort=A","Dates=H","DateFormat=P","Fill=—","Direction=H","UseDPDF=Y")</f>
        <v>35.0871</v>
      </c>
      <c r="AA16" s="20" t="str">
        <f>_xll.BDH("BRK/A US Equity","TOT_DEBT_TO_TOT_EQY","FQ2 2017","FQ2 2017","Currency=USD","Period=FQ","BEST_FPERIOD_OVERRIDE=FQ","FILING_STATUS=MR","Sort=A","Dates=H","DateFormat=P","Fill=—","Direction=H","UseDPDF=Y")</f>
        <v>#N/A Requesting Data...</v>
      </c>
      <c r="AB16" s="20" t="str">
        <f>_xll.BDH("BRK/A US Equity","TOT_DEBT_TO_TOT_EQY","FQ3 2017","FQ3 2017","Currency=USD","Period=FQ","BEST_FPERIOD_OVERRIDE=FQ","FILING_STATUS=MR","Sort=A","Dates=H","DateFormat=P","Fill=—","Direction=H","UseDPDF=Y")</f>
        <v>#N/A Requesting Data...</v>
      </c>
      <c r="AC16" s="20" t="str">
        <f>_xll.BDH("BRK/A US Equity","TOT_DEBT_TO_TOT_EQY","FQ4 2017","FQ4 2017","Currency=USD","Period=FQ","BEST_FPERIOD_OVERRIDE=FQ","FILING_STATUS=MR","Sort=A","Dates=H","DateFormat=P","Fill=—","Direction=H","UseDPDF=Y")</f>
        <v>#N/A Requesting Data...</v>
      </c>
      <c r="AD16" s="20">
        <f>_xll.BDH("BRK/A US Equity","TOT_DEBT_TO_TOT_EQY","FQ1 2018","FQ1 2018","Currency=USD","Period=FQ","BEST_FPERIOD_OVERRIDE=FQ","FILING_STATUS=MR","Sort=A","Dates=H","DateFormat=P","Fill=—","Direction=H","UseDPDF=Y")</f>
        <v>28.225200000000001</v>
      </c>
      <c r="AE16" s="20" t="str">
        <f>_xll.BDH("BRK/A US Equity","TOT_DEBT_TO_TOT_EQY","FQ2 2018","FQ2 2018","Currency=USD","Period=FQ","BEST_FPERIOD_OVERRIDE=FQ","FILING_STATUS=MR","Sort=A","Dates=H","DateFormat=P","Fill=—","Direction=H","UseDPDF=Y")</f>
        <v>#N/A Requesting Data...</v>
      </c>
      <c r="AF16" s="20" t="str">
        <f>_xll.BDH("BRK/A US Equity","TOT_DEBT_TO_TOT_EQY","FQ3 2018","FQ3 2018","Currency=USD","Period=FQ","BEST_FPERIOD_OVERRIDE=FQ","FILING_STATUS=MR","Sort=A","Dates=H","DateFormat=P","Fill=—","Direction=H","UseDPDF=Y")</f>
        <v>#N/A Requesting Data...</v>
      </c>
      <c r="AG16" s="20" t="str">
        <f>_xll.BDH("BRK/A US Equity","TOT_DEBT_TO_TOT_EQY","FQ4 2018","FQ4 2018","Currency=USD","Period=FQ","BEST_FPERIOD_OVERRIDE=FQ","FILING_STATUS=MR","Sort=A","Dates=H","DateFormat=P","Fill=—","Direction=H","UseDPDF=Y")</f>
        <v>#N/A Requesting Data...</v>
      </c>
      <c r="AH16" s="20">
        <f>_xll.BDH("BRK/A US Equity","TOT_DEBT_TO_TOT_EQY","FQ1 2019","FQ1 2019","Currency=USD","Period=FQ","BEST_FPERIOD_OVERRIDE=FQ","FILING_STATUS=MR","Sort=A","Dates=H","DateFormat=P","Fill=—","Direction=H","UseDPDF=Y")</f>
        <v>27.698699999999999</v>
      </c>
      <c r="AI16" s="20">
        <f>_xll.BDH("BRK/A US Equity","TOT_DEBT_TO_TOT_EQY","FQ2 2019","FQ2 2019","Currency=USD","Period=FQ","BEST_FPERIOD_OVERRIDE=FQ","FILING_STATUS=MR","Sort=A","Dates=H","DateFormat=P","Fill=—","Direction=H","UseDPDF=Y")</f>
        <v>27.392199999999999</v>
      </c>
      <c r="AJ16" s="20">
        <f>_xll.BDH("BRK/A US Equity","TOT_DEBT_TO_TOT_EQY","FQ3 2019","FQ3 2019","Currency=USD","Period=FQ","BEST_FPERIOD_OVERRIDE=FQ","FILING_STATUS=MR","Sort=A","Dates=H","DateFormat=P","Fill=—","Direction=H","UseDPDF=Y")</f>
        <v>26.906700000000001</v>
      </c>
      <c r="AK16" s="20">
        <f>_xll.BDH("BRK/A US Equity","TOT_DEBT_TO_TOT_EQY","FQ4 2019","FQ4 2019","Currency=USD","Period=FQ","BEST_FPERIOD_OVERRIDE=FQ","FILING_STATUS=MR","Sort=A","Dates=H","DateFormat=P","Fill=—","Direction=H","UseDPDF=Y")</f>
        <v>25.4922</v>
      </c>
      <c r="AL16" s="20">
        <f>_xll.BDH("BRK/A US Equity","TOT_DEBT_TO_TOT_EQY","FQ1 2020","FQ1 2020","Currency=USD","Period=FQ","BEST_FPERIOD_OVERRIDE=FQ","FILING_STATUS=MR","Sort=A","Dates=H","DateFormat=P","Fill=—","Direction=H","UseDPDF=Y")</f>
        <v>27.778099999999998</v>
      </c>
      <c r="AM16" s="20">
        <f>_xll.BDH("BRK/A US Equity","TOT_DEBT_TO_TOT_EQY","FQ2 2020","FQ2 2020","Currency=USD","Period=FQ","BEST_FPERIOD_OVERRIDE=FQ","FILING_STATUS=MR","Sort=A","Dates=H","DateFormat=P","Fill=—","Direction=H","UseDPDF=Y")</f>
        <v>26.8567</v>
      </c>
      <c r="AN16" s="20" t="str">
        <f>_xll.BDH("BRK/A US Equity","TOT_DEBT_TO_TOT_EQY","FQ3 2020","FQ3 2020","Currency=USD","Period=FQ","BEST_FPERIOD_OVERRIDE=FQ","FILING_STATUS=MR","Sort=A","Dates=H","DateFormat=P","Fill=—","Direction=H","UseDPDF=Y")</f>
        <v>#N/A Requesting Data...</v>
      </c>
      <c r="AO16" s="20" t="str">
        <f>_xll.BDH("BRK/A US Equity","TOT_DEBT_TO_TOT_EQY","FQ4 2020","FQ4 2020","Currency=USD","Period=FQ","BEST_FPERIOD_OVERRIDE=FQ","FILING_STATUS=MR","Sort=A","Dates=H","DateFormat=P","Fill=—","Direction=H","UseDPDF=Y")</f>
        <v>#N/A Requesting Data...</v>
      </c>
      <c r="AP16" s="20">
        <f>_xll.BDH("BRK/A US Equity","TOT_DEBT_TO_TOT_EQY","FQ1 2021","FQ1 2021","Currency=USD","Period=FQ","BEST_FPERIOD_OVERRIDE=FQ","FILING_STATUS=MR","Sort=A","Dates=H","DateFormat=P","Fill=—","Direction=H","UseDPDF=Y")</f>
        <v>25.1068</v>
      </c>
    </row>
    <row r="17" spans="1:42" x14ac:dyDescent="0.25">
      <c r="A17" s="7" t="s">
        <v>170</v>
      </c>
      <c r="B17" s="7" t="s">
        <v>169</v>
      </c>
      <c r="C17" s="20">
        <f>_xll.BDH("BRK/A US Equity","TOT_DEBT_TO_TOT_CAP","FQ2 2011","FQ2 2011","Currency=USD","Period=FQ","BEST_FPERIOD_OVERRIDE=FQ","FILING_STATUS=MR","Sort=A","Dates=H","DateFormat=P","Fill=—","Direction=H","UseDPDF=Y")</f>
        <v>25.3766</v>
      </c>
      <c r="D17" s="20">
        <f>_xll.BDH("BRK/A US Equity","TOT_DEBT_TO_TOT_CAP","FQ3 2011","FQ3 2011","Currency=USD","Period=FQ","BEST_FPERIOD_OVERRIDE=FQ","FILING_STATUS=MR","Sort=A","Dates=H","DateFormat=P","Fill=—","Direction=H","UseDPDF=Y")</f>
        <v>26.957899999999999</v>
      </c>
      <c r="E17" s="20">
        <f>_xll.BDH("BRK/A US Equity","TOT_DEBT_TO_TOT_CAP","FQ4 2011","FQ4 2011","Currency=USD","Period=FQ","BEST_FPERIOD_OVERRIDE=FQ","FILING_STATUS=MR","Sort=A","Dates=H","DateFormat=P","Fill=—","Direction=H","UseDPDF=Y")</f>
        <v>26.328900000000001</v>
      </c>
      <c r="F17" s="20">
        <f>_xll.BDH("BRK/A US Equity","TOT_DEBT_TO_TOT_CAP","FQ1 2012","FQ1 2012","Currency=USD","Period=FQ","BEST_FPERIOD_OVERRIDE=FQ","FILING_STATUS=MR","Sort=A","Dates=H","DateFormat=P","Fill=—","Direction=H","UseDPDF=Y")</f>
        <v>25.540700000000001</v>
      </c>
      <c r="G17" s="20">
        <f>_xll.BDH("BRK/A US Equity","TOT_DEBT_TO_TOT_CAP","FQ2 2012","FQ2 2012","Currency=USD","Period=FQ","BEST_FPERIOD_OVERRIDE=FQ","FILING_STATUS=MR","Sort=A","Dates=H","DateFormat=P","Fill=—","Direction=H","UseDPDF=Y")</f>
        <v>25.173100000000002</v>
      </c>
      <c r="H17" s="20">
        <f>_xll.BDH("BRK/A US Equity","TOT_DEBT_TO_TOT_CAP","FQ3 2012","FQ3 2012","Currency=USD","Period=FQ","BEST_FPERIOD_OVERRIDE=FQ","FILING_STATUS=MR","Sort=A","Dates=H","DateFormat=P","Fill=—","Direction=H","UseDPDF=Y")</f>
        <v>24.846299999999999</v>
      </c>
      <c r="I17" s="20">
        <f>_xll.BDH("BRK/A US Equity","TOT_DEBT_TO_TOT_CAP","FQ4 2012","FQ4 2012","Currency=USD","Period=FQ","BEST_FPERIOD_OVERRIDE=FQ","FILING_STATUS=MR","Sort=A","Dates=H","DateFormat=P","Fill=—","Direction=H","UseDPDF=Y")</f>
        <v>24.6677</v>
      </c>
      <c r="J17" s="20">
        <f>_xll.BDH("BRK/A US Equity","TOT_DEBT_TO_TOT_CAP","FQ1 2013","FQ1 2013","Currency=USD","Period=FQ","BEST_FPERIOD_OVERRIDE=FQ","FILING_STATUS=MR","Sort=A","Dates=H","DateFormat=P","Fill=—","Direction=H","UseDPDF=Y")</f>
        <v>23.835599999999999</v>
      </c>
      <c r="K17" s="20" t="str">
        <f>_xll.BDH("BRK/A US Equity","TOT_DEBT_TO_TOT_CAP","FQ2 2013","FQ2 2013","Currency=USD","Period=FQ","BEST_FPERIOD_OVERRIDE=FQ","FILING_STATUS=MR","Sort=A","Dates=H","DateFormat=P","Fill=—","Direction=H","UseDPDF=Y")</f>
        <v>#N/A Requesting Data...</v>
      </c>
      <c r="L17" s="20">
        <f>_xll.BDH("BRK/A US Equity","TOT_DEBT_TO_TOT_CAP","FQ3 2013","FQ3 2013","Currency=USD","Period=FQ","BEST_FPERIOD_OVERRIDE=FQ","FILING_STATUS=MR","Sort=A","Dates=H","DateFormat=P","Fill=—","Direction=H","UseDPDF=Y")</f>
        <v>23.720700000000001</v>
      </c>
      <c r="M17" s="20" t="str">
        <f>_xll.BDH("BRK/A US Equity","TOT_DEBT_TO_TOT_CAP","FQ4 2013","FQ4 2013","Currency=USD","Period=FQ","BEST_FPERIOD_OVERRIDE=FQ","FILING_STATUS=MR","Sort=A","Dates=H","DateFormat=P","Fill=—","Direction=H","UseDPDF=Y")</f>
        <v>#N/A Requesting Data...</v>
      </c>
      <c r="N17" s="20">
        <f>_xll.BDH("BRK/A US Equity","TOT_DEBT_TO_TOT_CAP","FQ1 2014","FQ1 2014","Currency=USD","Period=FQ","BEST_FPERIOD_OVERRIDE=FQ","FILING_STATUS=MR","Sort=A","Dates=H","DateFormat=P","Fill=—","Direction=H","UseDPDF=Y")</f>
        <v>24.1252</v>
      </c>
      <c r="O17" s="20">
        <f>_xll.BDH("BRK/A US Equity","TOT_DEBT_TO_TOT_CAP","FQ2 2014","FQ2 2014","Currency=USD","Period=FQ","BEST_FPERIOD_OVERRIDE=FQ","FILING_STATUS=MR","Sort=A","Dates=H","DateFormat=P","Fill=—","Direction=H","UseDPDF=Y")</f>
        <v>23.8339</v>
      </c>
      <c r="P17" s="20" t="str">
        <f>_xll.BDH("BRK/A US Equity","TOT_DEBT_TO_TOT_CAP","FQ3 2014","FQ3 2014","Currency=USD","Period=FQ","BEST_FPERIOD_OVERRIDE=FQ","FILING_STATUS=MR","Sort=A","Dates=H","DateFormat=P","Fill=—","Direction=H","UseDPDF=Y")</f>
        <v>#N/A Requesting Data...</v>
      </c>
      <c r="Q17" s="20">
        <f>_xll.BDH("BRK/A US Equity","TOT_DEBT_TO_TOT_CAP","FQ4 2014","FQ4 2014","Currency=USD","Period=FQ","BEST_FPERIOD_OVERRIDE=FQ","FILING_STATUS=MR","Sort=A","Dates=H","DateFormat=P","Fill=—","Direction=H","UseDPDF=Y")</f>
        <v>24.740099999999998</v>
      </c>
      <c r="R17" s="20">
        <f>_xll.BDH("BRK/A US Equity","TOT_DEBT_TO_TOT_CAP","FQ1 2015","FQ1 2015","Currency=USD","Period=FQ","BEST_FPERIOD_OVERRIDE=FQ","FILING_STATUS=MR","Sort=A","Dates=H","DateFormat=P","Fill=—","Direction=H","UseDPDF=Y")</f>
        <v>25.498000000000001</v>
      </c>
      <c r="S17" s="20">
        <f>_xll.BDH("BRK/A US Equity","TOT_DEBT_TO_TOT_CAP","FQ2 2015","FQ2 2015","Currency=USD","Period=FQ","BEST_FPERIOD_OVERRIDE=FQ","FILING_STATUS=MR","Sort=A","Dates=H","DateFormat=P","Fill=—","Direction=H","UseDPDF=Y")</f>
        <v>25.339400000000001</v>
      </c>
      <c r="T17" s="20">
        <f>_xll.BDH("BRK/A US Equity","TOT_DEBT_TO_TOT_CAP","FQ3 2015","FQ3 2015","Currency=USD","Period=FQ","BEST_FPERIOD_OVERRIDE=FQ","FILING_STATUS=MR","Sort=A","Dates=H","DateFormat=P","Fill=—","Direction=H","UseDPDF=Y")</f>
        <v>25.253699999999998</v>
      </c>
      <c r="U17" s="20">
        <f>_xll.BDH("BRK/A US Equity","TOT_DEBT_TO_TOT_CAP","FQ4 2015","FQ4 2015","Currency=USD","Period=FQ","BEST_FPERIOD_OVERRIDE=FQ","FILING_STATUS=MR","Sort=A","Dates=H","DateFormat=P","Fill=—","Direction=H","UseDPDF=Y")</f>
        <v>24.580100000000002</v>
      </c>
      <c r="V17" s="20">
        <f>_xll.BDH("BRK/A US Equity","TOT_DEBT_TO_TOT_CAP","FQ1 2016","FQ1 2016","Currency=USD","Period=FQ","BEST_FPERIOD_OVERRIDE=FQ","FILING_STATUS=MR","Sort=A","Dates=H","DateFormat=P","Fill=—","Direction=H","UseDPDF=Y")</f>
        <v>27.943200000000001</v>
      </c>
      <c r="W17" s="20" t="str">
        <f>_xll.BDH("BRK/A US Equity","TOT_DEBT_TO_TOT_CAP","FQ2 2016","FQ2 2016","Currency=USD","Period=FQ","BEST_FPERIOD_OVERRIDE=FQ","FILING_STATUS=MR","Sort=A","Dates=H","DateFormat=P","Fill=—","Direction=H","UseDPDF=Y")</f>
        <v>#N/A Requesting Data...</v>
      </c>
      <c r="X17" s="20" t="str">
        <f>_xll.BDH("BRK/A US Equity","TOT_DEBT_TO_TOT_CAP","FQ3 2016","FQ3 2016","Currency=USD","Period=FQ","BEST_FPERIOD_OVERRIDE=FQ","FILING_STATUS=MR","Sort=A","Dates=H","DateFormat=P","Fill=—","Direction=H","UseDPDF=Y")</f>
        <v>#N/A Requesting Data...</v>
      </c>
      <c r="Y17" s="20" t="str">
        <f>_xll.BDH("BRK/A US Equity","TOT_DEBT_TO_TOT_CAP","FQ4 2016","FQ4 2016","Currency=USD","Period=FQ","BEST_FPERIOD_OVERRIDE=FQ","FILING_STATUS=MR","Sort=A","Dates=H","DateFormat=P","Fill=—","Direction=H","UseDPDF=Y")</f>
        <v>#N/A Requesting Data...</v>
      </c>
      <c r="Z17" s="20">
        <f>_xll.BDH("BRK/A US Equity","TOT_DEBT_TO_TOT_CAP","FQ1 2017","FQ1 2017","Currency=USD","Period=FQ","BEST_FPERIOD_OVERRIDE=FQ","FILING_STATUS=MR","Sort=A","Dates=H","DateFormat=P","Fill=—","Direction=H","UseDPDF=Y")</f>
        <v>25.973700000000001</v>
      </c>
      <c r="AA17" s="20" t="str">
        <f>_xll.BDH("BRK/A US Equity","TOT_DEBT_TO_TOT_CAP","FQ2 2017","FQ2 2017","Currency=USD","Period=FQ","BEST_FPERIOD_OVERRIDE=FQ","FILING_STATUS=MR","Sort=A","Dates=H","DateFormat=P","Fill=—","Direction=H","UseDPDF=Y")</f>
        <v>#N/A Requesting Data...</v>
      </c>
      <c r="AB17" s="20">
        <f>_xll.BDH("BRK/A US Equity","TOT_DEBT_TO_TOT_CAP","FQ3 2017","FQ3 2017","Currency=USD","Period=FQ","BEST_FPERIOD_OVERRIDE=FQ","FILING_STATUS=MR","Sort=A","Dates=H","DateFormat=P","Fill=—","Direction=H","UseDPDF=Y")</f>
        <v>24.5535</v>
      </c>
      <c r="AC17" s="20">
        <f>_xll.BDH("BRK/A US Equity","TOT_DEBT_TO_TOT_CAP","FQ4 2017","FQ4 2017","Currency=USD","Period=FQ","BEST_FPERIOD_OVERRIDE=FQ","FILING_STATUS=MR","Sort=A","Dates=H","DateFormat=P","Fill=—","Direction=H","UseDPDF=Y")</f>
        <v>22.569400000000002</v>
      </c>
      <c r="AD17" s="20">
        <f>_xll.BDH("BRK/A US Equity","TOT_DEBT_TO_TOT_CAP","FQ1 2018","FQ1 2018","Currency=USD","Period=FQ","BEST_FPERIOD_OVERRIDE=FQ","FILING_STATUS=MR","Sort=A","Dates=H","DateFormat=P","Fill=—","Direction=H","UseDPDF=Y")</f>
        <v>22.0122</v>
      </c>
      <c r="AE17" s="20">
        <f>_xll.BDH("BRK/A US Equity","TOT_DEBT_TO_TOT_CAP","FQ2 2018","FQ2 2018","Currency=USD","Period=FQ","BEST_FPERIOD_OVERRIDE=FQ","FILING_STATUS=MR","Sort=A","Dates=H","DateFormat=P","Fill=—","Direction=H","UseDPDF=Y")</f>
        <v>21.105</v>
      </c>
      <c r="AF17" s="20">
        <f>_xll.BDH("BRK/A US Equity","TOT_DEBT_TO_TOT_CAP","FQ3 2018","FQ3 2018","Currency=USD","Period=FQ","BEST_FPERIOD_OVERRIDE=FQ","FILING_STATUS=MR","Sort=A","Dates=H","DateFormat=P","Fill=—","Direction=H","UseDPDF=Y")</f>
        <v>20.467099999999999</v>
      </c>
      <c r="AG17" s="20">
        <f>_xll.BDH("BRK/A US Equity","TOT_DEBT_TO_TOT_CAP","FQ4 2018","FQ4 2018","Currency=USD","Period=FQ","BEST_FPERIOD_OVERRIDE=FQ","FILING_STATUS=MR","Sort=A","Dates=H","DateFormat=P","Fill=—","Direction=H","UseDPDF=Y")</f>
        <v>21.664899999999999</v>
      </c>
      <c r="AH17" s="20">
        <f>_xll.BDH("BRK/A US Equity","TOT_DEBT_TO_TOT_CAP","FQ1 2019","FQ1 2019","Currency=USD","Period=FQ","BEST_FPERIOD_OVERRIDE=FQ","FILING_STATUS=MR","Sort=A","Dates=H","DateFormat=P","Fill=—","Direction=H","UseDPDF=Y")</f>
        <v>21.6907</v>
      </c>
      <c r="AI17" s="20" t="str">
        <f>_xll.BDH("BRK/A US Equity","TOT_DEBT_TO_TOT_CAP","FQ2 2019","FQ2 2019","Currency=USD","Period=FQ","BEST_FPERIOD_OVERRIDE=FQ","FILING_STATUS=MR","Sort=A","Dates=H","DateFormat=P","Fill=—","Direction=H","UseDPDF=Y")</f>
        <v>#N/A Requesting Data...</v>
      </c>
      <c r="AJ17" s="20" t="str">
        <f>_xll.BDH("BRK/A US Equity","TOT_DEBT_TO_TOT_CAP","FQ3 2019","FQ3 2019","Currency=USD","Period=FQ","BEST_FPERIOD_OVERRIDE=FQ","FILING_STATUS=MR","Sort=A","Dates=H","DateFormat=P","Fill=—","Direction=H","UseDPDF=Y")</f>
        <v>#N/A Requesting Data...</v>
      </c>
      <c r="AK17" s="20" t="str">
        <f>_xll.BDH("BRK/A US Equity","TOT_DEBT_TO_TOT_CAP","FQ4 2019","FQ4 2019","Currency=USD","Period=FQ","BEST_FPERIOD_OVERRIDE=FQ","FILING_STATUS=MR","Sort=A","Dates=H","DateFormat=P","Fill=—","Direction=H","UseDPDF=Y")</f>
        <v>#N/A Requesting Data...</v>
      </c>
      <c r="AL17" s="20" t="str">
        <f>_xll.BDH("BRK/A US Equity","TOT_DEBT_TO_TOT_CAP","FQ1 2020","FQ1 2020","Currency=USD","Period=FQ","BEST_FPERIOD_OVERRIDE=FQ","FILING_STATUS=MR","Sort=A","Dates=H","DateFormat=P","Fill=—","Direction=H","UseDPDF=Y")</f>
        <v>#N/A Requesting Data...</v>
      </c>
      <c r="AM17" s="20" t="str">
        <f>_xll.BDH("BRK/A US Equity","TOT_DEBT_TO_TOT_CAP","FQ2 2020","FQ2 2020","Currency=USD","Period=FQ","BEST_FPERIOD_OVERRIDE=FQ","FILING_STATUS=MR","Sort=A","Dates=H","DateFormat=P","Fill=—","Direction=H","UseDPDF=Y")</f>
        <v>#N/A Requesting Data...</v>
      </c>
      <c r="AN17" s="20">
        <f>_xll.BDH("BRK/A US Equity","TOT_DEBT_TO_TOT_CAP","FQ3 2020","FQ3 2020","Currency=USD","Period=FQ","BEST_FPERIOD_OVERRIDE=FQ","FILING_STATUS=MR","Sort=A","Dates=H","DateFormat=P","Fill=—","Direction=H","UseDPDF=Y")</f>
        <v>20.438400000000001</v>
      </c>
      <c r="AO17" s="20">
        <f>_xll.BDH("BRK/A US Equity","TOT_DEBT_TO_TOT_CAP","FQ4 2020","FQ4 2020","Currency=USD","Period=FQ","BEST_FPERIOD_OVERRIDE=FQ","FILING_STATUS=MR","Sort=A","Dates=H","DateFormat=P","Fill=—","Direction=H","UseDPDF=Y")</f>
        <v>21.328900000000001</v>
      </c>
      <c r="AP17" s="20">
        <f>_xll.BDH("BRK/A US Equity","TOT_DEBT_TO_TOT_CAP","FQ1 2021","FQ1 2021","Currency=USD","Period=FQ","BEST_FPERIOD_OVERRIDE=FQ","FILING_STATUS=MR","Sort=A","Dates=H","DateFormat=P","Fill=—","Direction=H","UseDPDF=Y")</f>
        <v>20.068300000000001</v>
      </c>
    </row>
    <row r="18" spans="1:42" x14ac:dyDescent="0.25">
      <c r="A18" s="7" t="s">
        <v>168</v>
      </c>
      <c r="B18" s="7" t="s">
        <v>167</v>
      </c>
      <c r="C18" s="20">
        <f>_xll.BDH("BRK/A US Equity","TOT_DEBT_TO_TOT_ASSET","FQ2 2011","FQ2 2011","Currency=USD","Period=FQ","BEST_FPERIOD_OVERRIDE=FQ","FILING_STATUS=MR","Sort=A","Dates=H","DateFormat=P","Fill=—","Direction=H","UseDPDF=Y")</f>
        <v>14.820399999999999</v>
      </c>
      <c r="D18" s="20">
        <f>_xll.BDH("BRK/A US Equity","TOT_DEBT_TO_TOT_ASSET","FQ3 2011","FQ3 2011","Currency=USD","Period=FQ","BEST_FPERIOD_OVERRIDE=FQ","FILING_STATUS=MR","Sort=A","Dates=H","DateFormat=P","Fill=—","Direction=H","UseDPDF=Y")</f>
        <v>15.69</v>
      </c>
      <c r="E18" s="20">
        <f>_xll.BDH("BRK/A US Equity","TOT_DEBT_TO_TOT_ASSET","FQ4 2011","FQ4 2011","Currency=USD","Period=FQ","BEST_FPERIOD_OVERRIDE=FQ","FILING_STATUS=MR","Sort=A","Dates=H","DateFormat=P","Fill=—","Direction=H","UseDPDF=Y")</f>
        <v>15.3787</v>
      </c>
      <c r="F18" s="20">
        <f>_xll.BDH("BRK/A US Equity","TOT_DEBT_TO_TOT_ASSET","FQ1 2012","FQ1 2012","Currency=USD","Period=FQ","BEST_FPERIOD_OVERRIDE=FQ","FILING_STATUS=MR","Sort=A","Dates=H","DateFormat=P","Fill=—","Direction=H","UseDPDF=Y")</f>
        <v>15.0318</v>
      </c>
      <c r="G18" s="20" t="str">
        <f>_xll.BDH("BRK/A US Equity","TOT_DEBT_TO_TOT_ASSET","FQ2 2012","FQ2 2012","Currency=USD","Period=FQ","BEST_FPERIOD_OVERRIDE=FQ","FILING_STATUS=MR","Sort=A","Dates=H","DateFormat=P","Fill=—","Direction=H","UseDPDF=Y")</f>
        <v>#N/A Requesting Data...</v>
      </c>
      <c r="H18" s="20">
        <f>_xll.BDH("BRK/A US Equity","TOT_DEBT_TO_TOT_ASSET","FQ3 2012","FQ3 2012","Currency=USD","Period=FQ","BEST_FPERIOD_OVERRIDE=FQ","FILING_STATUS=MR","Sort=A","Dates=H","DateFormat=P","Fill=—","Direction=H","UseDPDF=Y")</f>
        <v>14.7387</v>
      </c>
      <c r="I18" s="20">
        <f>_xll.BDH("BRK/A US Equity","TOT_DEBT_TO_TOT_ASSET","FQ4 2012","FQ4 2012","Currency=USD","Period=FQ","BEST_FPERIOD_OVERRIDE=FQ","FILING_STATUS=MR","Sort=A","Dates=H","DateFormat=P","Fill=—","Direction=H","UseDPDF=Y")</f>
        <v>14.6767</v>
      </c>
      <c r="J18" s="20">
        <f>_xll.BDH("BRK/A US Equity","TOT_DEBT_TO_TOT_ASSET","FQ1 2013","FQ1 2013","Currency=USD","Period=FQ","BEST_FPERIOD_OVERRIDE=FQ","FILING_STATUS=MR","Sort=A","Dates=H","DateFormat=P","Fill=—","Direction=H","UseDPDF=Y")</f>
        <v>14.3</v>
      </c>
      <c r="K18" s="20">
        <f>_xll.BDH("BRK/A US Equity","TOT_DEBT_TO_TOT_ASSET","FQ2 2013","FQ2 2013","Currency=USD","Period=FQ","BEST_FPERIOD_OVERRIDE=FQ","FILING_STATUS=MR","Sort=A","Dates=H","DateFormat=P","Fill=—","Direction=H","UseDPDF=Y")</f>
        <v>14.321199999999999</v>
      </c>
      <c r="L18" s="20" t="str">
        <f>_xll.BDH("BRK/A US Equity","TOT_DEBT_TO_TOT_ASSET","FQ3 2013","FQ3 2013","Currency=USD","Period=FQ","BEST_FPERIOD_OVERRIDE=FQ","FILING_STATUS=MR","Sort=A","Dates=H","DateFormat=P","Fill=—","Direction=H","UseDPDF=Y")</f>
        <v>#N/A Requesting Data...</v>
      </c>
      <c r="M18" s="20">
        <f>_xll.BDH("BRK/A US Equity","TOT_DEBT_TO_TOT_ASSET","FQ4 2013","FQ4 2013","Currency=USD","Period=FQ","BEST_FPERIOD_OVERRIDE=FQ","FILING_STATUS=MR","Sort=A","Dates=H","DateFormat=P","Fill=—","Direction=H","UseDPDF=Y")</f>
        <v>14.893700000000001</v>
      </c>
      <c r="N18" s="20">
        <f>_xll.BDH("BRK/A US Equity","TOT_DEBT_TO_TOT_ASSET","FQ1 2014","FQ1 2014","Currency=USD","Period=FQ","BEST_FPERIOD_OVERRIDE=FQ","FILING_STATUS=MR","Sort=A","Dates=H","DateFormat=P","Fill=—","Direction=H","UseDPDF=Y")</f>
        <v>14.7942</v>
      </c>
      <c r="O18" s="20">
        <f>_xll.BDH("BRK/A US Equity","TOT_DEBT_TO_TOT_ASSET","FQ2 2014","FQ2 2014","Currency=USD","Period=FQ","BEST_FPERIOD_OVERRIDE=FQ","FILING_STATUS=MR","Sort=A","Dates=H","DateFormat=P","Fill=—","Direction=H","UseDPDF=Y")</f>
        <v>14.688800000000001</v>
      </c>
      <c r="P18" s="20">
        <f>_xll.BDH("BRK/A US Equity","TOT_DEBT_TO_TOT_ASSET","FQ3 2014","FQ3 2014","Currency=USD","Period=FQ","BEST_FPERIOD_OVERRIDE=FQ","FILING_STATUS=MR","Sort=A","Dates=H","DateFormat=P","Fill=—","Direction=H","UseDPDF=Y")</f>
        <v>14.4603</v>
      </c>
      <c r="Q18" s="20">
        <f>_xll.BDH("BRK/A US Equity","TOT_DEBT_TO_TOT_ASSET","FQ4 2014","FQ4 2014","Currency=USD","Period=FQ","BEST_FPERIOD_OVERRIDE=FQ","FILING_STATUS=MR","Sort=A","Dates=H","DateFormat=P","Fill=—","Direction=H","UseDPDF=Y")</f>
        <v>15.1921</v>
      </c>
      <c r="R18" s="20">
        <f>_xll.BDH("BRK/A US Equity","TOT_DEBT_TO_TOT_ASSET","FQ1 2015","FQ1 2015","Currency=USD","Period=FQ","BEST_FPERIOD_OVERRIDE=FQ","FILING_STATUS=MR","Sort=A","Dates=H","DateFormat=P","Fill=—","Direction=H","UseDPDF=Y")</f>
        <v>15.7783</v>
      </c>
      <c r="S18" s="20" t="str">
        <f>_xll.BDH("BRK/A US Equity","TOT_DEBT_TO_TOT_ASSET","FQ2 2015","FQ2 2015","Currency=USD","Period=FQ","BEST_FPERIOD_OVERRIDE=FQ","FILING_STATUS=MR","Sort=A","Dates=H","DateFormat=P","Fill=—","Direction=H","UseDPDF=Y")</f>
        <v>#N/A Requesting Data...</v>
      </c>
      <c r="T18" s="20" t="str">
        <f>_xll.BDH("BRK/A US Equity","TOT_DEBT_TO_TOT_ASSET","FQ3 2015","FQ3 2015","Currency=USD","Period=FQ","BEST_FPERIOD_OVERRIDE=FQ","FILING_STATUS=MR","Sort=A","Dates=H","DateFormat=P","Fill=—","Direction=H","UseDPDF=Y")</f>
        <v>#N/A Requesting Data...</v>
      </c>
      <c r="U18" s="20" t="str">
        <f>_xll.BDH("BRK/A US Equity","TOT_DEBT_TO_TOT_ASSET","FQ4 2015","FQ4 2015","Currency=USD","Period=FQ","BEST_FPERIOD_OVERRIDE=FQ","FILING_STATUS=MR","Sort=A","Dates=H","DateFormat=P","Fill=—","Direction=H","UseDPDF=Y")</f>
        <v>#N/A Requesting Data...</v>
      </c>
      <c r="V18" s="20" t="str">
        <f>_xll.BDH("BRK/A US Equity","TOT_DEBT_TO_TOT_ASSET","FQ1 2016","FQ1 2016","Currency=USD","Period=FQ","BEST_FPERIOD_OVERRIDE=FQ","FILING_STATUS=MR","Sort=A","Dates=H","DateFormat=P","Fill=—","Direction=H","UseDPDF=Y")</f>
        <v>#N/A Requesting Data...</v>
      </c>
      <c r="W18" s="20">
        <f>_xll.BDH("BRK/A US Equity","TOT_DEBT_TO_TOT_ASSET","FQ2 2016","FQ2 2016","Currency=USD","Period=FQ","BEST_FPERIOD_OVERRIDE=FQ","FILING_STATUS=MR","Sort=A","Dates=H","DateFormat=P","Fill=—","Direction=H","UseDPDF=Y")</f>
        <v>17.106999999999999</v>
      </c>
      <c r="X18" s="20">
        <f>_xll.BDH("BRK/A US Equity","TOT_DEBT_TO_TOT_ASSET","FQ3 2016","FQ3 2016","Currency=USD","Period=FQ","BEST_FPERIOD_OVERRIDE=FQ","FILING_STATUS=MR","Sort=A","Dates=H","DateFormat=P","Fill=—","Direction=H","UseDPDF=Y")</f>
        <v>16.852899999999998</v>
      </c>
      <c r="Y18" s="20">
        <f>_xll.BDH("BRK/A US Equity","TOT_DEBT_TO_TOT_ASSET","FQ4 2016","FQ4 2016","Currency=USD","Period=FQ","BEST_FPERIOD_OVERRIDE=FQ","FILING_STATUS=MR","Sort=A","Dates=H","DateFormat=P","Fill=—","Direction=H","UseDPDF=Y")</f>
        <v>16.371600000000001</v>
      </c>
      <c r="Z18" s="20">
        <f>_xll.BDH("BRK/A US Equity","TOT_DEBT_TO_TOT_ASSET","FQ1 2017","FQ1 2017","Currency=USD","Period=FQ","BEST_FPERIOD_OVERRIDE=FQ","FILING_STATUS=MR","Sort=A","Dates=H","DateFormat=P","Fill=—","Direction=H","UseDPDF=Y")</f>
        <v>15.884499999999999</v>
      </c>
      <c r="AA18" s="20">
        <f>_xll.BDH("BRK/A US Equity","TOT_DEBT_TO_TOT_ASSET","FQ2 2017","FQ2 2017","Currency=USD","Period=FQ","BEST_FPERIOD_OVERRIDE=FQ","FILING_STATUS=MR","Sort=A","Dates=H","DateFormat=P","Fill=—","Direction=H","UseDPDF=Y")</f>
        <v>15.3653</v>
      </c>
      <c r="AB18" s="20">
        <f>_xll.BDH("BRK/A US Equity","TOT_DEBT_TO_TOT_ASSET","FQ3 2017","FQ3 2017","Currency=USD","Period=FQ","BEST_FPERIOD_OVERRIDE=FQ","FILING_STATUS=MR","Sort=A","Dates=H","DateFormat=P","Fill=—","Direction=H","UseDPDF=Y")</f>
        <v>14.891</v>
      </c>
      <c r="AC18" s="20">
        <f>_xll.BDH("BRK/A US Equity","TOT_DEBT_TO_TOT_ASSET","FQ4 2017","FQ4 2017","Currency=USD","Period=FQ","BEST_FPERIOD_OVERRIDE=FQ","FILING_STATUS=MR","Sort=A","Dates=H","DateFormat=P","Fill=—","Direction=H","UseDPDF=Y")</f>
        <v>14.611599999999999</v>
      </c>
      <c r="AD18" s="20">
        <f>_xll.BDH("BRK/A US Equity","TOT_DEBT_TO_TOT_ASSET","FQ1 2018","FQ1 2018","Currency=USD","Period=FQ","BEST_FPERIOD_OVERRIDE=FQ","FILING_STATUS=MR","Sort=A","Dates=H","DateFormat=P","Fill=—","Direction=H","UseDPDF=Y")</f>
        <v>14.101599999999999</v>
      </c>
      <c r="AE18" s="20" t="str">
        <f>_xll.BDH("BRK/A US Equity","TOT_DEBT_TO_TOT_ASSET","FQ2 2018","FQ2 2018","Currency=USD","Period=FQ","BEST_FPERIOD_OVERRIDE=FQ","FILING_STATUS=MR","Sort=A","Dates=H","DateFormat=P","Fill=—","Direction=H","UseDPDF=Y")</f>
        <v>#N/A Requesting Data...</v>
      </c>
      <c r="AF18" s="20" t="str">
        <f>_xll.BDH("BRK/A US Equity","TOT_DEBT_TO_TOT_ASSET","FQ3 2018","FQ3 2018","Currency=USD","Period=FQ","BEST_FPERIOD_OVERRIDE=FQ","FILING_STATUS=MR","Sort=A","Dates=H","DateFormat=P","Fill=—","Direction=H","UseDPDF=Y")</f>
        <v>#N/A Requesting Data...</v>
      </c>
      <c r="AG18" s="20" t="str">
        <f>_xll.BDH("BRK/A US Equity","TOT_DEBT_TO_TOT_ASSET","FQ4 2018","FQ4 2018","Currency=USD","Period=FQ","BEST_FPERIOD_OVERRIDE=FQ","FILING_STATUS=MR","Sort=A","Dates=H","DateFormat=P","Fill=—","Direction=H","UseDPDF=Y")</f>
        <v>#N/A Requesting Data...</v>
      </c>
      <c r="AH18" s="20">
        <f>_xll.BDH("BRK/A US Equity","TOT_DEBT_TO_TOT_ASSET","FQ1 2019","FQ1 2019","Currency=USD","Period=FQ","BEST_FPERIOD_OVERRIDE=FQ","FILING_STATUS=MR","Sort=A","Dates=H","DateFormat=P","Fill=—","Direction=H","UseDPDF=Y")</f>
        <v>13.9704</v>
      </c>
      <c r="AI18" s="20">
        <f>_xll.BDH("BRK/A US Equity","TOT_DEBT_TO_TOT_ASSET","FQ2 2019","FQ2 2019","Currency=USD","Period=FQ","BEST_FPERIOD_OVERRIDE=FQ","FILING_STATUS=MR","Sort=A","Dates=H","DateFormat=P","Fill=—","Direction=H","UseDPDF=Y")</f>
        <v>13.9245</v>
      </c>
      <c r="AJ18" s="20">
        <f>_xll.BDH("BRK/A US Equity","TOT_DEBT_TO_TOT_ASSET","FQ3 2019","FQ3 2019","Currency=USD","Period=FQ","BEST_FPERIOD_OVERRIDE=FQ","FILING_STATUS=MR","Sort=A","Dates=H","DateFormat=P","Fill=—","Direction=H","UseDPDF=Y")</f>
        <v>13.702999999999999</v>
      </c>
      <c r="AK18" s="20">
        <f>_xll.BDH("BRK/A US Equity","TOT_DEBT_TO_TOT_ASSET","FQ4 2019","FQ4 2019","Currency=USD","Period=FQ","BEST_FPERIOD_OVERRIDE=FQ","FILING_STATUS=MR","Sort=A","Dates=H","DateFormat=P","Fill=—","Direction=H","UseDPDF=Y")</f>
        <v>13.360200000000001</v>
      </c>
      <c r="AL18" s="20">
        <f>_xll.BDH("BRK/A US Equity","TOT_DEBT_TO_TOT_ASSET","FQ1 2020","FQ1 2020","Currency=USD","Period=FQ","BEST_FPERIOD_OVERRIDE=FQ","FILING_STATUS=MR","Sort=A","Dates=H","DateFormat=P","Fill=—","Direction=H","UseDPDF=Y")</f>
        <v>13.706799999999999</v>
      </c>
      <c r="AM18" s="20">
        <f>_xll.BDH("BRK/A US Equity","TOT_DEBT_TO_TOT_ASSET","FQ2 2020","FQ2 2020","Currency=USD","Period=FQ","BEST_FPERIOD_OVERRIDE=FQ","FILING_STATUS=MR","Sort=A","Dates=H","DateFormat=P","Fill=—","Direction=H","UseDPDF=Y")</f>
        <v>13.536899999999999</v>
      </c>
      <c r="AN18" s="20">
        <f>_xll.BDH("BRK/A US Equity","TOT_DEBT_TO_TOT_ASSET","FQ3 2020","FQ3 2020","Currency=USD","Period=FQ","BEST_FPERIOD_OVERRIDE=FQ","FILING_STATUS=MR","Sort=A","Dates=H","DateFormat=P","Fill=—","Direction=H","UseDPDF=Y")</f>
        <v>12.9757</v>
      </c>
      <c r="AO18" s="20">
        <f>_xll.BDH("BRK/A US Equity","TOT_DEBT_TO_TOT_ASSET","FQ4 2020","FQ4 2020","Currency=USD","Period=FQ","BEST_FPERIOD_OVERRIDE=FQ","FILING_STATUS=MR","Sort=A","Dates=H","DateFormat=P","Fill=—","Direction=H","UseDPDF=Y")</f>
        <v>14.004799999999999</v>
      </c>
      <c r="AP18" s="20">
        <f>_xll.BDH("BRK/A US Equity","TOT_DEBT_TO_TOT_ASSET","FQ1 2021","FQ1 2021","Currency=USD","Period=FQ","BEST_FPERIOD_OVERRIDE=FQ","FILING_STATUS=MR","Sort=A","Dates=H","DateFormat=P","Fill=—","Direction=H","UseDPDF=Y")</f>
        <v>12.950200000000001</v>
      </c>
    </row>
    <row r="19" spans="1:42" x14ac:dyDescent="0.25">
      <c r="A19" s="7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</row>
    <row r="20" spans="1:42" x14ac:dyDescent="0.25">
      <c r="A20" s="7" t="s">
        <v>166</v>
      </c>
      <c r="B20" s="7" t="s">
        <v>165</v>
      </c>
      <c r="C20" s="20" t="str">
        <f>_xll.BDH("BRK/A US Equity","CASH_FLOW_TO_TOT_LIAB","FQ2 2011","FQ2 2011","Currency=USD","Period=FQ","BEST_FPERIOD_OVERRIDE=FQ","FILING_STATUS=MR","Sort=A","Dates=H","DateFormat=P","Fill=—","Direction=H","UseDPDF=Y")</f>
        <v>#N/A Requesting Data...</v>
      </c>
      <c r="D20" s="20" t="str">
        <f>_xll.BDH("BRK/A US Equity","CASH_FLOW_TO_TOT_LIAB","FQ3 2011","FQ3 2011","Currency=USD","Period=FQ","BEST_FPERIOD_OVERRIDE=FQ","FILING_STATUS=MR","Sort=A","Dates=H","DateFormat=P","Fill=—","Direction=H","UseDPDF=Y")</f>
        <v>#N/A Requesting Data...</v>
      </c>
      <c r="E20" s="20" t="str">
        <f>_xll.BDH("BRK/A US Equity","CASH_FLOW_TO_TOT_LIAB","FQ4 2011","FQ4 2011","Currency=USD","Period=FQ","BEST_FPERIOD_OVERRIDE=FQ","FILING_STATUS=MR","Sort=A","Dates=H","DateFormat=P","Fill=—","Direction=H","UseDPDF=Y")</f>
        <v>#N/A Requesting Data...</v>
      </c>
      <c r="F20" s="20">
        <f>_xll.BDH("BRK/A US Equity","CASH_FLOW_TO_TOT_LIAB","FQ1 2012","FQ1 2012","Currency=USD","Period=FQ","BEST_FPERIOD_OVERRIDE=FQ","FILING_STATUS=MR","Sort=A","Dates=H","DateFormat=P","Fill=—","Direction=H","UseDPDF=Y")</f>
        <v>9.3573000000000004</v>
      </c>
      <c r="G20" s="20">
        <f>_xll.BDH("BRK/A US Equity","CASH_FLOW_TO_TOT_LIAB","FQ2 2012","FQ2 2012","Currency=USD","Period=FQ","BEST_FPERIOD_OVERRIDE=FQ","FILING_STATUS=MR","Sort=A","Dates=H","DateFormat=P","Fill=—","Direction=H","UseDPDF=Y")</f>
        <v>8.7101000000000006</v>
      </c>
      <c r="H20" s="20">
        <f>_xll.BDH("BRK/A US Equity","CASH_FLOW_TO_TOT_LIAB","FQ3 2012","FQ3 2012","Currency=USD","Period=FQ","BEST_FPERIOD_OVERRIDE=FQ","FILING_STATUS=MR","Sort=A","Dates=H","DateFormat=P","Fill=—","Direction=H","UseDPDF=Y")</f>
        <v>8.7873999999999999</v>
      </c>
      <c r="I20" s="20" t="str">
        <f>_xll.BDH("BRK/A US Equity","CASH_FLOW_TO_TOT_LIAB","FQ4 2012","FQ4 2012","Currency=USD","Period=FQ","BEST_FPERIOD_OVERRIDE=FQ","FILING_STATUS=MR","Sort=A","Dates=H","DateFormat=P","Fill=—","Direction=H","UseDPDF=Y")</f>
        <v>#N/A Requesting Data...</v>
      </c>
      <c r="J20" s="20">
        <f>_xll.BDH("BRK/A US Equity","CASH_FLOW_TO_TOT_LIAB","FQ1 2013","FQ1 2013","Currency=USD","Period=FQ","BEST_FPERIOD_OVERRIDE=FQ","FILING_STATUS=MR","Sort=A","Dates=H","DateFormat=P","Fill=—","Direction=H","UseDPDF=Y")</f>
        <v>9.3070000000000004</v>
      </c>
      <c r="K20" s="20">
        <f>_xll.BDH("BRK/A US Equity","CASH_FLOW_TO_TOT_LIAB","FQ2 2013","FQ2 2013","Currency=USD","Period=FQ","BEST_FPERIOD_OVERRIDE=FQ","FILING_STATUS=MR","Sort=A","Dates=H","DateFormat=P","Fill=—","Direction=H","UseDPDF=Y")</f>
        <v>10.080500000000001</v>
      </c>
      <c r="L20" s="20">
        <f>_xll.BDH("BRK/A US Equity","CASH_FLOW_TO_TOT_LIAB","FQ3 2013","FQ3 2013","Currency=USD","Period=FQ","BEST_FPERIOD_OVERRIDE=FQ","FILING_STATUS=MR","Sort=A","Dates=H","DateFormat=P","Fill=—","Direction=H","UseDPDF=Y")</f>
        <v>10.349500000000001</v>
      </c>
      <c r="M20" s="20">
        <f>_xll.BDH("BRK/A US Equity","CASH_FLOW_TO_TOT_LIAB","FQ4 2013","FQ4 2013","Currency=USD","Period=FQ","BEST_FPERIOD_OVERRIDE=FQ","FILING_STATUS=MR","Sort=A","Dates=H","DateFormat=P","Fill=—","Direction=H","UseDPDF=Y")</f>
        <v>10.6371</v>
      </c>
      <c r="N20" s="20">
        <f>_xll.BDH("BRK/A US Equity","CASH_FLOW_TO_TOT_LIAB","FQ1 2014","FQ1 2014","Currency=USD","Period=FQ","BEST_FPERIOD_OVERRIDE=FQ","FILING_STATUS=MR","Sort=A","Dates=H","DateFormat=P","Fill=—","Direction=H","UseDPDF=Y")</f>
        <v>10.0421</v>
      </c>
      <c r="O20" s="20" t="str">
        <f>_xll.BDH("BRK/A US Equity","CASH_FLOW_TO_TOT_LIAB","FQ2 2014","FQ2 2014","Currency=USD","Period=FQ","BEST_FPERIOD_OVERRIDE=FQ","FILING_STATUS=MR","Sort=A","Dates=H","DateFormat=P","Fill=—","Direction=H","UseDPDF=Y")</f>
        <v>#N/A Requesting Data...</v>
      </c>
      <c r="P20" s="20" t="str">
        <f>_xll.BDH("BRK/A US Equity","CASH_FLOW_TO_TOT_LIAB","FQ3 2014","FQ3 2014","Currency=USD","Period=FQ","BEST_FPERIOD_OVERRIDE=FQ","FILING_STATUS=MR","Sort=A","Dates=H","DateFormat=P","Fill=—","Direction=H","UseDPDF=Y")</f>
        <v>#N/A Requesting Data...</v>
      </c>
      <c r="Q20" s="20" t="str">
        <f>_xll.BDH("BRK/A US Equity","CASH_FLOW_TO_TOT_LIAB","FQ4 2014","FQ4 2014","Currency=USD","Period=FQ","BEST_FPERIOD_OVERRIDE=FQ","FILING_STATUS=MR","Sort=A","Dates=H","DateFormat=P","Fill=—","Direction=H","UseDPDF=Y")</f>
        <v>#N/A Requesting Data...</v>
      </c>
      <c r="R20" s="20">
        <f>_xll.BDH("BRK/A US Equity","CASH_FLOW_TO_TOT_LIAB","FQ1 2015","FQ1 2015","Currency=USD","Period=FQ","BEST_FPERIOD_OVERRIDE=FQ","FILING_STATUS=MR","Sort=A","Dates=H","DateFormat=P","Fill=—","Direction=H","UseDPDF=Y")</f>
        <v>11.544599999999999</v>
      </c>
      <c r="S20" s="20">
        <f>_xll.BDH("BRK/A US Equity","CASH_FLOW_TO_TOT_LIAB","FQ2 2015","FQ2 2015","Currency=USD","Period=FQ","BEST_FPERIOD_OVERRIDE=FQ","FILING_STATUS=MR","Sort=A","Dates=H","DateFormat=P","Fill=—","Direction=H","UseDPDF=Y")</f>
        <v>11.7021</v>
      </c>
      <c r="T20" s="20" t="str">
        <f>_xll.BDH("BRK/A US Equity","CASH_FLOW_TO_TOT_LIAB","FQ3 2015","FQ3 2015","Currency=USD","Period=FQ","BEST_FPERIOD_OVERRIDE=FQ","FILING_STATUS=MR","Sort=A","Dates=H","DateFormat=P","Fill=—","Direction=H","UseDPDF=Y")</f>
        <v>#N/A Requesting Data...</v>
      </c>
      <c r="U20" s="20">
        <f>_xll.BDH("BRK/A US Equity","CASH_FLOW_TO_TOT_LIAB","FQ4 2015","FQ4 2015","Currency=USD","Period=FQ","BEST_FPERIOD_OVERRIDE=FQ","FILING_STATUS=MR","Sort=A","Dates=H","DateFormat=P","Fill=—","Direction=H","UseDPDF=Y")</f>
        <v>10.7247</v>
      </c>
      <c r="V20" s="20">
        <f>_xll.BDH("BRK/A US Equity","CASH_FLOW_TO_TOT_LIAB","FQ1 2016","FQ1 2016","Currency=USD","Period=FQ","BEST_FPERIOD_OVERRIDE=FQ","FILING_STATUS=MR","Sort=A","Dates=H","DateFormat=P","Fill=—","Direction=H","UseDPDF=Y")</f>
        <v>10.1646</v>
      </c>
      <c r="W20" s="20">
        <f>_xll.BDH("BRK/A US Equity","CASH_FLOW_TO_TOT_LIAB","FQ2 2016","FQ2 2016","Currency=USD","Period=FQ","BEST_FPERIOD_OVERRIDE=FQ","FILING_STATUS=MR","Sort=A","Dates=H","DateFormat=P","Fill=—","Direction=H","UseDPDF=Y")</f>
        <v>10.047800000000001</v>
      </c>
      <c r="X20" s="20">
        <f>_xll.BDH("BRK/A US Equity","CASH_FLOW_TO_TOT_LIAB","FQ3 2016","FQ3 2016","Currency=USD","Period=FQ","BEST_FPERIOD_OVERRIDE=FQ","FILING_STATUS=MR","Sort=A","Dates=H","DateFormat=P","Fill=—","Direction=H","UseDPDF=Y")</f>
        <v>9.7859999999999996</v>
      </c>
      <c r="Y20" s="20">
        <f>_xll.BDH("BRK/A US Equity","CASH_FLOW_TO_TOT_LIAB","FQ4 2016","FQ4 2016","Currency=USD","Period=FQ","BEST_FPERIOD_OVERRIDE=FQ","FILING_STATUS=MR","Sort=A","Dates=H","DateFormat=P","Fill=—","Direction=H","UseDPDF=Y")</f>
        <v>9.7330000000000005</v>
      </c>
      <c r="Z20" s="20">
        <f>_xll.BDH("BRK/A US Equity","CASH_FLOW_TO_TOT_LIAB","FQ1 2017","FQ1 2017","Currency=USD","Period=FQ","BEST_FPERIOD_OVERRIDE=FQ","FILING_STATUS=MR","Sort=A","Dates=H","DateFormat=P","Fill=—","Direction=H","UseDPDF=Y")</f>
        <v>12.1417</v>
      </c>
      <c r="AA20" s="20">
        <f>_xll.BDH("BRK/A US Equity","CASH_FLOW_TO_TOT_LIAB","FQ2 2017","FQ2 2017","Currency=USD","Period=FQ","BEST_FPERIOD_OVERRIDE=FQ","FILING_STATUS=MR","Sort=A","Dates=H","DateFormat=P","Fill=—","Direction=H","UseDPDF=Y")</f>
        <v>12.173</v>
      </c>
      <c r="AB20" s="20">
        <f>_xll.BDH("BRK/A US Equity","CASH_FLOW_TO_TOT_LIAB","FQ3 2017","FQ3 2017","Currency=USD","Period=FQ","BEST_FPERIOD_OVERRIDE=FQ","FILING_STATUS=MR","Sort=A","Dates=H","DateFormat=P","Fill=—","Direction=H","UseDPDF=Y")</f>
        <v>12.1852</v>
      </c>
      <c r="AC20" s="20" t="str">
        <f>_xll.BDH("BRK/A US Equity","CASH_FLOW_TO_TOT_LIAB","FQ4 2017","FQ4 2017","Currency=USD","Period=FQ","BEST_FPERIOD_OVERRIDE=FQ","FILING_STATUS=MR","Sort=A","Dates=H","DateFormat=P","Fill=—","Direction=H","UseDPDF=Y")</f>
        <v>#N/A Requesting Data...</v>
      </c>
      <c r="AD20" s="20">
        <f>_xll.BDH("BRK/A US Equity","CASH_FLOW_TO_TOT_LIAB","FQ1 2018","FQ1 2018","Currency=USD","Period=FQ","BEST_FPERIOD_OVERRIDE=FQ","FILING_STATUS=MR","Sort=A","Dates=H","DateFormat=P","Fill=—","Direction=H","UseDPDF=Y")</f>
        <v>9.9513999999999996</v>
      </c>
      <c r="AE20" s="20">
        <f>_xll.BDH("BRK/A US Equity","CASH_FLOW_TO_TOT_LIAB","FQ2 2018","FQ2 2018","Currency=USD","Period=FQ","BEST_FPERIOD_OVERRIDE=FQ","FILING_STATUS=MR","Sort=A","Dates=H","DateFormat=P","Fill=—","Direction=H","UseDPDF=Y")</f>
        <v>10.051299999999999</v>
      </c>
      <c r="AF20" s="20">
        <f>_xll.BDH("BRK/A US Equity","CASH_FLOW_TO_TOT_LIAB","FQ3 2018","FQ3 2018","Currency=USD","Period=FQ","BEST_FPERIOD_OVERRIDE=FQ","FILING_STATUS=MR","Sort=A","Dates=H","DateFormat=P","Fill=—","Direction=H","UseDPDF=Y")</f>
        <v>9.7423000000000002</v>
      </c>
      <c r="AG20" s="20">
        <f>_xll.BDH("BRK/A US Equity","CASH_FLOW_TO_TOT_LIAB","FQ4 2018","FQ4 2018","Currency=USD","Period=FQ","BEST_FPERIOD_OVERRIDE=FQ","FILING_STATUS=MR","Sort=A","Dates=H","DateFormat=P","Fill=—","Direction=H","UseDPDF=Y")</f>
        <v>10.5265</v>
      </c>
      <c r="AH20" s="20">
        <f>_xll.BDH("BRK/A US Equity","CASH_FLOW_TO_TOT_LIAB","FQ1 2019","FQ1 2019","Currency=USD","Period=FQ","BEST_FPERIOD_OVERRIDE=FQ","FILING_STATUS=MR","Sort=A","Dates=H","DateFormat=P","Fill=—","Direction=H","UseDPDF=Y")</f>
        <v>10.220599999999999</v>
      </c>
      <c r="AI20" s="20">
        <f>_xll.BDH("BRK/A US Equity","CASH_FLOW_TO_TOT_LIAB","FQ2 2019","FQ2 2019","Currency=USD","Period=FQ","BEST_FPERIOD_OVERRIDE=FQ","FILING_STATUS=MR","Sort=A","Dates=H","DateFormat=P","Fill=—","Direction=H","UseDPDF=Y")</f>
        <v>10.187099999999999</v>
      </c>
      <c r="AJ20" s="20">
        <f>_xll.BDH("BRK/A US Equity","CASH_FLOW_TO_TOT_LIAB","FQ3 2019","FQ3 2019","Currency=USD","Period=FQ","BEST_FPERIOD_OVERRIDE=FQ","FILING_STATUS=MR","Sort=A","Dates=H","DateFormat=P","Fill=—","Direction=H","UseDPDF=Y")</f>
        <v>9.6801999999999992</v>
      </c>
      <c r="AK20" s="20">
        <f>_xll.BDH("BRK/A US Equity","CASH_FLOW_TO_TOT_LIAB","FQ4 2019","FQ4 2019","Currency=USD","Period=FQ","BEST_FPERIOD_OVERRIDE=FQ","FILING_STATUS=MR","Sort=A","Dates=H","DateFormat=P","Fill=—","Direction=H","UseDPDF=Y")</f>
        <v>9.9410000000000007</v>
      </c>
      <c r="AL20" s="20">
        <f>_xll.BDH("BRK/A US Equity","CASH_FLOW_TO_TOT_LIAB","FQ1 2020","FQ1 2020","Currency=USD","Period=FQ","BEST_FPERIOD_OVERRIDE=FQ","FILING_STATUS=MR","Sort=A","Dates=H","DateFormat=P","Fill=—","Direction=H","UseDPDF=Y")</f>
        <v>9.8407999999999998</v>
      </c>
      <c r="AM20" s="20" t="str">
        <f>_xll.BDH("BRK/A US Equity","CASH_FLOW_TO_TOT_LIAB","FQ2 2020","FQ2 2020","Currency=USD","Period=FQ","BEST_FPERIOD_OVERRIDE=FQ","FILING_STATUS=MR","Sort=A","Dates=H","DateFormat=P","Fill=—","Direction=H","UseDPDF=Y")</f>
        <v>#N/A Requesting Data...</v>
      </c>
      <c r="AN20" s="20" t="str">
        <f>_xll.BDH("BRK/A US Equity","CASH_FLOW_TO_TOT_LIAB","FQ3 2020","FQ3 2020","Currency=USD","Period=FQ","BEST_FPERIOD_OVERRIDE=FQ","FILING_STATUS=MR","Sort=A","Dates=H","DateFormat=P","Fill=—","Direction=H","UseDPDF=Y")</f>
        <v>#N/A Requesting Data...</v>
      </c>
      <c r="AO20" s="20">
        <f>_xll.BDH("BRK/A US Equity","CASH_FLOW_TO_TOT_LIAB","FQ4 2020","FQ4 2020","Currency=USD","Period=FQ","BEST_FPERIOD_OVERRIDE=FQ","FILING_STATUS=MR","Sort=A","Dates=H","DateFormat=P","Fill=—","Direction=H","UseDPDF=Y")</f>
        <v>9.4161000000000001</v>
      </c>
      <c r="AP20" s="20" t="str">
        <f>_xll.BDH("BRK/A US Equity","CASH_FLOW_TO_TOT_LIAB","FQ1 2021","FQ1 2021","Currency=USD","Period=FQ","BEST_FPERIOD_OVERRIDE=FQ","FILING_STATUS=MR","Sort=A","Dates=H","DateFormat=P","Fill=—","Direction=H","UseDPDF=Y")</f>
        <v>#N/A Requesting Data...</v>
      </c>
    </row>
    <row r="21" spans="1:42" x14ac:dyDescent="0.25">
      <c r="A21" s="7" t="s">
        <v>164</v>
      </c>
      <c r="B21" s="7" t="s">
        <v>163</v>
      </c>
      <c r="C21" s="20">
        <f>_xll.BDH("BRK/A US Equity","CAP_EXPEND_RATIO","FQ2 2011","FQ2 2011","Currency=USD","Period=FQ","BEST_FPERIOD_OVERRIDE=FQ","FILING_STATUS=MR","Sort=A","Dates=H","DateFormat=P","Fill=—","Direction=H","UseDPDF=Y")</f>
        <v>3.3033000000000001</v>
      </c>
      <c r="D21" s="20">
        <f>_xll.BDH("BRK/A US Equity","CAP_EXPEND_RATIO","FQ3 2011","FQ3 2011","Currency=USD","Period=FQ","BEST_FPERIOD_OVERRIDE=FQ","FILING_STATUS=MR","Sort=A","Dates=H","DateFormat=P","Fill=—","Direction=H","UseDPDF=Y")</f>
        <v>2.6913</v>
      </c>
      <c r="E21" s="20">
        <f>_xll.BDH("BRK/A US Equity","CAP_EXPEND_RATIO","FQ4 2011","FQ4 2011","Currency=USD","Period=FQ","BEST_FPERIOD_OVERRIDE=FQ","FILING_STATUS=MR","Sort=A","Dates=H","DateFormat=P","Fill=—","Direction=H","UseDPDF=Y")</f>
        <v>1.7847</v>
      </c>
      <c r="F21" s="20">
        <f>_xll.BDH("BRK/A US Equity","CAP_EXPEND_RATIO","FQ1 2012","FQ1 2012","Currency=USD","Period=FQ","BEST_FPERIOD_OVERRIDE=FQ","FILING_STATUS=MR","Sort=A","Dates=H","DateFormat=P","Fill=—","Direction=H","UseDPDF=Y")</f>
        <v>2.1528</v>
      </c>
      <c r="G21" s="20">
        <f>_xll.BDH("BRK/A US Equity","CAP_EXPEND_RATIO","FQ2 2012","FQ2 2012","Currency=USD","Period=FQ","BEST_FPERIOD_OVERRIDE=FQ","FILING_STATUS=MR","Sort=A","Dates=H","DateFormat=P","Fill=—","Direction=H","UseDPDF=Y")</f>
        <v>2.0087000000000002</v>
      </c>
      <c r="H21" s="20">
        <f>_xll.BDH("BRK/A US Equity","CAP_EXPEND_RATIO","FQ3 2012","FQ3 2012","Currency=USD","Period=FQ","BEST_FPERIOD_OVERRIDE=FQ","FILING_STATUS=MR","Sort=A","Dates=H","DateFormat=P","Fill=—","Direction=H","UseDPDF=Y")</f>
        <v>2.5444</v>
      </c>
      <c r="I21" s="20">
        <f>_xll.BDH("BRK/A US Equity","CAP_EXPEND_RATIO","FQ4 2012","FQ4 2012","Currency=USD","Period=FQ","BEST_FPERIOD_OVERRIDE=FQ","FILING_STATUS=MR","Sort=A","Dates=H","DateFormat=P","Fill=—","Direction=H","UseDPDF=Y")</f>
        <v>1.8552</v>
      </c>
      <c r="J21" s="20">
        <f>_xll.BDH("BRK/A US Equity","CAP_EXPEND_RATIO","FQ1 2013","FQ1 2013","Currency=USD","Period=FQ","BEST_FPERIOD_OVERRIDE=FQ","FILING_STATUS=MR","Sort=A","Dates=H","DateFormat=P","Fill=—","Direction=H","UseDPDF=Y")</f>
        <v>2.7435</v>
      </c>
      <c r="K21" s="20" t="str">
        <f>_xll.BDH("BRK/A US Equity","CAP_EXPEND_RATIO","FQ2 2013","FQ2 2013","Currency=USD","Period=FQ","BEST_FPERIOD_OVERRIDE=FQ","FILING_STATUS=MR","Sort=A","Dates=H","DateFormat=P","Fill=—","Direction=H","UseDPDF=Y")</f>
        <v>#N/A Requesting Data...</v>
      </c>
      <c r="L21" s="20">
        <f>_xll.BDH("BRK/A US Equity","CAP_EXPEND_RATIO","FQ3 2013","FQ3 2013","Currency=USD","Period=FQ","BEST_FPERIOD_OVERRIDE=FQ","FILING_STATUS=MR","Sort=A","Dates=H","DateFormat=P","Fill=—","Direction=H","UseDPDF=Y")</f>
        <v>2.6358999999999999</v>
      </c>
      <c r="M21" s="20" t="str">
        <f>_xll.BDH("BRK/A US Equity","CAP_EXPEND_RATIO","FQ4 2013","FQ4 2013","Currency=USD","Period=FQ","BEST_FPERIOD_OVERRIDE=FQ","FILING_STATUS=MR","Sort=A","Dates=H","DateFormat=P","Fill=—","Direction=H","UseDPDF=Y")</f>
        <v>#N/A Requesting Data...</v>
      </c>
      <c r="N21" s="20">
        <f>_xll.BDH("BRK/A US Equity","CAP_EXPEND_RATIO","FQ1 2014","FQ1 2014","Currency=USD","Period=FQ","BEST_FPERIOD_OVERRIDE=FQ","FILING_STATUS=MR","Sort=A","Dates=H","DateFormat=P","Fill=—","Direction=H","UseDPDF=Y")</f>
        <v>1.7638</v>
      </c>
      <c r="O21" s="20">
        <f>_xll.BDH("BRK/A US Equity","CAP_EXPEND_RATIO","FQ2 2014","FQ2 2014","Currency=USD","Period=FQ","BEST_FPERIOD_OVERRIDE=FQ","FILING_STATUS=MR","Sort=A","Dates=H","DateFormat=P","Fill=—","Direction=H","UseDPDF=Y")</f>
        <v>2.0931000000000002</v>
      </c>
      <c r="P21" s="20">
        <f>_xll.BDH("BRK/A US Equity","CAP_EXPEND_RATIO","FQ3 2014","FQ3 2014","Currency=USD","Period=FQ","BEST_FPERIOD_OVERRIDE=FQ","FILING_STATUS=MR","Sort=A","Dates=H","DateFormat=P","Fill=—","Direction=H","UseDPDF=Y")</f>
        <v>3.0213000000000001</v>
      </c>
      <c r="Q21" s="20">
        <f>_xll.BDH("BRK/A US Equity","CAP_EXPEND_RATIO","FQ4 2014","FQ4 2014","Currency=USD","Period=FQ","BEST_FPERIOD_OVERRIDE=FQ","FILING_STATUS=MR","Sort=A","Dates=H","DateFormat=P","Fill=—","Direction=H","UseDPDF=Y")</f>
        <v>1.5665</v>
      </c>
      <c r="R21" s="20">
        <f>_xll.BDH("BRK/A US Equity","CAP_EXPEND_RATIO","FQ1 2015","FQ1 2015","Currency=USD","Period=FQ","BEST_FPERIOD_OVERRIDE=FQ","FILING_STATUS=MR","Sort=A","Dates=H","DateFormat=P","Fill=—","Direction=H","UseDPDF=Y")</f>
        <v>1.7299</v>
      </c>
      <c r="S21" s="20">
        <f>_xll.BDH("BRK/A US Equity","CAP_EXPEND_RATIO","FQ2 2015","FQ2 2015","Currency=USD","Period=FQ","BEST_FPERIOD_OVERRIDE=FQ","FILING_STATUS=MR","Sort=A","Dates=H","DateFormat=P","Fill=—","Direction=H","UseDPDF=Y")</f>
        <v>2.3547000000000002</v>
      </c>
      <c r="T21" s="20">
        <f>_xll.BDH("BRK/A US Equity","CAP_EXPEND_RATIO","FQ3 2015","FQ3 2015","Currency=USD","Period=FQ","BEST_FPERIOD_OVERRIDE=FQ","FILING_STATUS=MR","Sort=A","Dates=H","DateFormat=P","Fill=—","Direction=H","UseDPDF=Y")</f>
        <v>2.056</v>
      </c>
      <c r="U21" s="20">
        <f>_xll.BDH("BRK/A US Equity","CAP_EXPEND_RATIO","FQ4 2015","FQ4 2015","Currency=USD","Period=FQ","BEST_FPERIOD_OVERRIDE=FQ","FILING_STATUS=MR","Sort=A","Dates=H","DateFormat=P","Fill=—","Direction=H","UseDPDF=Y")</f>
        <v>1.7143999999999999</v>
      </c>
      <c r="V21" s="20">
        <f>_xll.BDH("BRK/A US Equity","CAP_EXPEND_RATIO","FQ1 2016","FQ1 2016","Currency=USD","Period=FQ","BEST_FPERIOD_OVERRIDE=FQ","FILING_STATUS=MR","Sort=A","Dates=H","DateFormat=P","Fill=—","Direction=H","UseDPDF=Y")</f>
        <v>2.6219000000000001</v>
      </c>
      <c r="W21" s="20" t="str">
        <f>_xll.BDH("BRK/A US Equity","CAP_EXPEND_RATIO","FQ2 2016","FQ2 2016","Currency=USD","Period=FQ","BEST_FPERIOD_OVERRIDE=FQ","FILING_STATUS=MR","Sort=A","Dates=H","DateFormat=P","Fill=—","Direction=H","UseDPDF=Y")</f>
        <v>#N/A Requesting Data...</v>
      </c>
      <c r="X21" s="20" t="str">
        <f>_xll.BDH("BRK/A US Equity","CAP_EXPEND_RATIO","FQ3 2016","FQ3 2016","Currency=USD","Period=FQ","BEST_FPERIOD_OVERRIDE=FQ","FILING_STATUS=MR","Sort=A","Dates=H","DateFormat=P","Fill=—","Direction=H","UseDPDF=Y")</f>
        <v>#N/A Requesting Data...</v>
      </c>
      <c r="Y21" s="20" t="str">
        <f>_xll.BDH("BRK/A US Equity","CAP_EXPEND_RATIO","FQ4 2016","FQ4 2016","Currency=USD","Period=FQ","BEST_FPERIOD_OVERRIDE=FQ","FILING_STATUS=MR","Sort=A","Dates=H","DateFormat=P","Fill=—","Direction=H","UseDPDF=Y")</f>
        <v>#N/A Requesting Data...</v>
      </c>
      <c r="Z21" s="20">
        <f>_xll.BDH("BRK/A US Equity","CAP_EXPEND_RATIO","FQ1 2017","FQ1 2017","Currency=USD","Period=FQ","BEST_FPERIOD_OVERRIDE=FQ","FILING_STATUS=MR","Sort=A","Dates=H","DateFormat=P","Fill=—","Direction=H","UseDPDF=Y")</f>
        <v>7.7686000000000002</v>
      </c>
      <c r="AA21" s="20" t="str">
        <f>_xll.BDH("BRK/A US Equity","CAP_EXPEND_RATIO","FQ2 2017","FQ2 2017","Currency=USD","Period=FQ","BEST_FPERIOD_OVERRIDE=FQ","FILING_STATUS=MR","Sort=A","Dates=H","DateFormat=P","Fill=—","Direction=H","UseDPDF=Y")</f>
        <v>#N/A Requesting Data...</v>
      </c>
      <c r="AB21" s="20">
        <f>_xll.BDH("BRK/A US Equity","CAP_EXPEND_RATIO","FQ3 2017","FQ3 2017","Currency=USD","Period=FQ","BEST_FPERIOD_OVERRIDE=FQ","FILING_STATUS=MR","Sort=A","Dates=H","DateFormat=P","Fill=—","Direction=H","UseDPDF=Y")</f>
        <v>3.3345000000000002</v>
      </c>
      <c r="AC21" s="20">
        <f>_xll.BDH("BRK/A US Equity","CAP_EXPEND_RATIO","FQ4 2017","FQ4 2017","Currency=USD","Period=FQ","BEST_FPERIOD_OVERRIDE=FQ","FILING_STATUS=MR","Sort=A","Dates=H","DateFormat=P","Fill=—","Direction=H","UseDPDF=Y")</f>
        <v>2.4958999999999998</v>
      </c>
      <c r="AD21" s="20">
        <f>_xll.BDH("BRK/A US Equity","CAP_EXPEND_RATIO","FQ1 2018","FQ1 2018","Currency=USD","Period=FQ","BEST_FPERIOD_OVERRIDE=FQ","FILING_STATUS=MR","Sort=A","Dates=H","DateFormat=P","Fill=—","Direction=H","UseDPDF=Y")</f>
        <v>2.9184999999999999</v>
      </c>
      <c r="AE21" s="20">
        <f>_xll.BDH("BRK/A US Equity","CAP_EXPEND_RATIO","FQ2 2018","FQ2 2018","Currency=USD","Period=FQ","BEST_FPERIOD_OVERRIDE=FQ","FILING_STATUS=MR","Sort=A","Dates=H","DateFormat=P","Fill=—","Direction=H","UseDPDF=Y")</f>
        <v>2.2820999999999998</v>
      </c>
      <c r="AF21" s="20">
        <f>_xll.BDH("BRK/A US Equity","CAP_EXPEND_RATIO","FQ3 2018","FQ3 2018","Currency=USD","Period=FQ","BEST_FPERIOD_OVERRIDE=FQ","FILING_STATUS=MR","Sort=A","Dates=H","DateFormat=P","Fill=—","Direction=H","UseDPDF=Y")</f>
        <v>2.8197000000000001</v>
      </c>
      <c r="AG21" s="20">
        <f>_xll.BDH("BRK/A US Equity","CAP_EXPEND_RATIO","FQ4 2018","FQ4 2018","Currency=USD","Period=FQ","BEST_FPERIOD_OVERRIDE=FQ","FILING_STATUS=MR","Sort=A","Dates=H","DateFormat=P","Fill=—","Direction=H","UseDPDF=Y")</f>
        <v>2.4116</v>
      </c>
      <c r="AH21" s="20">
        <f>_xll.BDH("BRK/A US Equity","CAP_EXPEND_RATIO","FQ1 2019","FQ1 2019","Currency=USD","Period=FQ","BEST_FPERIOD_OVERRIDE=FQ","FILING_STATUS=MR","Sort=A","Dates=H","DateFormat=P","Fill=—","Direction=H","UseDPDF=Y")</f>
        <v>2.4045999999999998</v>
      </c>
      <c r="AI21" s="20" t="str">
        <f>_xll.BDH("BRK/A US Equity","CAP_EXPEND_RATIO","FQ2 2019","FQ2 2019","Currency=USD","Period=FQ","BEST_FPERIOD_OVERRIDE=FQ","FILING_STATUS=MR","Sort=A","Dates=H","DateFormat=P","Fill=—","Direction=H","UseDPDF=Y")</f>
        <v>#N/A Requesting Data...</v>
      </c>
      <c r="AJ21" s="20" t="str">
        <f>_xll.BDH("BRK/A US Equity","CAP_EXPEND_RATIO","FQ3 2019","FQ3 2019","Currency=USD","Period=FQ","BEST_FPERIOD_OVERRIDE=FQ","FILING_STATUS=MR","Sort=A","Dates=H","DateFormat=P","Fill=—","Direction=H","UseDPDF=Y")</f>
        <v>#N/A Requesting Data...</v>
      </c>
      <c r="AK21" s="20" t="str">
        <f>_xll.BDH("BRK/A US Equity","CAP_EXPEND_RATIO","FQ4 2019","FQ4 2019","Currency=USD","Period=FQ","BEST_FPERIOD_OVERRIDE=FQ","FILING_STATUS=MR","Sort=A","Dates=H","DateFormat=P","Fill=—","Direction=H","UseDPDF=Y")</f>
        <v>#N/A Requesting Data...</v>
      </c>
      <c r="AL21" s="20">
        <f>_xll.BDH("BRK/A US Equity","CAP_EXPEND_RATIO","FQ1 2020","FQ1 2020","Currency=USD","Period=FQ","BEST_FPERIOD_OVERRIDE=FQ","FILING_STATUS=MR","Sort=A","Dates=H","DateFormat=P","Fill=—","Direction=H","UseDPDF=Y")</f>
        <v>2.2904</v>
      </c>
      <c r="AM21" s="20">
        <f>_xll.BDH("BRK/A US Equity","CAP_EXPEND_RATIO","FQ2 2020","FQ2 2020","Currency=USD","Period=FQ","BEST_FPERIOD_OVERRIDE=FQ","FILING_STATUS=MR","Sort=A","Dates=H","DateFormat=P","Fill=—","Direction=H","UseDPDF=Y")</f>
        <v>3.3140999999999998</v>
      </c>
      <c r="AN21" s="20" t="str">
        <f>_xll.BDH("BRK/A US Equity","CAP_EXPEND_RATIO","FQ3 2020","FQ3 2020","Currency=USD","Period=FQ","BEST_FPERIOD_OVERRIDE=FQ","FILING_STATUS=MR","Sort=A","Dates=H","DateFormat=P","Fill=—","Direction=H","UseDPDF=Y")</f>
        <v>#N/A Requesting Data...</v>
      </c>
      <c r="AO21" s="20">
        <f>_xll.BDH("BRK/A US Equity","CAP_EXPEND_RATIO","FQ4 2020","FQ4 2020","Currency=USD","Period=FQ","BEST_FPERIOD_OVERRIDE=FQ","FILING_STATUS=MR","Sort=A","Dates=H","DateFormat=P","Fill=—","Direction=H","UseDPDF=Y")</f>
        <v>3.0165999999999999</v>
      </c>
      <c r="AP21" s="20">
        <f>_xll.BDH("BRK/A US Equity","CAP_EXPEND_RATIO","FQ1 2021","FQ1 2021","Currency=USD","Period=FQ","BEST_FPERIOD_OVERRIDE=FQ","FILING_STATUS=MR","Sort=A","Dates=H","DateFormat=P","Fill=—","Direction=H","UseDPDF=Y")</f>
        <v>3.6943000000000001</v>
      </c>
    </row>
    <row r="22" spans="1:42" x14ac:dyDescent="0.25">
      <c r="A22" s="7" t="s">
        <v>162</v>
      </c>
      <c r="B22" s="7" t="s">
        <v>161</v>
      </c>
      <c r="C22" s="20">
        <f>_xll.BDH("BRK/A US Equity","ALTMAN_Z_SCORE","FQ2 2011","FQ2 2011","Currency=USD","Period=FQ","BEST_FPERIOD_OVERRIDE=FQ","FILING_STATUS=MR","Sort=A","Dates=H","DateFormat=P","Fill=—","Direction=H","UseDPDF=Y")</f>
        <v>1.8597999999999999</v>
      </c>
      <c r="D22" s="20">
        <f>_xll.BDH("BRK/A US Equity","ALTMAN_Z_SCORE","FQ3 2011","FQ3 2011","Currency=USD","Period=FQ","BEST_FPERIOD_OVERRIDE=FQ","FILING_STATUS=MR","Sort=A","Dates=H","DateFormat=P","Fill=—","Direction=H","UseDPDF=Y")</f>
        <v>1.7633000000000001</v>
      </c>
      <c r="E22" s="20">
        <f>_xll.BDH("BRK/A US Equity","ALTMAN_Z_SCORE","FQ4 2011","FQ4 2011","Currency=USD","Period=FQ","BEST_FPERIOD_OVERRIDE=FQ","FILING_STATUS=MR","Sort=A","Dates=H","DateFormat=P","Fill=—","Direction=H","UseDPDF=Y")</f>
        <v>1.7755999999999998</v>
      </c>
      <c r="F22" s="20">
        <f>_xll.BDH("BRK/A US Equity","ALTMAN_Z_SCORE","FQ1 2012","FQ1 2012","Currency=USD","Period=FQ","BEST_FPERIOD_OVERRIDE=FQ","FILING_STATUS=MR","Sort=A","Dates=H","DateFormat=P","Fill=—","Direction=H","UseDPDF=Y")</f>
        <v>1.8307</v>
      </c>
      <c r="G22" s="20" t="str">
        <f>_xll.BDH("BRK/A US Equity","ALTMAN_Z_SCORE","FQ2 2012","FQ2 2012","Currency=USD","Period=FQ","BEST_FPERIOD_OVERRIDE=FQ","FILING_STATUS=MR","Sort=A","Dates=H","DateFormat=P","Fill=—","Direction=H","UseDPDF=Y")</f>
        <v>#N/A Requesting Data...</v>
      </c>
      <c r="H22" s="20" t="str">
        <f>_xll.BDH("BRK/A US Equity","ALTMAN_Z_SCORE","FQ3 2012","FQ3 2012","Currency=USD","Period=FQ","BEST_FPERIOD_OVERRIDE=FQ","FILING_STATUS=MR","Sort=A","Dates=H","DateFormat=P","Fill=—","Direction=H","UseDPDF=Y")</f>
        <v>#N/A Requesting Data...</v>
      </c>
      <c r="I22" s="20" t="str">
        <f>_xll.BDH("BRK/A US Equity","ALTMAN_Z_SCORE","FQ4 2012","FQ4 2012","Currency=USD","Period=FQ","BEST_FPERIOD_OVERRIDE=FQ","FILING_STATUS=MR","Sort=A","Dates=H","DateFormat=P","Fill=—","Direction=H","UseDPDF=Y")</f>
        <v>#N/A Requesting Data...</v>
      </c>
      <c r="J22" s="20">
        <f>_xll.BDH("BRK/A US Equity","ALTMAN_Z_SCORE","FQ1 2013","FQ1 2013","Currency=USD","Period=FQ","BEST_FPERIOD_OVERRIDE=FQ","FILING_STATUS=MR","Sort=A","Dates=H","DateFormat=P","Fill=—","Direction=H","UseDPDF=Y")</f>
        <v>2.09</v>
      </c>
      <c r="K22" s="20">
        <f>_xll.BDH("BRK/A US Equity","ALTMAN_Z_SCORE","FQ2 2013","FQ2 2013","Currency=USD","Period=FQ","BEST_FPERIOD_OVERRIDE=FQ","FILING_STATUS=MR","Sort=A","Dates=H","DateFormat=P","Fill=—","Direction=H","UseDPDF=Y")</f>
        <v>2.1764000000000001</v>
      </c>
      <c r="L22" s="20">
        <f>_xll.BDH("BRK/A US Equity","ALTMAN_Z_SCORE","FQ3 2013","FQ3 2013","Currency=USD","Period=FQ","BEST_FPERIOD_OVERRIDE=FQ","FILING_STATUS=MR","Sort=A","Dates=H","DateFormat=P","Fill=—","Direction=H","UseDPDF=Y")</f>
        <v>2.1947999999999999</v>
      </c>
      <c r="M22" s="20">
        <f>_xll.BDH("BRK/A US Equity","ALTMAN_Z_SCORE","FQ4 2013","FQ4 2013","Currency=USD","Period=FQ","BEST_FPERIOD_OVERRIDE=FQ","FILING_STATUS=MR","Sort=A","Dates=H","DateFormat=P","Fill=—","Direction=H","UseDPDF=Y")</f>
        <v>2.1568999999999998</v>
      </c>
      <c r="N22" s="20">
        <f>_xll.BDH("BRK/A US Equity","ALTMAN_Z_SCORE","FQ1 2014","FQ1 2014","Currency=USD","Period=FQ","BEST_FPERIOD_OVERRIDE=FQ","FILING_STATUS=MR","Sort=A","Dates=H","DateFormat=P","Fill=—","Direction=H","UseDPDF=Y")</f>
        <v>2.1798999999999999</v>
      </c>
      <c r="O22" s="20">
        <f>_xll.BDH("BRK/A US Equity","ALTMAN_Z_SCORE","FQ2 2014","FQ2 2014","Currency=USD","Period=FQ","BEST_FPERIOD_OVERRIDE=FQ","FILING_STATUS=MR","Sort=A","Dates=H","DateFormat=P","Fill=—","Direction=H","UseDPDF=Y")</f>
        <v>2.2359</v>
      </c>
      <c r="P22" s="20">
        <f>_xll.BDH("BRK/A US Equity","ALTMAN_Z_SCORE","FQ3 2014","FQ3 2014","Currency=USD","Period=FQ","BEST_FPERIOD_OVERRIDE=FQ","FILING_STATUS=MR","Sort=A","Dates=H","DateFormat=P","Fill=—","Direction=H","UseDPDF=Y")</f>
        <v>2.2467000000000001</v>
      </c>
      <c r="Q22" s="20">
        <f>_xll.BDH("BRK/A US Equity","ALTMAN_Z_SCORE","FQ4 2014","FQ4 2014","Currency=USD","Period=FQ","BEST_FPERIOD_OVERRIDE=FQ","FILING_STATUS=MR","Sort=A","Dates=H","DateFormat=P","Fill=—","Direction=H","UseDPDF=Y")</f>
        <v>2.2679999999999998</v>
      </c>
      <c r="R22" s="20">
        <f>_xll.BDH("BRK/A US Equity","ALTMAN_Z_SCORE","FQ1 2015","FQ1 2015","Currency=USD","Period=FQ","BEST_FPERIOD_OVERRIDE=FQ","FILING_STATUS=MR","Sort=A","Dates=H","DateFormat=P","Fill=—","Direction=H","UseDPDF=Y")</f>
        <v>2.2519</v>
      </c>
      <c r="S22" s="20" t="str">
        <f>_xll.BDH("BRK/A US Equity","ALTMAN_Z_SCORE","FQ2 2015","FQ2 2015","Currency=USD","Period=FQ","BEST_FPERIOD_OVERRIDE=FQ","FILING_STATUS=MR","Sort=A","Dates=H","DateFormat=P","Fill=—","Direction=H","UseDPDF=Y")</f>
        <v>#N/A Requesting Data...</v>
      </c>
      <c r="T22" s="20" t="str">
        <f>_xll.BDH("BRK/A US Equity","ALTMAN_Z_SCORE","FQ3 2015","FQ3 2015","Currency=USD","Period=FQ","BEST_FPERIOD_OVERRIDE=FQ","FILING_STATUS=MR","Sort=A","Dates=H","DateFormat=P","Fill=—","Direction=H","UseDPDF=Y")</f>
        <v>#N/A Requesting Data...</v>
      </c>
      <c r="U22" s="20" t="str">
        <f>_xll.BDH("BRK/A US Equity","ALTMAN_Z_SCORE","FQ4 2015","FQ4 2015","Currency=USD","Period=FQ","BEST_FPERIOD_OVERRIDE=FQ","FILING_STATUS=MR","Sort=A","Dates=H","DateFormat=P","Fill=—","Direction=H","UseDPDF=Y")</f>
        <v>#N/A Requesting Data...</v>
      </c>
      <c r="V22" s="20">
        <f>_xll.BDH("BRK/A US Equity","ALTMAN_Z_SCORE","FQ1 2016","FQ1 2016","Currency=USD","Period=FQ","BEST_FPERIOD_OVERRIDE=FQ","FILING_STATUS=MR","Sort=A","Dates=H","DateFormat=P","Fill=—","Direction=H","UseDPDF=Y")</f>
        <v>2.1810999999999998</v>
      </c>
      <c r="W22" s="20">
        <f>_xll.BDH("BRK/A US Equity","ALTMAN_Z_SCORE","FQ2 2016","FQ2 2016","Currency=USD","Period=FQ","BEST_FPERIOD_OVERRIDE=FQ","FILING_STATUS=MR","Sort=A","Dates=H","DateFormat=P","Fill=—","Direction=H","UseDPDF=Y")</f>
        <v>2.2065999999999999</v>
      </c>
      <c r="X22" s="20" t="str">
        <f>_xll.BDH("BRK/A US Equity","ALTMAN_Z_SCORE","FQ3 2016","FQ3 2016","Currency=USD","Period=FQ","BEST_FPERIOD_OVERRIDE=FQ","FILING_STATUS=MR","Sort=A","Dates=H","DateFormat=P","Fill=—","Direction=H","UseDPDF=Y")</f>
        <v>#N/A Requesting Data...</v>
      </c>
      <c r="Y22" s="20">
        <f>_xll.BDH("BRK/A US Equity","ALTMAN_Z_SCORE","FQ4 2016","FQ4 2016","Currency=USD","Period=FQ","BEST_FPERIOD_OVERRIDE=FQ","FILING_STATUS=MR","Sort=A","Dates=H","DateFormat=P","Fill=—","Direction=H","UseDPDF=Y")</f>
        <v>2.2614999999999998</v>
      </c>
      <c r="Z22" s="20">
        <f>_xll.BDH("BRK/A US Equity","ALTMAN_Z_SCORE","FQ1 2017","FQ1 2017","Currency=USD","Period=FQ","BEST_FPERIOD_OVERRIDE=FQ","FILING_STATUS=MR","Sort=A","Dates=H","DateFormat=P","Fill=—","Direction=H","UseDPDF=Y")</f>
        <v>2.1958000000000002</v>
      </c>
      <c r="AA22" s="20">
        <f>_xll.BDH("BRK/A US Equity","ALTMAN_Z_SCORE","FQ2 2017","FQ2 2017","Currency=USD","Period=FQ","BEST_FPERIOD_OVERRIDE=FQ","FILING_STATUS=MR","Sort=A","Dates=H","DateFormat=P","Fill=—","Direction=H","UseDPDF=Y")</f>
        <v>2.2016999999999998</v>
      </c>
      <c r="AB22" s="20">
        <f>_xll.BDH("BRK/A US Equity","ALTMAN_Z_SCORE","FQ3 2017","FQ3 2017","Currency=USD","Period=FQ","BEST_FPERIOD_OVERRIDE=FQ","FILING_STATUS=MR","Sort=A","Dates=H","DateFormat=P","Fill=—","Direction=H","UseDPDF=Y")</f>
        <v>2.1901999999999999</v>
      </c>
      <c r="AC22" s="20">
        <f>_xll.BDH("BRK/A US Equity","ALTMAN_Z_SCORE","FQ4 2017","FQ4 2017","Currency=USD","Period=FQ","BEST_FPERIOD_OVERRIDE=FQ","FILING_STATUS=MR","Sort=A","Dates=H","DateFormat=P","Fill=—","Direction=H","UseDPDF=Y")</f>
        <v>2.3338999999999999</v>
      </c>
      <c r="AD22" s="20">
        <f>_xll.BDH("BRK/A US Equity","ALTMAN_Z_SCORE","FQ1 2018","FQ1 2018","Currency=USD","Period=FQ","BEST_FPERIOD_OVERRIDE=FQ","FILING_STATUS=MR","Sort=A","Dates=H","DateFormat=P","Fill=—","Direction=H","UseDPDF=Y")</f>
        <v>2.4005000000000001</v>
      </c>
      <c r="AE22" s="20" t="str">
        <f>_xll.BDH("BRK/A US Equity","ALTMAN_Z_SCORE","FQ2 2018","FQ2 2018","Currency=USD","Period=FQ","BEST_FPERIOD_OVERRIDE=FQ","FILING_STATUS=MR","Sort=A","Dates=H","DateFormat=P","Fill=—","Direction=H","UseDPDF=Y")</f>
        <v>#N/A Requesting Data...</v>
      </c>
      <c r="AF22" s="20" t="str">
        <f>_xll.BDH("BRK/A US Equity","ALTMAN_Z_SCORE","FQ3 2018","FQ3 2018","Currency=USD","Period=FQ","BEST_FPERIOD_OVERRIDE=FQ","FILING_STATUS=MR","Sort=A","Dates=H","DateFormat=P","Fill=—","Direction=H","UseDPDF=Y")</f>
        <v>#N/A Requesting Data...</v>
      </c>
      <c r="AG22" s="20" t="str">
        <f>_xll.BDH("BRK/A US Equity","ALTMAN_Z_SCORE","FQ4 2018","FQ4 2018","Currency=USD","Period=FQ","BEST_FPERIOD_OVERRIDE=FQ","FILING_STATUS=MR","Sort=A","Dates=H","DateFormat=P","Fill=—","Direction=H","UseDPDF=Y")</f>
        <v>#N/A Requesting Data...</v>
      </c>
      <c r="AH22" s="20">
        <f>_xll.BDH("BRK/A US Equity","ALTMAN_Z_SCORE","FQ1 2019","FQ1 2019","Currency=USD","Period=FQ","BEST_FPERIOD_OVERRIDE=FQ","FILING_STATUS=MR","Sort=A","Dates=H","DateFormat=P","Fill=—","Direction=H","UseDPDF=Y")</f>
        <v>2.5335999999999999</v>
      </c>
      <c r="AI22" s="20">
        <f>_xll.BDH("BRK/A US Equity","ALTMAN_Z_SCORE","FQ2 2019","FQ2 2019","Currency=USD","Period=FQ","BEST_FPERIOD_OVERRIDE=FQ","FILING_STATUS=MR","Sort=A","Dates=H","DateFormat=P","Fill=—","Direction=H","UseDPDF=Y")</f>
        <v>2.5842999999999998</v>
      </c>
      <c r="AJ22" s="20">
        <f>_xll.BDH("BRK/A US Equity","ALTMAN_Z_SCORE","FQ3 2019","FQ3 2019","Currency=USD","Period=FQ","BEST_FPERIOD_OVERRIDE=FQ","FILING_STATUS=MR","Sort=A","Dates=H","DateFormat=P","Fill=—","Direction=H","UseDPDF=Y")</f>
        <v>2.5051000000000001</v>
      </c>
      <c r="AK22" s="20">
        <f>_xll.BDH("BRK/A US Equity","ALTMAN_Z_SCORE","FQ4 2019","FQ4 2019","Currency=USD","Period=FQ","BEST_FPERIOD_OVERRIDE=FQ","FILING_STATUS=MR","Sort=A","Dates=H","DateFormat=P","Fill=—","Direction=H","UseDPDF=Y")</f>
        <v>3.0152000000000001</v>
      </c>
      <c r="AL22" s="20">
        <f>_xll.BDH("BRK/A US Equity","ALTMAN_Z_SCORE","FQ1 2020","FQ1 2020","Currency=USD","Period=FQ","BEST_FPERIOD_OVERRIDE=FQ","FILING_STATUS=MR","Sort=A","Dates=H","DateFormat=P","Fill=—","Direction=H","UseDPDF=Y")</f>
        <v>2.2090000000000001</v>
      </c>
      <c r="AM22" s="20">
        <f>_xll.BDH("BRK/A US Equity","ALTMAN_Z_SCORE","FQ2 2020","FQ2 2020","Currency=USD","Period=FQ","BEST_FPERIOD_OVERRIDE=FQ","FILING_STATUS=MR","Sort=A","Dates=H","DateFormat=P","Fill=—","Direction=H","UseDPDF=Y")</f>
        <v>2.3439000000000001</v>
      </c>
      <c r="AN22" s="20">
        <f>_xll.BDH("BRK/A US Equity","ALTMAN_Z_SCORE","FQ3 2020","FQ3 2020","Currency=USD","Period=FQ","BEST_FPERIOD_OVERRIDE=FQ","FILING_STATUS=MR","Sort=A","Dates=H","DateFormat=P","Fill=—","Direction=H","UseDPDF=Y")</f>
        <v>2.5310999999999999</v>
      </c>
      <c r="AO22" s="20">
        <f>_xll.BDH("BRK/A US Equity","ALTMAN_Z_SCORE","FQ4 2020","FQ4 2020","Currency=USD","Period=FQ","BEST_FPERIOD_OVERRIDE=FQ","FILING_STATUS=MR","Sort=A","Dates=H","DateFormat=P","Fill=—","Direction=H","UseDPDF=Y")</f>
        <v>2.6217000000000001</v>
      </c>
      <c r="AP22" s="20">
        <f>_xll.BDH("BRK/A US Equity","ALTMAN_Z_SCORE","FQ1 2021","FQ1 2021","Currency=USD","Period=FQ","BEST_FPERIOD_OVERRIDE=FQ","FILING_STATUS=MR","Sort=A","Dates=H","DateFormat=P","Fill=—","Direction=H","UseDPDF=Y")</f>
        <v>3.1076999999999999</v>
      </c>
    </row>
    <row r="23" spans="1:42" x14ac:dyDescent="0.25">
      <c r="A23" s="7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</row>
    <row r="24" spans="1:42" x14ac:dyDescent="0.25">
      <c r="A24" s="7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</row>
    <row r="25" spans="1:42" x14ac:dyDescent="0.25">
      <c r="A25" s="14" t="s">
        <v>119</v>
      </c>
      <c r="B25" s="14"/>
      <c r="C25" s="14" t="s">
        <v>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Profitability</vt:lpstr>
      <vt:lpstr>Profitability (2)</vt:lpstr>
      <vt:lpstr>Liquidity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SUHARDJO, Johanes</cp:lastModifiedBy>
  <dcterms:created xsi:type="dcterms:W3CDTF">2013-04-03T15:49:21Z</dcterms:created>
  <dcterms:modified xsi:type="dcterms:W3CDTF">2021-07-07T12:42:32Z</dcterms:modified>
</cp:coreProperties>
</file>